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https://farrierswier.sharepoint.com/projects/607_PWC_AER2429_Modelling/Working/Reset RIN/Submission/"/>
    </mc:Choice>
  </mc:AlternateContent>
  <xr:revisionPtr revIDLastSave="517" documentId="8_{D69B7DC9-4215-45A2-ABB9-043A6FB41E1E}" xr6:coauthVersionLast="47" xr6:coauthVersionMax="47" xr10:uidLastSave="{309D146F-391E-4523-9F90-B93F03B57B91}"/>
  <bookViews>
    <workbookView xWindow="57480" yWindow="3300" windowWidth="29040" windowHeight="15840" tabRatio="841" xr2:uid="{00000000-000D-0000-FFFF-FFFF00000000}"/>
  </bookViews>
  <sheets>
    <sheet name="Cover" sheetId="27" r:id="rId1"/>
    <sheet name="TOC" sheetId="28" r:id="rId2"/>
    <sheet name="Input_Inflation" sheetId="50" r:id="rId3"/>
    <sheet name="Input_RAB_SCS" sheetId="32" r:id="rId4"/>
    <sheet name="Input_RAB_ACS" sheetId="37" r:id="rId5"/>
    <sheet name="Input_Connections" sheetId="43" r:id="rId6"/>
    <sheet name="Input_AssetLives" sheetId="49" r:id="rId7"/>
    <sheet name="Input_DRC" sheetId="44" r:id="rId8"/>
    <sheet name="Calc_Alloc" sheetId="31" r:id="rId9"/>
    <sheet name="Calc_RAB_Connection" sheetId="45" r:id="rId10"/>
    <sheet name="Calc_RAB_NS" sheetId="47" r:id="rId11"/>
    <sheet name="Calc_EB_NS" sheetId="46" r:id="rId12"/>
    <sheet name="Calc_EB_SCS" sheetId="33" r:id="rId13"/>
    <sheet name="Calc_EB_ACS" sheetId="38" r:id="rId14"/>
    <sheet name="Output_EB_RIN_NS" sheetId="42" r:id="rId15"/>
    <sheet name="Output_EB_RIN_SCS" sheetId="34" r:id="rId16"/>
    <sheet name="Output_EB_RIN_ACS" sheetId="39" r:id="rId17"/>
    <sheet name="3.3 Assets (RAB)_Fcst" sheetId="51" r:id="rId18"/>
    <sheet name="Lookup" sheetId="4" r:id="rId19"/>
    <sheet name="Checks" sheetId="25" r:id="rId20"/>
  </sheets>
  <externalReferences>
    <externalReference r:id="rId21"/>
  </externalReferences>
  <definedNames>
    <definedName name="_xlnm._FilterDatabase" localSheetId="17" hidden="1">'3.3 Assets (RAB)_Fcst'!#REF!</definedName>
    <definedName name="anscount" hidden="1">1</definedName>
    <definedName name="Base_Year">Lookup!$E$11</definedName>
    <definedName name="CRCP_span" localSheetId="17">CONCATENATE(CRCP_y1, " to ",CRCP_y5)</definedName>
    <definedName name="CRCP_span">CONCATENATE(CRCP_y1, " to ",CRCP_y5)</definedName>
    <definedName name="Days_In_Wk">Lookup!$D$30</definedName>
    <definedName name="Days_In_Yr">Lookup!$D$31</definedName>
    <definedName name="dms_030301_01_ACS_Values" localSheetId="17">'3.3 Assets (RAB)_Fcst'!$S$13:$Y$18</definedName>
    <definedName name="dms_030301_01_NS_Values" localSheetId="17">'3.3 Assets (RAB)_Fcst'!$C$13:$I$18</definedName>
    <definedName name="dms_030301_01_Rows" localSheetId="17">'3.3 Assets (RAB)_Fcst'!$B$13:$B$18</definedName>
    <definedName name="dms_030301_01_SCS_Values" localSheetId="17">'3.3 Assets (RAB)_Fcst'!$K$13:$Q$18</definedName>
    <definedName name="dms_030302_01_ACS_Values" localSheetId="17">'3.3 Assets (RAB)_Fcst'!$S$26:$Y$31</definedName>
    <definedName name="dms_030302_01_NS_Values" localSheetId="17">'3.3 Assets (RAB)_Fcst'!$C$26:$I$31</definedName>
    <definedName name="dms_030302_01_Rows" localSheetId="17">'3.3 Assets (RAB)_Fcst'!$B$26:$B$31</definedName>
    <definedName name="dms_030302_01_SCS_Values" localSheetId="17">'3.3 Assets (RAB)_Fcst'!$K$26:$Q$31</definedName>
    <definedName name="dms_030302_02_ACS_Values" localSheetId="17">'3.3 Assets (RAB)_Fcst'!$S$33:$Y$38</definedName>
    <definedName name="dms_030302_02_NS_Values" localSheetId="17">'3.3 Assets (RAB)_Fcst'!$C$33:$I$38</definedName>
    <definedName name="dms_030302_02_SCS_Values" localSheetId="17">'3.3 Assets (RAB)_Fcst'!$K$33:$Q$38</definedName>
    <definedName name="dms_030302_03_ACS_Values" localSheetId="17">'3.3 Assets (RAB)_Fcst'!$S$40:$Y$45</definedName>
    <definedName name="dms_030302_03_NS_Values" localSheetId="17">'3.3 Assets (RAB)_Fcst'!$C$40:$I$45</definedName>
    <definedName name="dms_030302_03_SCS_Values" localSheetId="17">'3.3 Assets (RAB)_Fcst'!$K$40:$Q$45</definedName>
    <definedName name="dms_030302_04_ACS_Values" localSheetId="17">'3.3 Assets (RAB)_Fcst'!$S$47:$Y$52</definedName>
    <definedName name="dms_030302_04_NS_Values" localSheetId="17">'3.3 Assets (RAB)_Fcst'!$C$47:$I$52</definedName>
    <definedName name="dms_030302_04_SCS_Values" localSheetId="17">'3.3 Assets (RAB)_Fcst'!$K$47:$Q$52</definedName>
    <definedName name="dms_030302_05_ACS_Values" localSheetId="17">'3.3 Assets (RAB)_Fcst'!$S$54:$Y$59</definedName>
    <definedName name="dms_030302_05_NS_Values" localSheetId="17">'3.3 Assets (RAB)_Fcst'!$C$54:$I$59</definedName>
    <definedName name="dms_030302_05_SCS_Values" localSheetId="17">'3.3 Assets (RAB)_Fcst'!$K$54:$Q$59</definedName>
    <definedName name="dms_030302_06_ACS_Values" localSheetId="17">'3.3 Assets (RAB)_Fcst'!$S$61:$Y$66</definedName>
    <definedName name="dms_030302_06_NS_Values" localSheetId="17">'3.3 Assets (RAB)_Fcst'!$C$61:$I$66</definedName>
    <definedName name="dms_030302_06_SCS_Values" localSheetId="17">'3.3 Assets (RAB)_Fcst'!$K$61:$Q$66</definedName>
    <definedName name="dms_030302_07_ACS_Values" localSheetId="17">'3.3 Assets (RAB)_Fcst'!$S$68:$Y$72</definedName>
    <definedName name="dms_030302_07_NS_Values" localSheetId="17">'3.3 Assets (RAB)_Fcst'!$C$68:$I$72</definedName>
    <definedName name="dms_030302_07_Rows" localSheetId="17">'3.3 Assets (RAB)_Fcst'!$B$68:$B$72</definedName>
    <definedName name="dms_030302_07_SCS_Values" localSheetId="17">'3.3 Assets (RAB)_Fcst'!$K$68:$Q$72</definedName>
    <definedName name="dms_030302_08_ACS_Values" localSheetId="17">'3.3 Assets (RAB)_Fcst'!$S$74:$Y$79</definedName>
    <definedName name="dms_030302_08_NS_Values" localSheetId="17">'3.3 Assets (RAB)_Fcst'!$C$74:$I$79</definedName>
    <definedName name="dms_030302_08_SCS_Values" localSheetId="17">'3.3 Assets (RAB)_Fcst'!$K$74:$Q$79</definedName>
    <definedName name="dms_030302_09_ACS_Values" localSheetId="17">'3.3 Assets (RAB)_Fcst'!$S$81:$Y$86</definedName>
    <definedName name="dms_030302_09_NS_Values" localSheetId="17">'3.3 Assets (RAB)_Fcst'!$C$81:$I$86</definedName>
    <definedName name="dms_030302_09_SCS_Values" localSheetId="17">'3.3 Assets (RAB)_Fcst'!$K$81:$Q$86</definedName>
    <definedName name="dms_030302_10_ACS_Values" localSheetId="17">'3.3 Assets (RAB)_Fcst'!$S$88:$Y$93</definedName>
    <definedName name="dms_030302_10_NS_Values" localSheetId="17">'3.3 Assets (RAB)_Fcst'!$C$88:$I$93</definedName>
    <definedName name="dms_030302_10_SCS_Values" localSheetId="17">'3.3 Assets (RAB)_Fcst'!$K$88:$Q$93</definedName>
    <definedName name="dms_030303_01_ACS_Values" localSheetId="17">'3.3 Assets (RAB)_Fcst'!$S$102:$Y$112</definedName>
    <definedName name="dms_030303_01_NS_Values" localSheetId="17">'3.3 Assets (RAB)_Fcst'!$C$102:$I$112</definedName>
    <definedName name="dms_030303_01_Rows" localSheetId="17">'3.3 Assets (RAB)_Fcst'!$B$102:$B$112</definedName>
    <definedName name="dms_030303_01_SCS_Values" localSheetId="17">'3.3 Assets (RAB)_Fcst'!$K$102:$Q$112</definedName>
    <definedName name="dms_030304_01_ACS_Values" localSheetId="17">'3.3 Assets (RAB)_Fcst'!$S$120:$Y$128</definedName>
    <definedName name="dms_030304_01_NS_Values" localSheetId="17">'3.3 Assets (RAB)_Fcst'!$C$120:$I$128</definedName>
    <definedName name="dms_030304_01_Rows" localSheetId="17">'3.3 Assets (RAB)_Fcst'!$B$120:$B$128</definedName>
    <definedName name="dms_030304_01_SCS_Values" localSheetId="17">'3.3 Assets (RAB)_Fcst'!$K$120:$Q$128</definedName>
    <definedName name="dms_030304_02_ACS_Values" localSheetId="17">'3.3 Assets (RAB)_Fcst'!$S$131:$Y$139</definedName>
    <definedName name="dms_030304_02_NS_Values" localSheetId="17">'3.3 Assets (RAB)_Fcst'!$C$131:$I$139</definedName>
    <definedName name="dms_030304_02_Rows" localSheetId="17">'3.3 Assets (RAB)_Fcst'!$B$131:$B$139</definedName>
    <definedName name="dms_030304_02_SCS_Values" localSheetId="17">'3.3 Assets (RAB)_Fcst'!$K$131:$Q$139</definedName>
    <definedName name="dms_STPIS_Detail">'[1]6'!$O$15:$O$37</definedName>
    <definedName name="dms_STPIS_Reasons">'[1]6'!$P$17:$P$30</definedName>
    <definedName name="Dollars">Lookup!$D$45</definedName>
    <definedName name="End_year">Lookup!$F$63</definedName>
    <definedName name="Error">Lookup!$D$35</definedName>
    <definedName name="Factor">Lookup!$D$48</definedName>
    <definedName name="FRCP_1to5">"2015-16 to 2019-20"</definedName>
    <definedName name="FRCP_span" localSheetId="17">CONCATENATE(FRCP_y1, " to ", FRCP_y5)</definedName>
    <definedName name="FRCP_span">CONCATENATE(FRCP_y1, " to ", FRCP_y5)</definedName>
    <definedName name="Half">Lookup!$D$32</definedName>
    <definedName name="Kilometres">Lookup!$D$50</definedName>
    <definedName name="LU_Basis">Lookup!$D$55:$D$57</definedName>
    <definedName name="LU_EB_RIN_Assets">Lookup!$D$106:$D$115</definedName>
    <definedName name="LU_RAB_Assets">Lookup!$D$71:$D$92</definedName>
    <definedName name="LU_Timing">Lookup!$D$61:$D$64</definedName>
    <definedName name="LU_Timing_Value">Lookup!$E$61:$E$64</definedName>
    <definedName name="LU_Units">Lookup!$D$44:$D$51</definedName>
    <definedName name="Mid_year">Lookup!$D$62</definedName>
    <definedName name="Millions">Lookup!$D$46</definedName>
    <definedName name="Model_Name">Cover!$B$3</definedName>
    <definedName name="Model_Start_Date">Lookup!$E$10</definedName>
    <definedName name="Mths_In_Mth">Lookup!$D$26</definedName>
    <definedName name="Mths_In_Qtr">Lookup!$D$27</definedName>
    <definedName name="Mths_In_Yr">Lookup!$D$29</definedName>
    <definedName name="NA">Lookup!$D$34</definedName>
    <definedName name="No">Lookup!$D$40</definedName>
    <definedName name="Nominal">Lookup!$D$57</definedName>
    <definedName name="Number">Lookup!$D$49</definedName>
    <definedName name="Ok">Lookup!$D$33</definedName>
    <definedName name="Percent">Lookup!$D$44</definedName>
    <definedName name="Qtrs_In_Yr">Lookup!$D$28</definedName>
    <definedName name="RCP_1to5">"2015-16 to 2019-20"</definedName>
    <definedName name="Real2018">Lookup!$D$55</definedName>
    <definedName name="Start_year">Lookup!$D$61</definedName>
    <definedName name="Thousands">Lookup!$D$47</definedName>
    <definedName name="Title_Msg">Checks!$H$10</definedName>
    <definedName name="Yes">Lookup!$D$39</definedName>
    <definedName name="Yes_No">Lookup!$D$39:$D$40</definedName>
    <definedName name="Z_9AF1BD63_86F7_41E1_A4B4_D8DB22B54964_.wvu.PrintArea" localSheetId="17" hidden="1">'3.3 Assets (RAB)_Fcst'!$A$1:$Y$139</definedName>
    <definedName name="Z_C8B120F9_20B7_4787_B929_C88AF67DA2E9_.wvu.PrintArea" localSheetId="17" hidden="1">'3.3 Assets (RAB)_Fcst'!$A$1:$Y$139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8" i="39" l="1"/>
  <c r="D52" i="39"/>
  <c r="D66" i="39"/>
  <c r="D80" i="39"/>
  <c r="D94" i="39"/>
  <c r="D108" i="39"/>
  <c r="D122" i="39"/>
  <c r="D136" i="39"/>
  <c r="D150" i="39"/>
  <c r="D164" i="39"/>
  <c r="D156" i="39"/>
  <c r="D142" i="39"/>
  <c r="D128" i="39"/>
  <c r="D114" i="39"/>
  <c r="D100" i="39"/>
  <c r="D86" i="39"/>
  <c r="D72" i="39"/>
  <c r="D58" i="39"/>
  <c r="D44" i="39"/>
  <c r="D30" i="39"/>
  <c r="D38" i="34"/>
  <c r="D52" i="34"/>
  <c r="D66" i="34"/>
  <c r="D80" i="34"/>
  <c r="D94" i="34"/>
  <c r="D108" i="34"/>
  <c r="D122" i="34"/>
  <c r="D136" i="34"/>
  <c r="D150" i="34"/>
  <c r="D164" i="34"/>
  <c r="D156" i="34"/>
  <c r="D142" i="34"/>
  <c r="D128" i="34"/>
  <c r="D114" i="34"/>
  <c r="D100" i="34"/>
  <c r="D86" i="34"/>
  <c r="D72" i="34"/>
  <c r="D58" i="34"/>
  <c r="D44" i="34"/>
  <c r="D30" i="34"/>
  <c r="D164" i="42"/>
  <c r="D150" i="42"/>
  <c r="D136" i="42"/>
  <c r="D122" i="42"/>
  <c r="D108" i="42"/>
  <c r="D94" i="42"/>
  <c r="D80" i="42"/>
  <c r="D66" i="42"/>
  <c r="D52" i="42"/>
  <c r="D38" i="42"/>
  <c r="D156" i="42"/>
  <c r="D142" i="42"/>
  <c r="D128" i="42"/>
  <c r="D114" i="42"/>
  <c r="D100" i="42"/>
  <c r="D86" i="42"/>
  <c r="D72" i="42"/>
  <c r="D58" i="42"/>
  <c r="D44" i="42"/>
  <c r="D30" i="42"/>
  <c r="E20" i="38"/>
  <c r="E21" i="38" s="1"/>
  <c r="E22" i="38" s="1"/>
  <c r="E23" i="38" s="1"/>
  <c r="E24" i="38" s="1"/>
  <c r="E25" i="38" s="1"/>
  <c r="E26" i="38" s="1"/>
  <c r="E27" i="38" s="1"/>
  <c r="E19" i="38"/>
  <c r="E19" i="33"/>
  <c r="E20" i="33" s="1"/>
  <c r="E21" i="33" s="1"/>
  <c r="E22" i="33" s="1"/>
  <c r="E23" i="33" s="1"/>
  <c r="E24" i="33" s="1"/>
  <c r="E25" i="33" s="1"/>
  <c r="E26" i="33" s="1"/>
  <c r="E27" i="33" s="1"/>
  <c r="E20" i="46"/>
  <c r="E21" i="46" s="1"/>
  <c r="E22" i="46" s="1"/>
  <c r="E23" i="46" s="1"/>
  <c r="E24" i="46" s="1"/>
  <c r="E25" i="46" s="1"/>
  <c r="E26" i="46" s="1"/>
  <c r="E27" i="46" s="1"/>
  <c r="E19" i="46"/>
  <c r="E192" i="47"/>
  <c r="E134" i="47"/>
  <c r="E105" i="47"/>
  <c r="E76" i="47"/>
  <c r="E47" i="47"/>
  <c r="D74" i="44"/>
  <c r="D55" i="44"/>
  <c r="D42" i="44"/>
  <c r="D29" i="44"/>
  <c r="E57" i="49"/>
  <c r="E58" i="49"/>
  <c r="E59" i="49"/>
  <c r="E60" i="49"/>
  <c r="E61" i="49"/>
  <c r="E62" i="49"/>
  <c r="E63" i="49"/>
  <c r="E64" i="49"/>
  <c r="E65" i="49"/>
  <c r="E56" i="49"/>
  <c r="E46" i="49"/>
  <c r="E45" i="49"/>
  <c r="E44" i="49"/>
  <c r="E43" i="49"/>
  <c r="E42" i="49"/>
  <c r="E41" i="49"/>
  <c r="E40" i="49"/>
  <c r="E39" i="49"/>
  <c r="E38" i="49"/>
  <c r="E37" i="49"/>
  <c r="D54" i="49"/>
  <c r="D35" i="49"/>
  <c r="E19" i="49"/>
  <c r="E20" i="49" s="1"/>
  <c r="E21" i="49" s="1"/>
  <c r="E22" i="49" s="1"/>
  <c r="E23" i="49" s="1"/>
  <c r="E24" i="49" s="1"/>
  <c r="E25" i="49" s="1"/>
  <c r="E26" i="49" s="1"/>
  <c r="E27" i="49" s="1"/>
  <c r="D33" i="43"/>
  <c r="E40" i="37"/>
  <c r="E41" i="37" s="1"/>
  <c r="E42" i="37" s="1"/>
  <c r="E43" i="37" s="1"/>
  <c r="E44" i="37" s="1"/>
  <c r="E45" i="37" s="1"/>
  <c r="E46" i="37" s="1"/>
  <c r="E47" i="37" s="1"/>
  <c r="E48" i="37" s="1"/>
  <c r="E39" i="37"/>
  <c r="E49" i="32" l="1"/>
  <c r="E50" i="32" s="1"/>
  <c r="E51" i="32" s="1"/>
  <c r="E52" i="32" s="1"/>
  <c r="E53" i="32" s="1"/>
  <c r="E54" i="32" s="1"/>
  <c r="E55" i="32" s="1"/>
  <c r="E56" i="32" s="1"/>
  <c r="E57" i="32" s="1"/>
  <c r="E58" i="32" s="1"/>
  <c r="E59" i="32" s="1"/>
  <c r="E60" i="32" s="1"/>
  <c r="E61" i="32" s="1"/>
  <c r="E62" i="32" s="1"/>
  <c r="E63" i="32" s="1"/>
  <c r="E64" i="32" s="1"/>
  <c r="E65" i="32" s="1"/>
  <c r="E66" i="32" s="1"/>
  <c r="E48" i="32"/>
  <c r="D24" i="50"/>
  <c r="E131" i="39"/>
  <c r="E132" i="39" s="1"/>
  <c r="E133" i="39" s="1"/>
  <c r="E134" i="39" s="1"/>
  <c r="E145" i="39"/>
  <c r="E146" i="39" s="1"/>
  <c r="E147" i="39" s="1"/>
  <c r="E148" i="39" s="1"/>
  <c r="E160" i="39"/>
  <c r="E161" i="39" s="1"/>
  <c r="E162" i="39" s="1"/>
  <c r="E159" i="39"/>
  <c r="F162" i="39"/>
  <c r="F161" i="39"/>
  <c r="F160" i="39"/>
  <c r="F159" i="39"/>
  <c r="F158" i="39"/>
  <c r="F148" i="39"/>
  <c r="F147" i="39"/>
  <c r="F146" i="39"/>
  <c r="F145" i="39"/>
  <c r="F144" i="39"/>
  <c r="F134" i="39"/>
  <c r="F133" i="39"/>
  <c r="F132" i="39"/>
  <c r="F131" i="39"/>
  <c r="F130" i="39"/>
  <c r="F120" i="39"/>
  <c r="F119" i="39"/>
  <c r="F118" i="39"/>
  <c r="F117" i="39"/>
  <c r="F116" i="39"/>
  <c r="F106" i="39"/>
  <c r="F105" i="39"/>
  <c r="F104" i="39"/>
  <c r="F103" i="39"/>
  <c r="F102" i="39"/>
  <c r="F92" i="39"/>
  <c r="F91" i="39"/>
  <c r="F90" i="39"/>
  <c r="F89" i="39"/>
  <c r="F88" i="39"/>
  <c r="F78" i="39"/>
  <c r="F77" i="39"/>
  <c r="F76" i="39"/>
  <c r="F75" i="39"/>
  <c r="F74" i="39"/>
  <c r="F64" i="39"/>
  <c r="F63" i="39"/>
  <c r="F62" i="39"/>
  <c r="F61" i="39"/>
  <c r="F60" i="39"/>
  <c r="F50" i="39"/>
  <c r="F49" i="39"/>
  <c r="F48" i="39"/>
  <c r="F47" i="39"/>
  <c r="F46" i="39"/>
  <c r="F36" i="39"/>
  <c r="F35" i="39"/>
  <c r="F34" i="39"/>
  <c r="F33" i="39"/>
  <c r="F32" i="39"/>
  <c r="F20" i="39"/>
  <c r="F19" i="39"/>
  <c r="F18" i="39"/>
  <c r="F17" i="39"/>
  <c r="F16" i="39"/>
  <c r="F162" i="34"/>
  <c r="F161" i="34"/>
  <c r="F160" i="34"/>
  <c r="F159" i="34"/>
  <c r="F158" i="34"/>
  <c r="F148" i="34"/>
  <c r="F147" i="34"/>
  <c r="F146" i="34"/>
  <c r="F145" i="34"/>
  <c r="F144" i="34"/>
  <c r="F134" i="34"/>
  <c r="F133" i="34"/>
  <c r="F132" i="34"/>
  <c r="F131" i="34"/>
  <c r="F130" i="34"/>
  <c r="F120" i="34"/>
  <c r="F119" i="34"/>
  <c r="F118" i="34"/>
  <c r="F117" i="34"/>
  <c r="F116" i="34"/>
  <c r="F106" i="34"/>
  <c r="F105" i="34"/>
  <c r="F104" i="34"/>
  <c r="F103" i="34"/>
  <c r="F102" i="34"/>
  <c r="F92" i="34"/>
  <c r="F91" i="34"/>
  <c r="F90" i="34"/>
  <c r="F89" i="34"/>
  <c r="F88" i="34"/>
  <c r="F78" i="34"/>
  <c r="F77" i="34"/>
  <c r="F76" i="34"/>
  <c r="F75" i="34"/>
  <c r="F74" i="34"/>
  <c r="F64" i="34"/>
  <c r="F63" i="34"/>
  <c r="F62" i="34"/>
  <c r="F61" i="34"/>
  <c r="F60" i="34"/>
  <c r="F50" i="34"/>
  <c r="F49" i="34"/>
  <c r="F48" i="34"/>
  <c r="F47" i="34"/>
  <c r="F46" i="34"/>
  <c r="F36" i="34"/>
  <c r="F35" i="34"/>
  <c r="F34" i="34"/>
  <c r="F33" i="34"/>
  <c r="F32" i="34"/>
  <c r="F20" i="34"/>
  <c r="F19" i="34"/>
  <c r="F18" i="34"/>
  <c r="F17" i="34"/>
  <c r="F16" i="34"/>
  <c r="F162" i="42"/>
  <c r="F161" i="42"/>
  <c r="F160" i="42"/>
  <c r="F159" i="42"/>
  <c r="F158" i="42"/>
  <c r="F148" i="42"/>
  <c r="F147" i="42"/>
  <c r="F146" i="42"/>
  <c r="F145" i="42"/>
  <c r="F144" i="42"/>
  <c r="F134" i="42"/>
  <c r="F133" i="42"/>
  <c r="F132" i="42"/>
  <c r="F131" i="42"/>
  <c r="F130" i="42"/>
  <c r="F120" i="42"/>
  <c r="F119" i="42"/>
  <c r="F118" i="42"/>
  <c r="F117" i="42"/>
  <c r="F116" i="42"/>
  <c r="F106" i="42"/>
  <c r="F105" i="42"/>
  <c r="F104" i="42"/>
  <c r="F103" i="42"/>
  <c r="F102" i="42"/>
  <c r="F92" i="42"/>
  <c r="F91" i="42"/>
  <c r="F90" i="42"/>
  <c r="F89" i="42"/>
  <c r="F88" i="42"/>
  <c r="F78" i="42"/>
  <c r="F77" i="42"/>
  <c r="F76" i="42"/>
  <c r="F75" i="42"/>
  <c r="F74" i="42"/>
  <c r="F64" i="42"/>
  <c r="F63" i="42"/>
  <c r="F62" i="42"/>
  <c r="F61" i="42"/>
  <c r="F60" i="42"/>
  <c r="F50" i="42"/>
  <c r="F49" i="42"/>
  <c r="F48" i="42"/>
  <c r="F47" i="42"/>
  <c r="F46" i="42"/>
  <c r="F36" i="42"/>
  <c r="F35" i="42"/>
  <c r="F34" i="42"/>
  <c r="F33" i="42"/>
  <c r="F32" i="42"/>
  <c r="F160" i="38"/>
  <c r="F159" i="38"/>
  <c r="F158" i="38"/>
  <c r="F157" i="38"/>
  <c r="F156" i="38"/>
  <c r="F155" i="38"/>
  <c r="F154" i="38"/>
  <c r="F153" i="38"/>
  <c r="F152" i="38"/>
  <c r="F151" i="38"/>
  <c r="F141" i="38"/>
  <c r="F140" i="38"/>
  <c r="F139" i="38"/>
  <c r="F138" i="38"/>
  <c r="F137" i="38"/>
  <c r="F136" i="38"/>
  <c r="F135" i="38"/>
  <c r="F134" i="38"/>
  <c r="F133" i="38"/>
  <c r="F132" i="38"/>
  <c r="F122" i="38"/>
  <c r="F121" i="38"/>
  <c r="F120" i="38"/>
  <c r="F119" i="38"/>
  <c r="F118" i="38"/>
  <c r="F117" i="38"/>
  <c r="F116" i="38"/>
  <c r="F115" i="38"/>
  <c r="F114" i="38"/>
  <c r="F113" i="38"/>
  <c r="F103" i="38"/>
  <c r="F102" i="38"/>
  <c r="F101" i="38"/>
  <c r="F100" i="38"/>
  <c r="F99" i="38"/>
  <c r="F98" i="38"/>
  <c r="F97" i="38"/>
  <c r="F96" i="38"/>
  <c r="F95" i="38"/>
  <c r="F94" i="38"/>
  <c r="F84" i="38"/>
  <c r="F83" i="38"/>
  <c r="F82" i="38"/>
  <c r="F81" i="38"/>
  <c r="F80" i="38"/>
  <c r="F79" i="38"/>
  <c r="F78" i="38"/>
  <c r="F77" i="38"/>
  <c r="F76" i="38"/>
  <c r="F75" i="38"/>
  <c r="F65" i="38"/>
  <c r="F64" i="38"/>
  <c r="F63" i="38"/>
  <c r="F62" i="38"/>
  <c r="F61" i="38"/>
  <c r="F60" i="38"/>
  <c r="F59" i="38"/>
  <c r="F58" i="38"/>
  <c r="F57" i="38"/>
  <c r="F56" i="38"/>
  <c r="F46" i="38"/>
  <c r="F45" i="38"/>
  <c r="F44" i="38"/>
  <c r="F43" i="38"/>
  <c r="F42" i="38"/>
  <c r="F41" i="38"/>
  <c r="F40" i="38"/>
  <c r="F39" i="38"/>
  <c r="F38" i="38"/>
  <c r="F37" i="38"/>
  <c r="F27" i="38"/>
  <c r="F26" i="38"/>
  <c r="F25" i="38"/>
  <c r="F24" i="38"/>
  <c r="F23" i="38"/>
  <c r="F22" i="38"/>
  <c r="F21" i="38"/>
  <c r="F20" i="38"/>
  <c r="F19" i="38"/>
  <c r="F18" i="38"/>
  <c r="F160" i="33"/>
  <c r="F159" i="33"/>
  <c r="F158" i="33"/>
  <c r="F157" i="33"/>
  <c r="F156" i="33"/>
  <c r="F155" i="33"/>
  <c r="F154" i="33"/>
  <c r="F153" i="33"/>
  <c r="F152" i="33"/>
  <c r="F151" i="33"/>
  <c r="F141" i="33"/>
  <c r="F140" i="33"/>
  <c r="F139" i="33"/>
  <c r="F138" i="33"/>
  <c r="F137" i="33"/>
  <c r="F136" i="33"/>
  <c r="F135" i="33"/>
  <c r="F134" i="33"/>
  <c r="F133" i="33"/>
  <c r="F132" i="33"/>
  <c r="F122" i="33"/>
  <c r="F121" i="33"/>
  <c r="F120" i="33"/>
  <c r="F119" i="33"/>
  <c r="F118" i="33"/>
  <c r="F117" i="33"/>
  <c r="F116" i="33"/>
  <c r="F115" i="33"/>
  <c r="F114" i="33"/>
  <c r="F113" i="33"/>
  <c r="F103" i="33"/>
  <c r="F102" i="33"/>
  <c r="F101" i="33"/>
  <c r="F100" i="33"/>
  <c r="F99" i="33"/>
  <c r="F98" i="33"/>
  <c r="F97" i="33"/>
  <c r="F96" i="33"/>
  <c r="F95" i="33"/>
  <c r="F94" i="33"/>
  <c r="F84" i="33"/>
  <c r="F83" i="33"/>
  <c r="F82" i="33"/>
  <c r="F81" i="33"/>
  <c r="F80" i="33"/>
  <c r="F79" i="33"/>
  <c r="F78" i="33"/>
  <c r="F77" i="33"/>
  <c r="F76" i="33"/>
  <c r="F75" i="33"/>
  <c r="F65" i="33"/>
  <c r="F64" i="33"/>
  <c r="F63" i="33"/>
  <c r="F62" i="33"/>
  <c r="F61" i="33"/>
  <c r="F60" i="33"/>
  <c r="F59" i="33"/>
  <c r="F58" i="33"/>
  <c r="F57" i="33"/>
  <c r="F56" i="33"/>
  <c r="F46" i="33"/>
  <c r="F45" i="33"/>
  <c r="F44" i="33"/>
  <c r="F43" i="33"/>
  <c r="F42" i="33"/>
  <c r="F41" i="33"/>
  <c r="F40" i="33"/>
  <c r="F39" i="33"/>
  <c r="F38" i="33"/>
  <c r="F37" i="33"/>
  <c r="F27" i="33"/>
  <c r="F26" i="33"/>
  <c r="F25" i="33"/>
  <c r="F24" i="33"/>
  <c r="F23" i="33"/>
  <c r="F22" i="33"/>
  <c r="F21" i="33"/>
  <c r="F20" i="33"/>
  <c r="F19" i="33"/>
  <c r="F18" i="33"/>
  <c r="F160" i="46"/>
  <c r="F159" i="46"/>
  <c r="F158" i="46"/>
  <c r="F157" i="46"/>
  <c r="F156" i="46"/>
  <c r="F155" i="46"/>
  <c r="F154" i="46"/>
  <c r="F153" i="46"/>
  <c r="F152" i="46"/>
  <c r="F151" i="46"/>
  <c r="F141" i="46"/>
  <c r="F140" i="46"/>
  <c r="F139" i="46"/>
  <c r="F138" i="46"/>
  <c r="F137" i="46"/>
  <c r="F136" i="46"/>
  <c r="F135" i="46"/>
  <c r="F134" i="46"/>
  <c r="F133" i="46"/>
  <c r="F132" i="46"/>
  <c r="F122" i="46"/>
  <c r="F121" i="46"/>
  <c r="F120" i="46"/>
  <c r="F119" i="46"/>
  <c r="F118" i="46"/>
  <c r="F117" i="46"/>
  <c r="F116" i="46"/>
  <c r="F115" i="46"/>
  <c r="F114" i="46"/>
  <c r="F113" i="46"/>
  <c r="F103" i="46"/>
  <c r="F102" i="46"/>
  <c r="F101" i="46"/>
  <c r="F100" i="46"/>
  <c r="F99" i="46"/>
  <c r="F98" i="46"/>
  <c r="F97" i="46"/>
  <c r="F96" i="46"/>
  <c r="F95" i="46"/>
  <c r="F94" i="46"/>
  <c r="F84" i="46"/>
  <c r="F83" i="46"/>
  <c r="F82" i="46"/>
  <c r="F81" i="46"/>
  <c r="F80" i="46"/>
  <c r="F79" i="46"/>
  <c r="F78" i="46"/>
  <c r="F77" i="46"/>
  <c r="F76" i="46"/>
  <c r="F75" i="46"/>
  <c r="F65" i="46"/>
  <c r="F64" i="46"/>
  <c r="F63" i="46"/>
  <c r="F62" i="46"/>
  <c r="F61" i="46"/>
  <c r="F60" i="46"/>
  <c r="F59" i="46"/>
  <c r="F58" i="46"/>
  <c r="F57" i="46"/>
  <c r="F56" i="46"/>
  <c r="F46" i="46"/>
  <c r="F45" i="46"/>
  <c r="F44" i="46"/>
  <c r="F43" i="46"/>
  <c r="F42" i="46"/>
  <c r="F41" i="46"/>
  <c r="F40" i="46"/>
  <c r="F39" i="46"/>
  <c r="F38" i="46"/>
  <c r="F37" i="46"/>
  <c r="F27" i="46"/>
  <c r="F26" i="46"/>
  <c r="F25" i="46"/>
  <c r="F24" i="46"/>
  <c r="F23" i="46"/>
  <c r="F22" i="46"/>
  <c r="F21" i="46"/>
  <c r="F20" i="46"/>
  <c r="F19" i="46"/>
  <c r="F18" i="46"/>
  <c r="F240" i="47"/>
  <c r="F239" i="47"/>
  <c r="F238" i="47"/>
  <c r="F237" i="47"/>
  <c r="F236" i="47"/>
  <c r="F235" i="47"/>
  <c r="F234" i="47"/>
  <c r="F233" i="47"/>
  <c r="F232" i="47"/>
  <c r="F231" i="47"/>
  <c r="F230" i="47"/>
  <c r="F229" i="47"/>
  <c r="F228" i="47"/>
  <c r="F227" i="47"/>
  <c r="F226" i="47"/>
  <c r="F225" i="47"/>
  <c r="F224" i="47"/>
  <c r="F223" i="47"/>
  <c r="F222" i="47"/>
  <c r="F221" i="47"/>
  <c r="F211" i="47"/>
  <c r="F210" i="47"/>
  <c r="F209" i="47"/>
  <c r="F208" i="47"/>
  <c r="F207" i="47"/>
  <c r="F206" i="47"/>
  <c r="F205" i="47"/>
  <c r="F204" i="47"/>
  <c r="F203" i="47"/>
  <c r="F202" i="47"/>
  <c r="F201" i="47"/>
  <c r="F200" i="47"/>
  <c r="F199" i="47"/>
  <c r="F198" i="47"/>
  <c r="F197" i="47"/>
  <c r="F196" i="47"/>
  <c r="F195" i="47"/>
  <c r="F194" i="47"/>
  <c r="F193" i="47"/>
  <c r="F192" i="47"/>
  <c r="F182" i="47"/>
  <c r="F181" i="47"/>
  <c r="F180" i="47"/>
  <c r="F179" i="47"/>
  <c r="F178" i="47"/>
  <c r="F177" i="47"/>
  <c r="F176" i="47"/>
  <c r="F175" i="47"/>
  <c r="F174" i="47"/>
  <c r="F173" i="47"/>
  <c r="F172" i="47"/>
  <c r="F171" i="47"/>
  <c r="F170" i="47"/>
  <c r="F169" i="47"/>
  <c r="F168" i="47"/>
  <c r="F167" i="47"/>
  <c r="F166" i="47"/>
  <c r="F165" i="47"/>
  <c r="F164" i="47"/>
  <c r="F163" i="47"/>
  <c r="F153" i="47"/>
  <c r="F152" i="47"/>
  <c r="F151" i="47"/>
  <c r="F150" i="47"/>
  <c r="F149" i="47"/>
  <c r="F148" i="47"/>
  <c r="F147" i="47"/>
  <c r="F146" i="47"/>
  <c r="F145" i="47"/>
  <c r="F144" i="47"/>
  <c r="F143" i="47"/>
  <c r="F142" i="47"/>
  <c r="F141" i="47"/>
  <c r="F140" i="47"/>
  <c r="F139" i="47"/>
  <c r="F138" i="47"/>
  <c r="F137" i="47"/>
  <c r="F136" i="47"/>
  <c r="F135" i="47"/>
  <c r="F134" i="47"/>
  <c r="F124" i="47"/>
  <c r="F123" i="47"/>
  <c r="F122" i="47"/>
  <c r="F121" i="47"/>
  <c r="F120" i="47"/>
  <c r="F119" i="47"/>
  <c r="F118" i="47"/>
  <c r="F117" i="47"/>
  <c r="F116" i="47"/>
  <c r="F115" i="47"/>
  <c r="F114" i="47"/>
  <c r="F113" i="47"/>
  <c r="F112" i="47"/>
  <c r="F111" i="47"/>
  <c r="F110" i="47"/>
  <c r="F109" i="47"/>
  <c r="F108" i="47"/>
  <c r="F107" i="47"/>
  <c r="F106" i="47"/>
  <c r="F105" i="47"/>
  <c r="F95" i="47"/>
  <c r="F94" i="47"/>
  <c r="F93" i="47"/>
  <c r="F92" i="47"/>
  <c r="F91" i="47"/>
  <c r="F90" i="47"/>
  <c r="F89" i="47"/>
  <c r="F88" i="47"/>
  <c r="F87" i="47"/>
  <c r="F86" i="47"/>
  <c r="F85" i="47"/>
  <c r="F84" i="47"/>
  <c r="F83" i="47"/>
  <c r="F82" i="47"/>
  <c r="F81" i="47"/>
  <c r="F80" i="47"/>
  <c r="F79" i="47"/>
  <c r="F78" i="47"/>
  <c r="F77" i="47"/>
  <c r="F76" i="47"/>
  <c r="F66" i="47"/>
  <c r="F65" i="47"/>
  <c r="F64" i="47"/>
  <c r="F63" i="47"/>
  <c r="F62" i="47"/>
  <c r="F61" i="47"/>
  <c r="F60" i="47"/>
  <c r="F59" i="47"/>
  <c r="F58" i="47"/>
  <c r="F57" i="47"/>
  <c r="F56" i="47"/>
  <c r="F55" i="47"/>
  <c r="F54" i="47"/>
  <c r="F53" i="47"/>
  <c r="F52" i="47"/>
  <c r="F51" i="47"/>
  <c r="F50" i="47"/>
  <c r="F49" i="47"/>
  <c r="F48" i="47"/>
  <c r="F47" i="47"/>
  <c r="F37" i="47"/>
  <c r="F36" i="47"/>
  <c r="F35" i="47"/>
  <c r="F34" i="47"/>
  <c r="F33" i="47"/>
  <c r="F32" i="47"/>
  <c r="F31" i="47"/>
  <c r="F30" i="47"/>
  <c r="F29" i="47"/>
  <c r="F28" i="47"/>
  <c r="F27" i="47"/>
  <c r="F26" i="47"/>
  <c r="F25" i="47"/>
  <c r="F24" i="47"/>
  <c r="F23" i="47"/>
  <c r="F22" i="47"/>
  <c r="F21" i="47"/>
  <c r="F20" i="47"/>
  <c r="F19" i="47"/>
  <c r="F18" i="47"/>
  <c r="F240" i="45"/>
  <c r="F239" i="45"/>
  <c r="F238" i="45"/>
  <c r="F237" i="45"/>
  <c r="F236" i="45"/>
  <c r="F235" i="45"/>
  <c r="F234" i="45"/>
  <c r="F233" i="45"/>
  <c r="F232" i="45"/>
  <c r="F231" i="45"/>
  <c r="F230" i="45"/>
  <c r="F229" i="45"/>
  <c r="F228" i="45"/>
  <c r="F227" i="45"/>
  <c r="F226" i="45"/>
  <c r="F225" i="45"/>
  <c r="F224" i="45"/>
  <c r="F223" i="45"/>
  <c r="F222" i="45"/>
  <c r="F221" i="45"/>
  <c r="F211" i="45"/>
  <c r="F210" i="45"/>
  <c r="F209" i="45"/>
  <c r="F208" i="45"/>
  <c r="F207" i="45"/>
  <c r="F206" i="45"/>
  <c r="F205" i="45"/>
  <c r="F204" i="45"/>
  <c r="F203" i="45"/>
  <c r="F202" i="45"/>
  <c r="F201" i="45"/>
  <c r="F200" i="45"/>
  <c r="F199" i="45"/>
  <c r="F198" i="45"/>
  <c r="F197" i="45"/>
  <c r="F196" i="45"/>
  <c r="F195" i="45"/>
  <c r="F194" i="45"/>
  <c r="F193" i="45"/>
  <c r="F192" i="45"/>
  <c r="F182" i="45"/>
  <c r="F181" i="45"/>
  <c r="F180" i="45"/>
  <c r="F179" i="45"/>
  <c r="F178" i="45"/>
  <c r="F177" i="45"/>
  <c r="F176" i="45"/>
  <c r="F175" i="45"/>
  <c r="F174" i="45"/>
  <c r="F173" i="45"/>
  <c r="F172" i="45"/>
  <c r="F171" i="45"/>
  <c r="F170" i="45"/>
  <c r="F169" i="45"/>
  <c r="F168" i="45"/>
  <c r="F167" i="45"/>
  <c r="F166" i="45"/>
  <c r="F165" i="45"/>
  <c r="F164" i="45"/>
  <c r="F163" i="45"/>
  <c r="F153" i="45"/>
  <c r="F152" i="45"/>
  <c r="F151" i="45"/>
  <c r="F150" i="45"/>
  <c r="F149" i="45"/>
  <c r="F148" i="45"/>
  <c r="F147" i="45"/>
  <c r="F146" i="45"/>
  <c r="F145" i="45"/>
  <c r="F144" i="45"/>
  <c r="F143" i="45"/>
  <c r="F142" i="45"/>
  <c r="F141" i="45"/>
  <c r="F140" i="45"/>
  <c r="F139" i="45"/>
  <c r="F138" i="45"/>
  <c r="F137" i="45"/>
  <c r="F136" i="45"/>
  <c r="F135" i="45"/>
  <c r="F134" i="45"/>
  <c r="F124" i="45"/>
  <c r="F123" i="45"/>
  <c r="F122" i="45"/>
  <c r="F121" i="45"/>
  <c r="F120" i="45"/>
  <c r="F119" i="45"/>
  <c r="F118" i="45"/>
  <c r="F117" i="45"/>
  <c r="F116" i="45"/>
  <c r="F115" i="45"/>
  <c r="F114" i="45"/>
  <c r="F113" i="45"/>
  <c r="F112" i="45"/>
  <c r="F111" i="45"/>
  <c r="F110" i="45"/>
  <c r="F109" i="45"/>
  <c r="F108" i="45"/>
  <c r="F107" i="45"/>
  <c r="F106" i="45"/>
  <c r="F105" i="45"/>
  <c r="F95" i="45"/>
  <c r="F94" i="45"/>
  <c r="F93" i="45"/>
  <c r="F92" i="45"/>
  <c r="F91" i="45"/>
  <c r="F90" i="45"/>
  <c r="F89" i="45"/>
  <c r="F88" i="45"/>
  <c r="F87" i="45"/>
  <c r="F86" i="45"/>
  <c r="F85" i="45"/>
  <c r="F84" i="45"/>
  <c r="F83" i="45"/>
  <c r="F82" i="45"/>
  <c r="F81" i="45"/>
  <c r="F80" i="45"/>
  <c r="F79" i="45"/>
  <c r="F78" i="45"/>
  <c r="F77" i="45"/>
  <c r="F76" i="45"/>
  <c r="F66" i="45"/>
  <c r="F65" i="45"/>
  <c r="F64" i="45"/>
  <c r="F63" i="45"/>
  <c r="F62" i="45"/>
  <c r="F61" i="45"/>
  <c r="F60" i="45"/>
  <c r="F59" i="45"/>
  <c r="F58" i="45"/>
  <c r="F57" i="45"/>
  <c r="F56" i="45"/>
  <c r="F55" i="45"/>
  <c r="F54" i="45"/>
  <c r="F53" i="45"/>
  <c r="F52" i="45"/>
  <c r="F51" i="45"/>
  <c r="F50" i="45"/>
  <c r="F49" i="45"/>
  <c r="F48" i="45"/>
  <c r="F47" i="45"/>
  <c r="F37" i="45"/>
  <c r="F36" i="45"/>
  <c r="F35" i="45"/>
  <c r="F34" i="45"/>
  <c r="F33" i="45"/>
  <c r="F32" i="45"/>
  <c r="F31" i="45"/>
  <c r="F30" i="45"/>
  <c r="F29" i="45"/>
  <c r="F28" i="45"/>
  <c r="F27" i="45"/>
  <c r="F26" i="45"/>
  <c r="F25" i="45"/>
  <c r="F24" i="45"/>
  <c r="F23" i="45"/>
  <c r="F22" i="45"/>
  <c r="F21" i="45"/>
  <c r="F20" i="45"/>
  <c r="F19" i="45"/>
  <c r="F18" i="45"/>
  <c r="F38" i="43"/>
  <c r="F37" i="43"/>
  <c r="F36" i="43"/>
  <c r="F35" i="43"/>
  <c r="F25" i="43"/>
  <c r="F24" i="43"/>
  <c r="F23" i="43"/>
  <c r="F22" i="43"/>
  <c r="F178" i="37"/>
  <c r="F177" i="37"/>
  <c r="F176" i="37"/>
  <c r="F175" i="37"/>
  <c r="F174" i="37"/>
  <c r="F173" i="37"/>
  <c r="F172" i="37"/>
  <c r="F171" i="37"/>
  <c r="F170" i="37"/>
  <c r="F169" i="37"/>
  <c r="F168" i="37"/>
  <c r="F156" i="37"/>
  <c r="F155" i="37"/>
  <c r="F154" i="37"/>
  <c r="F153" i="37"/>
  <c r="F152" i="37"/>
  <c r="F151" i="37"/>
  <c r="F150" i="37"/>
  <c r="F149" i="37"/>
  <c r="F148" i="37"/>
  <c r="F147" i="37"/>
  <c r="F146" i="37"/>
  <c r="F136" i="37"/>
  <c r="F135" i="37"/>
  <c r="F134" i="37"/>
  <c r="F133" i="37"/>
  <c r="F132" i="37"/>
  <c r="F131" i="37"/>
  <c r="F130" i="37"/>
  <c r="F129" i="37"/>
  <c r="F128" i="37"/>
  <c r="F127" i="37"/>
  <c r="F126" i="37"/>
  <c r="F114" i="37"/>
  <c r="F113" i="37"/>
  <c r="F112" i="37"/>
  <c r="F111" i="37"/>
  <c r="F110" i="37"/>
  <c r="F109" i="37"/>
  <c r="F108" i="37"/>
  <c r="F107" i="37"/>
  <c r="F106" i="37"/>
  <c r="F105" i="37"/>
  <c r="F104" i="37"/>
  <c r="F92" i="37"/>
  <c r="F91" i="37"/>
  <c r="F90" i="37"/>
  <c r="F89" i="37"/>
  <c r="F88" i="37"/>
  <c r="F87" i="37"/>
  <c r="F86" i="37"/>
  <c r="F85" i="37"/>
  <c r="F84" i="37"/>
  <c r="F83" i="37"/>
  <c r="F82" i="37"/>
  <c r="F70" i="37"/>
  <c r="F69" i="37"/>
  <c r="F68" i="37"/>
  <c r="F67" i="37"/>
  <c r="F66" i="37"/>
  <c r="F65" i="37"/>
  <c r="F64" i="37"/>
  <c r="F63" i="37"/>
  <c r="F62" i="37"/>
  <c r="F61" i="37"/>
  <c r="F60" i="37"/>
  <c r="F48" i="37"/>
  <c r="F47" i="37"/>
  <c r="F46" i="37"/>
  <c r="F45" i="37"/>
  <c r="F44" i="37"/>
  <c r="F43" i="37"/>
  <c r="F42" i="37"/>
  <c r="F41" i="37"/>
  <c r="F40" i="37"/>
  <c r="F39" i="37"/>
  <c r="F38" i="37"/>
  <c r="F28" i="37"/>
  <c r="F27" i="37"/>
  <c r="F26" i="37"/>
  <c r="F25" i="37"/>
  <c r="F24" i="37"/>
  <c r="F23" i="37"/>
  <c r="F22" i="37"/>
  <c r="F21" i="37"/>
  <c r="F20" i="37"/>
  <c r="F19" i="37"/>
  <c r="F18" i="37"/>
  <c r="F250" i="32"/>
  <c r="F249" i="32"/>
  <c r="F248" i="32"/>
  <c r="F247" i="32"/>
  <c r="F246" i="32"/>
  <c r="F245" i="32"/>
  <c r="F244" i="32"/>
  <c r="F243" i="32"/>
  <c r="F242" i="32"/>
  <c r="F241" i="32"/>
  <c r="F240" i="32"/>
  <c r="F239" i="32"/>
  <c r="F238" i="32"/>
  <c r="F237" i="32"/>
  <c r="F236" i="32"/>
  <c r="F235" i="32"/>
  <c r="F234" i="32"/>
  <c r="F233" i="32"/>
  <c r="F232" i="32"/>
  <c r="F231" i="32"/>
  <c r="F219" i="32"/>
  <c r="F218" i="32"/>
  <c r="F217" i="32"/>
  <c r="F216" i="32"/>
  <c r="F215" i="32"/>
  <c r="F214" i="32"/>
  <c r="F213" i="32"/>
  <c r="F212" i="32"/>
  <c r="F211" i="32"/>
  <c r="F210" i="32"/>
  <c r="F209" i="32"/>
  <c r="F208" i="32"/>
  <c r="F207" i="32"/>
  <c r="F206" i="32"/>
  <c r="F205" i="32"/>
  <c r="F204" i="32"/>
  <c r="F203" i="32"/>
  <c r="F202" i="32"/>
  <c r="F201" i="32"/>
  <c r="F200" i="32"/>
  <c r="F190" i="32"/>
  <c r="F189" i="32"/>
  <c r="F188" i="32"/>
  <c r="F187" i="32"/>
  <c r="F186" i="32"/>
  <c r="F185" i="32"/>
  <c r="F184" i="32"/>
  <c r="F183" i="32"/>
  <c r="F182" i="32"/>
  <c r="F181" i="32"/>
  <c r="F180" i="32"/>
  <c r="F179" i="32"/>
  <c r="F178" i="32"/>
  <c r="F177" i="32"/>
  <c r="F176" i="32"/>
  <c r="F175" i="32"/>
  <c r="F174" i="32"/>
  <c r="F173" i="32"/>
  <c r="F172" i="32"/>
  <c r="F171" i="32"/>
  <c r="F159" i="32"/>
  <c r="F158" i="32"/>
  <c r="F157" i="32"/>
  <c r="F156" i="32"/>
  <c r="F155" i="32"/>
  <c r="F154" i="32"/>
  <c r="F153" i="32"/>
  <c r="F152" i="32"/>
  <c r="F151" i="32"/>
  <c r="F150" i="32"/>
  <c r="F149" i="32"/>
  <c r="F148" i="32"/>
  <c r="F147" i="32"/>
  <c r="F146" i="32"/>
  <c r="F145" i="32"/>
  <c r="F144" i="32"/>
  <c r="F143" i="32"/>
  <c r="F142" i="32"/>
  <c r="F141" i="32"/>
  <c r="F140" i="32"/>
  <c r="F128" i="32"/>
  <c r="F127" i="32"/>
  <c r="F126" i="32"/>
  <c r="F125" i="32"/>
  <c r="F124" i="32"/>
  <c r="F123" i="32"/>
  <c r="F122" i="32"/>
  <c r="F121" i="32"/>
  <c r="F120" i="32"/>
  <c r="F119" i="32"/>
  <c r="F118" i="32"/>
  <c r="F117" i="32"/>
  <c r="F116" i="32"/>
  <c r="F115" i="32"/>
  <c r="F114" i="32"/>
  <c r="F113" i="32"/>
  <c r="F112" i="32"/>
  <c r="F111" i="32"/>
  <c r="F110" i="32"/>
  <c r="F109" i="32"/>
  <c r="F97" i="32"/>
  <c r="F96" i="32"/>
  <c r="F95" i="32"/>
  <c r="F94" i="32"/>
  <c r="F93" i="32"/>
  <c r="F92" i="32"/>
  <c r="F91" i="32"/>
  <c r="F90" i="32"/>
  <c r="F89" i="32"/>
  <c r="F88" i="32"/>
  <c r="F87" i="32"/>
  <c r="F86" i="32"/>
  <c r="F85" i="32"/>
  <c r="F84" i="32"/>
  <c r="F83" i="32"/>
  <c r="F82" i="32"/>
  <c r="F81" i="32"/>
  <c r="F80" i="32"/>
  <c r="F79" i="32"/>
  <c r="F78" i="32"/>
  <c r="F66" i="32"/>
  <c r="F65" i="32"/>
  <c r="F64" i="32"/>
  <c r="F63" i="32"/>
  <c r="F62" i="32"/>
  <c r="F61" i="32"/>
  <c r="F60" i="32"/>
  <c r="F59" i="32"/>
  <c r="F58" i="32"/>
  <c r="F57" i="32"/>
  <c r="F56" i="32"/>
  <c r="F55" i="32"/>
  <c r="F54" i="32"/>
  <c r="F53" i="32"/>
  <c r="F52" i="32"/>
  <c r="F51" i="32"/>
  <c r="F50" i="32"/>
  <c r="F49" i="32"/>
  <c r="F48" i="32"/>
  <c r="F47" i="32"/>
  <c r="F37" i="32"/>
  <c r="F36" i="32"/>
  <c r="F35" i="32"/>
  <c r="F34" i="32"/>
  <c r="F33" i="32"/>
  <c r="F32" i="32"/>
  <c r="F31" i="32"/>
  <c r="F30" i="32"/>
  <c r="F29" i="32"/>
  <c r="F28" i="32"/>
  <c r="F27" i="32"/>
  <c r="F26" i="32"/>
  <c r="F25" i="32"/>
  <c r="F24" i="32"/>
  <c r="F23" i="32"/>
  <c r="F22" i="32"/>
  <c r="F21" i="32"/>
  <c r="F20" i="32"/>
  <c r="F19" i="32"/>
  <c r="F18" i="32"/>
  <c r="G24" i="43" l="1"/>
  <c r="H24" i="43"/>
  <c r="H23" i="43" l="1"/>
  <c r="G23" i="43"/>
  <c r="H197" i="37" l="1"/>
  <c r="G197" i="37"/>
  <c r="F197" i="37"/>
  <c r="H195" i="37"/>
  <c r="G195" i="37"/>
  <c r="F195" i="37"/>
  <c r="E195" i="37"/>
  <c r="H269" i="32"/>
  <c r="G269" i="32"/>
  <c r="F269" i="32"/>
  <c r="H267" i="32" l="1"/>
  <c r="G267" i="32"/>
  <c r="F267" i="32"/>
  <c r="E267" i="32"/>
  <c r="Y128" i="51"/>
  <c r="X128" i="51"/>
  <c r="W128" i="51"/>
  <c r="V128" i="51"/>
  <c r="Y127" i="51"/>
  <c r="X127" i="51"/>
  <c r="W127" i="51"/>
  <c r="V127" i="51"/>
  <c r="Y126" i="51"/>
  <c r="X126" i="51"/>
  <c r="W126" i="51"/>
  <c r="V126" i="51"/>
  <c r="H164" i="39" l="1"/>
  <c r="H150" i="39"/>
  <c r="H136" i="39"/>
  <c r="H122" i="39"/>
  <c r="H108" i="39"/>
  <c r="H94" i="39"/>
  <c r="H80" i="39"/>
  <c r="H66" i="39"/>
  <c r="H52" i="39"/>
  <c r="H38" i="39"/>
  <c r="H22" i="39"/>
  <c r="H164" i="42"/>
  <c r="H150" i="42"/>
  <c r="H136" i="42"/>
  <c r="H122" i="42"/>
  <c r="H108" i="42"/>
  <c r="H94" i="42"/>
  <c r="H80" i="42"/>
  <c r="H66" i="42"/>
  <c r="H52" i="42"/>
  <c r="H38" i="42"/>
  <c r="H22" i="42"/>
  <c r="H23" i="44"/>
  <c r="G23" i="44"/>
  <c r="F23" i="44"/>
  <c r="E23" i="44"/>
  <c r="H164" i="34" l="1"/>
  <c r="H150" i="34"/>
  <c r="H136" i="34"/>
  <c r="H122" i="34"/>
  <c r="H108" i="34"/>
  <c r="H94" i="34"/>
  <c r="H80" i="34"/>
  <c r="H66" i="34"/>
  <c r="H52" i="34"/>
  <c r="H38" i="34"/>
  <c r="H22" i="34"/>
  <c r="H26" i="50"/>
  <c r="H27" i="50"/>
  <c r="D31" i="28"/>
  <c r="C100" i="51" l="1"/>
  <c r="K100" i="51"/>
  <c r="S100" i="51"/>
  <c r="S116" i="51"/>
  <c r="K116" i="51"/>
  <c r="C116" i="51"/>
  <c r="S99" i="51"/>
  <c r="K99" i="51"/>
  <c r="C99" i="51"/>
  <c r="C23" i="51"/>
  <c r="C22" i="51"/>
  <c r="K23" i="51"/>
  <c r="K22" i="51"/>
  <c r="S23" i="51"/>
  <c r="S22" i="51"/>
  <c r="Q128" i="51"/>
  <c r="P128" i="51"/>
  <c r="O128" i="51"/>
  <c r="N128" i="51"/>
  <c r="M128" i="51"/>
  <c r="L128" i="51"/>
  <c r="Q127" i="51"/>
  <c r="P127" i="51"/>
  <c r="O127" i="51"/>
  <c r="N127" i="51"/>
  <c r="M127" i="51"/>
  <c r="L127" i="51"/>
  <c r="Q126" i="51"/>
  <c r="P126" i="51"/>
  <c r="O126" i="51"/>
  <c r="N126" i="51"/>
  <c r="M126" i="51"/>
  <c r="L126" i="51"/>
  <c r="Q125" i="51"/>
  <c r="P125" i="51"/>
  <c r="O125" i="51"/>
  <c r="N125" i="51"/>
  <c r="M125" i="51"/>
  <c r="L125" i="51"/>
  <c r="Q124" i="51"/>
  <c r="P124" i="51"/>
  <c r="O124" i="51"/>
  <c r="N124" i="51"/>
  <c r="M124" i="51"/>
  <c r="L124" i="51"/>
  <c r="Q123" i="51"/>
  <c r="P123" i="51"/>
  <c r="O123" i="51"/>
  <c r="N123" i="51"/>
  <c r="M123" i="51"/>
  <c r="L123" i="51"/>
  <c r="Q122" i="51"/>
  <c r="P122" i="51"/>
  <c r="O122" i="51"/>
  <c r="N122" i="51"/>
  <c r="M122" i="51"/>
  <c r="L122" i="51"/>
  <c r="Q121" i="51"/>
  <c r="P121" i="51"/>
  <c r="O121" i="51"/>
  <c r="N121" i="51"/>
  <c r="M121" i="51"/>
  <c r="L121" i="51"/>
  <c r="Q120" i="51"/>
  <c r="P120" i="51"/>
  <c r="O120" i="51"/>
  <c r="N120" i="51"/>
  <c r="M120" i="51"/>
  <c r="L120" i="51"/>
  <c r="I128" i="51"/>
  <c r="H128" i="51"/>
  <c r="G128" i="51"/>
  <c r="F128" i="51"/>
  <c r="E128" i="51"/>
  <c r="D128" i="51"/>
  <c r="I127" i="51"/>
  <c r="H127" i="51"/>
  <c r="G127" i="51"/>
  <c r="F127" i="51"/>
  <c r="E127" i="51"/>
  <c r="D127" i="51"/>
  <c r="I126" i="51"/>
  <c r="H126" i="51"/>
  <c r="G126" i="51"/>
  <c r="F126" i="51"/>
  <c r="E126" i="51"/>
  <c r="D126" i="51"/>
  <c r="I125" i="51"/>
  <c r="H125" i="51"/>
  <c r="G125" i="51"/>
  <c r="F125" i="51"/>
  <c r="E125" i="51"/>
  <c r="D125" i="51"/>
  <c r="I124" i="51"/>
  <c r="H124" i="51"/>
  <c r="G124" i="51"/>
  <c r="F124" i="51"/>
  <c r="E124" i="51"/>
  <c r="D124" i="51"/>
  <c r="I123" i="51"/>
  <c r="H123" i="51"/>
  <c r="G123" i="51"/>
  <c r="F123" i="51"/>
  <c r="E123" i="51"/>
  <c r="D123" i="51"/>
  <c r="I122" i="51"/>
  <c r="H122" i="51"/>
  <c r="G122" i="51"/>
  <c r="F122" i="51"/>
  <c r="E122" i="51"/>
  <c r="D122" i="51"/>
  <c r="I121" i="51"/>
  <c r="H121" i="51"/>
  <c r="G121" i="51"/>
  <c r="F121" i="51"/>
  <c r="E121" i="51"/>
  <c r="D121" i="51"/>
  <c r="I120" i="51"/>
  <c r="H120" i="51"/>
  <c r="G120" i="51"/>
  <c r="F120" i="51"/>
  <c r="E120" i="51"/>
  <c r="D120" i="51"/>
  <c r="D31" i="25"/>
  <c r="Y101" i="51"/>
  <c r="X101" i="51"/>
  <c r="W101" i="51"/>
  <c r="V101" i="51"/>
  <c r="U101" i="51"/>
  <c r="T101" i="51"/>
  <c r="S101" i="51"/>
  <c r="Q101" i="51"/>
  <c r="P101" i="51"/>
  <c r="O101" i="51"/>
  <c r="N101" i="51"/>
  <c r="M101" i="51"/>
  <c r="L101" i="51"/>
  <c r="K101" i="51"/>
  <c r="Y118" i="51"/>
  <c r="X118" i="51"/>
  <c r="W118" i="51"/>
  <c r="V118" i="51"/>
  <c r="U118" i="51"/>
  <c r="T118" i="51"/>
  <c r="S118" i="51"/>
  <c r="Q118" i="51"/>
  <c r="P118" i="51"/>
  <c r="O118" i="51"/>
  <c r="N118" i="51"/>
  <c r="M118" i="51"/>
  <c r="L118" i="51"/>
  <c r="K118" i="51"/>
  <c r="I118" i="51"/>
  <c r="H118" i="51"/>
  <c r="G118" i="51"/>
  <c r="F118" i="51"/>
  <c r="E118" i="51"/>
  <c r="D118" i="51"/>
  <c r="C118" i="51"/>
  <c r="I101" i="51"/>
  <c r="H101" i="51"/>
  <c r="G101" i="51"/>
  <c r="F101" i="51"/>
  <c r="E101" i="51"/>
  <c r="D101" i="51"/>
  <c r="C101" i="51"/>
  <c r="Y24" i="51"/>
  <c r="X24" i="51"/>
  <c r="W24" i="51"/>
  <c r="V24" i="51"/>
  <c r="U24" i="51"/>
  <c r="T24" i="51"/>
  <c r="S24" i="51"/>
  <c r="Q24" i="51"/>
  <c r="P24" i="51"/>
  <c r="O24" i="51"/>
  <c r="N24" i="51"/>
  <c r="M24" i="51"/>
  <c r="L24" i="51"/>
  <c r="K24" i="51"/>
  <c r="I24" i="51"/>
  <c r="H24" i="51"/>
  <c r="G24" i="51"/>
  <c r="F24" i="51"/>
  <c r="E24" i="51"/>
  <c r="D24" i="51"/>
  <c r="U128" i="51"/>
  <c r="T128" i="51"/>
  <c r="S128" i="51"/>
  <c r="K128" i="51"/>
  <c r="C128" i="51"/>
  <c r="U127" i="51"/>
  <c r="T127" i="51"/>
  <c r="S127" i="51"/>
  <c r="K127" i="51"/>
  <c r="C127" i="51"/>
  <c r="U126" i="51"/>
  <c r="T126" i="51"/>
  <c r="S126" i="51"/>
  <c r="K126" i="51"/>
  <c r="C126" i="51"/>
  <c r="K125" i="51"/>
  <c r="C125" i="51"/>
  <c r="K124" i="51"/>
  <c r="C124" i="51"/>
  <c r="K123" i="51"/>
  <c r="C123" i="51"/>
  <c r="K122" i="51"/>
  <c r="C122" i="51"/>
  <c r="K121" i="51"/>
  <c r="C121" i="51"/>
  <c r="K120" i="51"/>
  <c r="C120" i="51"/>
  <c r="C24" i="51"/>
  <c r="D14" i="28"/>
  <c r="D19" i="28"/>
  <c r="J34" i="47"/>
  <c r="A25" i="31"/>
  <c r="A26" i="31"/>
  <c r="A27" i="31"/>
  <c r="A28" i="31"/>
  <c r="A29" i="31"/>
  <c r="A30" i="31"/>
  <c r="N62" i="49" l="1"/>
  <c r="N43" i="49"/>
  <c r="N24" i="49"/>
  <c r="T161" i="37" l="1"/>
  <c r="S161" i="37"/>
  <c r="R161" i="37"/>
  <c r="Q161" i="37"/>
  <c r="P161" i="37"/>
  <c r="N162" i="37"/>
  <c r="M162" i="37"/>
  <c r="L162" i="37"/>
  <c r="K162" i="37"/>
  <c r="N161" i="37"/>
  <c r="M161" i="37"/>
  <c r="L161" i="37"/>
  <c r="K161" i="37"/>
  <c r="G26" i="37"/>
  <c r="H26" i="37"/>
  <c r="G27" i="37"/>
  <c r="H27" i="37"/>
  <c r="N225" i="32" l="1"/>
  <c r="M225" i="32"/>
  <c r="L225" i="32"/>
  <c r="K225" i="32"/>
  <c r="N224" i="32"/>
  <c r="M224" i="32"/>
  <c r="L224" i="32"/>
  <c r="K224" i="32"/>
  <c r="T224" i="32"/>
  <c r="S224" i="32"/>
  <c r="R224" i="32"/>
  <c r="Q224" i="32"/>
  <c r="P224" i="32"/>
  <c r="G237" i="47" l="1"/>
  <c r="H237" i="47"/>
  <c r="G208" i="47"/>
  <c r="H208" i="47"/>
  <c r="J208" i="47"/>
  <c r="K208" i="47"/>
  <c r="L208" i="47"/>
  <c r="M208" i="47"/>
  <c r="N208" i="47"/>
  <c r="O208" i="47"/>
  <c r="P208" i="47"/>
  <c r="Q208" i="47"/>
  <c r="R208" i="47"/>
  <c r="S208" i="47"/>
  <c r="T208" i="47"/>
  <c r="G179" i="47"/>
  <c r="H179" i="47"/>
  <c r="G150" i="47"/>
  <c r="H150" i="47"/>
  <c r="J150" i="47"/>
  <c r="K150" i="47"/>
  <c r="L150" i="47"/>
  <c r="M150" i="47"/>
  <c r="N150" i="47"/>
  <c r="O150" i="47"/>
  <c r="G121" i="47"/>
  <c r="H121" i="47"/>
  <c r="G92" i="47"/>
  <c r="H92" i="47"/>
  <c r="J92" i="47"/>
  <c r="K92" i="47"/>
  <c r="L92" i="47"/>
  <c r="M92" i="47"/>
  <c r="N92" i="47"/>
  <c r="O92" i="47"/>
  <c r="G63" i="47"/>
  <c r="H63" i="47"/>
  <c r="D34" i="47"/>
  <c r="D237" i="47" s="1"/>
  <c r="G34" i="47"/>
  <c r="H34" i="47"/>
  <c r="D34" i="45"/>
  <c r="D121" i="45" s="1"/>
  <c r="E34" i="45"/>
  <c r="G34" i="45"/>
  <c r="H34" i="45"/>
  <c r="E63" i="45"/>
  <c r="G63" i="45"/>
  <c r="H63" i="45"/>
  <c r="E92" i="45"/>
  <c r="G92" i="45"/>
  <c r="H92" i="45"/>
  <c r="E121" i="45"/>
  <c r="G121" i="45"/>
  <c r="H121" i="45"/>
  <c r="E150" i="45"/>
  <c r="G150" i="45"/>
  <c r="H150" i="45"/>
  <c r="G179" i="45"/>
  <c r="H179" i="45"/>
  <c r="J179" i="45"/>
  <c r="J237" i="45" s="1"/>
  <c r="K34" i="45" s="1"/>
  <c r="K179" i="45" s="1"/>
  <c r="K237" i="45" s="1"/>
  <c r="L34" i="45" s="1"/>
  <c r="L179" i="45" s="1"/>
  <c r="L237" i="45" s="1"/>
  <c r="M34" i="45" s="1"/>
  <c r="M179" i="45" s="1"/>
  <c r="M237" i="45" s="1"/>
  <c r="N34" i="45" s="1"/>
  <c r="N179" i="45" s="1"/>
  <c r="N237" i="45" s="1"/>
  <c r="O34" i="45" s="1"/>
  <c r="O179" i="45" s="1"/>
  <c r="O237" i="45" s="1"/>
  <c r="P34" i="45" s="1"/>
  <c r="P179" i="45" s="1"/>
  <c r="P237" i="45" s="1"/>
  <c r="Q34" i="45" s="1"/>
  <c r="Q179" i="45" s="1"/>
  <c r="Q237" i="45" s="1"/>
  <c r="R34" i="45" s="1"/>
  <c r="R179" i="45" s="1"/>
  <c r="R237" i="45" s="1"/>
  <c r="S34" i="45" s="1"/>
  <c r="S179" i="45" s="1"/>
  <c r="S237" i="45" s="1"/>
  <c r="T34" i="45" s="1"/>
  <c r="T179" i="45" s="1"/>
  <c r="T237" i="45" s="1"/>
  <c r="E208" i="45"/>
  <c r="G208" i="45"/>
  <c r="H208" i="45"/>
  <c r="G237" i="45"/>
  <c r="H237" i="45"/>
  <c r="G247" i="32"/>
  <c r="H247" i="32"/>
  <c r="G216" i="32"/>
  <c r="H216" i="32"/>
  <c r="G187" i="32"/>
  <c r="H187" i="32"/>
  <c r="G156" i="32"/>
  <c r="H156" i="32"/>
  <c r="G125" i="32"/>
  <c r="H125" i="32"/>
  <c r="J121" i="47"/>
  <c r="K121" i="47"/>
  <c r="L121" i="47"/>
  <c r="M121" i="47"/>
  <c r="N121" i="47"/>
  <c r="O121" i="47"/>
  <c r="G94" i="32"/>
  <c r="H94" i="32"/>
  <c r="G63" i="32"/>
  <c r="H63" i="32"/>
  <c r="J35" i="47"/>
  <c r="G34" i="32"/>
  <c r="H34" i="32"/>
  <c r="G35" i="32"/>
  <c r="H35" i="32"/>
  <c r="D34" i="32"/>
  <c r="D247" i="32" s="1"/>
  <c r="N29" i="31"/>
  <c r="N28" i="31"/>
  <c r="N27" i="31"/>
  <c r="D29" i="31"/>
  <c r="D28" i="31"/>
  <c r="D27" i="31"/>
  <c r="D237" i="45" l="1"/>
  <c r="D179" i="47"/>
  <c r="D208" i="47"/>
  <c r="D63" i="47"/>
  <c r="D121" i="47"/>
  <c r="D150" i="45"/>
  <c r="D179" i="45"/>
  <c r="D63" i="45"/>
  <c r="D92" i="47"/>
  <c r="D150" i="47"/>
  <c r="D216" i="32"/>
  <c r="D187" i="32"/>
  <c r="D156" i="32"/>
  <c r="D94" i="32"/>
  <c r="D125" i="32"/>
  <c r="D63" i="32"/>
  <c r="D92" i="45"/>
  <c r="D208" i="45"/>
  <c r="J36" i="47" l="1"/>
  <c r="J33" i="47"/>
  <c r="J32" i="47"/>
  <c r="G238" i="47" l="1"/>
  <c r="H238" i="47"/>
  <c r="G239" i="47"/>
  <c r="H239" i="47"/>
  <c r="G209" i="47"/>
  <c r="H209" i="47"/>
  <c r="J209" i="47"/>
  <c r="K209" i="47"/>
  <c r="L209" i="47"/>
  <c r="M209" i="47"/>
  <c r="N209" i="47"/>
  <c r="P209" i="47"/>
  <c r="Q209" i="47"/>
  <c r="R209" i="47"/>
  <c r="S209" i="47"/>
  <c r="T209" i="47"/>
  <c r="G210" i="47"/>
  <c r="H210" i="47"/>
  <c r="J210" i="47"/>
  <c r="K210" i="47"/>
  <c r="L210" i="47"/>
  <c r="M210" i="47"/>
  <c r="N210" i="47"/>
  <c r="P210" i="47"/>
  <c r="Q210" i="47"/>
  <c r="R210" i="47"/>
  <c r="S210" i="47"/>
  <c r="T210" i="47"/>
  <c r="G180" i="47"/>
  <c r="H180" i="47"/>
  <c r="G181" i="47"/>
  <c r="H181" i="47"/>
  <c r="G151" i="47"/>
  <c r="H151" i="47"/>
  <c r="J151" i="47"/>
  <c r="K151" i="47"/>
  <c r="L151" i="47"/>
  <c r="M151" i="47"/>
  <c r="N151" i="47"/>
  <c r="O151" i="47"/>
  <c r="G152" i="47"/>
  <c r="H152" i="47"/>
  <c r="J152" i="47"/>
  <c r="K152" i="47"/>
  <c r="L152" i="47"/>
  <c r="M152" i="47"/>
  <c r="N152" i="47"/>
  <c r="O152" i="47"/>
  <c r="G122" i="47"/>
  <c r="H122" i="47"/>
  <c r="J122" i="47"/>
  <c r="G123" i="47"/>
  <c r="H123" i="47"/>
  <c r="J123" i="47"/>
  <c r="G93" i="47"/>
  <c r="H93" i="47"/>
  <c r="G94" i="47"/>
  <c r="H94" i="47"/>
  <c r="G64" i="47"/>
  <c r="H64" i="47"/>
  <c r="G65" i="47"/>
  <c r="H65" i="47"/>
  <c r="D35" i="47"/>
  <c r="D238" i="47" s="1"/>
  <c r="G35" i="47"/>
  <c r="H35" i="47"/>
  <c r="D36" i="47"/>
  <c r="D210" i="47" s="1"/>
  <c r="G36" i="47"/>
  <c r="H36" i="47"/>
  <c r="G238" i="45"/>
  <c r="H238" i="45"/>
  <c r="G239" i="45"/>
  <c r="H239" i="45"/>
  <c r="G209" i="45"/>
  <c r="H209" i="45"/>
  <c r="G210" i="45"/>
  <c r="H210" i="45"/>
  <c r="G180" i="45"/>
  <c r="H180" i="45"/>
  <c r="G181" i="45"/>
  <c r="H181" i="45"/>
  <c r="G151" i="45"/>
  <c r="H151" i="45"/>
  <c r="G152" i="45"/>
  <c r="H152" i="45"/>
  <c r="G122" i="45"/>
  <c r="H122" i="45"/>
  <c r="G123" i="45"/>
  <c r="H123" i="45"/>
  <c r="G93" i="45"/>
  <c r="H93" i="45"/>
  <c r="G94" i="45"/>
  <c r="H94" i="45"/>
  <c r="G64" i="45"/>
  <c r="H64" i="45"/>
  <c r="G65" i="45"/>
  <c r="H65" i="45"/>
  <c r="D35" i="45"/>
  <c r="D64" i="45" s="1"/>
  <c r="G35" i="45"/>
  <c r="H35" i="45"/>
  <c r="J180" i="45"/>
  <c r="J238" i="45" s="1"/>
  <c r="K35" i="45" s="1"/>
  <c r="K180" i="45" s="1"/>
  <c r="K238" i="45" s="1"/>
  <c r="L35" i="45" s="1"/>
  <c r="L180" i="45" s="1"/>
  <c r="L238" i="45" s="1"/>
  <c r="M35" i="45" s="1"/>
  <c r="M180" i="45" s="1"/>
  <c r="M238" i="45" s="1"/>
  <c r="N35" i="45" s="1"/>
  <c r="N180" i="45" s="1"/>
  <c r="N238" i="45" s="1"/>
  <c r="O35" i="45" s="1"/>
  <c r="O180" i="45" s="1"/>
  <c r="O238" i="45" s="1"/>
  <c r="P35" i="45" s="1"/>
  <c r="P180" i="45" s="1"/>
  <c r="P238" i="45" s="1"/>
  <c r="Q35" i="45" s="1"/>
  <c r="Q180" i="45" s="1"/>
  <c r="Q238" i="45" s="1"/>
  <c r="R35" i="45" s="1"/>
  <c r="R180" i="45" s="1"/>
  <c r="R238" i="45" s="1"/>
  <c r="S35" i="45" s="1"/>
  <c r="S180" i="45" s="1"/>
  <c r="S238" i="45" s="1"/>
  <c r="T35" i="45" s="1"/>
  <c r="T180" i="45" s="1"/>
  <c r="T238" i="45" s="1"/>
  <c r="D36" i="45"/>
  <c r="D65" i="45" s="1"/>
  <c r="G36" i="45"/>
  <c r="H36" i="45"/>
  <c r="J181" i="45"/>
  <c r="J239" i="45" s="1"/>
  <c r="K36" i="45" s="1"/>
  <c r="K181" i="45" s="1"/>
  <c r="K239" i="45" s="1"/>
  <c r="L36" i="45" s="1"/>
  <c r="L181" i="45" s="1"/>
  <c r="L239" i="45" s="1"/>
  <c r="M36" i="45" s="1"/>
  <c r="M181" i="45" s="1"/>
  <c r="M239" i="45" s="1"/>
  <c r="N36" i="45" s="1"/>
  <c r="N181" i="45" s="1"/>
  <c r="N239" i="45" s="1"/>
  <c r="O36" i="45" s="1"/>
  <c r="O181" i="45" s="1"/>
  <c r="O239" i="45" s="1"/>
  <c r="P36" i="45" s="1"/>
  <c r="P181" i="45" s="1"/>
  <c r="P239" i="45" s="1"/>
  <c r="Q36" i="45" s="1"/>
  <c r="Q181" i="45" s="1"/>
  <c r="Q239" i="45" s="1"/>
  <c r="R36" i="45" s="1"/>
  <c r="R181" i="45" s="1"/>
  <c r="R239" i="45" s="1"/>
  <c r="S36" i="45" s="1"/>
  <c r="S181" i="45" s="1"/>
  <c r="S239" i="45" s="1"/>
  <c r="T36" i="45" s="1"/>
  <c r="T181" i="45" s="1"/>
  <c r="T239" i="45" s="1"/>
  <c r="D248" i="32"/>
  <c r="G248" i="32"/>
  <c r="H248" i="32"/>
  <c r="D249" i="32"/>
  <c r="G249" i="32"/>
  <c r="H249" i="32"/>
  <c r="D217" i="32"/>
  <c r="G217" i="32"/>
  <c r="H217" i="32"/>
  <c r="D218" i="32"/>
  <c r="G218" i="32"/>
  <c r="H218" i="32"/>
  <c r="D188" i="32"/>
  <c r="G188" i="32"/>
  <c r="H188" i="32"/>
  <c r="D189" i="32"/>
  <c r="G189" i="32"/>
  <c r="H189" i="32"/>
  <c r="D157" i="32"/>
  <c r="G157" i="32"/>
  <c r="H157" i="32"/>
  <c r="D158" i="32"/>
  <c r="G158" i="32"/>
  <c r="H158" i="32"/>
  <c r="D126" i="32"/>
  <c r="G126" i="32"/>
  <c r="H126" i="32"/>
  <c r="D127" i="32"/>
  <c r="G127" i="32"/>
  <c r="H127" i="32"/>
  <c r="D95" i="32"/>
  <c r="G95" i="32"/>
  <c r="H95" i="32"/>
  <c r="D96" i="32"/>
  <c r="G96" i="32"/>
  <c r="H96" i="32"/>
  <c r="D64" i="32"/>
  <c r="G64" i="32"/>
  <c r="H64" i="32"/>
  <c r="D65" i="32"/>
  <c r="G65" i="32"/>
  <c r="H65" i="32"/>
  <c r="E19" i="32"/>
  <c r="E20" i="32" s="1"/>
  <c r="E21" i="32" s="1"/>
  <c r="E22" i="32" s="1"/>
  <c r="E23" i="32" s="1"/>
  <c r="E24" i="32" s="1"/>
  <c r="E25" i="32" s="1"/>
  <c r="E26" i="32" s="1"/>
  <c r="E27" i="32" s="1"/>
  <c r="E28" i="32" s="1"/>
  <c r="E29" i="32" s="1"/>
  <c r="E30" i="32" s="1"/>
  <c r="E31" i="32" s="1"/>
  <c r="E32" i="32" s="1"/>
  <c r="E33" i="32" s="1"/>
  <c r="G36" i="32"/>
  <c r="H36" i="32"/>
  <c r="D176" i="37"/>
  <c r="D69" i="31" s="1"/>
  <c r="G176" i="37"/>
  <c r="H176" i="37"/>
  <c r="D177" i="37"/>
  <c r="D70" i="31" s="1"/>
  <c r="G177" i="37"/>
  <c r="H177" i="37"/>
  <c r="D154" i="37"/>
  <c r="G154" i="37"/>
  <c r="H154" i="37"/>
  <c r="D155" i="37"/>
  <c r="G155" i="37"/>
  <c r="H155" i="37"/>
  <c r="D134" i="37"/>
  <c r="G134" i="37"/>
  <c r="H134" i="37"/>
  <c r="D135" i="37"/>
  <c r="G135" i="37"/>
  <c r="H135" i="37"/>
  <c r="D112" i="37"/>
  <c r="G112" i="37"/>
  <c r="H112" i="37"/>
  <c r="D113" i="37"/>
  <c r="G113" i="37"/>
  <c r="H113" i="37"/>
  <c r="D90" i="37"/>
  <c r="G90" i="37"/>
  <c r="H90" i="37"/>
  <c r="D91" i="37"/>
  <c r="G91" i="37"/>
  <c r="H91" i="37"/>
  <c r="D68" i="37"/>
  <c r="G68" i="37"/>
  <c r="H68" i="37"/>
  <c r="D69" i="37"/>
  <c r="G69" i="37"/>
  <c r="H69" i="37"/>
  <c r="D46" i="37"/>
  <c r="G46" i="37"/>
  <c r="H46" i="37"/>
  <c r="D47" i="37"/>
  <c r="G47" i="37"/>
  <c r="H47" i="37"/>
  <c r="E34" i="32" l="1"/>
  <c r="E35" i="32" s="1"/>
  <c r="E36" i="32" s="1"/>
  <c r="E37" i="32" s="1"/>
  <c r="D123" i="45"/>
  <c r="D122" i="47"/>
  <c r="D93" i="47"/>
  <c r="D64" i="47"/>
  <c r="D94" i="47"/>
  <c r="D123" i="47"/>
  <c r="D122" i="45"/>
  <c r="D181" i="45"/>
  <c r="D238" i="45"/>
  <c r="D94" i="45"/>
  <c r="D210" i="45"/>
  <c r="D151" i="45"/>
  <c r="D65" i="47"/>
  <c r="D181" i="47"/>
  <c r="D239" i="47"/>
  <c r="D239" i="45"/>
  <c r="D152" i="45"/>
  <c r="D180" i="45"/>
  <c r="D93" i="45"/>
  <c r="D209" i="45"/>
  <c r="D152" i="47"/>
  <c r="D151" i="47"/>
  <c r="D180" i="47"/>
  <c r="D209" i="47"/>
  <c r="N65" i="49"/>
  <c r="N64" i="49"/>
  <c r="N63" i="49"/>
  <c r="N61" i="49"/>
  <c r="N60" i="49"/>
  <c r="N59" i="49"/>
  <c r="N58" i="49"/>
  <c r="N57" i="49"/>
  <c r="N56" i="49"/>
  <c r="N46" i="49"/>
  <c r="N45" i="49"/>
  <c r="N44" i="49"/>
  <c r="N42" i="49"/>
  <c r="N41" i="49"/>
  <c r="N40" i="49"/>
  <c r="N39" i="49"/>
  <c r="N38" i="49"/>
  <c r="N37" i="49"/>
  <c r="N27" i="49"/>
  <c r="N26" i="49"/>
  <c r="N25" i="49"/>
  <c r="N23" i="49"/>
  <c r="N22" i="49"/>
  <c r="N21" i="49"/>
  <c r="N20" i="49"/>
  <c r="N19" i="49"/>
  <c r="N18" i="49"/>
  <c r="F67" i="49"/>
  <c r="H65" i="49"/>
  <c r="G65" i="49"/>
  <c r="D65" i="49"/>
  <c r="H64" i="49"/>
  <c r="G64" i="49"/>
  <c r="D64" i="49"/>
  <c r="H63" i="49"/>
  <c r="G63" i="49"/>
  <c r="D63" i="49"/>
  <c r="H62" i="49"/>
  <c r="G62" i="49"/>
  <c r="D62" i="49"/>
  <c r="H61" i="49"/>
  <c r="G61" i="49"/>
  <c r="D61" i="49"/>
  <c r="H60" i="49"/>
  <c r="G60" i="49"/>
  <c r="D60" i="49"/>
  <c r="H59" i="49"/>
  <c r="G59" i="49"/>
  <c r="D59" i="49"/>
  <c r="H58" i="49"/>
  <c r="G58" i="49"/>
  <c r="D58" i="49"/>
  <c r="H57" i="49"/>
  <c r="G57" i="49"/>
  <c r="D57" i="49"/>
  <c r="H56" i="49"/>
  <c r="H67" i="49" s="1"/>
  <c r="G56" i="49"/>
  <c r="G67" i="49" s="1"/>
  <c r="D56" i="49"/>
  <c r="H54" i="49"/>
  <c r="G54" i="49"/>
  <c r="F54" i="49"/>
  <c r="E54" i="49"/>
  <c r="F48" i="49"/>
  <c r="H46" i="49"/>
  <c r="G46" i="49"/>
  <c r="D46" i="49"/>
  <c r="H45" i="49"/>
  <c r="G45" i="49"/>
  <c r="D45" i="49"/>
  <c r="H44" i="49"/>
  <c r="G44" i="49"/>
  <c r="D44" i="49"/>
  <c r="H43" i="49"/>
  <c r="G43" i="49"/>
  <c r="D43" i="49"/>
  <c r="H42" i="49"/>
  <c r="G42" i="49"/>
  <c r="D42" i="49"/>
  <c r="H41" i="49"/>
  <c r="G41" i="49"/>
  <c r="D41" i="49"/>
  <c r="H40" i="49"/>
  <c r="G40" i="49"/>
  <c r="D40" i="49"/>
  <c r="H39" i="49"/>
  <c r="G39" i="49"/>
  <c r="D39" i="49"/>
  <c r="H38" i="49"/>
  <c r="G38" i="49"/>
  <c r="D38" i="49"/>
  <c r="H37" i="49"/>
  <c r="H48" i="49" s="1"/>
  <c r="G37" i="49"/>
  <c r="G48" i="49" s="1"/>
  <c r="D37" i="49"/>
  <c r="H35" i="49"/>
  <c r="G35" i="49"/>
  <c r="F35" i="49"/>
  <c r="E35" i="49"/>
  <c r="N50" i="49" l="1"/>
  <c r="A50" i="49" s="1"/>
  <c r="N69" i="49"/>
  <c r="A69" i="49" s="1"/>
  <c r="G235" i="47" l="1"/>
  <c r="H235" i="47"/>
  <c r="G236" i="47"/>
  <c r="H236" i="47"/>
  <c r="G206" i="47"/>
  <c r="H206" i="47"/>
  <c r="J206" i="47"/>
  <c r="K206" i="47"/>
  <c r="L206" i="47"/>
  <c r="M206" i="47"/>
  <c r="N206" i="47"/>
  <c r="P206" i="47"/>
  <c r="Q206" i="47"/>
  <c r="R206" i="47"/>
  <c r="S206" i="47"/>
  <c r="T206" i="47"/>
  <c r="G207" i="47"/>
  <c r="H207" i="47"/>
  <c r="J207" i="47"/>
  <c r="K207" i="47"/>
  <c r="L207" i="47"/>
  <c r="M207" i="47"/>
  <c r="N207" i="47"/>
  <c r="P207" i="47"/>
  <c r="Q207" i="47"/>
  <c r="R207" i="47"/>
  <c r="S207" i="47"/>
  <c r="T207" i="47"/>
  <c r="G177" i="47"/>
  <c r="H177" i="47"/>
  <c r="G178" i="47"/>
  <c r="H178" i="47"/>
  <c r="G148" i="47"/>
  <c r="H148" i="47"/>
  <c r="G149" i="47"/>
  <c r="H149" i="47"/>
  <c r="G119" i="47"/>
  <c r="H119" i="47"/>
  <c r="G120" i="47"/>
  <c r="H120" i="47"/>
  <c r="G90" i="47"/>
  <c r="H90" i="47"/>
  <c r="G91" i="47"/>
  <c r="H91" i="47"/>
  <c r="G61" i="47"/>
  <c r="H61" i="47"/>
  <c r="G62" i="47"/>
  <c r="H62" i="47"/>
  <c r="D32" i="47"/>
  <c r="D235" i="47" s="1"/>
  <c r="G32" i="47"/>
  <c r="H32" i="47"/>
  <c r="D33" i="47"/>
  <c r="D149" i="47" s="1"/>
  <c r="G33" i="47"/>
  <c r="H33" i="47"/>
  <c r="G235" i="45"/>
  <c r="H235" i="45"/>
  <c r="G236" i="45"/>
  <c r="H236" i="45"/>
  <c r="G206" i="45"/>
  <c r="H206" i="45"/>
  <c r="G207" i="45"/>
  <c r="H207" i="45"/>
  <c r="G177" i="45"/>
  <c r="H177" i="45"/>
  <c r="J177" i="45"/>
  <c r="J235" i="45" s="1"/>
  <c r="K32" i="45" s="1"/>
  <c r="K177" i="45" s="1"/>
  <c r="K235" i="45" s="1"/>
  <c r="L32" i="45" s="1"/>
  <c r="L177" i="45" s="1"/>
  <c r="L235" i="45" s="1"/>
  <c r="M32" i="45" s="1"/>
  <c r="M177" i="45" s="1"/>
  <c r="M235" i="45" s="1"/>
  <c r="N32" i="45" s="1"/>
  <c r="N177" i="45" s="1"/>
  <c r="N235" i="45" s="1"/>
  <c r="O32" i="45" s="1"/>
  <c r="O177" i="45" s="1"/>
  <c r="O235" i="45" s="1"/>
  <c r="P32" i="45" s="1"/>
  <c r="P177" i="45" s="1"/>
  <c r="P235" i="45" s="1"/>
  <c r="Q32" i="45" s="1"/>
  <c r="Q177" i="45" s="1"/>
  <c r="Q235" i="45" s="1"/>
  <c r="R32" i="45" s="1"/>
  <c r="R177" i="45" s="1"/>
  <c r="R235" i="45" s="1"/>
  <c r="S32" i="45" s="1"/>
  <c r="S177" i="45" s="1"/>
  <c r="S235" i="45" s="1"/>
  <c r="T32" i="45" s="1"/>
  <c r="T177" i="45" s="1"/>
  <c r="T235" i="45" s="1"/>
  <c r="G178" i="45"/>
  <c r="H178" i="45"/>
  <c r="J178" i="45"/>
  <c r="J236" i="45" s="1"/>
  <c r="K33" i="45" s="1"/>
  <c r="K178" i="45" s="1"/>
  <c r="K236" i="45" s="1"/>
  <c r="L33" i="45" s="1"/>
  <c r="L178" i="45" s="1"/>
  <c r="L236" i="45" s="1"/>
  <c r="M33" i="45" s="1"/>
  <c r="M178" i="45" s="1"/>
  <c r="M236" i="45" s="1"/>
  <c r="N33" i="45" s="1"/>
  <c r="N178" i="45" s="1"/>
  <c r="N236" i="45" s="1"/>
  <c r="O33" i="45" s="1"/>
  <c r="O178" i="45" s="1"/>
  <c r="O236" i="45" s="1"/>
  <c r="P33" i="45" s="1"/>
  <c r="P178" i="45" s="1"/>
  <c r="P236" i="45" s="1"/>
  <c r="Q33" i="45" s="1"/>
  <c r="Q178" i="45" s="1"/>
  <c r="Q236" i="45" s="1"/>
  <c r="R33" i="45" s="1"/>
  <c r="R178" i="45" s="1"/>
  <c r="R236" i="45" s="1"/>
  <c r="S33" i="45" s="1"/>
  <c r="S178" i="45" s="1"/>
  <c r="S236" i="45" s="1"/>
  <c r="T33" i="45" s="1"/>
  <c r="T178" i="45" s="1"/>
  <c r="T236" i="45" s="1"/>
  <c r="G148" i="45"/>
  <c r="H148" i="45"/>
  <c r="G149" i="45"/>
  <c r="H149" i="45"/>
  <c r="G119" i="45"/>
  <c r="H119" i="45"/>
  <c r="G120" i="45"/>
  <c r="H120" i="45"/>
  <c r="G90" i="45"/>
  <c r="H90" i="45"/>
  <c r="G91" i="45"/>
  <c r="H91" i="45"/>
  <c r="G61" i="45"/>
  <c r="H61" i="45"/>
  <c r="G62" i="45"/>
  <c r="H62" i="45"/>
  <c r="D32" i="45"/>
  <c r="D235" i="45" s="1"/>
  <c r="G32" i="45"/>
  <c r="H32" i="45"/>
  <c r="D33" i="45"/>
  <c r="D236" i="45" s="1"/>
  <c r="G33" i="45"/>
  <c r="H33" i="45"/>
  <c r="D25" i="31"/>
  <c r="N25" i="31"/>
  <c r="D26" i="31"/>
  <c r="N26" i="31"/>
  <c r="G245" i="32"/>
  <c r="H245" i="32"/>
  <c r="G246" i="32"/>
  <c r="H246" i="32"/>
  <c r="G214" i="32"/>
  <c r="H214" i="32"/>
  <c r="G215" i="32"/>
  <c r="H215" i="32"/>
  <c r="G185" i="32"/>
  <c r="H185" i="32"/>
  <c r="G186" i="32"/>
  <c r="H186" i="32"/>
  <c r="G154" i="32"/>
  <c r="H154" i="32"/>
  <c r="G155" i="32"/>
  <c r="H155" i="32"/>
  <c r="G123" i="32"/>
  <c r="H123" i="32"/>
  <c r="G124" i="32"/>
  <c r="H124" i="32"/>
  <c r="G92" i="32"/>
  <c r="H92" i="32"/>
  <c r="G93" i="32"/>
  <c r="H93" i="32"/>
  <c r="G61" i="32"/>
  <c r="H61" i="32"/>
  <c r="G62" i="32"/>
  <c r="H62" i="32"/>
  <c r="D32" i="32"/>
  <c r="D245" i="32" s="1"/>
  <c r="G32" i="32"/>
  <c r="H32" i="32"/>
  <c r="D33" i="32"/>
  <c r="D246" i="32" s="1"/>
  <c r="G33" i="32"/>
  <c r="H33" i="32"/>
  <c r="D207" i="45" l="1"/>
  <c r="D149" i="45"/>
  <c r="D178" i="47"/>
  <c r="D62" i="32"/>
  <c r="D61" i="32"/>
  <c r="D93" i="32"/>
  <c r="D92" i="32"/>
  <c r="D124" i="32"/>
  <c r="D123" i="32"/>
  <c r="D155" i="32"/>
  <c r="D154" i="32"/>
  <c r="D186" i="32"/>
  <c r="D185" i="32"/>
  <c r="D215" i="32"/>
  <c r="D214" i="32"/>
  <c r="D62" i="45"/>
  <c r="D61" i="45"/>
  <c r="D91" i="45"/>
  <c r="D148" i="45"/>
  <c r="D206" i="45"/>
  <c r="D177" i="47"/>
  <c r="D207" i="47"/>
  <c r="D206" i="47"/>
  <c r="D90" i="45"/>
  <c r="D120" i="45"/>
  <c r="D178" i="45"/>
  <c r="D62" i="47"/>
  <c r="D236" i="47"/>
  <c r="D119" i="45"/>
  <c r="D177" i="45"/>
  <c r="D61" i="47"/>
  <c r="D91" i="47"/>
  <c r="D90" i="47"/>
  <c r="D120" i="47"/>
  <c r="D119" i="47"/>
  <c r="D148" i="47"/>
  <c r="E19" i="44" l="1"/>
  <c r="D191" i="37" l="1"/>
  <c r="H189" i="37"/>
  <c r="G189" i="37"/>
  <c r="F189" i="37"/>
  <c r="E189" i="37"/>
  <c r="D263" i="32"/>
  <c r="H261" i="32" l="1"/>
  <c r="G261" i="32"/>
  <c r="F261" i="32"/>
  <c r="E261" i="32"/>
  <c r="D16" i="25"/>
  <c r="D10" i="28"/>
  <c r="G27" i="50"/>
  <c r="F27" i="50"/>
  <c r="G26" i="50"/>
  <c r="F26" i="50"/>
  <c r="H18" i="50"/>
  <c r="G18" i="50"/>
  <c r="F18" i="50"/>
  <c r="H191" i="37" l="1"/>
  <c r="H263" i="32"/>
  <c r="G191" i="37"/>
  <c r="G263" i="32"/>
  <c r="F191" i="37"/>
  <c r="F263" i="32"/>
  <c r="J29" i="50" l="1"/>
  <c r="H24" i="50" l="1"/>
  <c r="G24" i="50"/>
  <c r="F24" i="50"/>
  <c r="E24" i="50"/>
  <c r="H16" i="50"/>
  <c r="G16" i="50"/>
  <c r="F16" i="50"/>
  <c r="E16" i="50"/>
  <c r="H10" i="50"/>
  <c r="G10" i="50"/>
  <c r="F10" i="50"/>
  <c r="E10" i="50"/>
  <c r="B10" i="50"/>
  <c r="B4" i="50"/>
  <c r="B3" i="50"/>
  <c r="D30" i="25" l="1"/>
  <c r="E20" i="44" l="1"/>
  <c r="E21" i="44" s="1"/>
  <c r="H36" i="43"/>
  <c r="G36" i="43"/>
  <c r="D20" i="25" l="1"/>
  <c r="F29" i="49"/>
  <c r="H27" i="49"/>
  <c r="G27" i="49"/>
  <c r="D27" i="49"/>
  <c r="H26" i="49"/>
  <c r="G26" i="49"/>
  <c r="D26" i="49"/>
  <c r="H25" i="49"/>
  <c r="G25" i="49"/>
  <c r="D25" i="49"/>
  <c r="H24" i="49"/>
  <c r="G24" i="49"/>
  <c r="D24" i="49"/>
  <c r="H23" i="49"/>
  <c r="G23" i="49"/>
  <c r="D23" i="49"/>
  <c r="H22" i="49"/>
  <c r="G22" i="49"/>
  <c r="D22" i="49"/>
  <c r="H21" i="49"/>
  <c r="G21" i="49"/>
  <c r="D21" i="49"/>
  <c r="H20" i="49"/>
  <c r="G20" i="49"/>
  <c r="D20" i="49"/>
  <c r="H19" i="49"/>
  <c r="G19" i="49"/>
  <c r="D19" i="49"/>
  <c r="H18" i="49"/>
  <c r="H29" i="49" s="1"/>
  <c r="G18" i="49"/>
  <c r="G29" i="49" s="1"/>
  <c r="D18" i="49"/>
  <c r="H16" i="49"/>
  <c r="G16" i="49"/>
  <c r="F16" i="49"/>
  <c r="E16" i="49"/>
  <c r="H10" i="49"/>
  <c r="G10" i="49"/>
  <c r="F10" i="49"/>
  <c r="E10" i="49"/>
  <c r="B10" i="49"/>
  <c r="N9" i="49"/>
  <c r="M9" i="49"/>
  <c r="L9" i="49"/>
  <c r="K9" i="49"/>
  <c r="J9" i="49"/>
  <c r="B9" i="49"/>
  <c r="B8" i="49"/>
  <c r="B7" i="49"/>
  <c r="B6" i="49"/>
  <c r="B5" i="49"/>
  <c r="B4" i="49"/>
  <c r="B3" i="49"/>
  <c r="C57" i="44" l="1"/>
  <c r="C58" i="44" s="1"/>
  <c r="C59" i="44" s="1"/>
  <c r="C60" i="44" s="1"/>
  <c r="C61" i="44" s="1"/>
  <c r="C62" i="44" s="1"/>
  <c r="C63" i="44" s="1"/>
  <c r="C64" i="44" s="1"/>
  <c r="C65" i="44" s="1"/>
  <c r="C66" i="44" s="1"/>
  <c r="N31" i="49" l="1"/>
  <c r="A31" i="49" s="1"/>
  <c r="E150" i="4"/>
  <c r="T162" i="37"/>
  <c r="S162" i="37"/>
  <c r="R162" i="37"/>
  <c r="Q162" i="37"/>
  <c r="P162" i="37"/>
  <c r="P225" i="32"/>
  <c r="Q225" i="32"/>
  <c r="R225" i="32"/>
  <c r="S225" i="32"/>
  <c r="T225" i="32"/>
  <c r="G38" i="43" l="1"/>
  <c r="H38" i="43"/>
  <c r="H178" i="37" l="1"/>
  <c r="H175" i="37"/>
  <c r="H174" i="37"/>
  <c r="H173" i="37"/>
  <c r="H172" i="37"/>
  <c r="H171" i="37"/>
  <c r="H170" i="37"/>
  <c r="H169" i="37"/>
  <c r="H168" i="37"/>
  <c r="H156" i="37"/>
  <c r="H153" i="37"/>
  <c r="H152" i="37"/>
  <c r="H151" i="37"/>
  <c r="H150" i="37"/>
  <c r="H149" i="37"/>
  <c r="H148" i="37"/>
  <c r="H147" i="37"/>
  <c r="H146" i="37"/>
  <c r="H136" i="37"/>
  <c r="H133" i="37"/>
  <c r="H132" i="37"/>
  <c r="H131" i="37"/>
  <c r="H130" i="37"/>
  <c r="H129" i="37"/>
  <c r="H128" i="37"/>
  <c r="H127" i="37"/>
  <c r="H126" i="37"/>
  <c r="H114" i="37"/>
  <c r="H111" i="37"/>
  <c r="H110" i="37"/>
  <c r="H109" i="37"/>
  <c r="H108" i="37"/>
  <c r="H107" i="37"/>
  <c r="H106" i="37"/>
  <c r="H105" i="37"/>
  <c r="H104" i="37"/>
  <c r="H92" i="37"/>
  <c r="H89" i="37"/>
  <c r="H88" i="37"/>
  <c r="H87" i="37"/>
  <c r="H86" i="37"/>
  <c r="H85" i="37"/>
  <c r="H84" i="37"/>
  <c r="H83" i="37"/>
  <c r="H82" i="37"/>
  <c r="H70" i="37"/>
  <c r="H67" i="37"/>
  <c r="H66" i="37"/>
  <c r="H65" i="37"/>
  <c r="H64" i="37"/>
  <c r="H63" i="37"/>
  <c r="H62" i="37"/>
  <c r="H61" i="37"/>
  <c r="H60" i="37"/>
  <c r="H48" i="37"/>
  <c r="H45" i="37"/>
  <c r="H44" i="37"/>
  <c r="H43" i="37"/>
  <c r="H42" i="37"/>
  <c r="H41" i="37"/>
  <c r="H40" i="37"/>
  <c r="H39" i="37"/>
  <c r="H38" i="37"/>
  <c r="H28" i="37"/>
  <c r="H25" i="37"/>
  <c r="H24" i="37"/>
  <c r="H23" i="37"/>
  <c r="H22" i="37"/>
  <c r="H21" i="37"/>
  <c r="H20" i="37"/>
  <c r="H19" i="37"/>
  <c r="H18" i="37"/>
  <c r="H250" i="32"/>
  <c r="H244" i="32"/>
  <c r="H243" i="32"/>
  <c r="H242" i="32"/>
  <c r="H241" i="32"/>
  <c r="H240" i="32"/>
  <c r="H239" i="32"/>
  <c r="H238" i="32"/>
  <c r="H237" i="32"/>
  <c r="H236" i="32"/>
  <c r="H235" i="32"/>
  <c r="H234" i="32"/>
  <c r="H233" i="32"/>
  <c r="H232" i="32"/>
  <c r="H231" i="32"/>
  <c r="H252" i="32" s="1"/>
  <c r="H229" i="32"/>
  <c r="H219" i="32"/>
  <c r="H213" i="32"/>
  <c r="H212" i="32"/>
  <c r="H211" i="32"/>
  <c r="H210" i="32"/>
  <c r="H209" i="32"/>
  <c r="H208" i="32"/>
  <c r="H207" i="32"/>
  <c r="H206" i="32"/>
  <c r="H205" i="32"/>
  <c r="H204" i="32"/>
  <c r="H203" i="32"/>
  <c r="H202" i="32"/>
  <c r="H201" i="32"/>
  <c r="H200" i="32"/>
  <c r="H221" i="32" s="1"/>
  <c r="H198" i="32"/>
  <c r="H190" i="32"/>
  <c r="H184" i="32"/>
  <c r="H183" i="32"/>
  <c r="H182" i="32"/>
  <c r="H181" i="32"/>
  <c r="H180" i="32"/>
  <c r="H179" i="32"/>
  <c r="H178" i="32"/>
  <c r="H177" i="32"/>
  <c r="H176" i="32"/>
  <c r="H175" i="32"/>
  <c r="H174" i="32"/>
  <c r="H173" i="32"/>
  <c r="H172" i="32"/>
  <c r="H171" i="32"/>
  <c r="H192" i="32" s="1"/>
  <c r="H169" i="32"/>
  <c r="H159" i="32"/>
  <c r="H153" i="32"/>
  <c r="H152" i="32"/>
  <c r="H151" i="32"/>
  <c r="H150" i="32"/>
  <c r="H149" i="32"/>
  <c r="H148" i="32"/>
  <c r="H147" i="32"/>
  <c r="H146" i="32"/>
  <c r="H145" i="32"/>
  <c r="H144" i="32"/>
  <c r="H143" i="32"/>
  <c r="H142" i="32"/>
  <c r="H141" i="32"/>
  <c r="H140" i="32"/>
  <c r="H161" i="32" s="1"/>
  <c r="H138" i="32"/>
  <c r="H128" i="32"/>
  <c r="H122" i="32"/>
  <c r="H121" i="32"/>
  <c r="H120" i="32"/>
  <c r="H119" i="32"/>
  <c r="H118" i="32"/>
  <c r="H117" i="32"/>
  <c r="H116" i="32"/>
  <c r="H115" i="32"/>
  <c r="H114" i="32"/>
  <c r="H113" i="32"/>
  <c r="H112" i="32"/>
  <c r="H111" i="32"/>
  <c r="H110" i="32"/>
  <c r="H109" i="32"/>
  <c r="H130" i="32" s="1"/>
  <c r="H107" i="32"/>
  <c r="H97" i="32"/>
  <c r="H91" i="32"/>
  <c r="H90" i="32"/>
  <c r="H89" i="32"/>
  <c r="H88" i="32"/>
  <c r="H87" i="32"/>
  <c r="H86" i="32"/>
  <c r="H85" i="32"/>
  <c r="H84" i="32"/>
  <c r="H83" i="32"/>
  <c r="H82" i="32"/>
  <c r="H81" i="32"/>
  <c r="H80" i="32"/>
  <c r="H79" i="32"/>
  <c r="H78" i="32"/>
  <c r="H99" i="32" s="1"/>
  <c r="H76" i="32"/>
  <c r="H66" i="32"/>
  <c r="H60" i="32"/>
  <c r="H59" i="32"/>
  <c r="H58" i="32"/>
  <c r="H57" i="32"/>
  <c r="H56" i="32"/>
  <c r="H55" i="32"/>
  <c r="H54" i="32"/>
  <c r="H53" i="32"/>
  <c r="H52" i="32"/>
  <c r="H51" i="32"/>
  <c r="H50" i="32"/>
  <c r="H49" i="32"/>
  <c r="H48" i="32"/>
  <c r="H47" i="32"/>
  <c r="H68" i="32" s="1"/>
  <c r="H45" i="32"/>
  <c r="H37" i="32"/>
  <c r="H31" i="32"/>
  <c r="H30" i="32"/>
  <c r="H29" i="32"/>
  <c r="H28" i="32"/>
  <c r="H27" i="32"/>
  <c r="H26" i="32"/>
  <c r="H25" i="32"/>
  <c r="H24" i="32"/>
  <c r="H23" i="32"/>
  <c r="H22" i="32"/>
  <c r="H21" i="32"/>
  <c r="H20" i="32"/>
  <c r="H19" i="32"/>
  <c r="H18" i="32"/>
  <c r="H16" i="32"/>
  <c r="H10" i="32"/>
  <c r="H240" i="45"/>
  <c r="H234" i="45"/>
  <c r="H233" i="45"/>
  <c r="H232" i="45"/>
  <c r="H231" i="45"/>
  <c r="H230" i="45"/>
  <c r="H229" i="45"/>
  <c r="H228" i="45"/>
  <c r="H227" i="45"/>
  <c r="H226" i="45"/>
  <c r="H225" i="45"/>
  <c r="H224" i="45"/>
  <c r="H223" i="45"/>
  <c r="H222" i="45"/>
  <c r="H221" i="45"/>
  <c r="H242" i="45" s="1"/>
  <c r="H219" i="45"/>
  <c r="H211" i="45"/>
  <c r="H205" i="45"/>
  <c r="H204" i="45"/>
  <c r="H203" i="45"/>
  <c r="H202" i="45"/>
  <c r="H201" i="45"/>
  <c r="H200" i="45"/>
  <c r="H199" i="45"/>
  <c r="H198" i="45"/>
  <c r="H197" i="45"/>
  <c r="H196" i="45"/>
  <c r="H195" i="45"/>
  <c r="H194" i="45"/>
  <c r="H193" i="45"/>
  <c r="H192" i="45"/>
  <c r="H213" i="45" s="1"/>
  <c r="H190" i="45"/>
  <c r="H182" i="45"/>
  <c r="H176" i="45"/>
  <c r="H175" i="45"/>
  <c r="H174" i="45"/>
  <c r="H173" i="45"/>
  <c r="H172" i="45"/>
  <c r="H171" i="45"/>
  <c r="H170" i="45"/>
  <c r="H169" i="45"/>
  <c r="H168" i="45"/>
  <c r="H167" i="45"/>
  <c r="H166" i="45"/>
  <c r="H165" i="45"/>
  <c r="H164" i="45"/>
  <c r="H163" i="45"/>
  <c r="H184" i="45" s="1"/>
  <c r="H161" i="45"/>
  <c r="H153" i="45"/>
  <c r="H147" i="45"/>
  <c r="H146" i="45"/>
  <c r="H145" i="45"/>
  <c r="H144" i="45"/>
  <c r="H143" i="45"/>
  <c r="H142" i="45"/>
  <c r="H141" i="45"/>
  <c r="H140" i="45"/>
  <c r="H139" i="45"/>
  <c r="H138" i="45"/>
  <c r="H137" i="45"/>
  <c r="H136" i="45"/>
  <c r="H135" i="45"/>
  <c r="H134" i="45"/>
  <c r="H155" i="45" s="1"/>
  <c r="H132" i="45"/>
  <c r="H124" i="45"/>
  <c r="H118" i="45"/>
  <c r="H117" i="45"/>
  <c r="H116" i="45"/>
  <c r="H115" i="45"/>
  <c r="H114" i="45"/>
  <c r="H113" i="45"/>
  <c r="H112" i="45"/>
  <c r="H111" i="45"/>
  <c r="H110" i="45"/>
  <c r="H109" i="45"/>
  <c r="H108" i="45"/>
  <c r="H107" i="45"/>
  <c r="H106" i="45"/>
  <c r="H105" i="45"/>
  <c r="H126" i="45" s="1"/>
  <c r="H103" i="45"/>
  <c r="H95" i="45"/>
  <c r="H89" i="45"/>
  <c r="H88" i="45"/>
  <c r="H87" i="45"/>
  <c r="H86" i="45"/>
  <c r="H85" i="45"/>
  <c r="H84" i="45"/>
  <c r="H83" i="45"/>
  <c r="H82" i="45"/>
  <c r="H81" i="45"/>
  <c r="H80" i="45"/>
  <c r="H79" i="45"/>
  <c r="H78" i="45"/>
  <c r="H77" i="45"/>
  <c r="H76" i="45"/>
  <c r="H97" i="45" s="1"/>
  <c r="H74" i="45"/>
  <c r="H66" i="45"/>
  <c r="H60" i="45"/>
  <c r="H59" i="45"/>
  <c r="H58" i="45"/>
  <c r="H57" i="45"/>
  <c r="H56" i="45"/>
  <c r="H55" i="45"/>
  <c r="H54" i="45"/>
  <c r="H53" i="45"/>
  <c r="H52" i="45"/>
  <c r="H51" i="45"/>
  <c r="H50" i="45"/>
  <c r="H49" i="45"/>
  <c r="H48" i="45"/>
  <c r="H47" i="45"/>
  <c r="H68" i="45" s="1"/>
  <c r="H45" i="45"/>
  <c r="H37" i="45"/>
  <c r="H31" i="45"/>
  <c r="H30" i="45"/>
  <c r="H29" i="45"/>
  <c r="H28" i="45"/>
  <c r="H27" i="45"/>
  <c r="H26" i="45"/>
  <c r="H25" i="45"/>
  <c r="H24" i="45"/>
  <c r="H23" i="45"/>
  <c r="H22" i="45"/>
  <c r="H21" i="45"/>
  <c r="H20" i="45"/>
  <c r="H19" i="45"/>
  <c r="H18" i="45"/>
  <c r="H39" i="45" s="1"/>
  <c r="H16" i="45"/>
  <c r="H10" i="45"/>
  <c r="H240" i="47"/>
  <c r="H234" i="47"/>
  <c r="H233" i="47"/>
  <c r="H232" i="47"/>
  <c r="H231" i="47"/>
  <c r="H230" i="47"/>
  <c r="H229" i="47"/>
  <c r="H228" i="47"/>
  <c r="H227" i="47"/>
  <c r="H226" i="47"/>
  <c r="H225" i="47"/>
  <c r="H224" i="47"/>
  <c r="H223" i="47"/>
  <c r="H222" i="47"/>
  <c r="H221" i="47"/>
  <c r="H211" i="47"/>
  <c r="H205" i="47"/>
  <c r="H204" i="47"/>
  <c r="H203" i="47"/>
  <c r="H202" i="47"/>
  <c r="H201" i="47"/>
  <c r="H200" i="47"/>
  <c r="H199" i="47"/>
  <c r="H198" i="47"/>
  <c r="H197" i="47"/>
  <c r="H196" i="47"/>
  <c r="H195" i="47"/>
  <c r="H194" i="47"/>
  <c r="H193" i="47"/>
  <c r="H192" i="47"/>
  <c r="H182" i="47"/>
  <c r="H176" i="47"/>
  <c r="H175" i="47"/>
  <c r="H174" i="47"/>
  <c r="H173" i="47"/>
  <c r="H172" i="47"/>
  <c r="H171" i="47"/>
  <c r="H170" i="47"/>
  <c r="H169" i="47"/>
  <c r="H168" i="47"/>
  <c r="H167" i="47"/>
  <c r="H166" i="47"/>
  <c r="H165" i="47"/>
  <c r="H164" i="47"/>
  <c r="H163" i="47"/>
  <c r="H153" i="47"/>
  <c r="H147" i="47"/>
  <c r="H146" i="47"/>
  <c r="H145" i="47"/>
  <c r="H144" i="47"/>
  <c r="H143" i="47"/>
  <c r="H142" i="47"/>
  <c r="H141" i="47"/>
  <c r="H140" i="47"/>
  <c r="H139" i="47"/>
  <c r="H138" i="47"/>
  <c r="H137" i="47"/>
  <c r="H136" i="47"/>
  <c r="H135" i="47"/>
  <c r="H134" i="47"/>
  <c r="H124" i="47"/>
  <c r="H118" i="47"/>
  <c r="H117" i="47"/>
  <c r="H116" i="47"/>
  <c r="H115" i="47"/>
  <c r="H114" i="47"/>
  <c r="H113" i="47"/>
  <c r="H112" i="47"/>
  <c r="H111" i="47"/>
  <c r="H110" i="47"/>
  <c r="H109" i="47"/>
  <c r="H108" i="47"/>
  <c r="H107" i="47"/>
  <c r="H106" i="47"/>
  <c r="H105" i="47"/>
  <c r="H95" i="47"/>
  <c r="H89" i="47"/>
  <c r="H88" i="47"/>
  <c r="H87" i="47"/>
  <c r="H86" i="47"/>
  <c r="H85" i="47"/>
  <c r="H84" i="47"/>
  <c r="H83" i="47"/>
  <c r="H82" i="47"/>
  <c r="H81" i="47"/>
  <c r="H80" i="47"/>
  <c r="H79" i="47"/>
  <c r="H78" i="47"/>
  <c r="H77" i="47"/>
  <c r="H76" i="47"/>
  <c r="H66" i="47"/>
  <c r="H60" i="47"/>
  <c r="H59" i="47"/>
  <c r="H58" i="47"/>
  <c r="H57" i="47"/>
  <c r="H56" i="47"/>
  <c r="H55" i="47"/>
  <c r="H54" i="47"/>
  <c r="H53" i="47"/>
  <c r="H52" i="47"/>
  <c r="H51" i="47"/>
  <c r="H50" i="47"/>
  <c r="H49" i="47"/>
  <c r="H48" i="47"/>
  <c r="H47" i="47"/>
  <c r="H37" i="47"/>
  <c r="H31" i="47"/>
  <c r="H30" i="47"/>
  <c r="H29" i="47"/>
  <c r="H28" i="47"/>
  <c r="H27" i="47"/>
  <c r="H26" i="47"/>
  <c r="H25" i="47"/>
  <c r="H24" i="47"/>
  <c r="H23" i="47"/>
  <c r="H22" i="47"/>
  <c r="H21" i="47"/>
  <c r="H20" i="47"/>
  <c r="H19" i="47"/>
  <c r="H18" i="47"/>
  <c r="H160" i="46"/>
  <c r="H159" i="46"/>
  <c r="H158" i="46"/>
  <c r="H157" i="46"/>
  <c r="H156" i="46"/>
  <c r="H155" i="46"/>
  <c r="H154" i="46"/>
  <c r="H153" i="46"/>
  <c r="H152" i="46"/>
  <c r="H151" i="46"/>
  <c r="H162" i="46" s="1"/>
  <c r="H149" i="46"/>
  <c r="H141" i="46"/>
  <c r="H140" i="46"/>
  <c r="H139" i="46"/>
  <c r="H138" i="46"/>
  <c r="H137" i="46"/>
  <c r="H136" i="46"/>
  <c r="H135" i="46"/>
  <c r="H134" i="46"/>
  <c r="H133" i="46"/>
  <c r="H132" i="46"/>
  <c r="H143" i="46" s="1"/>
  <c r="H130" i="46"/>
  <c r="H122" i="46"/>
  <c r="H121" i="46"/>
  <c r="H120" i="46"/>
  <c r="H119" i="46"/>
  <c r="H118" i="46"/>
  <c r="H117" i="46"/>
  <c r="H116" i="46"/>
  <c r="H115" i="46"/>
  <c r="H114" i="46"/>
  <c r="H113" i="46"/>
  <c r="H124" i="46" s="1"/>
  <c r="H111" i="46"/>
  <c r="H103" i="46"/>
  <c r="H102" i="46"/>
  <c r="H101" i="46"/>
  <c r="H100" i="46"/>
  <c r="H99" i="46"/>
  <c r="H98" i="46"/>
  <c r="H97" i="46"/>
  <c r="H96" i="46"/>
  <c r="H95" i="46"/>
  <c r="H94" i="46"/>
  <c r="H105" i="46" s="1"/>
  <c r="H92" i="46"/>
  <c r="H84" i="46"/>
  <c r="H83" i="46"/>
  <c r="H82" i="46"/>
  <c r="H81" i="46"/>
  <c r="H80" i="46"/>
  <c r="H79" i="46"/>
  <c r="H78" i="46"/>
  <c r="H77" i="46"/>
  <c r="H76" i="46"/>
  <c r="H75" i="46"/>
  <c r="H86" i="46" s="1"/>
  <c r="H73" i="46"/>
  <c r="H65" i="46"/>
  <c r="H64" i="46"/>
  <c r="H63" i="46"/>
  <c r="H62" i="46"/>
  <c r="H61" i="46"/>
  <c r="H60" i="46"/>
  <c r="H59" i="46"/>
  <c r="H58" i="46"/>
  <c r="H57" i="46"/>
  <c r="H56" i="46"/>
  <c r="H67" i="46" s="1"/>
  <c r="H54" i="46"/>
  <c r="H46" i="46"/>
  <c r="H45" i="46"/>
  <c r="H44" i="46"/>
  <c r="H43" i="46"/>
  <c r="H42" i="46"/>
  <c r="H41" i="46"/>
  <c r="H40" i="46"/>
  <c r="H39" i="46"/>
  <c r="H38" i="46"/>
  <c r="H37" i="46"/>
  <c r="H48" i="46" s="1"/>
  <c r="H35" i="46"/>
  <c r="H27" i="46"/>
  <c r="H26" i="46"/>
  <c r="H25" i="46"/>
  <c r="H24" i="46"/>
  <c r="H23" i="46"/>
  <c r="H22" i="46"/>
  <c r="H21" i="46"/>
  <c r="H20" i="46"/>
  <c r="H19" i="46"/>
  <c r="H18" i="46"/>
  <c r="H29" i="46" s="1"/>
  <c r="H16" i="46"/>
  <c r="H10" i="46"/>
  <c r="H160" i="33"/>
  <c r="H159" i="33"/>
  <c r="H158" i="33"/>
  <c r="H157" i="33"/>
  <c r="H156" i="33"/>
  <c r="H155" i="33"/>
  <c r="H154" i="33"/>
  <c r="H153" i="33"/>
  <c r="H152" i="33"/>
  <c r="H151" i="33"/>
  <c r="H162" i="33" s="1"/>
  <c r="H149" i="33"/>
  <c r="H141" i="33"/>
  <c r="H140" i="33"/>
  <c r="H139" i="33"/>
  <c r="H138" i="33"/>
  <c r="H137" i="33"/>
  <c r="H136" i="33"/>
  <c r="H135" i="33"/>
  <c r="H134" i="33"/>
  <c r="H133" i="33"/>
  <c r="H132" i="33"/>
  <c r="H143" i="33" s="1"/>
  <c r="H130" i="33"/>
  <c r="H122" i="33"/>
  <c r="H121" i="33"/>
  <c r="H120" i="33"/>
  <c r="H119" i="33"/>
  <c r="H118" i="33"/>
  <c r="H117" i="33"/>
  <c r="H116" i="33"/>
  <c r="H115" i="33"/>
  <c r="H114" i="33"/>
  <c r="H113" i="33"/>
  <c r="H124" i="33" s="1"/>
  <c r="H111" i="33"/>
  <c r="H103" i="33"/>
  <c r="H102" i="33"/>
  <c r="H101" i="33"/>
  <c r="H100" i="33"/>
  <c r="H99" i="33"/>
  <c r="H98" i="33"/>
  <c r="H97" i="33"/>
  <c r="H96" i="33"/>
  <c r="H95" i="33"/>
  <c r="H94" i="33"/>
  <c r="H105" i="33" s="1"/>
  <c r="H92" i="33"/>
  <c r="H84" i="33"/>
  <c r="H83" i="33"/>
  <c r="H82" i="33"/>
  <c r="H81" i="33"/>
  <c r="H80" i="33"/>
  <c r="H79" i="33"/>
  <c r="H78" i="33"/>
  <c r="H77" i="33"/>
  <c r="H76" i="33"/>
  <c r="H75" i="33"/>
  <c r="H86" i="33" s="1"/>
  <c r="H73" i="33"/>
  <c r="H65" i="33"/>
  <c r="H64" i="33"/>
  <c r="H63" i="33"/>
  <c r="H62" i="33"/>
  <c r="H61" i="33"/>
  <c r="H60" i="33"/>
  <c r="H59" i="33"/>
  <c r="H58" i="33"/>
  <c r="H57" i="33"/>
  <c r="H56" i="33"/>
  <c r="H67" i="33" s="1"/>
  <c r="H54" i="33"/>
  <c r="H46" i="33"/>
  <c r="H45" i="33"/>
  <c r="H44" i="33"/>
  <c r="H43" i="33"/>
  <c r="H42" i="33"/>
  <c r="H41" i="33"/>
  <c r="H40" i="33"/>
  <c r="H39" i="33"/>
  <c r="H38" i="33"/>
  <c r="H37" i="33"/>
  <c r="H48" i="33" s="1"/>
  <c r="H35" i="33"/>
  <c r="H27" i="33"/>
  <c r="H26" i="33"/>
  <c r="H25" i="33"/>
  <c r="H24" i="33"/>
  <c r="H23" i="33"/>
  <c r="H22" i="33"/>
  <c r="H21" i="33"/>
  <c r="H20" i="33"/>
  <c r="H19" i="33"/>
  <c r="H18" i="33"/>
  <c r="H29" i="33" s="1"/>
  <c r="H16" i="33"/>
  <c r="H10" i="33"/>
  <c r="H160" i="38"/>
  <c r="H159" i="38"/>
  <c r="H158" i="38"/>
  <c r="H157" i="38"/>
  <c r="H156" i="38"/>
  <c r="H155" i="38"/>
  <c r="H154" i="38"/>
  <c r="H153" i="38"/>
  <c r="H152" i="38"/>
  <c r="H151" i="38"/>
  <c r="H141" i="38"/>
  <c r="H140" i="38"/>
  <c r="H139" i="38"/>
  <c r="H138" i="38"/>
  <c r="H137" i="38"/>
  <c r="H136" i="38"/>
  <c r="H135" i="38"/>
  <c r="H134" i="38"/>
  <c r="H133" i="38"/>
  <c r="H132" i="38"/>
  <c r="H122" i="38"/>
  <c r="H121" i="38"/>
  <c r="H120" i="38"/>
  <c r="H119" i="38"/>
  <c r="H118" i="38"/>
  <c r="H117" i="38"/>
  <c r="H116" i="38"/>
  <c r="H115" i="38"/>
  <c r="H114" i="38"/>
  <c r="H113" i="38"/>
  <c r="H103" i="38"/>
  <c r="H102" i="38"/>
  <c r="H101" i="38"/>
  <c r="H100" i="38"/>
  <c r="H99" i="38"/>
  <c r="H98" i="38"/>
  <c r="H97" i="38"/>
  <c r="H96" i="38"/>
  <c r="H95" i="38"/>
  <c r="H94" i="38"/>
  <c r="H84" i="38"/>
  <c r="H83" i="38"/>
  <c r="H82" i="38"/>
  <c r="H81" i="38"/>
  <c r="H80" i="38"/>
  <c r="H79" i="38"/>
  <c r="H78" i="38"/>
  <c r="H77" i="38"/>
  <c r="H76" i="38"/>
  <c r="H75" i="38"/>
  <c r="H65" i="38"/>
  <c r="H64" i="38"/>
  <c r="H63" i="38"/>
  <c r="H62" i="38"/>
  <c r="H61" i="38"/>
  <c r="H60" i="38"/>
  <c r="H59" i="38"/>
  <c r="H58" i="38"/>
  <c r="H57" i="38"/>
  <c r="H56" i="38"/>
  <c r="H46" i="38"/>
  <c r="H45" i="38"/>
  <c r="H44" i="38"/>
  <c r="H43" i="38"/>
  <c r="H42" i="38"/>
  <c r="H41" i="38"/>
  <c r="H40" i="38"/>
  <c r="H39" i="38"/>
  <c r="H38" i="38"/>
  <c r="H37" i="38"/>
  <c r="H27" i="38"/>
  <c r="H26" i="38"/>
  <c r="H25" i="38"/>
  <c r="H24" i="38"/>
  <c r="H23" i="38"/>
  <c r="H22" i="38"/>
  <c r="H21" i="38"/>
  <c r="H20" i="38"/>
  <c r="H19" i="38"/>
  <c r="H18" i="38"/>
  <c r="H162" i="39"/>
  <c r="H161" i="39"/>
  <c r="H160" i="39"/>
  <c r="H159" i="39"/>
  <c r="H158" i="39"/>
  <c r="H156" i="39"/>
  <c r="H148" i="39"/>
  <c r="H147" i="39"/>
  <c r="H146" i="39"/>
  <c r="H145" i="39"/>
  <c r="H144" i="39"/>
  <c r="H142" i="39"/>
  <c r="H134" i="39"/>
  <c r="H133" i="39"/>
  <c r="H132" i="39"/>
  <c r="H131" i="39"/>
  <c r="H130" i="39"/>
  <c r="H128" i="39"/>
  <c r="H120" i="39"/>
  <c r="H119" i="39"/>
  <c r="H118" i="39"/>
  <c r="H117" i="39"/>
  <c r="H116" i="39"/>
  <c r="H114" i="39"/>
  <c r="H106" i="39"/>
  <c r="H105" i="39"/>
  <c r="H104" i="39"/>
  <c r="H103" i="39"/>
  <c r="H102" i="39"/>
  <c r="H100" i="39"/>
  <c r="H92" i="39"/>
  <c r="H91" i="39"/>
  <c r="H90" i="39"/>
  <c r="H89" i="39"/>
  <c r="H88" i="39"/>
  <c r="H86" i="39"/>
  <c r="H78" i="39"/>
  <c r="H77" i="39"/>
  <c r="H76" i="39"/>
  <c r="H75" i="39"/>
  <c r="H74" i="39"/>
  <c r="H72" i="39"/>
  <c r="H64" i="39"/>
  <c r="H63" i="39"/>
  <c r="H62" i="39"/>
  <c r="H61" i="39"/>
  <c r="H60" i="39"/>
  <c r="H58" i="39"/>
  <c r="H50" i="39"/>
  <c r="H49" i="39"/>
  <c r="H48" i="39"/>
  <c r="H47" i="39"/>
  <c r="H46" i="39"/>
  <c r="H44" i="39"/>
  <c r="H36" i="39"/>
  <c r="H35" i="39"/>
  <c r="H34" i="39"/>
  <c r="H33" i="39"/>
  <c r="H32" i="39"/>
  <c r="H30" i="39"/>
  <c r="H20" i="39"/>
  <c r="H19" i="39"/>
  <c r="H18" i="39"/>
  <c r="H17" i="39"/>
  <c r="H16" i="39"/>
  <c r="H14" i="39"/>
  <c r="H10" i="39"/>
  <c r="H162" i="42"/>
  <c r="H161" i="42"/>
  <c r="H160" i="42"/>
  <c r="H159" i="42"/>
  <c r="H158" i="42"/>
  <c r="H156" i="42"/>
  <c r="H148" i="42"/>
  <c r="H147" i="42"/>
  <c r="H146" i="42"/>
  <c r="H145" i="42"/>
  <c r="H144" i="42"/>
  <c r="H142" i="42"/>
  <c r="H134" i="42"/>
  <c r="H133" i="42"/>
  <c r="H132" i="42"/>
  <c r="H131" i="42"/>
  <c r="H130" i="42"/>
  <c r="H128" i="42"/>
  <c r="H120" i="42"/>
  <c r="H119" i="42"/>
  <c r="H118" i="42"/>
  <c r="H117" i="42"/>
  <c r="H116" i="42"/>
  <c r="H114" i="42"/>
  <c r="H106" i="42"/>
  <c r="H105" i="42"/>
  <c r="H104" i="42"/>
  <c r="H103" i="42"/>
  <c r="H102" i="42"/>
  <c r="H100" i="42"/>
  <c r="H92" i="42"/>
  <c r="H91" i="42"/>
  <c r="H90" i="42"/>
  <c r="H89" i="42"/>
  <c r="H88" i="42"/>
  <c r="H86" i="42"/>
  <c r="H78" i="42"/>
  <c r="H77" i="42"/>
  <c r="H76" i="42"/>
  <c r="H75" i="42"/>
  <c r="H74" i="42"/>
  <c r="H72" i="42"/>
  <c r="H64" i="42"/>
  <c r="H63" i="42"/>
  <c r="H62" i="42"/>
  <c r="H61" i="42"/>
  <c r="H60" i="42"/>
  <c r="H58" i="42"/>
  <c r="H50" i="42"/>
  <c r="H49" i="42"/>
  <c r="H48" i="42"/>
  <c r="H47" i="42"/>
  <c r="H46" i="42"/>
  <c r="H44" i="42"/>
  <c r="H36" i="42"/>
  <c r="H35" i="42"/>
  <c r="H34" i="42"/>
  <c r="H33" i="42"/>
  <c r="H32" i="42"/>
  <c r="H30" i="42"/>
  <c r="H20" i="42"/>
  <c r="H19" i="42"/>
  <c r="H18" i="42"/>
  <c r="H17" i="42"/>
  <c r="H16" i="42"/>
  <c r="H14" i="42"/>
  <c r="H10" i="42"/>
  <c r="H162" i="34"/>
  <c r="H161" i="34"/>
  <c r="H160" i="34"/>
  <c r="H159" i="34"/>
  <c r="H158" i="34"/>
  <c r="H148" i="34"/>
  <c r="H147" i="34"/>
  <c r="H146" i="34"/>
  <c r="H145" i="34"/>
  <c r="H144" i="34"/>
  <c r="H134" i="34"/>
  <c r="H133" i="34"/>
  <c r="H132" i="34"/>
  <c r="H131" i="34"/>
  <c r="H130" i="34"/>
  <c r="H120" i="34"/>
  <c r="H119" i="34"/>
  <c r="H118" i="34"/>
  <c r="H117" i="34"/>
  <c r="H116" i="34"/>
  <c r="H106" i="34"/>
  <c r="H105" i="34"/>
  <c r="H104" i="34"/>
  <c r="H103" i="34"/>
  <c r="H102" i="34"/>
  <c r="H92" i="34"/>
  <c r="H91" i="34"/>
  <c r="H90" i="34"/>
  <c r="H89" i="34"/>
  <c r="H88" i="34"/>
  <c r="H78" i="34"/>
  <c r="H77" i="34"/>
  <c r="H76" i="34"/>
  <c r="H75" i="34"/>
  <c r="H74" i="34"/>
  <c r="H64" i="34"/>
  <c r="H63" i="34"/>
  <c r="H62" i="34"/>
  <c r="H61" i="34"/>
  <c r="H60" i="34"/>
  <c r="H50" i="34"/>
  <c r="H49" i="34"/>
  <c r="H48" i="34"/>
  <c r="H47" i="34"/>
  <c r="H46" i="34"/>
  <c r="H36" i="34"/>
  <c r="H35" i="34"/>
  <c r="H34" i="34"/>
  <c r="H33" i="34"/>
  <c r="H32" i="34"/>
  <c r="H20" i="34"/>
  <c r="H19" i="34"/>
  <c r="H18" i="34"/>
  <c r="H17" i="34"/>
  <c r="H16" i="34"/>
  <c r="U23" i="44"/>
  <c r="F18" i="44"/>
  <c r="H39" i="32" l="1"/>
  <c r="D162" i="42" l="1"/>
  <c r="D161" i="42"/>
  <c r="D160" i="42"/>
  <c r="D159" i="42"/>
  <c r="D158" i="42"/>
  <c r="D148" i="42"/>
  <c r="D147" i="42"/>
  <c r="D146" i="42"/>
  <c r="D145" i="42"/>
  <c r="D144" i="42"/>
  <c r="D134" i="42"/>
  <c r="D133" i="42"/>
  <c r="D132" i="42"/>
  <c r="D131" i="42"/>
  <c r="D130" i="42"/>
  <c r="D120" i="42"/>
  <c r="D119" i="42"/>
  <c r="D118" i="42"/>
  <c r="D117" i="42"/>
  <c r="D116" i="42"/>
  <c r="D106" i="42"/>
  <c r="D105" i="42"/>
  <c r="D104" i="42"/>
  <c r="D103" i="42"/>
  <c r="D102" i="42"/>
  <c r="D92" i="42"/>
  <c r="D91" i="42"/>
  <c r="D90" i="42"/>
  <c r="D89" i="42"/>
  <c r="D88" i="42"/>
  <c r="D78" i="42"/>
  <c r="D77" i="42"/>
  <c r="D76" i="42"/>
  <c r="D75" i="42"/>
  <c r="D74" i="42"/>
  <c r="D64" i="42"/>
  <c r="D63" i="42"/>
  <c r="D62" i="42"/>
  <c r="D61" i="42"/>
  <c r="D60" i="42"/>
  <c r="D50" i="42"/>
  <c r="D49" i="42"/>
  <c r="D48" i="42"/>
  <c r="D47" i="42"/>
  <c r="D46" i="42"/>
  <c r="D36" i="42"/>
  <c r="D35" i="42"/>
  <c r="D34" i="42"/>
  <c r="D33" i="42"/>
  <c r="D32" i="42"/>
  <c r="D20" i="42"/>
  <c r="D19" i="42"/>
  <c r="D18" i="42"/>
  <c r="D17" i="42"/>
  <c r="D16" i="42"/>
  <c r="D20" i="34"/>
  <c r="D19" i="34"/>
  <c r="D18" i="34"/>
  <c r="D17" i="34"/>
  <c r="D16" i="34"/>
  <c r="D20" i="39"/>
  <c r="D19" i="39"/>
  <c r="D18" i="39"/>
  <c r="D17" i="39"/>
  <c r="D16" i="39"/>
  <c r="G20" i="39" l="1"/>
  <c r="G19" i="39"/>
  <c r="G18" i="39"/>
  <c r="G17" i="39"/>
  <c r="G16" i="39"/>
  <c r="G22" i="39" s="1"/>
  <c r="F22" i="39"/>
  <c r="G14" i="39"/>
  <c r="F14" i="39"/>
  <c r="E14" i="39"/>
  <c r="G20" i="34"/>
  <c r="G19" i="34"/>
  <c r="G18" i="34"/>
  <c r="G17" i="34"/>
  <c r="G16" i="34"/>
  <c r="G22" i="34" s="1"/>
  <c r="F22" i="34"/>
  <c r="H14" i="34"/>
  <c r="G14" i="34"/>
  <c r="F14" i="34"/>
  <c r="E14" i="34"/>
  <c r="G20" i="42"/>
  <c r="F20" i="42"/>
  <c r="G19" i="42"/>
  <c r="F19" i="42"/>
  <c r="G18" i="42"/>
  <c r="F18" i="42"/>
  <c r="G17" i="42"/>
  <c r="F17" i="42"/>
  <c r="G16" i="42"/>
  <c r="G22" i="42" s="1"/>
  <c r="F16" i="42"/>
  <c r="F22" i="42" s="1"/>
  <c r="G14" i="42"/>
  <c r="F14" i="42"/>
  <c r="E14" i="42"/>
  <c r="M13" i="31"/>
  <c r="L13" i="31"/>
  <c r="K13" i="31"/>
  <c r="U87" i="44"/>
  <c r="U68" i="44"/>
  <c r="U89" i="44" l="1"/>
  <c r="F87" i="44"/>
  <c r="H85" i="44"/>
  <c r="G85" i="44"/>
  <c r="D85" i="44"/>
  <c r="H84" i="44"/>
  <c r="G84" i="44"/>
  <c r="D84" i="44"/>
  <c r="H83" i="44"/>
  <c r="G83" i="44"/>
  <c r="D83" i="44"/>
  <c r="H82" i="44"/>
  <c r="G82" i="44"/>
  <c r="D82" i="44"/>
  <c r="H81" i="44"/>
  <c r="G81" i="44"/>
  <c r="D81" i="44"/>
  <c r="H80" i="44"/>
  <c r="G80" i="44"/>
  <c r="D80" i="44"/>
  <c r="H79" i="44"/>
  <c r="G79" i="44"/>
  <c r="D79" i="44"/>
  <c r="H78" i="44"/>
  <c r="G78" i="44"/>
  <c r="D78" i="44"/>
  <c r="H77" i="44"/>
  <c r="G77" i="44"/>
  <c r="D77" i="44"/>
  <c r="H76" i="44"/>
  <c r="H87" i="44" s="1"/>
  <c r="G76" i="44"/>
  <c r="G87" i="44" s="1"/>
  <c r="D76" i="44"/>
  <c r="H74" i="44"/>
  <c r="G74" i="44"/>
  <c r="F74" i="44"/>
  <c r="E74" i="44"/>
  <c r="G57" i="44"/>
  <c r="G68" i="44" s="1"/>
  <c r="H57" i="44"/>
  <c r="H68" i="44" s="1"/>
  <c r="G58" i="44"/>
  <c r="H58" i="44"/>
  <c r="G59" i="44"/>
  <c r="H59" i="44"/>
  <c r="G60" i="44"/>
  <c r="H60" i="44"/>
  <c r="G61" i="44"/>
  <c r="H61" i="44"/>
  <c r="G62" i="44"/>
  <c r="H62" i="44"/>
  <c r="G63" i="44"/>
  <c r="H63" i="44"/>
  <c r="G64" i="44"/>
  <c r="H64" i="44"/>
  <c r="G65" i="44"/>
  <c r="H65" i="44"/>
  <c r="G66" i="44"/>
  <c r="H66" i="44"/>
  <c r="G44" i="44"/>
  <c r="H44" i="44"/>
  <c r="G45" i="44"/>
  <c r="H45" i="44"/>
  <c r="G46" i="44"/>
  <c r="H46" i="44"/>
  <c r="G47" i="44"/>
  <c r="H47" i="44"/>
  <c r="G31" i="44"/>
  <c r="H31" i="44"/>
  <c r="G32" i="44"/>
  <c r="H32" i="44"/>
  <c r="G33" i="44"/>
  <c r="H33" i="44"/>
  <c r="G34" i="44"/>
  <c r="H34" i="44"/>
  <c r="U70" i="44"/>
  <c r="F68" i="44"/>
  <c r="D66" i="44"/>
  <c r="D65" i="44"/>
  <c r="D64" i="44"/>
  <c r="D63" i="44"/>
  <c r="D62" i="44"/>
  <c r="D61" i="44"/>
  <c r="D60" i="44"/>
  <c r="D59" i="44"/>
  <c r="D58" i="44"/>
  <c r="D57" i="44"/>
  <c r="H55" i="44"/>
  <c r="G55" i="44"/>
  <c r="F55" i="44"/>
  <c r="E55" i="44"/>
  <c r="F53" i="31"/>
  <c r="E53" i="31"/>
  <c r="G52" i="31"/>
  <c r="H52" i="31"/>
  <c r="D34" i="31"/>
  <c r="A89" i="44" l="1"/>
  <c r="A70" i="44"/>
  <c r="D21" i="44" l="1"/>
  <c r="D20" i="44"/>
  <c r="D19" i="44"/>
  <c r="D18" i="44"/>
  <c r="D47" i="44" l="1"/>
  <c r="D46" i="44"/>
  <c r="D45" i="44"/>
  <c r="D44" i="44"/>
  <c r="D34" i="44"/>
  <c r="D33" i="44"/>
  <c r="D32" i="44"/>
  <c r="D31" i="44"/>
  <c r="E154" i="4" l="1"/>
  <c r="E144" i="4"/>
  <c r="G141" i="38" l="1"/>
  <c r="G140" i="38"/>
  <c r="G139" i="38"/>
  <c r="T138" i="38"/>
  <c r="S138" i="38"/>
  <c r="R138" i="38"/>
  <c r="Q138" i="38"/>
  <c r="P138" i="38"/>
  <c r="O138" i="38"/>
  <c r="N138" i="38"/>
  <c r="M138" i="38"/>
  <c r="L138" i="38"/>
  <c r="K138" i="38"/>
  <c r="J138" i="38"/>
  <c r="G138" i="38"/>
  <c r="T137" i="38"/>
  <c r="S137" i="38"/>
  <c r="R137" i="38"/>
  <c r="Q137" i="38"/>
  <c r="P137" i="38"/>
  <c r="O137" i="38"/>
  <c r="N137" i="38"/>
  <c r="M137" i="38"/>
  <c r="L137" i="38"/>
  <c r="K137" i="38"/>
  <c r="J137" i="38"/>
  <c r="G137" i="38"/>
  <c r="T136" i="38"/>
  <c r="S136" i="38"/>
  <c r="R136" i="38"/>
  <c r="Q136" i="38"/>
  <c r="P136" i="38"/>
  <c r="O136" i="38"/>
  <c r="N136" i="38"/>
  <c r="M136" i="38"/>
  <c r="L136" i="38"/>
  <c r="K136" i="38"/>
  <c r="J136" i="38"/>
  <c r="G136" i="38"/>
  <c r="T135" i="38"/>
  <c r="S135" i="38"/>
  <c r="R135" i="38"/>
  <c r="Q135" i="38"/>
  <c r="P135" i="38"/>
  <c r="O135" i="38"/>
  <c r="N135" i="38"/>
  <c r="M135" i="38"/>
  <c r="L135" i="38"/>
  <c r="K135" i="38"/>
  <c r="J135" i="38"/>
  <c r="G135" i="38"/>
  <c r="T134" i="38"/>
  <c r="S134" i="38"/>
  <c r="R134" i="38"/>
  <c r="Q134" i="38"/>
  <c r="P134" i="38"/>
  <c r="O134" i="38"/>
  <c r="N134" i="38"/>
  <c r="M134" i="38"/>
  <c r="L134" i="38"/>
  <c r="K134" i="38"/>
  <c r="J134" i="38"/>
  <c r="G134" i="38"/>
  <c r="T133" i="38"/>
  <c r="S133" i="38"/>
  <c r="R133" i="38"/>
  <c r="Q133" i="38"/>
  <c r="P133" i="38"/>
  <c r="O133" i="38"/>
  <c r="N133" i="38"/>
  <c r="M133" i="38"/>
  <c r="L133" i="38"/>
  <c r="K133" i="38"/>
  <c r="J133" i="38"/>
  <c r="G133" i="38"/>
  <c r="T132" i="38"/>
  <c r="S132" i="38"/>
  <c r="R132" i="38"/>
  <c r="Q132" i="38"/>
  <c r="P132" i="38"/>
  <c r="O132" i="38"/>
  <c r="N132" i="38"/>
  <c r="M132" i="38"/>
  <c r="L132" i="38"/>
  <c r="K132" i="38"/>
  <c r="J132" i="38"/>
  <c r="H143" i="38"/>
  <c r="G132" i="38"/>
  <c r="G143" i="38" s="1"/>
  <c r="F143" i="38"/>
  <c r="H130" i="38"/>
  <c r="G130" i="38"/>
  <c r="F130" i="38"/>
  <c r="E130" i="38"/>
  <c r="D130" i="38"/>
  <c r="D143" i="38" s="1"/>
  <c r="G122" i="38"/>
  <c r="G121" i="38"/>
  <c r="G120" i="38"/>
  <c r="T119" i="38"/>
  <c r="S119" i="38"/>
  <c r="R119" i="38"/>
  <c r="Q119" i="38"/>
  <c r="P119" i="38"/>
  <c r="O119" i="38"/>
  <c r="N119" i="38"/>
  <c r="M119" i="38"/>
  <c r="L119" i="38"/>
  <c r="K119" i="38"/>
  <c r="J119" i="38"/>
  <c r="G119" i="38"/>
  <c r="T118" i="38"/>
  <c r="S118" i="38"/>
  <c r="R118" i="38"/>
  <c r="Q118" i="38"/>
  <c r="P118" i="38"/>
  <c r="O118" i="38"/>
  <c r="N118" i="38"/>
  <c r="M118" i="38"/>
  <c r="L118" i="38"/>
  <c r="K118" i="38"/>
  <c r="J118" i="38"/>
  <c r="G118" i="38"/>
  <c r="T117" i="38"/>
  <c r="S117" i="38"/>
  <c r="R117" i="38"/>
  <c r="Q117" i="38"/>
  <c r="P117" i="38"/>
  <c r="O117" i="38"/>
  <c r="N117" i="38"/>
  <c r="M117" i="38"/>
  <c r="L117" i="38"/>
  <c r="K117" i="38"/>
  <c r="J117" i="38"/>
  <c r="G117" i="38"/>
  <c r="T116" i="38"/>
  <c r="S116" i="38"/>
  <c r="R116" i="38"/>
  <c r="Q116" i="38"/>
  <c r="P116" i="38"/>
  <c r="O116" i="38"/>
  <c r="N116" i="38"/>
  <c r="M116" i="38"/>
  <c r="L116" i="38"/>
  <c r="K116" i="38"/>
  <c r="J116" i="38"/>
  <c r="G116" i="38"/>
  <c r="T115" i="38"/>
  <c r="S115" i="38"/>
  <c r="R115" i="38"/>
  <c r="Q115" i="38"/>
  <c r="P115" i="38"/>
  <c r="O115" i="38"/>
  <c r="N115" i="38"/>
  <c r="M115" i="38"/>
  <c r="L115" i="38"/>
  <c r="K115" i="38"/>
  <c r="J115" i="38"/>
  <c r="G115" i="38"/>
  <c r="T114" i="38"/>
  <c r="S114" i="38"/>
  <c r="R114" i="38"/>
  <c r="Q114" i="38"/>
  <c r="P114" i="38"/>
  <c r="O114" i="38"/>
  <c r="N114" i="38"/>
  <c r="M114" i="38"/>
  <c r="L114" i="38"/>
  <c r="K114" i="38"/>
  <c r="J114" i="38"/>
  <c r="G114" i="38"/>
  <c r="T113" i="38"/>
  <c r="S113" i="38"/>
  <c r="R113" i="38"/>
  <c r="Q113" i="38"/>
  <c r="P113" i="38"/>
  <c r="O113" i="38"/>
  <c r="N113" i="38"/>
  <c r="M113" i="38"/>
  <c r="L113" i="38"/>
  <c r="K113" i="38"/>
  <c r="J113" i="38"/>
  <c r="H124" i="38"/>
  <c r="G113" i="38"/>
  <c r="G124" i="38" s="1"/>
  <c r="F124" i="38"/>
  <c r="H111" i="38"/>
  <c r="G111" i="38"/>
  <c r="F111" i="38"/>
  <c r="E111" i="38"/>
  <c r="D111" i="38"/>
  <c r="D124" i="38" s="1"/>
  <c r="D147" i="37"/>
  <c r="D148" i="37"/>
  <c r="D149" i="37"/>
  <c r="D150" i="37"/>
  <c r="D151" i="37"/>
  <c r="D152" i="37"/>
  <c r="D153" i="37"/>
  <c r="D156" i="37"/>
  <c r="D146" i="37"/>
  <c r="T158" i="37"/>
  <c r="T160" i="37" s="1"/>
  <c r="S158" i="37"/>
  <c r="S160" i="37" s="1"/>
  <c r="R158" i="37"/>
  <c r="R160" i="37" s="1"/>
  <c r="Q158" i="37"/>
  <c r="Q160" i="37" s="1"/>
  <c r="P158" i="37"/>
  <c r="P160" i="37" s="1"/>
  <c r="N158" i="37"/>
  <c r="M158" i="37"/>
  <c r="L158" i="37"/>
  <c r="K158" i="37"/>
  <c r="J158" i="37"/>
  <c r="G156" i="37"/>
  <c r="G153" i="37"/>
  <c r="G152" i="37"/>
  <c r="G151" i="37"/>
  <c r="G150" i="37"/>
  <c r="G149" i="37"/>
  <c r="G148" i="37"/>
  <c r="G147" i="37"/>
  <c r="H158" i="37"/>
  <c r="G146" i="37"/>
  <c r="G158" i="37" s="1"/>
  <c r="F158" i="37"/>
  <c r="H144" i="37"/>
  <c r="G144" i="37"/>
  <c r="F144" i="37"/>
  <c r="E144" i="37"/>
  <c r="D144" i="37"/>
  <c r="D158" i="37" s="1"/>
  <c r="D127" i="37"/>
  <c r="D128" i="37"/>
  <c r="D129" i="37"/>
  <c r="D130" i="37"/>
  <c r="D131" i="37"/>
  <c r="D132" i="37"/>
  <c r="D133" i="37"/>
  <c r="D136" i="37"/>
  <c r="D126" i="37"/>
  <c r="G136" i="37"/>
  <c r="G133" i="37"/>
  <c r="G132" i="37"/>
  <c r="G131" i="37"/>
  <c r="G130" i="37"/>
  <c r="G129" i="37"/>
  <c r="G128" i="37"/>
  <c r="G127" i="37"/>
  <c r="H138" i="37"/>
  <c r="G126" i="37"/>
  <c r="G138" i="37" s="1"/>
  <c r="F138" i="37"/>
  <c r="H124" i="37"/>
  <c r="G124" i="37"/>
  <c r="F124" i="37"/>
  <c r="E124" i="37"/>
  <c r="D124" i="37"/>
  <c r="D138" i="37" s="1"/>
  <c r="J160" i="37" l="1"/>
  <c r="J162" i="37"/>
  <c r="M160" i="37"/>
  <c r="N160" i="37"/>
  <c r="L160" i="37"/>
  <c r="K160" i="37"/>
  <c r="N24" i="31" l="1"/>
  <c r="N23" i="31"/>
  <c r="D174" i="37"/>
  <c r="D67" i="31" s="1"/>
  <c r="G174" i="37"/>
  <c r="D175" i="37"/>
  <c r="D68" i="31" s="1"/>
  <c r="G175" i="37"/>
  <c r="D178" i="37"/>
  <c r="D71" i="31" s="1"/>
  <c r="G178" i="37"/>
  <c r="D110" i="37"/>
  <c r="G110" i="37"/>
  <c r="D111" i="37"/>
  <c r="G111" i="37"/>
  <c r="D114" i="37"/>
  <c r="G114" i="37"/>
  <c r="D88" i="37"/>
  <c r="G88" i="37"/>
  <c r="D89" i="37"/>
  <c r="G89" i="37"/>
  <c r="D92" i="37"/>
  <c r="G92" i="37"/>
  <c r="D66" i="37"/>
  <c r="G66" i="37"/>
  <c r="D67" i="37"/>
  <c r="G67" i="37"/>
  <c r="D70" i="37"/>
  <c r="G70" i="37"/>
  <c r="D44" i="37"/>
  <c r="G44" i="37"/>
  <c r="D45" i="37"/>
  <c r="G45" i="37"/>
  <c r="D48" i="37"/>
  <c r="G48" i="37"/>
  <c r="G24" i="37"/>
  <c r="G25" i="37"/>
  <c r="G28" i="37"/>
  <c r="E19" i="45" l="1"/>
  <c r="E20" i="45" s="1"/>
  <c r="E21" i="45" s="1"/>
  <c r="E22" i="45" s="1"/>
  <c r="E23" i="45" s="1"/>
  <c r="E24" i="45" s="1"/>
  <c r="E25" i="45" s="1"/>
  <c r="E26" i="45" s="1"/>
  <c r="E27" i="45" s="1"/>
  <c r="E28" i="45" s="1"/>
  <c r="E29" i="45" s="1"/>
  <c r="E30" i="45" s="1"/>
  <c r="E31" i="45" s="1"/>
  <c r="E193" i="45"/>
  <c r="E194" i="45" s="1"/>
  <c r="E195" i="45" s="1"/>
  <c r="E196" i="45" s="1"/>
  <c r="E197" i="45" s="1"/>
  <c r="E198" i="45" s="1"/>
  <c r="E199" i="45" s="1"/>
  <c r="E200" i="45" s="1"/>
  <c r="E201" i="45" s="1"/>
  <c r="E202" i="45" s="1"/>
  <c r="E203" i="45" s="1"/>
  <c r="E204" i="45" s="1"/>
  <c r="E205" i="45" s="1"/>
  <c r="E135" i="45"/>
  <c r="E136" i="45" s="1"/>
  <c r="E137" i="45" s="1"/>
  <c r="E138" i="45" s="1"/>
  <c r="E139" i="45" s="1"/>
  <c r="E140" i="45" s="1"/>
  <c r="E141" i="45" s="1"/>
  <c r="E142" i="45" s="1"/>
  <c r="E143" i="45" s="1"/>
  <c r="E144" i="45" s="1"/>
  <c r="E145" i="45" s="1"/>
  <c r="E146" i="45" s="1"/>
  <c r="E147" i="45" s="1"/>
  <c r="E106" i="45"/>
  <c r="E107" i="45" s="1"/>
  <c r="E108" i="45" s="1"/>
  <c r="E109" i="45" s="1"/>
  <c r="E110" i="45" s="1"/>
  <c r="E111" i="45" s="1"/>
  <c r="E112" i="45" s="1"/>
  <c r="E113" i="45" s="1"/>
  <c r="E114" i="45" s="1"/>
  <c r="E115" i="45" s="1"/>
  <c r="E116" i="45" s="1"/>
  <c r="E117" i="45" s="1"/>
  <c r="E118" i="45" s="1"/>
  <c r="E77" i="45"/>
  <c r="E78" i="45" s="1"/>
  <c r="E79" i="45" s="1"/>
  <c r="E80" i="45" s="1"/>
  <c r="E81" i="45" s="1"/>
  <c r="E82" i="45" s="1"/>
  <c r="E83" i="45" s="1"/>
  <c r="E84" i="45" s="1"/>
  <c r="E85" i="45" s="1"/>
  <c r="E86" i="45" s="1"/>
  <c r="E87" i="45" s="1"/>
  <c r="E88" i="45" s="1"/>
  <c r="E89" i="45" s="1"/>
  <c r="E48" i="45"/>
  <c r="E49" i="45" s="1"/>
  <c r="E50" i="45" s="1"/>
  <c r="E51" i="45" s="1"/>
  <c r="E52" i="45" s="1"/>
  <c r="E53" i="45" s="1"/>
  <c r="E54" i="45" s="1"/>
  <c r="E55" i="45" s="1"/>
  <c r="E56" i="45" s="1"/>
  <c r="E57" i="45" s="1"/>
  <c r="E58" i="45" s="1"/>
  <c r="E59" i="45" s="1"/>
  <c r="E60" i="45" s="1"/>
  <c r="D149" i="38"/>
  <c r="D162" i="38" s="1"/>
  <c r="D92" i="38"/>
  <c r="D105" i="38" s="1"/>
  <c r="D73" i="38"/>
  <c r="D86" i="38" s="1"/>
  <c r="D54" i="38"/>
  <c r="D67" i="38" s="1"/>
  <c r="D35" i="38"/>
  <c r="D48" i="38" s="1"/>
  <c r="D29" i="38"/>
  <c r="D29" i="33"/>
  <c r="D149" i="33"/>
  <c r="D162" i="33" s="1"/>
  <c r="D130" i="33"/>
  <c r="D143" i="33" s="1"/>
  <c r="D111" i="33"/>
  <c r="D124" i="33" s="1"/>
  <c r="D92" i="33"/>
  <c r="D105" i="33" s="1"/>
  <c r="D73" i="33"/>
  <c r="D86" i="33" s="1"/>
  <c r="D54" i="33"/>
  <c r="D67" i="33" s="1"/>
  <c r="D35" i="33"/>
  <c r="D48" i="33" s="1"/>
  <c r="D149" i="46"/>
  <c r="D162" i="46" s="1"/>
  <c r="D130" i="46"/>
  <c r="D143" i="46" s="1"/>
  <c r="D111" i="46"/>
  <c r="D124" i="46" s="1"/>
  <c r="D92" i="46"/>
  <c r="D73" i="46"/>
  <c r="D86" i="46" s="1"/>
  <c r="D54" i="46"/>
  <c r="D67" i="46" s="1"/>
  <c r="D35" i="46"/>
  <c r="D48" i="46" s="1"/>
  <c r="D105" i="46"/>
  <c r="D29" i="46"/>
  <c r="E193" i="47"/>
  <c r="E194" i="47" s="1"/>
  <c r="E195" i="47" s="1"/>
  <c r="E196" i="47" s="1"/>
  <c r="E197" i="47" s="1"/>
  <c r="E198" i="47" s="1"/>
  <c r="E199" i="47" s="1"/>
  <c r="E200" i="47" s="1"/>
  <c r="E201" i="47" s="1"/>
  <c r="E202" i="47" s="1"/>
  <c r="E203" i="47" s="1"/>
  <c r="E204" i="47" s="1"/>
  <c r="E205" i="47" s="1"/>
  <c r="E135" i="47"/>
  <c r="E136" i="47" s="1"/>
  <c r="E137" i="47" s="1"/>
  <c r="E138" i="47" s="1"/>
  <c r="E139" i="47" s="1"/>
  <c r="E140" i="47" s="1"/>
  <c r="E141" i="47" s="1"/>
  <c r="E142" i="47" s="1"/>
  <c r="E143" i="47" s="1"/>
  <c r="E144" i="47" s="1"/>
  <c r="E145" i="47" s="1"/>
  <c r="E146" i="47" s="1"/>
  <c r="E147" i="47" s="1"/>
  <c r="E106" i="47"/>
  <c r="E107" i="47" s="1"/>
  <c r="E108" i="47" s="1"/>
  <c r="E109" i="47" s="1"/>
  <c r="E110" i="47" s="1"/>
  <c r="E111" i="47" s="1"/>
  <c r="E112" i="47" s="1"/>
  <c r="E113" i="47" s="1"/>
  <c r="E114" i="47" s="1"/>
  <c r="E115" i="47" s="1"/>
  <c r="E116" i="47" s="1"/>
  <c r="E117" i="47" s="1"/>
  <c r="E118" i="47" s="1"/>
  <c r="E77" i="47"/>
  <c r="E78" i="47" s="1"/>
  <c r="E79" i="47" s="1"/>
  <c r="E80" i="47" s="1"/>
  <c r="E81" i="47" s="1"/>
  <c r="E82" i="47" s="1"/>
  <c r="E83" i="47" s="1"/>
  <c r="E84" i="47" s="1"/>
  <c r="E85" i="47" s="1"/>
  <c r="E86" i="47" s="1"/>
  <c r="E87" i="47" s="1"/>
  <c r="E88" i="47" s="1"/>
  <c r="E89" i="47" s="1"/>
  <c r="E48" i="47"/>
  <c r="E49" i="47" s="1"/>
  <c r="E50" i="47" s="1"/>
  <c r="E51" i="47" s="1"/>
  <c r="E52" i="47" s="1"/>
  <c r="E53" i="47" s="1"/>
  <c r="E54" i="47" s="1"/>
  <c r="E55" i="47" s="1"/>
  <c r="E56" i="47" s="1"/>
  <c r="E57" i="47" s="1"/>
  <c r="E58" i="47" s="1"/>
  <c r="E59" i="47" s="1"/>
  <c r="E60" i="47" s="1"/>
  <c r="E19" i="47"/>
  <c r="E20" i="47" s="1"/>
  <c r="E21" i="47" s="1"/>
  <c r="E22" i="47" s="1"/>
  <c r="E23" i="47" s="1"/>
  <c r="E24" i="47" s="1"/>
  <c r="E25" i="47" s="1"/>
  <c r="E26" i="47" s="1"/>
  <c r="E27" i="47" s="1"/>
  <c r="E28" i="47" s="1"/>
  <c r="E29" i="47" s="1"/>
  <c r="E30" i="47" s="1"/>
  <c r="E31" i="47" s="1"/>
  <c r="D219" i="47"/>
  <c r="D242" i="47" s="1"/>
  <c r="D190" i="47"/>
  <c r="D213" i="47" s="1"/>
  <c r="D161" i="47"/>
  <c r="D184" i="47" s="1"/>
  <c r="D132" i="47"/>
  <c r="D155" i="47" s="1"/>
  <c r="D103" i="47"/>
  <c r="D126" i="47" s="1"/>
  <c r="D74" i="47"/>
  <c r="D97" i="47" s="1"/>
  <c r="D45" i="47"/>
  <c r="D68" i="47" s="1"/>
  <c r="D39" i="47"/>
  <c r="D219" i="45"/>
  <c r="D242" i="45" s="1"/>
  <c r="D190" i="45"/>
  <c r="D213" i="45" s="1"/>
  <c r="D161" i="45"/>
  <c r="D184" i="45" s="1"/>
  <c r="D132" i="45"/>
  <c r="D155" i="45" s="1"/>
  <c r="D103" i="45"/>
  <c r="D126" i="45" s="1"/>
  <c r="D74" i="45"/>
  <c r="D97" i="45" s="1"/>
  <c r="D45" i="45"/>
  <c r="D68" i="45" s="1"/>
  <c r="D39" i="45"/>
  <c r="D73" i="31"/>
  <c r="D166" i="37"/>
  <c r="D180" i="37" s="1"/>
  <c r="D102" i="37"/>
  <c r="D116" i="37" s="1"/>
  <c r="D80" i="37"/>
  <c r="D94" i="37" s="1"/>
  <c r="D58" i="37"/>
  <c r="D72" i="37" s="1"/>
  <c r="D36" i="37"/>
  <c r="D50" i="37" s="1"/>
  <c r="D30" i="37"/>
  <c r="D229" i="32"/>
  <c r="D252" i="32" s="1"/>
  <c r="D198" i="32"/>
  <c r="D221" i="32" s="1"/>
  <c r="D169" i="32"/>
  <c r="D192" i="32" s="1"/>
  <c r="D138" i="32"/>
  <c r="D161" i="32" s="1"/>
  <c r="D107" i="32"/>
  <c r="D130" i="32" s="1"/>
  <c r="D76" i="32"/>
  <c r="D99" i="32" s="1"/>
  <c r="D45" i="32"/>
  <c r="D68" i="32" s="1"/>
  <c r="D39" i="32"/>
  <c r="D21" i="25"/>
  <c r="D15" i="28"/>
  <c r="D13" i="28"/>
  <c r="E66" i="45" l="1"/>
  <c r="E61" i="45"/>
  <c r="E62" i="45" s="1"/>
  <c r="E64" i="45" s="1"/>
  <c r="E65" i="45" s="1"/>
  <c r="E37" i="47"/>
  <c r="E32" i="47"/>
  <c r="E33" i="47" s="1"/>
  <c r="E153" i="47"/>
  <c r="E148" i="47"/>
  <c r="E149" i="47" s="1"/>
  <c r="E95" i="45"/>
  <c r="E90" i="45"/>
  <c r="E91" i="45" s="1"/>
  <c r="E93" i="45" s="1"/>
  <c r="E94" i="45" s="1"/>
  <c r="E37" i="45"/>
  <c r="E32" i="45"/>
  <c r="E33" i="45" s="1"/>
  <c r="E35" i="45" s="1"/>
  <c r="E36" i="45" s="1"/>
  <c r="E124" i="47"/>
  <c r="E119" i="47"/>
  <c r="E120" i="47" s="1"/>
  <c r="E211" i="45"/>
  <c r="E206" i="45"/>
  <c r="E207" i="45" s="1"/>
  <c r="E209" i="45" s="1"/>
  <c r="E210" i="45" s="1"/>
  <c r="E66" i="47"/>
  <c r="E61" i="47"/>
  <c r="E62" i="47" s="1"/>
  <c r="E211" i="47"/>
  <c r="E206" i="47"/>
  <c r="E207" i="47" s="1"/>
  <c r="E124" i="45"/>
  <c r="E119" i="45"/>
  <c r="E120" i="45" s="1"/>
  <c r="E122" i="45" s="1"/>
  <c r="E123" i="45" s="1"/>
  <c r="E95" i="47"/>
  <c r="E90" i="47"/>
  <c r="E91" i="47" s="1"/>
  <c r="E153" i="45"/>
  <c r="E148" i="45"/>
  <c r="E149" i="45" s="1"/>
  <c r="E151" i="45" s="1"/>
  <c r="E152" i="45" s="1"/>
  <c r="D22" i="28"/>
  <c r="D21" i="28"/>
  <c r="D20" i="28"/>
  <c r="D25" i="25"/>
  <c r="D24" i="25"/>
  <c r="D23" i="25"/>
  <c r="T9" i="42"/>
  <c r="S9" i="42"/>
  <c r="R9" i="42"/>
  <c r="Q9" i="42"/>
  <c r="P9" i="42"/>
  <c r="O9" i="42"/>
  <c r="N9" i="42"/>
  <c r="M9" i="42"/>
  <c r="L9" i="42"/>
  <c r="K9" i="42"/>
  <c r="J9" i="42"/>
  <c r="T211" i="47"/>
  <c r="S211" i="47"/>
  <c r="R211" i="47"/>
  <c r="Q211" i="47"/>
  <c r="P211" i="47"/>
  <c r="N211" i="47"/>
  <c r="M211" i="47"/>
  <c r="L211" i="47"/>
  <c r="K211" i="47"/>
  <c r="J211" i="47"/>
  <c r="T205" i="47"/>
  <c r="S205" i="47"/>
  <c r="R205" i="47"/>
  <c r="Q205" i="47"/>
  <c r="P205" i="47"/>
  <c r="N205" i="47"/>
  <c r="M205" i="47"/>
  <c r="L205" i="47"/>
  <c r="K205" i="47"/>
  <c r="T204" i="47"/>
  <c r="S204" i="47"/>
  <c r="R204" i="47"/>
  <c r="Q204" i="47"/>
  <c r="P204" i="47"/>
  <c r="N204" i="47"/>
  <c r="M204" i="47"/>
  <c r="L204" i="47"/>
  <c r="K204" i="47"/>
  <c r="T203" i="47"/>
  <c r="S203" i="47"/>
  <c r="R203" i="47"/>
  <c r="Q203" i="47"/>
  <c r="P203" i="47"/>
  <c r="N203" i="47"/>
  <c r="M203" i="47"/>
  <c r="L203" i="47"/>
  <c r="K203" i="47"/>
  <c r="T202" i="47"/>
  <c r="S202" i="47"/>
  <c r="R202" i="47"/>
  <c r="Q202" i="47"/>
  <c r="P202" i="47"/>
  <c r="N202" i="47"/>
  <c r="M202" i="47"/>
  <c r="L202" i="47"/>
  <c r="K202" i="47"/>
  <c r="T201" i="47"/>
  <c r="S201" i="47"/>
  <c r="R201" i="47"/>
  <c r="Q201" i="47"/>
  <c r="P201" i="47"/>
  <c r="N201" i="47"/>
  <c r="M201" i="47"/>
  <c r="L201" i="47"/>
  <c r="K201" i="47"/>
  <c r="T200" i="47"/>
  <c r="S200" i="47"/>
  <c r="R200" i="47"/>
  <c r="Q200" i="47"/>
  <c r="P200" i="47"/>
  <c r="N200" i="47"/>
  <c r="M200" i="47"/>
  <c r="L200" i="47"/>
  <c r="K200" i="47"/>
  <c r="T199" i="47"/>
  <c r="S199" i="47"/>
  <c r="R199" i="47"/>
  <c r="Q199" i="47"/>
  <c r="P199" i="47"/>
  <c r="N199" i="47"/>
  <c r="M199" i="47"/>
  <c r="L199" i="47"/>
  <c r="K199" i="47"/>
  <c r="T198" i="47"/>
  <c r="S198" i="47"/>
  <c r="R198" i="47"/>
  <c r="Q198" i="47"/>
  <c r="P198" i="47"/>
  <c r="N198" i="47"/>
  <c r="M198" i="47"/>
  <c r="L198" i="47"/>
  <c r="K198" i="47"/>
  <c r="T194" i="47"/>
  <c r="S194" i="47"/>
  <c r="R194" i="47"/>
  <c r="Q194" i="47"/>
  <c r="P194" i="47"/>
  <c r="N194" i="47"/>
  <c r="M194" i="47"/>
  <c r="L194" i="47"/>
  <c r="K194" i="47"/>
  <c r="T192" i="47"/>
  <c r="S192" i="47"/>
  <c r="R192" i="47"/>
  <c r="Q192" i="47"/>
  <c r="P192" i="47"/>
  <c r="N192" i="47"/>
  <c r="M192" i="47"/>
  <c r="L192" i="47"/>
  <c r="K192" i="47"/>
  <c r="O153" i="47"/>
  <c r="N153" i="47"/>
  <c r="M153" i="47"/>
  <c r="L153" i="47"/>
  <c r="K153" i="47"/>
  <c r="J153" i="47"/>
  <c r="G240" i="47"/>
  <c r="G234" i="47"/>
  <c r="G233" i="47"/>
  <c r="G232" i="47"/>
  <c r="G231" i="47"/>
  <c r="G230" i="47"/>
  <c r="G229" i="47"/>
  <c r="G228" i="47"/>
  <c r="G227" i="47"/>
  <c r="G226" i="47"/>
  <c r="G225" i="47"/>
  <c r="G224" i="47"/>
  <c r="G223" i="47"/>
  <c r="G222" i="47"/>
  <c r="H242" i="47"/>
  <c r="G221" i="47"/>
  <c r="G242" i="47" s="1"/>
  <c r="F242" i="47"/>
  <c r="H219" i="47"/>
  <c r="G219" i="47"/>
  <c r="F219" i="47"/>
  <c r="E219" i="47"/>
  <c r="G211" i="47"/>
  <c r="G205" i="47"/>
  <c r="G204" i="47"/>
  <c r="G203" i="47"/>
  <c r="G202" i="47"/>
  <c r="G201" i="47"/>
  <c r="G200" i="47"/>
  <c r="G199" i="47"/>
  <c r="G198" i="47"/>
  <c r="G197" i="47"/>
  <c r="G196" i="47"/>
  <c r="G195" i="47"/>
  <c r="G194" i="47"/>
  <c r="G193" i="47"/>
  <c r="H213" i="47"/>
  <c r="G192" i="47"/>
  <c r="G213" i="47" s="1"/>
  <c r="F213" i="47"/>
  <c r="H190" i="47"/>
  <c r="G190" i="47"/>
  <c r="F190" i="47"/>
  <c r="E190" i="47"/>
  <c r="G182" i="47"/>
  <c r="G176" i="47"/>
  <c r="G175" i="47"/>
  <c r="G174" i="47"/>
  <c r="G173" i="47"/>
  <c r="G172" i="47"/>
  <c r="G171" i="47"/>
  <c r="G170" i="47"/>
  <c r="G169" i="47"/>
  <c r="G168" i="47"/>
  <c r="G167" i="47"/>
  <c r="G166" i="47"/>
  <c r="G165" i="47"/>
  <c r="G164" i="47"/>
  <c r="H184" i="47"/>
  <c r="G163" i="47"/>
  <c r="G184" i="47" s="1"/>
  <c r="F184" i="47"/>
  <c r="H161" i="47"/>
  <c r="G161" i="47"/>
  <c r="F161" i="47"/>
  <c r="E161" i="47"/>
  <c r="G153" i="47"/>
  <c r="G147" i="47"/>
  <c r="G146" i="47"/>
  <c r="G145" i="47"/>
  <c r="G144" i="47"/>
  <c r="G143" i="47"/>
  <c r="G142" i="47"/>
  <c r="G141" i="47"/>
  <c r="G140" i="47"/>
  <c r="G139" i="47"/>
  <c r="G138" i="47"/>
  <c r="G137" i="47"/>
  <c r="G136" i="47"/>
  <c r="G135" i="47"/>
  <c r="H155" i="47"/>
  <c r="G134" i="47"/>
  <c r="G155" i="47" s="1"/>
  <c r="F155" i="47"/>
  <c r="H132" i="47"/>
  <c r="G132" i="47"/>
  <c r="F132" i="47"/>
  <c r="E132" i="47"/>
  <c r="G124" i="47"/>
  <c r="G118" i="47"/>
  <c r="G117" i="47"/>
  <c r="G116" i="47"/>
  <c r="G115" i="47"/>
  <c r="G114" i="47"/>
  <c r="G113" i="47"/>
  <c r="G112" i="47"/>
  <c r="G111" i="47"/>
  <c r="G110" i="47"/>
  <c r="G109" i="47"/>
  <c r="G108" i="47"/>
  <c r="G107" i="47"/>
  <c r="G106" i="47"/>
  <c r="H126" i="47"/>
  <c r="G105" i="47"/>
  <c r="G126" i="47" s="1"/>
  <c r="F126" i="47"/>
  <c r="H103" i="47"/>
  <c r="G103" i="47"/>
  <c r="F103" i="47"/>
  <c r="E103" i="47"/>
  <c r="G95" i="47"/>
  <c r="G89" i="47"/>
  <c r="G88" i="47"/>
  <c r="G87" i="47"/>
  <c r="G86" i="47"/>
  <c r="G85" i="47"/>
  <c r="G84" i="47"/>
  <c r="G83" i="47"/>
  <c r="G82" i="47"/>
  <c r="G81" i="47"/>
  <c r="G80" i="47"/>
  <c r="G79" i="47"/>
  <c r="G78" i="47"/>
  <c r="G77" i="47"/>
  <c r="H97" i="47"/>
  <c r="G76" i="47"/>
  <c r="G97" i="47" s="1"/>
  <c r="F97" i="47"/>
  <c r="H74" i="47"/>
  <c r="G74" i="47"/>
  <c r="F74" i="47"/>
  <c r="E74" i="47"/>
  <c r="G66" i="47"/>
  <c r="G60" i="47"/>
  <c r="G59" i="47"/>
  <c r="G58" i="47"/>
  <c r="G57" i="47"/>
  <c r="G56" i="47"/>
  <c r="G55" i="47"/>
  <c r="G54" i="47"/>
  <c r="G53" i="47"/>
  <c r="G52" i="47"/>
  <c r="G51" i="47"/>
  <c r="G50" i="47"/>
  <c r="G49" i="47"/>
  <c r="G48" i="47"/>
  <c r="H68" i="47"/>
  <c r="G47" i="47"/>
  <c r="G68" i="47" s="1"/>
  <c r="F68" i="47"/>
  <c r="H45" i="47"/>
  <c r="G45" i="47"/>
  <c r="F45" i="47"/>
  <c r="E45" i="47"/>
  <c r="G37" i="47"/>
  <c r="D37" i="47"/>
  <c r="D66" i="47" s="1"/>
  <c r="G31" i="47"/>
  <c r="D31" i="47"/>
  <c r="G30" i="47"/>
  <c r="D30" i="47"/>
  <c r="D59" i="47" s="1"/>
  <c r="G29" i="47"/>
  <c r="D29" i="47"/>
  <c r="G28" i="47"/>
  <c r="D28" i="47"/>
  <c r="D57" i="47" s="1"/>
  <c r="G27" i="47"/>
  <c r="D27" i="47"/>
  <c r="G26" i="47"/>
  <c r="D26" i="47"/>
  <c r="D55" i="47" s="1"/>
  <c r="G25" i="47"/>
  <c r="D25" i="47"/>
  <c r="G24" i="47"/>
  <c r="D24" i="47"/>
  <c r="D53" i="47" s="1"/>
  <c r="G23" i="47"/>
  <c r="D23" i="47"/>
  <c r="G22" i="47"/>
  <c r="D22" i="47"/>
  <c r="G21" i="47"/>
  <c r="D21" i="47"/>
  <c r="G20" i="47"/>
  <c r="D20" i="47"/>
  <c r="G19" i="47"/>
  <c r="D19" i="47"/>
  <c r="H39" i="47"/>
  <c r="G18" i="47"/>
  <c r="G39" i="47" s="1"/>
  <c r="F39" i="47"/>
  <c r="D18" i="47"/>
  <c r="H16" i="47"/>
  <c r="G16" i="47"/>
  <c r="F16" i="47"/>
  <c r="E16" i="47"/>
  <c r="H10" i="47"/>
  <c r="G10" i="47"/>
  <c r="F10" i="47"/>
  <c r="E10" i="47"/>
  <c r="B10" i="47"/>
  <c r="T9" i="47"/>
  <c r="S9" i="47"/>
  <c r="R9" i="47"/>
  <c r="Q9" i="47"/>
  <c r="P9" i="47"/>
  <c r="O9" i="47"/>
  <c r="N9" i="47"/>
  <c r="M9" i="47"/>
  <c r="L9" i="47"/>
  <c r="K9" i="47"/>
  <c r="J9" i="47"/>
  <c r="B9" i="47"/>
  <c r="B8" i="47"/>
  <c r="B7" i="47"/>
  <c r="B6" i="47"/>
  <c r="B5" i="47"/>
  <c r="B4" i="47"/>
  <c r="B3" i="47"/>
  <c r="G160" i="46"/>
  <c r="E160" i="46"/>
  <c r="G159" i="46"/>
  <c r="E159" i="46"/>
  <c r="G158" i="46"/>
  <c r="E158" i="46"/>
  <c r="G157" i="46"/>
  <c r="E157" i="46"/>
  <c r="G156" i="46"/>
  <c r="E156" i="46"/>
  <c r="G155" i="46"/>
  <c r="E155" i="46"/>
  <c r="G154" i="46"/>
  <c r="E154" i="46"/>
  <c r="G153" i="46"/>
  <c r="E153" i="46"/>
  <c r="G152" i="46"/>
  <c r="E152" i="46"/>
  <c r="G151" i="46"/>
  <c r="G162" i="46" s="1"/>
  <c r="F162" i="46"/>
  <c r="E151" i="46"/>
  <c r="G149" i="46"/>
  <c r="F149" i="46"/>
  <c r="E149" i="46"/>
  <c r="G141" i="46"/>
  <c r="E141" i="46"/>
  <c r="G140" i="46"/>
  <c r="E140" i="46"/>
  <c r="G139" i="46"/>
  <c r="E139" i="46"/>
  <c r="G138" i="46"/>
  <c r="E138" i="46"/>
  <c r="G137" i="46"/>
  <c r="E137" i="46"/>
  <c r="G136" i="46"/>
  <c r="E136" i="46"/>
  <c r="G135" i="46"/>
  <c r="E135" i="46"/>
  <c r="G134" i="46"/>
  <c r="E134" i="46"/>
  <c r="G133" i="46"/>
  <c r="E133" i="46"/>
  <c r="G132" i="46"/>
  <c r="G143" i="46" s="1"/>
  <c r="F143" i="46"/>
  <c r="E132" i="46"/>
  <c r="G130" i="46"/>
  <c r="F130" i="46"/>
  <c r="E130" i="46"/>
  <c r="G122" i="46"/>
  <c r="E122" i="46"/>
  <c r="G121" i="46"/>
  <c r="E121" i="46"/>
  <c r="G120" i="46"/>
  <c r="E120" i="46"/>
  <c r="G119" i="46"/>
  <c r="E119" i="46"/>
  <c r="G118" i="46"/>
  <c r="E118" i="46"/>
  <c r="G117" i="46"/>
  <c r="E117" i="46"/>
  <c r="G116" i="46"/>
  <c r="E116" i="46"/>
  <c r="G115" i="46"/>
  <c r="E115" i="46"/>
  <c r="G114" i="46"/>
  <c r="E114" i="46"/>
  <c r="G113" i="46"/>
  <c r="G124" i="46" s="1"/>
  <c r="F124" i="46"/>
  <c r="E113" i="46"/>
  <c r="G111" i="46"/>
  <c r="F111" i="46"/>
  <c r="E111" i="46"/>
  <c r="G103" i="46"/>
  <c r="E103" i="46"/>
  <c r="G102" i="46"/>
  <c r="E102" i="46"/>
  <c r="G101" i="46"/>
  <c r="E101" i="46"/>
  <c r="G100" i="46"/>
  <c r="E100" i="46"/>
  <c r="G99" i="46"/>
  <c r="E99" i="46"/>
  <c r="G98" i="46"/>
  <c r="E98" i="46"/>
  <c r="G97" i="46"/>
  <c r="E97" i="46"/>
  <c r="G96" i="46"/>
  <c r="E96" i="46"/>
  <c r="G95" i="46"/>
  <c r="E95" i="46"/>
  <c r="G94" i="46"/>
  <c r="G105" i="46" s="1"/>
  <c r="F105" i="46"/>
  <c r="E94" i="46"/>
  <c r="G92" i="46"/>
  <c r="F92" i="46"/>
  <c r="E92" i="46"/>
  <c r="G84" i="46"/>
  <c r="E84" i="46"/>
  <c r="G83" i="46"/>
  <c r="E83" i="46"/>
  <c r="G82" i="46"/>
  <c r="E82" i="46"/>
  <c r="G81" i="46"/>
  <c r="E81" i="46"/>
  <c r="G80" i="46"/>
  <c r="E80" i="46"/>
  <c r="G79" i="46"/>
  <c r="E79" i="46"/>
  <c r="G78" i="46"/>
  <c r="E78" i="46"/>
  <c r="G77" i="46"/>
  <c r="E77" i="46"/>
  <c r="G76" i="46"/>
  <c r="E76" i="46"/>
  <c r="G75" i="46"/>
  <c r="G86" i="46" s="1"/>
  <c r="F86" i="46"/>
  <c r="E75" i="46"/>
  <c r="G73" i="46"/>
  <c r="F73" i="46"/>
  <c r="E73" i="46"/>
  <c r="G65" i="46"/>
  <c r="E65" i="46"/>
  <c r="G64" i="46"/>
  <c r="E64" i="46"/>
  <c r="G63" i="46"/>
  <c r="E63" i="46"/>
  <c r="G62" i="46"/>
  <c r="E62" i="46"/>
  <c r="G61" i="46"/>
  <c r="E61" i="46"/>
  <c r="G60" i="46"/>
  <c r="E60" i="46"/>
  <c r="G59" i="46"/>
  <c r="E59" i="46"/>
  <c r="G58" i="46"/>
  <c r="E58" i="46"/>
  <c r="G57" i="46"/>
  <c r="E57" i="46"/>
  <c r="G56" i="46"/>
  <c r="G67" i="46" s="1"/>
  <c r="F67" i="46"/>
  <c r="E56" i="46"/>
  <c r="G54" i="46"/>
  <c r="F54" i="46"/>
  <c r="E54" i="46"/>
  <c r="G46" i="46"/>
  <c r="E46" i="46"/>
  <c r="G45" i="46"/>
  <c r="E45" i="46"/>
  <c r="G44" i="46"/>
  <c r="E44" i="46"/>
  <c r="G43" i="46"/>
  <c r="E43" i="46"/>
  <c r="G42" i="46"/>
  <c r="E42" i="46"/>
  <c r="G41" i="46"/>
  <c r="E41" i="46"/>
  <c r="G40" i="46"/>
  <c r="E40" i="46"/>
  <c r="G39" i="46"/>
  <c r="E39" i="46"/>
  <c r="G38" i="46"/>
  <c r="E38" i="46"/>
  <c r="G37" i="46"/>
  <c r="G48" i="46" s="1"/>
  <c r="F48" i="46"/>
  <c r="E37" i="46"/>
  <c r="G35" i="46"/>
  <c r="F35" i="46"/>
  <c r="E35" i="46"/>
  <c r="G27" i="46"/>
  <c r="D27" i="46"/>
  <c r="G26" i="46"/>
  <c r="D26" i="46"/>
  <c r="G25" i="46"/>
  <c r="D25" i="46"/>
  <c r="D44" i="46" s="1"/>
  <c r="G24" i="46"/>
  <c r="D24" i="46"/>
  <c r="G23" i="46"/>
  <c r="D23" i="46"/>
  <c r="G22" i="46"/>
  <c r="D22" i="46"/>
  <c r="G21" i="46"/>
  <c r="D21" i="46"/>
  <c r="D40" i="46" s="1"/>
  <c r="G20" i="46"/>
  <c r="D20" i="46"/>
  <c r="D58" i="46" s="1"/>
  <c r="G19" i="46"/>
  <c r="D19" i="46"/>
  <c r="G18" i="46"/>
  <c r="G29" i="46" s="1"/>
  <c r="F29" i="46"/>
  <c r="D18" i="46"/>
  <c r="D56" i="46" s="1"/>
  <c r="G16" i="46"/>
  <c r="F16" i="46"/>
  <c r="E16" i="46"/>
  <c r="G10" i="46"/>
  <c r="F10" i="46"/>
  <c r="E10" i="46"/>
  <c r="B10" i="46"/>
  <c r="T9" i="46"/>
  <c r="S9" i="46"/>
  <c r="R9" i="46"/>
  <c r="Q9" i="46"/>
  <c r="P9" i="46"/>
  <c r="O9" i="46"/>
  <c r="N9" i="46"/>
  <c r="M9" i="46"/>
  <c r="L9" i="46"/>
  <c r="K9" i="46"/>
  <c r="J9" i="46"/>
  <c r="B9" i="46"/>
  <c r="B8" i="46"/>
  <c r="B7" i="46"/>
  <c r="B6" i="46"/>
  <c r="B5" i="46"/>
  <c r="B4" i="46"/>
  <c r="B3" i="46"/>
  <c r="E209" i="47" l="1"/>
  <c r="E210" i="47" s="1"/>
  <c r="E208" i="47"/>
  <c r="E151" i="47"/>
  <c r="E152" i="47" s="1"/>
  <c r="E150" i="47"/>
  <c r="E122" i="47"/>
  <c r="E123" i="47" s="1"/>
  <c r="E121" i="47"/>
  <c r="E93" i="47"/>
  <c r="E94" i="47" s="1"/>
  <c r="E92" i="47"/>
  <c r="E64" i="47"/>
  <c r="E65" i="47" s="1"/>
  <c r="E63" i="47"/>
  <c r="E35" i="47"/>
  <c r="E36" i="47" s="1"/>
  <c r="E34" i="47"/>
  <c r="D37" i="46"/>
  <c r="D222" i="47"/>
  <c r="D193" i="47"/>
  <c r="D164" i="47"/>
  <c r="D135" i="47"/>
  <c r="D106" i="47"/>
  <c r="D77" i="47"/>
  <c r="D48" i="47"/>
  <c r="D223" i="47"/>
  <c r="D194" i="47"/>
  <c r="D136" i="47"/>
  <c r="D165" i="47"/>
  <c r="D107" i="47"/>
  <c r="D78" i="47"/>
  <c r="D49" i="47"/>
  <c r="D221" i="47"/>
  <c r="D192" i="47"/>
  <c r="D163" i="47"/>
  <c r="D134" i="47"/>
  <c r="D105" i="47"/>
  <c r="D76" i="47"/>
  <c r="D47" i="47"/>
  <c r="D225" i="47"/>
  <c r="D196" i="47"/>
  <c r="D167" i="47"/>
  <c r="D138" i="47"/>
  <c r="D109" i="47"/>
  <c r="D80" i="47"/>
  <c r="D51" i="47"/>
  <c r="D224" i="47"/>
  <c r="D195" i="47"/>
  <c r="D137" i="47"/>
  <c r="D108" i="47"/>
  <c r="D166" i="47"/>
  <c r="D79" i="47"/>
  <c r="D226" i="47"/>
  <c r="D197" i="47"/>
  <c r="D168" i="47"/>
  <c r="D139" i="47"/>
  <c r="D110" i="47"/>
  <c r="D81" i="47"/>
  <c r="D228" i="47"/>
  <c r="D199" i="47"/>
  <c r="D170" i="47"/>
  <c r="D141" i="47"/>
  <c r="D112" i="47"/>
  <c r="D83" i="47"/>
  <c r="D230" i="47"/>
  <c r="D201" i="47"/>
  <c r="D172" i="47"/>
  <c r="D143" i="47"/>
  <c r="D114" i="47"/>
  <c r="D85" i="47"/>
  <c r="D232" i="47"/>
  <c r="D203" i="47"/>
  <c r="D174" i="47"/>
  <c r="D145" i="47"/>
  <c r="D116" i="47"/>
  <c r="D87" i="47"/>
  <c r="D234" i="47"/>
  <c r="D176" i="47"/>
  <c r="D205" i="47"/>
  <c r="D147" i="47"/>
  <c r="D118" i="47"/>
  <c r="D89" i="47"/>
  <c r="D50" i="47"/>
  <c r="D52" i="47"/>
  <c r="D54" i="47"/>
  <c r="D56" i="47"/>
  <c r="D58" i="47"/>
  <c r="D60" i="47"/>
  <c r="D227" i="47"/>
  <c r="D198" i="47"/>
  <c r="D140" i="47"/>
  <c r="D169" i="47"/>
  <c r="D111" i="47"/>
  <c r="D82" i="47"/>
  <c r="D229" i="47"/>
  <c r="D200" i="47"/>
  <c r="D142" i="47"/>
  <c r="D113" i="47"/>
  <c r="D171" i="47"/>
  <c r="D84" i="47"/>
  <c r="D231" i="47"/>
  <c r="D202" i="47"/>
  <c r="D173" i="47"/>
  <c r="D144" i="47"/>
  <c r="D115" i="47"/>
  <c r="D86" i="47"/>
  <c r="D233" i="47"/>
  <c r="D175" i="47"/>
  <c r="D204" i="47"/>
  <c r="D146" i="47"/>
  <c r="D117" i="47"/>
  <c r="D88" i="47"/>
  <c r="D240" i="47"/>
  <c r="D211" i="47"/>
  <c r="D182" i="47"/>
  <c r="D153" i="47"/>
  <c r="D124" i="47"/>
  <c r="D95" i="47"/>
  <c r="D152" i="46"/>
  <c r="D133" i="46"/>
  <c r="D114" i="46"/>
  <c r="D95" i="46"/>
  <c r="D76" i="46"/>
  <c r="D155" i="46"/>
  <c r="D136" i="46"/>
  <c r="D60" i="46"/>
  <c r="D117" i="46"/>
  <c r="D98" i="46"/>
  <c r="D79" i="46"/>
  <c r="D157" i="46"/>
  <c r="D138" i="46"/>
  <c r="D62" i="46"/>
  <c r="D119" i="46"/>
  <c r="D100" i="46"/>
  <c r="D43" i="46"/>
  <c r="D81" i="46"/>
  <c r="D160" i="46"/>
  <c r="D141" i="46"/>
  <c r="D122" i="46"/>
  <c r="D65" i="46"/>
  <c r="D103" i="46"/>
  <c r="D46" i="46"/>
  <c r="D84" i="46"/>
  <c r="D38" i="46"/>
  <c r="D39" i="46"/>
  <c r="D41" i="46"/>
  <c r="D57" i="46"/>
  <c r="D151" i="46"/>
  <c r="D132" i="46"/>
  <c r="D113" i="46"/>
  <c r="D94" i="46"/>
  <c r="D75" i="46"/>
  <c r="D153" i="46"/>
  <c r="D134" i="46"/>
  <c r="D115" i="46"/>
  <c r="D96" i="46"/>
  <c r="D77" i="46"/>
  <c r="D156" i="46"/>
  <c r="D137" i="46"/>
  <c r="D61" i="46"/>
  <c r="D118" i="46"/>
  <c r="D99" i="46"/>
  <c r="D42" i="46"/>
  <c r="D80" i="46"/>
  <c r="D159" i="46"/>
  <c r="D140" i="46"/>
  <c r="D121" i="46"/>
  <c r="D64" i="46"/>
  <c r="D102" i="46"/>
  <c r="D45" i="46"/>
  <c r="D83" i="46"/>
  <c r="D154" i="46"/>
  <c r="D135" i="46"/>
  <c r="D59" i="46"/>
  <c r="D116" i="46"/>
  <c r="D158" i="46"/>
  <c r="D139" i="46"/>
  <c r="D120" i="46"/>
  <c r="D63" i="46"/>
  <c r="D78" i="46"/>
  <c r="D82" i="46"/>
  <c r="D97" i="46"/>
  <c r="D101" i="46"/>
  <c r="G240" i="45"/>
  <c r="G234" i="45"/>
  <c r="G233" i="45"/>
  <c r="G232" i="45"/>
  <c r="G231" i="45"/>
  <c r="G230" i="45"/>
  <c r="G229" i="45"/>
  <c r="G228" i="45"/>
  <c r="G227" i="45"/>
  <c r="G226" i="45"/>
  <c r="G225" i="45"/>
  <c r="G224" i="45"/>
  <c r="G223" i="45"/>
  <c r="G222" i="45"/>
  <c r="G221" i="45"/>
  <c r="G242" i="45" s="1"/>
  <c r="F242" i="45"/>
  <c r="G219" i="45"/>
  <c r="F219" i="45"/>
  <c r="E219" i="45"/>
  <c r="G211" i="45"/>
  <c r="G205" i="45"/>
  <c r="G204" i="45"/>
  <c r="G203" i="45"/>
  <c r="G202" i="45"/>
  <c r="G201" i="45"/>
  <c r="G200" i="45"/>
  <c r="G199" i="45"/>
  <c r="G198" i="45"/>
  <c r="G197" i="45"/>
  <c r="G196" i="45"/>
  <c r="G195" i="45"/>
  <c r="G194" i="45"/>
  <c r="G193" i="45"/>
  <c r="G192" i="45"/>
  <c r="G213" i="45" s="1"/>
  <c r="F213" i="45"/>
  <c r="G190" i="45"/>
  <c r="F190" i="45"/>
  <c r="E190" i="45"/>
  <c r="J182" i="45"/>
  <c r="J240" i="45" s="1"/>
  <c r="G182" i="45"/>
  <c r="J176" i="45"/>
  <c r="J234" i="45" s="1"/>
  <c r="K31" i="45" s="1"/>
  <c r="K176" i="45" s="1"/>
  <c r="K234" i="45" s="1"/>
  <c r="L31" i="45" s="1"/>
  <c r="L176" i="45" s="1"/>
  <c r="L234" i="45" s="1"/>
  <c r="M31" i="45" s="1"/>
  <c r="M176" i="45" s="1"/>
  <c r="M234" i="45" s="1"/>
  <c r="N31" i="45" s="1"/>
  <c r="N176" i="45" s="1"/>
  <c r="N234" i="45" s="1"/>
  <c r="O31" i="45" s="1"/>
  <c r="O176" i="45" s="1"/>
  <c r="O234" i="45" s="1"/>
  <c r="P31" i="45" s="1"/>
  <c r="P176" i="45" s="1"/>
  <c r="P234" i="45" s="1"/>
  <c r="Q31" i="45" s="1"/>
  <c r="Q176" i="45" s="1"/>
  <c r="Q234" i="45" s="1"/>
  <c r="R31" i="45" s="1"/>
  <c r="R176" i="45" s="1"/>
  <c r="R234" i="45" s="1"/>
  <c r="S31" i="45" s="1"/>
  <c r="S176" i="45" s="1"/>
  <c r="S234" i="45" s="1"/>
  <c r="T31" i="45" s="1"/>
  <c r="T176" i="45" s="1"/>
  <c r="T234" i="45" s="1"/>
  <c r="G176" i="45"/>
  <c r="J175" i="45"/>
  <c r="J233" i="45" s="1"/>
  <c r="K30" i="45" s="1"/>
  <c r="K175" i="45" s="1"/>
  <c r="K233" i="45" s="1"/>
  <c r="L30" i="45" s="1"/>
  <c r="L175" i="45" s="1"/>
  <c r="L233" i="45" s="1"/>
  <c r="M30" i="45" s="1"/>
  <c r="M175" i="45" s="1"/>
  <c r="M233" i="45" s="1"/>
  <c r="N30" i="45" s="1"/>
  <c r="N175" i="45" s="1"/>
  <c r="N233" i="45" s="1"/>
  <c r="O30" i="45" s="1"/>
  <c r="O175" i="45" s="1"/>
  <c r="O233" i="45" s="1"/>
  <c r="P30" i="45" s="1"/>
  <c r="P175" i="45" s="1"/>
  <c r="P233" i="45" s="1"/>
  <c r="Q30" i="45" s="1"/>
  <c r="Q175" i="45" s="1"/>
  <c r="Q233" i="45" s="1"/>
  <c r="R30" i="45" s="1"/>
  <c r="R175" i="45" s="1"/>
  <c r="R233" i="45" s="1"/>
  <c r="S30" i="45" s="1"/>
  <c r="S175" i="45" s="1"/>
  <c r="S233" i="45" s="1"/>
  <c r="T30" i="45" s="1"/>
  <c r="T175" i="45" s="1"/>
  <c r="T233" i="45" s="1"/>
  <c r="G175" i="45"/>
  <c r="J174" i="45"/>
  <c r="J232" i="45" s="1"/>
  <c r="K29" i="45" s="1"/>
  <c r="K174" i="45" s="1"/>
  <c r="K232" i="45" s="1"/>
  <c r="L29" i="45" s="1"/>
  <c r="L174" i="45" s="1"/>
  <c r="L232" i="45" s="1"/>
  <c r="M29" i="45" s="1"/>
  <c r="M174" i="45" s="1"/>
  <c r="M232" i="45" s="1"/>
  <c r="N29" i="45" s="1"/>
  <c r="N174" i="45" s="1"/>
  <c r="N232" i="45" s="1"/>
  <c r="O29" i="45" s="1"/>
  <c r="O174" i="45" s="1"/>
  <c r="O232" i="45" s="1"/>
  <c r="P29" i="45" s="1"/>
  <c r="P174" i="45" s="1"/>
  <c r="P232" i="45" s="1"/>
  <c r="Q29" i="45" s="1"/>
  <c r="Q174" i="45" s="1"/>
  <c r="Q232" i="45" s="1"/>
  <c r="R29" i="45" s="1"/>
  <c r="R174" i="45" s="1"/>
  <c r="R232" i="45" s="1"/>
  <c r="S29" i="45" s="1"/>
  <c r="S174" i="45" s="1"/>
  <c r="S232" i="45" s="1"/>
  <c r="T29" i="45" s="1"/>
  <c r="T174" i="45" s="1"/>
  <c r="T232" i="45" s="1"/>
  <c r="G174" i="45"/>
  <c r="J173" i="45"/>
  <c r="J231" i="45" s="1"/>
  <c r="K28" i="45" s="1"/>
  <c r="K173" i="45" s="1"/>
  <c r="K231" i="45" s="1"/>
  <c r="L28" i="45" s="1"/>
  <c r="L173" i="45" s="1"/>
  <c r="L231" i="45" s="1"/>
  <c r="M28" i="45" s="1"/>
  <c r="M173" i="45" s="1"/>
  <c r="M231" i="45" s="1"/>
  <c r="N28" i="45" s="1"/>
  <c r="N173" i="45" s="1"/>
  <c r="N231" i="45" s="1"/>
  <c r="O28" i="45" s="1"/>
  <c r="O173" i="45" s="1"/>
  <c r="O231" i="45" s="1"/>
  <c r="P28" i="45" s="1"/>
  <c r="P173" i="45" s="1"/>
  <c r="P231" i="45" s="1"/>
  <c r="Q28" i="45" s="1"/>
  <c r="Q173" i="45" s="1"/>
  <c r="Q231" i="45" s="1"/>
  <c r="R28" i="45" s="1"/>
  <c r="R173" i="45" s="1"/>
  <c r="R231" i="45" s="1"/>
  <c r="S28" i="45" s="1"/>
  <c r="S173" i="45" s="1"/>
  <c r="S231" i="45" s="1"/>
  <c r="T28" i="45" s="1"/>
  <c r="T173" i="45" s="1"/>
  <c r="T231" i="45" s="1"/>
  <c r="G173" i="45"/>
  <c r="J172" i="45"/>
  <c r="J230" i="45" s="1"/>
  <c r="K27" i="45" s="1"/>
  <c r="K172" i="45" s="1"/>
  <c r="K230" i="45" s="1"/>
  <c r="L27" i="45" s="1"/>
  <c r="L172" i="45" s="1"/>
  <c r="L230" i="45" s="1"/>
  <c r="M27" i="45" s="1"/>
  <c r="M172" i="45" s="1"/>
  <c r="M230" i="45" s="1"/>
  <c r="N27" i="45" s="1"/>
  <c r="N172" i="45" s="1"/>
  <c r="N230" i="45" s="1"/>
  <c r="O27" i="45" s="1"/>
  <c r="O172" i="45" s="1"/>
  <c r="O230" i="45" s="1"/>
  <c r="P27" i="45" s="1"/>
  <c r="P172" i="45" s="1"/>
  <c r="P230" i="45" s="1"/>
  <c r="Q27" i="45" s="1"/>
  <c r="Q172" i="45" s="1"/>
  <c r="Q230" i="45" s="1"/>
  <c r="R27" i="45" s="1"/>
  <c r="R172" i="45" s="1"/>
  <c r="R230" i="45" s="1"/>
  <c r="S27" i="45" s="1"/>
  <c r="S172" i="45" s="1"/>
  <c r="S230" i="45" s="1"/>
  <c r="T27" i="45" s="1"/>
  <c r="T172" i="45" s="1"/>
  <c r="T230" i="45" s="1"/>
  <c r="G172" i="45"/>
  <c r="J171" i="45"/>
  <c r="J229" i="45" s="1"/>
  <c r="K26" i="45" s="1"/>
  <c r="K171" i="45" s="1"/>
  <c r="K229" i="45" s="1"/>
  <c r="L26" i="45" s="1"/>
  <c r="L171" i="45" s="1"/>
  <c r="L229" i="45" s="1"/>
  <c r="M26" i="45" s="1"/>
  <c r="M171" i="45" s="1"/>
  <c r="M229" i="45" s="1"/>
  <c r="N26" i="45" s="1"/>
  <c r="N171" i="45" s="1"/>
  <c r="N229" i="45" s="1"/>
  <c r="O26" i="45" s="1"/>
  <c r="O171" i="45" s="1"/>
  <c r="O229" i="45" s="1"/>
  <c r="P26" i="45" s="1"/>
  <c r="P171" i="45" s="1"/>
  <c r="P229" i="45" s="1"/>
  <c r="Q26" i="45" s="1"/>
  <c r="Q171" i="45" s="1"/>
  <c r="Q229" i="45" s="1"/>
  <c r="R26" i="45" s="1"/>
  <c r="R171" i="45" s="1"/>
  <c r="R229" i="45" s="1"/>
  <c r="S26" i="45" s="1"/>
  <c r="S171" i="45" s="1"/>
  <c r="S229" i="45" s="1"/>
  <c r="T26" i="45" s="1"/>
  <c r="T171" i="45" s="1"/>
  <c r="T229" i="45" s="1"/>
  <c r="G171" i="45"/>
  <c r="J170" i="45"/>
  <c r="J228" i="45" s="1"/>
  <c r="K25" i="45" s="1"/>
  <c r="K170" i="45" s="1"/>
  <c r="K228" i="45" s="1"/>
  <c r="L25" i="45" s="1"/>
  <c r="L170" i="45" s="1"/>
  <c r="L228" i="45" s="1"/>
  <c r="M25" i="45" s="1"/>
  <c r="M170" i="45" s="1"/>
  <c r="M228" i="45" s="1"/>
  <c r="N25" i="45" s="1"/>
  <c r="N170" i="45" s="1"/>
  <c r="N228" i="45" s="1"/>
  <c r="O25" i="45" s="1"/>
  <c r="O170" i="45" s="1"/>
  <c r="O228" i="45" s="1"/>
  <c r="P25" i="45" s="1"/>
  <c r="P170" i="45" s="1"/>
  <c r="P228" i="45" s="1"/>
  <c r="Q25" i="45" s="1"/>
  <c r="Q170" i="45" s="1"/>
  <c r="Q228" i="45" s="1"/>
  <c r="R25" i="45" s="1"/>
  <c r="R170" i="45" s="1"/>
  <c r="R228" i="45" s="1"/>
  <c r="S25" i="45" s="1"/>
  <c r="S170" i="45" s="1"/>
  <c r="S228" i="45" s="1"/>
  <c r="T25" i="45" s="1"/>
  <c r="T170" i="45" s="1"/>
  <c r="T228" i="45" s="1"/>
  <c r="G170" i="45"/>
  <c r="J169" i="45"/>
  <c r="J227" i="45" s="1"/>
  <c r="K24" i="45" s="1"/>
  <c r="K169" i="45" s="1"/>
  <c r="K227" i="45" s="1"/>
  <c r="L24" i="45" s="1"/>
  <c r="L169" i="45" s="1"/>
  <c r="L227" i="45" s="1"/>
  <c r="M24" i="45" s="1"/>
  <c r="M169" i="45" s="1"/>
  <c r="M227" i="45" s="1"/>
  <c r="N24" i="45" s="1"/>
  <c r="N169" i="45" s="1"/>
  <c r="N227" i="45" s="1"/>
  <c r="O24" i="45" s="1"/>
  <c r="O169" i="45" s="1"/>
  <c r="O227" i="45" s="1"/>
  <c r="P24" i="45" s="1"/>
  <c r="P169" i="45" s="1"/>
  <c r="P227" i="45" s="1"/>
  <c r="Q24" i="45" s="1"/>
  <c r="Q169" i="45" s="1"/>
  <c r="Q227" i="45" s="1"/>
  <c r="R24" i="45" s="1"/>
  <c r="R169" i="45" s="1"/>
  <c r="R227" i="45" s="1"/>
  <c r="S24" i="45" s="1"/>
  <c r="S169" i="45" s="1"/>
  <c r="S227" i="45" s="1"/>
  <c r="T24" i="45" s="1"/>
  <c r="T169" i="45" s="1"/>
  <c r="T227" i="45" s="1"/>
  <c r="G169" i="45"/>
  <c r="G168" i="45"/>
  <c r="G167" i="45"/>
  <c r="G166" i="45"/>
  <c r="J165" i="45"/>
  <c r="J223" i="45" s="1"/>
  <c r="K20" i="45" s="1"/>
  <c r="K165" i="45" s="1"/>
  <c r="K223" i="45" s="1"/>
  <c r="L20" i="45" s="1"/>
  <c r="L165" i="45" s="1"/>
  <c r="L223" i="45" s="1"/>
  <c r="M20" i="45" s="1"/>
  <c r="M165" i="45" s="1"/>
  <c r="M223" i="45" s="1"/>
  <c r="N20" i="45" s="1"/>
  <c r="N165" i="45" s="1"/>
  <c r="N223" i="45" s="1"/>
  <c r="O20" i="45" s="1"/>
  <c r="O165" i="45" s="1"/>
  <c r="O223" i="45" s="1"/>
  <c r="P20" i="45" s="1"/>
  <c r="P165" i="45" s="1"/>
  <c r="P223" i="45" s="1"/>
  <c r="Q20" i="45" s="1"/>
  <c r="Q165" i="45" s="1"/>
  <c r="Q223" i="45" s="1"/>
  <c r="R20" i="45" s="1"/>
  <c r="R165" i="45" s="1"/>
  <c r="R223" i="45" s="1"/>
  <c r="S20" i="45" s="1"/>
  <c r="S165" i="45" s="1"/>
  <c r="S223" i="45" s="1"/>
  <c r="T20" i="45" s="1"/>
  <c r="T165" i="45" s="1"/>
  <c r="T223" i="45" s="1"/>
  <c r="G165" i="45"/>
  <c r="G164" i="45"/>
  <c r="G163" i="45"/>
  <c r="G184" i="45" s="1"/>
  <c r="F184" i="45"/>
  <c r="G161" i="45"/>
  <c r="F161" i="45"/>
  <c r="E161" i="45"/>
  <c r="G153" i="45"/>
  <c r="G147" i="45"/>
  <c r="G146" i="45"/>
  <c r="G145" i="45"/>
  <c r="G144" i="45"/>
  <c r="G143" i="45"/>
  <c r="G142" i="45"/>
  <c r="G141" i="45"/>
  <c r="G140" i="45"/>
  <c r="G139" i="45"/>
  <c r="G138" i="45"/>
  <c r="G137" i="45"/>
  <c r="G136" i="45"/>
  <c r="G135" i="45"/>
  <c r="G134" i="45"/>
  <c r="G155" i="45" s="1"/>
  <c r="F155" i="45"/>
  <c r="G132" i="45"/>
  <c r="F132" i="45"/>
  <c r="E132" i="45"/>
  <c r="G124" i="45"/>
  <c r="G118" i="45"/>
  <c r="G117" i="45"/>
  <c r="G116" i="45"/>
  <c r="G115" i="45"/>
  <c r="G114" i="45"/>
  <c r="G113" i="45"/>
  <c r="G112" i="45"/>
  <c r="G111" i="45"/>
  <c r="G110" i="45"/>
  <c r="G109" i="45"/>
  <c r="G108" i="45"/>
  <c r="G107" i="45"/>
  <c r="G106" i="45"/>
  <c r="G105" i="45"/>
  <c r="G126" i="45" s="1"/>
  <c r="F126" i="45"/>
  <c r="G103" i="45"/>
  <c r="F103" i="45"/>
  <c r="E103" i="45"/>
  <c r="G95" i="45"/>
  <c r="G89" i="45"/>
  <c r="G88" i="45"/>
  <c r="G87" i="45"/>
  <c r="G86" i="45"/>
  <c r="G85" i="45"/>
  <c r="G84" i="45"/>
  <c r="G83" i="45"/>
  <c r="G82" i="45"/>
  <c r="G81" i="45"/>
  <c r="G80" i="45"/>
  <c r="G79" i="45"/>
  <c r="G78" i="45"/>
  <c r="G77" i="45"/>
  <c r="G76" i="45"/>
  <c r="G97" i="45" s="1"/>
  <c r="F97" i="45"/>
  <c r="G74" i="45"/>
  <c r="F74" i="45"/>
  <c r="E74" i="45"/>
  <c r="G66" i="45"/>
  <c r="G60" i="45"/>
  <c r="G59" i="45"/>
  <c r="G58" i="45"/>
  <c r="G57" i="45"/>
  <c r="G56" i="45"/>
  <c r="G55" i="45"/>
  <c r="G54" i="45"/>
  <c r="G53" i="45"/>
  <c r="G52" i="45"/>
  <c r="G51" i="45"/>
  <c r="G50" i="45"/>
  <c r="G49" i="45"/>
  <c r="G48" i="45"/>
  <c r="G47" i="45"/>
  <c r="G68" i="45" s="1"/>
  <c r="F68" i="45"/>
  <c r="G45" i="45"/>
  <c r="F45" i="45"/>
  <c r="E45" i="45"/>
  <c r="G37" i="45"/>
  <c r="D37" i="45"/>
  <c r="D66" i="45" s="1"/>
  <c r="G31" i="45"/>
  <c r="D31" i="45"/>
  <c r="D118" i="45" s="1"/>
  <c r="G30" i="45"/>
  <c r="D30" i="45"/>
  <c r="D59" i="45" s="1"/>
  <c r="G29" i="45"/>
  <c r="D29" i="45"/>
  <c r="D116" i="45" s="1"/>
  <c r="G28" i="45"/>
  <c r="D28" i="45"/>
  <c r="D57" i="45" s="1"/>
  <c r="G27" i="45"/>
  <c r="D27" i="45"/>
  <c r="D114" i="45" s="1"/>
  <c r="G26" i="45"/>
  <c r="D26" i="45"/>
  <c r="D55" i="45" s="1"/>
  <c r="G25" i="45"/>
  <c r="D25" i="45"/>
  <c r="D112" i="45" s="1"/>
  <c r="G24" i="45"/>
  <c r="D24" i="45"/>
  <c r="D53" i="45" s="1"/>
  <c r="G23" i="45"/>
  <c r="D23" i="45"/>
  <c r="D110" i="45" s="1"/>
  <c r="G22" i="45"/>
  <c r="D22" i="45"/>
  <c r="D51" i="45" s="1"/>
  <c r="G21" i="45"/>
  <c r="D21" i="45"/>
  <c r="D108" i="45" s="1"/>
  <c r="G20" i="45"/>
  <c r="D20" i="45"/>
  <c r="D49" i="45" s="1"/>
  <c r="G19" i="45"/>
  <c r="D19" i="45"/>
  <c r="D106" i="45" s="1"/>
  <c r="G18" i="45"/>
  <c r="G39" i="45" s="1"/>
  <c r="F39" i="45"/>
  <c r="D18" i="45"/>
  <c r="D47" i="45" s="1"/>
  <c r="G16" i="45"/>
  <c r="F16" i="45"/>
  <c r="E16" i="45"/>
  <c r="G10" i="45"/>
  <c r="F10" i="45"/>
  <c r="E10" i="45"/>
  <c r="B10" i="45"/>
  <c r="T9" i="45"/>
  <c r="S9" i="45"/>
  <c r="R9" i="45"/>
  <c r="Q9" i="45"/>
  <c r="P9" i="45"/>
  <c r="O9" i="45"/>
  <c r="N9" i="45"/>
  <c r="M9" i="45"/>
  <c r="L9" i="45"/>
  <c r="K9" i="45"/>
  <c r="J9" i="45"/>
  <c r="B9" i="45"/>
  <c r="B8" i="45"/>
  <c r="B7" i="45"/>
  <c r="B6" i="45"/>
  <c r="B5" i="45"/>
  <c r="B4" i="45"/>
  <c r="B3" i="45"/>
  <c r="K37" i="45" l="1"/>
  <c r="K182" i="45" s="1"/>
  <c r="K240" i="45" s="1"/>
  <c r="D165" i="45"/>
  <c r="D48" i="45"/>
  <c r="D50" i="45"/>
  <c r="D52" i="45"/>
  <c r="D54" i="45"/>
  <c r="D56" i="45"/>
  <c r="D58" i="45"/>
  <c r="D60" i="45"/>
  <c r="D221" i="45"/>
  <c r="D192" i="45"/>
  <c r="D163" i="45"/>
  <c r="D223" i="45"/>
  <c r="D194" i="45"/>
  <c r="D196" i="45"/>
  <c r="D225" i="45"/>
  <c r="D167" i="45"/>
  <c r="D227" i="45"/>
  <c r="D198" i="45"/>
  <c r="D200" i="45"/>
  <c r="D229" i="45"/>
  <c r="D171" i="45"/>
  <c r="D231" i="45"/>
  <c r="D202" i="45"/>
  <c r="D173" i="45"/>
  <c r="D204" i="45"/>
  <c r="D233" i="45"/>
  <c r="D240" i="45"/>
  <c r="D211" i="45"/>
  <c r="D182" i="45"/>
  <c r="D76" i="45"/>
  <c r="D77" i="45"/>
  <c r="D78" i="45"/>
  <c r="D79" i="45"/>
  <c r="D80" i="45"/>
  <c r="D81" i="45"/>
  <c r="D82" i="45"/>
  <c r="D83" i="45"/>
  <c r="D84" i="45"/>
  <c r="D85" i="45"/>
  <c r="D86" i="45"/>
  <c r="D87" i="45"/>
  <c r="D88" i="45"/>
  <c r="D89" i="45"/>
  <c r="D95" i="45"/>
  <c r="D175" i="45"/>
  <c r="D105" i="45"/>
  <c r="D107" i="45"/>
  <c r="D109" i="45"/>
  <c r="D111" i="45"/>
  <c r="D113" i="45"/>
  <c r="D115" i="45"/>
  <c r="D117" i="45"/>
  <c r="D124" i="45"/>
  <c r="D222" i="45"/>
  <c r="D193" i="45"/>
  <c r="D164" i="45"/>
  <c r="D224" i="45"/>
  <c r="D195" i="45"/>
  <c r="D166" i="45"/>
  <c r="D226" i="45"/>
  <c r="D197" i="45"/>
  <c r="D168" i="45"/>
  <c r="D228" i="45"/>
  <c r="D199" i="45"/>
  <c r="D170" i="45"/>
  <c r="D230" i="45"/>
  <c r="D201" i="45"/>
  <c r="D172" i="45"/>
  <c r="D232" i="45"/>
  <c r="D203" i="45"/>
  <c r="D174" i="45"/>
  <c r="D234" i="45"/>
  <c r="D205" i="45"/>
  <c r="D176" i="45"/>
  <c r="D134" i="45"/>
  <c r="D135" i="45"/>
  <c r="D136" i="45"/>
  <c r="D137" i="45"/>
  <c r="D138" i="45"/>
  <c r="D139" i="45"/>
  <c r="D140" i="45"/>
  <c r="D141" i="45"/>
  <c r="D142" i="45"/>
  <c r="D143" i="45"/>
  <c r="D144" i="45"/>
  <c r="D145" i="45"/>
  <c r="D146" i="45"/>
  <c r="D147" i="45"/>
  <c r="D153" i="45"/>
  <c r="D169" i="45"/>
  <c r="E42" i="44"/>
  <c r="F42" i="44"/>
  <c r="G42" i="44"/>
  <c r="H42" i="44"/>
  <c r="F49" i="44"/>
  <c r="G49" i="44"/>
  <c r="H49" i="44"/>
  <c r="U49" i="44"/>
  <c r="U51" i="44" s="1"/>
  <c r="U36" i="44"/>
  <c r="U38" i="44" s="1"/>
  <c r="H36" i="44"/>
  <c r="G36" i="44"/>
  <c r="F36" i="44"/>
  <c r="H29" i="44"/>
  <c r="G29" i="44"/>
  <c r="F29" i="44"/>
  <c r="E29" i="44"/>
  <c r="U25" i="44"/>
  <c r="H21" i="44"/>
  <c r="G21" i="44"/>
  <c r="F21" i="44"/>
  <c r="H20" i="44"/>
  <c r="G20" i="44"/>
  <c r="F20" i="44"/>
  <c r="H19" i="44"/>
  <c r="G19" i="44"/>
  <c r="F19" i="44"/>
  <c r="H18" i="44"/>
  <c r="G18" i="44"/>
  <c r="H16" i="44"/>
  <c r="G16" i="44"/>
  <c r="F16" i="44"/>
  <c r="E16" i="44"/>
  <c r="H10" i="44"/>
  <c r="G10" i="44"/>
  <c r="F10" i="44"/>
  <c r="E10" i="44"/>
  <c r="B10" i="44"/>
  <c r="U9" i="44"/>
  <c r="B9" i="44"/>
  <c r="B8" i="44"/>
  <c r="B7" i="44"/>
  <c r="B6" i="44"/>
  <c r="B5" i="44"/>
  <c r="B4" i="44"/>
  <c r="B3" i="44"/>
  <c r="H61" i="31"/>
  <c r="H62" i="31"/>
  <c r="H63" i="31"/>
  <c r="E33" i="43"/>
  <c r="F33" i="43"/>
  <c r="G33" i="43"/>
  <c r="H33" i="43"/>
  <c r="F40" i="43"/>
  <c r="G35" i="43"/>
  <c r="G40" i="43" s="1"/>
  <c r="H35" i="43"/>
  <c r="H40" i="43" s="1"/>
  <c r="G37" i="43"/>
  <c r="H37" i="43"/>
  <c r="L37" i="45" l="1"/>
  <c r="L182" i="45" s="1"/>
  <c r="L240" i="45" s="1"/>
  <c r="A25" i="44"/>
  <c r="A51" i="44"/>
  <c r="A38" i="44"/>
  <c r="M37" i="45" l="1"/>
  <c r="M182" i="45" s="1"/>
  <c r="M240" i="45" s="1"/>
  <c r="A1" i="44"/>
  <c r="H21" i="25" s="1"/>
  <c r="D19" i="25"/>
  <c r="N37" i="45" l="1"/>
  <c r="N182" i="45" s="1"/>
  <c r="N240" i="45" s="1"/>
  <c r="H25" i="43"/>
  <c r="G25" i="43"/>
  <c r="H22" i="43"/>
  <c r="H27" i="43" s="1"/>
  <c r="G22" i="43"/>
  <c r="G27" i="43" s="1"/>
  <c r="F27" i="43"/>
  <c r="H20" i="43"/>
  <c r="G20" i="43"/>
  <c r="F20" i="43"/>
  <c r="E20" i="43"/>
  <c r="H10" i="43"/>
  <c r="G10" i="43"/>
  <c r="F10" i="43"/>
  <c r="E10" i="43"/>
  <c r="B10" i="43"/>
  <c r="M9" i="43"/>
  <c r="L9" i="43"/>
  <c r="K9" i="43"/>
  <c r="J9" i="43"/>
  <c r="B9" i="43"/>
  <c r="B8" i="43"/>
  <c r="B7" i="43"/>
  <c r="B6" i="43"/>
  <c r="B5" i="43"/>
  <c r="B4" i="43"/>
  <c r="B3" i="43"/>
  <c r="E141" i="33"/>
  <c r="E140" i="33"/>
  <c r="E139" i="33"/>
  <c r="E138" i="33"/>
  <c r="E137" i="33"/>
  <c r="E136" i="33"/>
  <c r="E135" i="33"/>
  <c r="E134" i="33"/>
  <c r="E133" i="33"/>
  <c r="E132" i="33"/>
  <c r="G141" i="33"/>
  <c r="G140" i="33"/>
  <c r="G139" i="33"/>
  <c r="G138" i="33"/>
  <c r="G137" i="33"/>
  <c r="G136" i="33"/>
  <c r="G135" i="33"/>
  <c r="G134" i="33"/>
  <c r="G133" i="33"/>
  <c r="G132" i="33"/>
  <c r="G143" i="33" s="1"/>
  <c r="F143" i="33"/>
  <c r="G130" i="33"/>
  <c r="F130" i="33"/>
  <c r="E130" i="33"/>
  <c r="G122" i="33"/>
  <c r="G121" i="33"/>
  <c r="G120" i="33"/>
  <c r="G119" i="33"/>
  <c r="G118" i="33"/>
  <c r="G117" i="33"/>
  <c r="G116" i="33"/>
  <c r="G115" i="33"/>
  <c r="G114" i="33"/>
  <c r="G113" i="33"/>
  <c r="G124" i="33" s="1"/>
  <c r="F124" i="33"/>
  <c r="G111" i="33"/>
  <c r="F111" i="33"/>
  <c r="E111" i="33"/>
  <c r="O37" i="45" l="1"/>
  <c r="O182" i="45" s="1"/>
  <c r="O240" i="45" s="1"/>
  <c r="T221" i="32"/>
  <c r="S221" i="32"/>
  <c r="R221" i="32"/>
  <c r="Q221" i="32"/>
  <c r="P221" i="32"/>
  <c r="N221" i="32"/>
  <c r="M221" i="32"/>
  <c r="L221" i="32"/>
  <c r="K221" i="32"/>
  <c r="G219" i="32"/>
  <c r="G213" i="32"/>
  <c r="G212" i="32"/>
  <c r="G211" i="32"/>
  <c r="G210" i="32"/>
  <c r="G209" i="32"/>
  <c r="G208" i="32"/>
  <c r="G207" i="32"/>
  <c r="G206" i="32"/>
  <c r="G205" i="32"/>
  <c r="G204" i="32"/>
  <c r="G203" i="32"/>
  <c r="G202" i="32"/>
  <c r="G201" i="32"/>
  <c r="G200" i="32"/>
  <c r="G221" i="32" s="1"/>
  <c r="F221" i="32"/>
  <c r="G198" i="32"/>
  <c r="F198" i="32"/>
  <c r="E198" i="32"/>
  <c r="G190" i="32"/>
  <c r="G184" i="32"/>
  <c r="G183" i="32"/>
  <c r="G182" i="32"/>
  <c r="G181" i="32"/>
  <c r="G180" i="32"/>
  <c r="G179" i="32"/>
  <c r="G178" i="32"/>
  <c r="G177" i="32"/>
  <c r="G176" i="32"/>
  <c r="G175" i="32"/>
  <c r="G174" i="32"/>
  <c r="G173" i="32"/>
  <c r="G172" i="32"/>
  <c r="G171" i="32"/>
  <c r="G192" i="32" s="1"/>
  <c r="F192" i="32"/>
  <c r="G169" i="32"/>
  <c r="F169" i="32"/>
  <c r="E169" i="32"/>
  <c r="D169" i="37"/>
  <c r="D62" i="31" s="1"/>
  <c r="G169" i="37"/>
  <c r="D105" i="37"/>
  <c r="G105" i="37"/>
  <c r="D83" i="37"/>
  <c r="G83" i="37"/>
  <c r="D61" i="37"/>
  <c r="G61" i="37"/>
  <c r="D39" i="37"/>
  <c r="G39" i="37"/>
  <c r="G19" i="37"/>
  <c r="G20" i="37"/>
  <c r="N30" i="31"/>
  <c r="P37" i="45" l="1"/>
  <c r="P182" i="45" s="1"/>
  <c r="P240" i="45" s="1"/>
  <c r="K223" i="32"/>
  <c r="L223" i="32"/>
  <c r="M223" i="32"/>
  <c r="N223" i="32"/>
  <c r="S223" i="32"/>
  <c r="T223" i="32"/>
  <c r="P223" i="32"/>
  <c r="Q223" i="32"/>
  <c r="R223" i="32"/>
  <c r="D84" i="31"/>
  <c r="D83" i="31"/>
  <c r="D82" i="31"/>
  <c r="D75" i="31"/>
  <c r="E162" i="42"/>
  <c r="E161" i="42"/>
  <c r="E160" i="42"/>
  <c r="E159" i="42"/>
  <c r="E158" i="42"/>
  <c r="E148" i="42"/>
  <c r="E147" i="42"/>
  <c r="E146" i="42"/>
  <c r="E145" i="42"/>
  <c r="E144" i="42"/>
  <c r="E134" i="42"/>
  <c r="E133" i="42"/>
  <c r="E132" i="42"/>
  <c r="E131" i="42"/>
  <c r="E130" i="42"/>
  <c r="E120" i="42"/>
  <c r="E119" i="42"/>
  <c r="E118" i="42"/>
  <c r="E117" i="42"/>
  <c r="E116" i="42"/>
  <c r="E106" i="42"/>
  <c r="E105" i="42"/>
  <c r="E104" i="42"/>
  <c r="E103" i="42"/>
  <c r="E102" i="42"/>
  <c r="E92" i="42"/>
  <c r="E91" i="42"/>
  <c r="E90" i="42"/>
  <c r="E89" i="42"/>
  <c r="E88" i="42"/>
  <c r="E78" i="42"/>
  <c r="E77" i="42"/>
  <c r="E76" i="42"/>
  <c r="E75" i="42"/>
  <c r="E74" i="42"/>
  <c r="E64" i="42"/>
  <c r="E63" i="42"/>
  <c r="E62" i="42"/>
  <c r="E61" i="42"/>
  <c r="E60" i="42"/>
  <c r="E50" i="42"/>
  <c r="E49" i="42"/>
  <c r="E48" i="42"/>
  <c r="E47" i="42"/>
  <c r="E46" i="42"/>
  <c r="E120" i="39"/>
  <c r="E119" i="39"/>
  <c r="E118" i="39"/>
  <c r="E117" i="39"/>
  <c r="E116" i="39"/>
  <c r="E106" i="39"/>
  <c r="E105" i="39"/>
  <c r="E104" i="39"/>
  <c r="E103" i="39"/>
  <c r="E102" i="39"/>
  <c r="E92" i="39"/>
  <c r="E91" i="39"/>
  <c r="E90" i="39"/>
  <c r="E89" i="39"/>
  <c r="E88" i="39"/>
  <c r="E78" i="39"/>
  <c r="E77" i="39"/>
  <c r="E76" i="39"/>
  <c r="E75" i="39"/>
  <c r="E74" i="39"/>
  <c r="E64" i="39"/>
  <c r="E63" i="39"/>
  <c r="E62" i="39"/>
  <c r="E61" i="39"/>
  <c r="E60" i="39"/>
  <c r="E50" i="39"/>
  <c r="E49" i="39"/>
  <c r="E48" i="39"/>
  <c r="E47" i="39"/>
  <c r="E46" i="39"/>
  <c r="E162" i="34"/>
  <c r="E161" i="34"/>
  <c r="E160" i="34"/>
  <c r="E159" i="34"/>
  <c r="E158" i="34"/>
  <c r="E148" i="34"/>
  <c r="E147" i="34"/>
  <c r="E146" i="34"/>
  <c r="E145" i="34"/>
  <c r="E144" i="34"/>
  <c r="E134" i="34"/>
  <c r="E133" i="34"/>
  <c r="E132" i="34"/>
  <c r="E131" i="34"/>
  <c r="E130" i="34"/>
  <c r="E120" i="34"/>
  <c r="E119" i="34"/>
  <c r="E118" i="34"/>
  <c r="E117" i="34"/>
  <c r="E116" i="34"/>
  <c r="E106" i="34"/>
  <c r="E105" i="34"/>
  <c r="E104" i="34"/>
  <c r="E103" i="34"/>
  <c r="E102" i="34"/>
  <c r="E92" i="34"/>
  <c r="E91" i="34"/>
  <c r="E90" i="34"/>
  <c r="E89" i="34"/>
  <c r="E88" i="34"/>
  <c r="E78" i="34"/>
  <c r="E77" i="34"/>
  <c r="E76" i="34"/>
  <c r="E75" i="34"/>
  <c r="E74" i="34"/>
  <c r="E64" i="34"/>
  <c r="E63" i="34"/>
  <c r="E62" i="34"/>
  <c r="E61" i="34"/>
  <c r="E60" i="34"/>
  <c r="E50" i="34"/>
  <c r="E49" i="34"/>
  <c r="E48" i="34"/>
  <c r="E47" i="34"/>
  <c r="E46" i="34"/>
  <c r="T157" i="38"/>
  <c r="T124" i="39" s="1"/>
  <c r="S157" i="38"/>
  <c r="S124" i="39" s="1"/>
  <c r="R157" i="38"/>
  <c r="R124" i="39" s="1"/>
  <c r="Q157" i="38"/>
  <c r="Q124" i="39" s="1"/>
  <c r="P157" i="38"/>
  <c r="P124" i="39" s="1"/>
  <c r="O157" i="38"/>
  <c r="O124" i="39" s="1"/>
  <c r="N157" i="38"/>
  <c r="N124" i="39" s="1"/>
  <c r="M157" i="38"/>
  <c r="M124" i="39" s="1"/>
  <c r="L157" i="38"/>
  <c r="L124" i="39" s="1"/>
  <c r="K157" i="38"/>
  <c r="K124" i="39" s="1"/>
  <c r="J157" i="38"/>
  <c r="J124" i="39" s="1"/>
  <c r="T156" i="38"/>
  <c r="T110" i="39" s="1"/>
  <c r="S156" i="38"/>
  <c r="S110" i="39" s="1"/>
  <c r="R156" i="38"/>
  <c r="R110" i="39" s="1"/>
  <c r="Q156" i="38"/>
  <c r="Q110" i="39" s="1"/>
  <c r="P156" i="38"/>
  <c r="P110" i="39" s="1"/>
  <c r="O156" i="38"/>
  <c r="O110" i="39" s="1"/>
  <c r="N156" i="38"/>
  <c r="N110" i="39" s="1"/>
  <c r="M156" i="38"/>
  <c r="M110" i="39" s="1"/>
  <c r="L156" i="38"/>
  <c r="L110" i="39" s="1"/>
  <c r="K156" i="38"/>
  <c r="K110" i="39" s="1"/>
  <c r="J156" i="38"/>
  <c r="J110" i="39" s="1"/>
  <c r="T155" i="38"/>
  <c r="T96" i="39" s="1"/>
  <c r="S155" i="38"/>
  <c r="S96" i="39" s="1"/>
  <c r="R155" i="38"/>
  <c r="R96" i="39" s="1"/>
  <c r="Q155" i="38"/>
  <c r="Q96" i="39" s="1"/>
  <c r="P155" i="38"/>
  <c r="P96" i="39" s="1"/>
  <c r="O155" i="38"/>
  <c r="O96" i="39" s="1"/>
  <c r="N155" i="38"/>
  <c r="N96" i="39" s="1"/>
  <c r="M155" i="38"/>
  <c r="M96" i="39" s="1"/>
  <c r="L155" i="38"/>
  <c r="L96" i="39" s="1"/>
  <c r="K155" i="38"/>
  <c r="K96" i="39" s="1"/>
  <c r="J155" i="38"/>
  <c r="J96" i="39" s="1"/>
  <c r="T154" i="38"/>
  <c r="T82" i="39" s="1"/>
  <c r="S154" i="38"/>
  <c r="S82" i="39" s="1"/>
  <c r="R154" i="38"/>
  <c r="R82" i="39" s="1"/>
  <c r="Q154" i="38"/>
  <c r="Q82" i="39" s="1"/>
  <c r="P154" i="38"/>
  <c r="P82" i="39" s="1"/>
  <c r="O154" i="38"/>
  <c r="O82" i="39" s="1"/>
  <c r="N154" i="38"/>
  <c r="N82" i="39" s="1"/>
  <c r="M154" i="38"/>
  <c r="M82" i="39" s="1"/>
  <c r="L154" i="38"/>
  <c r="L82" i="39" s="1"/>
  <c r="K154" i="38"/>
  <c r="K82" i="39" s="1"/>
  <c r="J154" i="38"/>
  <c r="J82" i="39" s="1"/>
  <c r="T153" i="38"/>
  <c r="T68" i="39" s="1"/>
  <c r="S153" i="38"/>
  <c r="S68" i="39" s="1"/>
  <c r="R153" i="38"/>
  <c r="R68" i="39" s="1"/>
  <c r="Q153" i="38"/>
  <c r="Q68" i="39" s="1"/>
  <c r="P153" i="38"/>
  <c r="P68" i="39" s="1"/>
  <c r="O153" i="38"/>
  <c r="O68" i="39" s="1"/>
  <c r="N153" i="38"/>
  <c r="N68" i="39" s="1"/>
  <c r="M153" i="38"/>
  <c r="M68" i="39" s="1"/>
  <c r="L153" i="38"/>
  <c r="L68" i="39" s="1"/>
  <c r="K153" i="38"/>
  <c r="K68" i="39" s="1"/>
  <c r="J153" i="38"/>
  <c r="J68" i="39" s="1"/>
  <c r="T152" i="38"/>
  <c r="T54" i="39" s="1"/>
  <c r="S152" i="38"/>
  <c r="S54" i="39" s="1"/>
  <c r="R152" i="38"/>
  <c r="R54" i="39" s="1"/>
  <c r="Q152" i="38"/>
  <c r="Q54" i="39" s="1"/>
  <c r="P152" i="38"/>
  <c r="P54" i="39" s="1"/>
  <c r="O152" i="38"/>
  <c r="O54" i="39" s="1"/>
  <c r="N152" i="38"/>
  <c r="N54" i="39" s="1"/>
  <c r="M152" i="38"/>
  <c r="M54" i="39" s="1"/>
  <c r="L152" i="38"/>
  <c r="L54" i="39" s="1"/>
  <c r="K152" i="38"/>
  <c r="K54" i="39" s="1"/>
  <c r="J152" i="38"/>
  <c r="J54" i="39" s="1"/>
  <c r="T151" i="38"/>
  <c r="T40" i="39" s="1"/>
  <c r="S151" i="38"/>
  <c r="S40" i="39" s="1"/>
  <c r="R151" i="38"/>
  <c r="R40" i="39" s="1"/>
  <c r="Q151" i="38"/>
  <c r="Q40" i="39" s="1"/>
  <c r="P151" i="38"/>
  <c r="P40" i="39" s="1"/>
  <c r="O151" i="38"/>
  <c r="O40" i="39" s="1"/>
  <c r="N151" i="38"/>
  <c r="N40" i="39" s="1"/>
  <c r="M151" i="38"/>
  <c r="M40" i="39" s="1"/>
  <c r="L151" i="38"/>
  <c r="L40" i="39" s="1"/>
  <c r="K151" i="38"/>
  <c r="K40" i="39" s="1"/>
  <c r="J151" i="38"/>
  <c r="J40" i="39" s="1"/>
  <c r="T100" i="38"/>
  <c r="S100" i="38"/>
  <c r="R100" i="38"/>
  <c r="Q100" i="38"/>
  <c r="P100" i="38"/>
  <c r="O100" i="38"/>
  <c r="N100" i="38"/>
  <c r="M100" i="38"/>
  <c r="L100" i="38"/>
  <c r="K100" i="38"/>
  <c r="J100" i="38"/>
  <c r="T99" i="38"/>
  <c r="S99" i="38"/>
  <c r="R99" i="38"/>
  <c r="Q99" i="38"/>
  <c r="P99" i="38"/>
  <c r="O99" i="38"/>
  <c r="N99" i="38"/>
  <c r="M99" i="38"/>
  <c r="L99" i="38"/>
  <c r="K99" i="38"/>
  <c r="J99" i="38"/>
  <c r="T98" i="38"/>
  <c r="S98" i="38"/>
  <c r="R98" i="38"/>
  <c r="Q98" i="38"/>
  <c r="P98" i="38"/>
  <c r="O98" i="38"/>
  <c r="N98" i="38"/>
  <c r="M98" i="38"/>
  <c r="L98" i="38"/>
  <c r="K98" i="38"/>
  <c r="J98" i="38"/>
  <c r="T97" i="38"/>
  <c r="S97" i="38"/>
  <c r="R97" i="38"/>
  <c r="Q97" i="38"/>
  <c r="P97" i="38"/>
  <c r="O97" i="38"/>
  <c r="N97" i="38"/>
  <c r="M97" i="38"/>
  <c r="L97" i="38"/>
  <c r="K97" i="38"/>
  <c r="J97" i="38"/>
  <c r="T96" i="38"/>
  <c r="S96" i="38"/>
  <c r="R96" i="38"/>
  <c r="Q96" i="38"/>
  <c r="P96" i="38"/>
  <c r="O96" i="38"/>
  <c r="N96" i="38"/>
  <c r="M96" i="38"/>
  <c r="L96" i="38"/>
  <c r="K96" i="38"/>
  <c r="J96" i="38"/>
  <c r="T95" i="38"/>
  <c r="S95" i="38"/>
  <c r="R95" i="38"/>
  <c r="Q95" i="38"/>
  <c r="P95" i="38"/>
  <c r="O95" i="38"/>
  <c r="N95" i="38"/>
  <c r="M95" i="38"/>
  <c r="L95" i="38"/>
  <c r="K95" i="38"/>
  <c r="J95" i="38"/>
  <c r="T94" i="38"/>
  <c r="S94" i="38"/>
  <c r="R94" i="38"/>
  <c r="Q94" i="38"/>
  <c r="P94" i="38"/>
  <c r="O94" i="38"/>
  <c r="N94" i="38"/>
  <c r="M94" i="38"/>
  <c r="L94" i="38"/>
  <c r="K94" i="38"/>
  <c r="J94" i="38"/>
  <c r="T81" i="38"/>
  <c r="T119" i="39" s="1"/>
  <c r="Y71" i="51" s="1"/>
  <c r="S81" i="38"/>
  <c r="S119" i="39" s="1"/>
  <c r="X71" i="51" s="1"/>
  <c r="R81" i="38"/>
  <c r="R119" i="39" s="1"/>
  <c r="W71" i="51" s="1"/>
  <c r="Q81" i="38"/>
  <c r="Q119" i="39" s="1"/>
  <c r="V71" i="51" s="1"/>
  <c r="P81" i="38"/>
  <c r="P119" i="39" s="1"/>
  <c r="U71" i="51" s="1"/>
  <c r="O81" i="38"/>
  <c r="O119" i="39" s="1"/>
  <c r="T71" i="51" s="1"/>
  <c r="N81" i="38"/>
  <c r="N119" i="39" s="1"/>
  <c r="S71" i="51" s="1"/>
  <c r="M81" i="38"/>
  <c r="M119" i="39" s="1"/>
  <c r="L81" i="38"/>
  <c r="L119" i="39" s="1"/>
  <c r="K81" i="38"/>
  <c r="K119" i="39" s="1"/>
  <c r="J81" i="38"/>
  <c r="J119" i="39" s="1"/>
  <c r="T80" i="38"/>
  <c r="T105" i="39" s="1"/>
  <c r="Y64" i="51" s="1"/>
  <c r="S80" i="38"/>
  <c r="S105" i="39" s="1"/>
  <c r="X64" i="51" s="1"/>
  <c r="R80" i="38"/>
  <c r="R105" i="39" s="1"/>
  <c r="W64" i="51" s="1"/>
  <c r="Q80" i="38"/>
  <c r="Q105" i="39" s="1"/>
  <c r="V64" i="51" s="1"/>
  <c r="P80" i="38"/>
  <c r="P105" i="39" s="1"/>
  <c r="U64" i="51" s="1"/>
  <c r="O80" i="38"/>
  <c r="O105" i="39" s="1"/>
  <c r="T64" i="51" s="1"/>
  <c r="N80" i="38"/>
  <c r="N105" i="39" s="1"/>
  <c r="S64" i="51" s="1"/>
  <c r="M80" i="38"/>
  <c r="M105" i="39" s="1"/>
  <c r="L80" i="38"/>
  <c r="L105" i="39" s="1"/>
  <c r="K80" i="38"/>
  <c r="K105" i="39" s="1"/>
  <c r="J80" i="38"/>
  <c r="J105" i="39" s="1"/>
  <c r="T79" i="38"/>
  <c r="T91" i="39" s="1"/>
  <c r="Y57" i="51" s="1"/>
  <c r="S79" i="38"/>
  <c r="S91" i="39" s="1"/>
  <c r="X57" i="51" s="1"/>
  <c r="R79" i="38"/>
  <c r="R91" i="39" s="1"/>
  <c r="W57" i="51" s="1"/>
  <c r="Q79" i="38"/>
  <c r="Q91" i="39" s="1"/>
  <c r="V57" i="51" s="1"/>
  <c r="P79" i="38"/>
  <c r="P91" i="39" s="1"/>
  <c r="U57" i="51" s="1"/>
  <c r="O79" i="38"/>
  <c r="O91" i="39" s="1"/>
  <c r="T57" i="51" s="1"/>
  <c r="N79" i="38"/>
  <c r="N91" i="39" s="1"/>
  <c r="S57" i="51" s="1"/>
  <c r="M79" i="38"/>
  <c r="M91" i="39" s="1"/>
  <c r="L79" i="38"/>
  <c r="L91" i="39" s="1"/>
  <c r="K79" i="38"/>
  <c r="K91" i="39" s="1"/>
  <c r="J79" i="38"/>
  <c r="J91" i="39" s="1"/>
  <c r="T78" i="38"/>
  <c r="T77" i="39" s="1"/>
  <c r="Y50" i="51" s="1"/>
  <c r="S78" i="38"/>
  <c r="S77" i="39" s="1"/>
  <c r="X50" i="51" s="1"/>
  <c r="R78" i="38"/>
  <c r="R77" i="39" s="1"/>
  <c r="W50" i="51" s="1"/>
  <c r="Q78" i="38"/>
  <c r="Q77" i="39" s="1"/>
  <c r="V50" i="51" s="1"/>
  <c r="P78" i="38"/>
  <c r="P77" i="39" s="1"/>
  <c r="U50" i="51" s="1"/>
  <c r="O78" i="38"/>
  <c r="O77" i="39" s="1"/>
  <c r="T50" i="51" s="1"/>
  <c r="N78" i="38"/>
  <c r="N77" i="39" s="1"/>
  <c r="S50" i="51" s="1"/>
  <c r="M78" i="38"/>
  <c r="M77" i="39" s="1"/>
  <c r="L78" i="38"/>
  <c r="L77" i="39" s="1"/>
  <c r="K78" i="38"/>
  <c r="K77" i="39" s="1"/>
  <c r="J78" i="38"/>
  <c r="J77" i="39" s="1"/>
  <c r="T77" i="38"/>
  <c r="T63" i="39" s="1"/>
  <c r="Y43" i="51" s="1"/>
  <c r="S77" i="38"/>
  <c r="S63" i="39" s="1"/>
  <c r="X43" i="51" s="1"/>
  <c r="R77" i="38"/>
  <c r="R63" i="39" s="1"/>
  <c r="W43" i="51" s="1"/>
  <c r="Q77" i="38"/>
  <c r="Q63" i="39" s="1"/>
  <c r="V43" i="51" s="1"/>
  <c r="P77" i="38"/>
  <c r="P63" i="39" s="1"/>
  <c r="U43" i="51" s="1"/>
  <c r="O77" i="38"/>
  <c r="O63" i="39" s="1"/>
  <c r="T43" i="51" s="1"/>
  <c r="N77" i="38"/>
  <c r="N63" i="39" s="1"/>
  <c r="S43" i="51" s="1"/>
  <c r="M77" i="38"/>
  <c r="M63" i="39" s="1"/>
  <c r="L77" i="38"/>
  <c r="L63" i="39" s="1"/>
  <c r="K77" i="38"/>
  <c r="K63" i="39" s="1"/>
  <c r="J77" i="38"/>
  <c r="J63" i="39" s="1"/>
  <c r="T76" i="38"/>
  <c r="T49" i="39" s="1"/>
  <c r="Y36" i="51" s="1"/>
  <c r="S76" i="38"/>
  <c r="S49" i="39" s="1"/>
  <c r="X36" i="51" s="1"/>
  <c r="R76" i="38"/>
  <c r="R49" i="39" s="1"/>
  <c r="W36" i="51" s="1"/>
  <c r="Q76" i="38"/>
  <c r="Q49" i="39" s="1"/>
  <c r="V36" i="51" s="1"/>
  <c r="P76" i="38"/>
  <c r="P49" i="39" s="1"/>
  <c r="U36" i="51" s="1"/>
  <c r="O76" i="38"/>
  <c r="O49" i="39" s="1"/>
  <c r="T36" i="51" s="1"/>
  <c r="N76" i="38"/>
  <c r="N49" i="39" s="1"/>
  <c r="S36" i="51" s="1"/>
  <c r="M76" i="38"/>
  <c r="M49" i="39" s="1"/>
  <c r="L76" i="38"/>
  <c r="L49" i="39" s="1"/>
  <c r="K76" i="38"/>
  <c r="K49" i="39" s="1"/>
  <c r="J76" i="38"/>
  <c r="J49" i="39" s="1"/>
  <c r="T75" i="38"/>
  <c r="T35" i="39" s="1"/>
  <c r="Y29" i="51" s="1"/>
  <c r="S75" i="38"/>
  <c r="S35" i="39" s="1"/>
  <c r="X29" i="51" s="1"/>
  <c r="R75" i="38"/>
  <c r="R35" i="39" s="1"/>
  <c r="W29" i="51" s="1"/>
  <c r="Q75" i="38"/>
  <c r="Q35" i="39" s="1"/>
  <c r="V29" i="51" s="1"/>
  <c r="P75" i="38"/>
  <c r="P35" i="39" s="1"/>
  <c r="U29" i="51" s="1"/>
  <c r="O75" i="38"/>
  <c r="O35" i="39" s="1"/>
  <c r="T29" i="51" s="1"/>
  <c r="N75" i="38"/>
  <c r="N35" i="39" s="1"/>
  <c r="S29" i="51" s="1"/>
  <c r="M75" i="38"/>
  <c r="M35" i="39" s="1"/>
  <c r="L75" i="38"/>
  <c r="L35" i="39" s="1"/>
  <c r="K75" i="38"/>
  <c r="K35" i="39" s="1"/>
  <c r="J75" i="38"/>
  <c r="J35" i="39" s="1"/>
  <c r="T62" i="38"/>
  <c r="S62" i="38"/>
  <c r="R62" i="38"/>
  <c r="Q62" i="38"/>
  <c r="P62" i="38"/>
  <c r="O62" i="38"/>
  <c r="N62" i="38"/>
  <c r="M62" i="38"/>
  <c r="L62" i="38"/>
  <c r="K62" i="38"/>
  <c r="J62" i="38"/>
  <c r="T61" i="38"/>
  <c r="S61" i="38"/>
  <c r="R61" i="38"/>
  <c r="Q61" i="38"/>
  <c r="P61" i="38"/>
  <c r="O61" i="38"/>
  <c r="N61" i="38"/>
  <c r="M61" i="38"/>
  <c r="L61" i="38"/>
  <c r="K61" i="38"/>
  <c r="J61" i="38"/>
  <c r="T60" i="38"/>
  <c r="S60" i="38"/>
  <c r="R60" i="38"/>
  <c r="Q60" i="38"/>
  <c r="P60" i="38"/>
  <c r="O60" i="38"/>
  <c r="N60" i="38"/>
  <c r="M60" i="38"/>
  <c r="L60" i="38"/>
  <c r="K60" i="38"/>
  <c r="J60" i="38"/>
  <c r="T59" i="38"/>
  <c r="S59" i="38"/>
  <c r="R59" i="38"/>
  <c r="Q59" i="38"/>
  <c r="P59" i="38"/>
  <c r="O59" i="38"/>
  <c r="N59" i="38"/>
  <c r="M59" i="38"/>
  <c r="L59" i="38"/>
  <c r="K59" i="38"/>
  <c r="J59" i="38"/>
  <c r="T58" i="38"/>
  <c r="S58" i="38"/>
  <c r="R58" i="38"/>
  <c r="Q58" i="38"/>
  <c r="P58" i="38"/>
  <c r="O58" i="38"/>
  <c r="N58" i="38"/>
  <c r="M58" i="38"/>
  <c r="L58" i="38"/>
  <c r="K58" i="38"/>
  <c r="J58" i="38"/>
  <c r="T57" i="38"/>
  <c r="S57" i="38"/>
  <c r="R57" i="38"/>
  <c r="Q57" i="38"/>
  <c r="P57" i="38"/>
  <c r="O57" i="38"/>
  <c r="N57" i="38"/>
  <c r="M57" i="38"/>
  <c r="L57" i="38"/>
  <c r="K57" i="38"/>
  <c r="J57" i="38"/>
  <c r="T56" i="38"/>
  <c r="S56" i="38"/>
  <c r="R56" i="38"/>
  <c r="Q56" i="38"/>
  <c r="P56" i="38"/>
  <c r="O56" i="38"/>
  <c r="N56" i="38"/>
  <c r="M56" i="38"/>
  <c r="L56" i="38"/>
  <c r="K56" i="38"/>
  <c r="J56" i="38"/>
  <c r="T43" i="38"/>
  <c r="S43" i="38"/>
  <c r="R43" i="38"/>
  <c r="Q43" i="38"/>
  <c r="P43" i="38"/>
  <c r="O43" i="38"/>
  <c r="N43" i="38"/>
  <c r="M43" i="38"/>
  <c r="L43" i="38"/>
  <c r="K43" i="38"/>
  <c r="J43" i="38"/>
  <c r="T42" i="38"/>
  <c r="S42" i="38"/>
  <c r="R42" i="38"/>
  <c r="Q42" i="38"/>
  <c r="P42" i="38"/>
  <c r="O42" i="38"/>
  <c r="N42" i="38"/>
  <c r="M42" i="38"/>
  <c r="L42" i="38"/>
  <c r="K42" i="38"/>
  <c r="J42" i="38"/>
  <c r="T41" i="38"/>
  <c r="S41" i="38"/>
  <c r="R41" i="38"/>
  <c r="Q41" i="38"/>
  <c r="P41" i="38"/>
  <c r="O41" i="38"/>
  <c r="N41" i="38"/>
  <c r="M41" i="38"/>
  <c r="L41" i="38"/>
  <c r="K41" i="38"/>
  <c r="J41" i="38"/>
  <c r="T40" i="38"/>
  <c r="S40" i="38"/>
  <c r="R40" i="38"/>
  <c r="Q40" i="38"/>
  <c r="P40" i="38"/>
  <c r="O40" i="38"/>
  <c r="N40" i="38"/>
  <c r="M40" i="38"/>
  <c r="L40" i="38"/>
  <c r="K40" i="38"/>
  <c r="J40" i="38"/>
  <c r="T39" i="38"/>
  <c r="S39" i="38"/>
  <c r="R39" i="38"/>
  <c r="Q39" i="38"/>
  <c r="P39" i="38"/>
  <c r="O39" i="38"/>
  <c r="N39" i="38"/>
  <c r="M39" i="38"/>
  <c r="L39" i="38"/>
  <c r="K39" i="38"/>
  <c r="J39" i="38"/>
  <c r="T38" i="38"/>
  <c r="S38" i="38"/>
  <c r="R38" i="38"/>
  <c r="Q38" i="38"/>
  <c r="P38" i="38"/>
  <c r="O38" i="38"/>
  <c r="N38" i="38"/>
  <c r="M38" i="38"/>
  <c r="L38" i="38"/>
  <c r="K38" i="38"/>
  <c r="J38" i="38"/>
  <c r="T37" i="38"/>
  <c r="S37" i="38"/>
  <c r="R37" i="38"/>
  <c r="Q37" i="38"/>
  <c r="P37" i="38"/>
  <c r="O37" i="38"/>
  <c r="N37" i="38"/>
  <c r="M37" i="38"/>
  <c r="L37" i="38"/>
  <c r="K37" i="38"/>
  <c r="J37" i="38"/>
  <c r="J18" i="38"/>
  <c r="K18" i="38"/>
  <c r="L18" i="38"/>
  <c r="M18" i="38"/>
  <c r="N18" i="38"/>
  <c r="O18" i="38"/>
  <c r="P18" i="38"/>
  <c r="Q18" i="38"/>
  <c r="R18" i="38"/>
  <c r="S18" i="38"/>
  <c r="T18" i="38"/>
  <c r="J19" i="38"/>
  <c r="K19" i="38"/>
  <c r="L19" i="38"/>
  <c r="M19" i="38"/>
  <c r="N19" i="38"/>
  <c r="O19" i="38"/>
  <c r="P19" i="38"/>
  <c r="Q19" i="38"/>
  <c r="R19" i="38"/>
  <c r="S19" i="38"/>
  <c r="T19" i="38"/>
  <c r="J20" i="38"/>
  <c r="K20" i="38"/>
  <c r="L20" i="38"/>
  <c r="M20" i="38"/>
  <c r="N20" i="38"/>
  <c r="O20" i="38"/>
  <c r="P20" i="38"/>
  <c r="Q20" i="38"/>
  <c r="R20" i="38"/>
  <c r="S20" i="38"/>
  <c r="T20" i="38"/>
  <c r="J21" i="38"/>
  <c r="K21" i="38"/>
  <c r="L21" i="38"/>
  <c r="M21" i="38"/>
  <c r="N21" i="38"/>
  <c r="O21" i="38"/>
  <c r="P21" i="38"/>
  <c r="Q21" i="38"/>
  <c r="R21" i="38"/>
  <c r="S21" i="38"/>
  <c r="T21" i="38"/>
  <c r="J22" i="38"/>
  <c r="K22" i="38"/>
  <c r="L22" i="38"/>
  <c r="M22" i="38"/>
  <c r="N22" i="38"/>
  <c r="O22" i="38"/>
  <c r="P22" i="38"/>
  <c r="Q22" i="38"/>
  <c r="R22" i="38"/>
  <c r="S22" i="38"/>
  <c r="T22" i="38"/>
  <c r="J23" i="38"/>
  <c r="K23" i="38"/>
  <c r="L23" i="38"/>
  <c r="M23" i="38"/>
  <c r="N23" i="38"/>
  <c r="O23" i="38"/>
  <c r="P23" i="38"/>
  <c r="Q23" i="38"/>
  <c r="R23" i="38"/>
  <c r="S23" i="38"/>
  <c r="T23" i="38"/>
  <c r="J24" i="38"/>
  <c r="K24" i="38"/>
  <c r="L24" i="38"/>
  <c r="M24" i="38"/>
  <c r="N24" i="38"/>
  <c r="O24" i="38"/>
  <c r="P24" i="38"/>
  <c r="Q24" i="38"/>
  <c r="R24" i="38"/>
  <c r="S24" i="38"/>
  <c r="T24" i="38"/>
  <c r="D28" i="28"/>
  <c r="D30" i="28"/>
  <c r="D24" i="28"/>
  <c r="D23" i="28"/>
  <c r="D12" i="28"/>
  <c r="D11" i="28"/>
  <c r="D18" i="25"/>
  <c r="D27" i="25"/>
  <c r="D29" i="25"/>
  <c r="D28" i="25"/>
  <c r="Q37" i="45" l="1"/>
  <c r="Q182" i="45" s="1"/>
  <c r="Q240" i="45" s="1"/>
  <c r="A40" i="39"/>
  <c r="A82" i="39"/>
  <c r="A54" i="39"/>
  <c r="A96" i="39"/>
  <c r="A68" i="39"/>
  <c r="A124" i="39"/>
  <c r="A110" i="39"/>
  <c r="G162" i="42"/>
  <c r="G161" i="42"/>
  <c r="G160" i="42"/>
  <c r="G159" i="42"/>
  <c r="G158" i="42"/>
  <c r="G164" i="42" s="1"/>
  <c r="F164" i="42"/>
  <c r="G156" i="42"/>
  <c r="F156" i="42"/>
  <c r="E156" i="42"/>
  <c r="C154" i="42"/>
  <c r="G148" i="42"/>
  <c r="G147" i="42"/>
  <c r="G146" i="42"/>
  <c r="G145" i="42"/>
  <c r="G144" i="42"/>
  <c r="G150" i="42" s="1"/>
  <c r="F150" i="42"/>
  <c r="G142" i="42"/>
  <c r="F142" i="42"/>
  <c r="E142" i="42"/>
  <c r="C140" i="42"/>
  <c r="G134" i="42"/>
  <c r="G133" i="42"/>
  <c r="G132" i="42"/>
  <c r="G131" i="42"/>
  <c r="G130" i="42"/>
  <c r="G136" i="42" s="1"/>
  <c r="F136" i="42"/>
  <c r="G128" i="42"/>
  <c r="F128" i="42"/>
  <c r="E128" i="42"/>
  <c r="C126" i="42"/>
  <c r="G120" i="42"/>
  <c r="G119" i="42"/>
  <c r="G118" i="42"/>
  <c r="G117" i="42"/>
  <c r="G116" i="42"/>
  <c r="G122" i="42" s="1"/>
  <c r="F122" i="42"/>
  <c r="G114" i="42"/>
  <c r="F114" i="42"/>
  <c r="E114" i="42"/>
  <c r="C112" i="42"/>
  <c r="G106" i="42"/>
  <c r="G105" i="42"/>
  <c r="G104" i="42"/>
  <c r="G103" i="42"/>
  <c r="G102" i="42"/>
  <c r="G108" i="42" s="1"/>
  <c r="F108" i="42"/>
  <c r="G100" i="42"/>
  <c r="F100" i="42"/>
  <c r="E100" i="42"/>
  <c r="C98" i="42"/>
  <c r="G92" i="42"/>
  <c r="G91" i="42"/>
  <c r="G90" i="42"/>
  <c r="G89" i="42"/>
  <c r="G88" i="42"/>
  <c r="G94" i="42" s="1"/>
  <c r="F94" i="42"/>
  <c r="G86" i="42"/>
  <c r="F86" i="42"/>
  <c r="E86" i="42"/>
  <c r="C84" i="42"/>
  <c r="G78" i="42"/>
  <c r="G77" i="42"/>
  <c r="G76" i="42"/>
  <c r="G75" i="42"/>
  <c r="G74" i="42"/>
  <c r="G80" i="42" s="1"/>
  <c r="F80" i="42"/>
  <c r="G72" i="42"/>
  <c r="F72" i="42"/>
  <c r="E72" i="42"/>
  <c r="C70" i="42"/>
  <c r="G64" i="42"/>
  <c r="G63" i="42"/>
  <c r="G62" i="42"/>
  <c r="G61" i="42"/>
  <c r="G60" i="42"/>
  <c r="G66" i="42" s="1"/>
  <c r="F66" i="42"/>
  <c r="G58" i="42"/>
  <c r="F58" i="42"/>
  <c r="E58" i="42"/>
  <c r="C56" i="42"/>
  <c r="G50" i="42"/>
  <c r="G49" i="42"/>
  <c r="G48" i="42"/>
  <c r="G47" i="42"/>
  <c r="G46" i="42"/>
  <c r="G52" i="42" s="1"/>
  <c r="F52" i="42"/>
  <c r="G44" i="42"/>
  <c r="F44" i="42"/>
  <c r="E44" i="42"/>
  <c r="C42" i="42"/>
  <c r="G36" i="42"/>
  <c r="G35" i="42"/>
  <c r="G34" i="42"/>
  <c r="G33" i="42"/>
  <c r="G32" i="42"/>
  <c r="G38" i="42" s="1"/>
  <c r="F38" i="42"/>
  <c r="G30" i="42"/>
  <c r="F30" i="42"/>
  <c r="E30" i="42"/>
  <c r="C28" i="42"/>
  <c r="G10" i="42"/>
  <c r="F10" i="42"/>
  <c r="E10" i="42"/>
  <c r="B10" i="42"/>
  <c r="B9" i="42"/>
  <c r="B8" i="42"/>
  <c r="B7" i="42"/>
  <c r="B6" i="42"/>
  <c r="B5" i="42"/>
  <c r="B4" i="42"/>
  <c r="B3" i="42"/>
  <c r="G162" i="39"/>
  <c r="D162" i="39"/>
  <c r="G161" i="39"/>
  <c r="D161" i="39"/>
  <c r="G160" i="39"/>
  <c r="D160" i="39"/>
  <c r="G159" i="39"/>
  <c r="D159" i="39"/>
  <c r="G158" i="39"/>
  <c r="G164" i="39" s="1"/>
  <c r="F164" i="39"/>
  <c r="D158" i="39"/>
  <c r="G156" i="39"/>
  <c r="F156" i="39"/>
  <c r="E156" i="39"/>
  <c r="C154" i="39"/>
  <c r="G148" i="39"/>
  <c r="D148" i="39"/>
  <c r="G147" i="39"/>
  <c r="D147" i="39"/>
  <c r="G146" i="39"/>
  <c r="D146" i="39"/>
  <c r="G145" i="39"/>
  <c r="D145" i="39"/>
  <c r="G144" i="39"/>
  <c r="G150" i="39" s="1"/>
  <c r="F150" i="39"/>
  <c r="D144" i="39"/>
  <c r="G142" i="39"/>
  <c r="F142" i="39"/>
  <c r="E142" i="39"/>
  <c r="C140" i="39"/>
  <c r="G134" i="39"/>
  <c r="D134" i="39"/>
  <c r="G133" i="39"/>
  <c r="D133" i="39"/>
  <c r="G132" i="39"/>
  <c r="D132" i="39"/>
  <c r="G131" i="39"/>
  <c r="D131" i="39"/>
  <c r="G130" i="39"/>
  <c r="G136" i="39" s="1"/>
  <c r="F136" i="39"/>
  <c r="D130" i="39"/>
  <c r="G128" i="39"/>
  <c r="F128" i="39"/>
  <c r="E128" i="39"/>
  <c r="C126" i="39"/>
  <c r="G120" i="39"/>
  <c r="D120" i="39"/>
  <c r="G119" i="39"/>
  <c r="D119" i="39"/>
  <c r="G118" i="39"/>
  <c r="D118" i="39"/>
  <c r="G117" i="39"/>
  <c r="D117" i="39"/>
  <c r="G116" i="39"/>
  <c r="G122" i="39" s="1"/>
  <c r="F122" i="39"/>
  <c r="D116" i="39"/>
  <c r="G114" i="39"/>
  <c r="F114" i="39"/>
  <c r="E114" i="39"/>
  <c r="C112" i="39"/>
  <c r="G106" i="39"/>
  <c r="D106" i="39"/>
  <c r="G105" i="39"/>
  <c r="D105" i="39"/>
  <c r="G104" i="39"/>
  <c r="D104" i="39"/>
  <c r="G103" i="39"/>
  <c r="D103" i="39"/>
  <c r="G102" i="39"/>
  <c r="G108" i="39" s="1"/>
  <c r="F108" i="39"/>
  <c r="D102" i="39"/>
  <c r="G100" i="39"/>
  <c r="F100" i="39"/>
  <c r="E100" i="39"/>
  <c r="C98" i="39"/>
  <c r="G92" i="39"/>
  <c r="D92" i="39"/>
  <c r="G91" i="39"/>
  <c r="D91" i="39"/>
  <c r="G90" i="39"/>
  <c r="D90" i="39"/>
  <c r="G89" i="39"/>
  <c r="D89" i="39"/>
  <c r="G88" i="39"/>
  <c r="G94" i="39" s="1"/>
  <c r="F94" i="39"/>
  <c r="D88" i="39"/>
  <c r="G86" i="39"/>
  <c r="F86" i="39"/>
  <c r="E86" i="39"/>
  <c r="C84" i="39"/>
  <c r="R78" i="39"/>
  <c r="W51" i="51" s="1"/>
  <c r="G78" i="39"/>
  <c r="D78" i="39"/>
  <c r="G77" i="39"/>
  <c r="D77" i="39"/>
  <c r="G76" i="39"/>
  <c r="D76" i="39"/>
  <c r="G75" i="39"/>
  <c r="D75" i="39"/>
  <c r="G74" i="39"/>
  <c r="G80" i="39" s="1"/>
  <c r="F80" i="39"/>
  <c r="D74" i="39"/>
  <c r="G72" i="39"/>
  <c r="F72" i="39"/>
  <c r="E72" i="39"/>
  <c r="C70" i="39"/>
  <c r="P64" i="39"/>
  <c r="U44" i="51" s="1"/>
  <c r="G64" i="39"/>
  <c r="D64" i="39"/>
  <c r="G63" i="39"/>
  <c r="D63" i="39"/>
  <c r="G62" i="39"/>
  <c r="D62" i="39"/>
  <c r="G61" i="39"/>
  <c r="D61" i="39"/>
  <c r="G60" i="39"/>
  <c r="G66" i="39" s="1"/>
  <c r="F66" i="39"/>
  <c r="D60" i="39"/>
  <c r="G58" i="39"/>
  <c r="F58" i="39"/>
  <c r="E58" i="39"/>
  <c r="C56" i="39"/>
  <c r="G50" i="39"/>
  <c r="D50" i="39"/>
  <c r="G49" i="39"/>
  <c r="D49" i="39"/>
  <c r="G48" i="39"/>
  <c r="D48" i="39"/>
  <c r="G47" i="39"/>
  <c r="D47" i="39"/>
  <c r="G46" i="39"/>
  <c r="G52" i="39" s="1"/>
  <c r="F52" i="39"/>
  <c r="D46" i="39"/>
  <c r="G44" i="39"/>
  <c r="F44" i="39"/>
  <c r="E44" i="39"/>
  <c r="C42" i="39"/>
  <c r="Q36" i="39"/>
  <c r="V30" i="51" s="1"/>
  <c r="P36" i="39"/>
  <c r="U30" i="51" s="1"/>
  <c r="G36" i="39"/>
  <c r="D36" i="39"/>
  <c r="G35" i="39"/>
  <c r="D35" i="39"/>
  <c r="G34" i="39"/>
  <c r="D34" i="39"/>
  <c r="G33" i="39"/>
  <c r="D33" i="39"/>
  <c r="G32" i="39"/>
  <c r="G38" i="39" s="1"/>
  <c r="F38" i="39"/>
  <c r="D32" i="39"/>
  <c r="G30" i="39"/>
  <c r="F30" i="39"/>
  <c r="E30" i="39"/>
  <c r="C28" i="39"/>
  <c r="G10" i="39"/>
  <c r="F10" i="39"/>
  <c r="E10" i="39"/>
  <c r="B10" i="39"/>
  <c r="T9" i="39"/>
  <c r="S9" i="39"/>
  <c r="R9" i="39"/>
  <c r="Q9" i="39"/>
  <c r="P9" i="39"/>
  <c r="O9" i="39"/>
  <c r="N9" i="39"/>
  <c r="M9" i="39"/>
  <c r="L9" i="39"/>
  <c r="K9" i="39"/>
  <c r="J9" i="39"/>
  <c r="B9" i="39"/>
  <c r="B8" i="39"/>
  <c r="B7" i="39"/>
  <c r="B6" i="39"/>
  <c r="B5" i="39"/>
  <c r="B4" i="39"/>
  <c r="B3" i="39"/>
  <c r="G160" i="38"/>
  <c r="G159" i="38"/>
  <c r="G158" i="38"/>
  <c r="G157" i="38"/>
  <c r="G156" i="38"/>
  <c r="G155" i="38"/>
  <c r="G154" i="38"/>
  <c r="G153" i="38"/>
  <c r="G152" i="38"/>
  <c r="H162" i="38"/>
  <c r="G151" i="38"/>
  <c r="G162" i="38" s="1"/>
  <c r="F162" i="38"/>
  <c r="H149" i="38"/>
  <c r="G149" i="38"/>
  <c r="F149" i="38"/>
  <c r="E149" i="38"/>
  <c r="G103" i="38"/>
  <c r="E103" i="38"/>
  <c r="G102" i="38"/>
  <c r="E102" i="38"/>
  <c r="G101" i="38"/>
  <c r="E101" i="38"/>
  <c r="T120" i="39"/>
  <c r="S120" i="39"/>
  <c r="R120" i="39"/>
  <c r="Q120" i="39"/>
  <c r="P120" i="39"/>
  <c r="O120" i="39"/>
  <c r="N120" i="39"/>
  <c r="M120" i="39"/>
  <c r="L120" i="39"/>
  <c r="K120" i="39"/>
  <c r="J120" i="39"/>
  <c r="G100" i="38"/>
  <c r="E100" i="38"/>
  <c r="T106" i="39"/>
  <c r="Y65" i="51" s="1"/>
  <c r="S106" i="39"/>
  <c r="X65" i="51" s="1"/>
  <c r="R106" i="39"/>
  <c r="W65" i="51" s="1"/>
  <c r="Q106" i="39"/>
  <c r="V65" i="51" s="1"/>
  <c r="P106" i="39"/>
  <c r="U65" i="51" s="1"/>
  <c r="O106" i="39"/>
  <c r="T65" i="51" s="1"/>
  <c r="N106" i="39"/>
  <c r="S65" i="51" s="1"/>
  <c r="M106" i="39"/>
  <c r="L106" i="39"/>
  <c r="K106" i="39"/>
  <c r="J106" i="39"/>
  <c r="G99" i="38"/>
  <c r="E99" i="38"/>
  <c r="T92" i="39"/>
  <c r="Y58" i="51" s="1"/>
  <c r="S92" i="39"/>
  <c r="X58" i="51" s="1"/>
  <c r="R92" i="39"/>
  <c r="W58" i="51" s="1"/>
  <c r="Q92" i="39"/>
  <c r="V58" i="51" s="1"/>
  <c r="P92" i="39"/>
  <c r="U58" i="51" s="1"/>
  <c r="O92" i="39"/>
  <c r="T58" i="51" s="1"/>
  <c r="N92" i="39"/>
  <c r="S58" i="51" s="1"/>
  <c r="M92" i="39"/>
  <c r="L92" i="39"/>
  <c r="K92" i="39"/>
  <c r="J92" i="39"/>
  <c r="G98" i="38"/>
  <c r="E98" i="38"/>
  <c r="T78" i="39"/>
  <c r="Y51" i="51" s="1"/>
  <c r="S78" i="39"/>
  <c r="X51" i="51" s="1"/>
  <c r="Q78" i="39"/>
  <c r="V51" i="51" s="1"/>
  <c r="P78" i="39"/>
  <c r="U51" i="51" s="1"/>
  <c r="O78" i="39"/>
  <c r="T51" i="51" s="1"/>
  <c r="N78" i="39"/>
  <c r="S51" i="51" s="1"/>
  <c r="M78" i="39"/>
  <c r="L78" i="39"/>
  <c r="K78" i="39"/>
  <c r="J78" i="39"/>
  <c r="G97" i="38"/>
  <c r="E97" i="38"/>
  <c r="T64" i="39"/>
  <c r="Y44" i="51" s="1"/>
  <c r="S64" i="39"/>
  <c r="X44" i="51" s="1"/>
  <c r="R64" i="39"/>
  <c r="W44" i="51" s="1"/>
  <c r="Q64" i="39"/>
  <c r="V44" i="51" s="1"/>
  <c r="O64" i="39"/>
  <c r="T44" i="51" s="1"/>
  <c r="N64" i="39"/>
  <c r="S44" i="51" s="1"/>
  <c r="M64" i="39"/>
  <c r="L64" i="39"/>
  <c r="K64" i="39"/>
  <c r="J64" i="39"/>
  <c r="G96" i="38"/>
  <c r="E96" i="38"/>
  <c r="T50" i="39"/>
  <c r="Y37" i="51" s="1"/>
  <c r="S50" i="39"/>
  <c r="X37" i="51" s="1"/>
  <c r="R50" i="39"/>
  <c r="W37" i="51" s="1"/>
  <c r="Q50" i="39"/>
  <c r="V37" i="51" s="1"/>
  <c r="P50" i="39"/>
  <c r="U37" i="51" s="1"/>
  <c r="O50" i="39"/>
  <c r="T37" i="51" s="1"/>
  <c r="N50" i="39"/>
  <c r="S37" i="51" s="1"/>
  <c r="M50" i="39"/>
  <c r="L50" i="39"/>
  <c r="K50" i="39"/>
  <c r="J50" i="39"/>
  <c r="G95" i="38"/>
  <c r="E95" i="38"/>
  <c r="T36" i="39"/>
  <c r="Y30" i="51" s="1"/>
  <c r="N36" i="39"/>
  <c r="S30" i="51" s="1"/>
  <c r="M36" i="39"/>
  <c r="L36" i="39"/>
  <c r="H105" i="38"/>
  <c r="G94" i="38"/>
  <c r="G105" i="38" s="1"/>
  <c r="F105" i="38"/>
  <c r="E94" i="38"/>
  <c r="H92" i="38"/>
  <c r="G92" i="38"/>
  <c r="F92" i="38"/>
  <c r="E92" i="38"/>
  <c r="G84" i="38"/>
  <c r="E84" i="38"/>
  <c r="G83" i="38"/>
  <c r="E83" i="38"/>
  <c r="G82" i="38"/>
  <c r="E82" i="38"/>
  <c r="G81" i="38"/>
  <c r="E81" i="38"/>
  <c r="G80" i="38"/>
  <c r="E80" i="38"/>
  <c r="G79" i="38"/>
  <c r="E79" i="38"/>
  <c r="G78" i="38"/>
  <c r="E78" i="38"/>
  <c r="G77" i="38"/>
  <c r="E77" i="38"/>
  <c r="G76" i="38"/>
  <c r="E76" i="38"/>
  <c r="H86" i="38"/>
  <c r="G75" i="38"/>
  <c r="G86" i="38" s="1"/>
  <c r="F86" i="38"/>
  <c r="E75" i="38"/>
  <c r="H73" i="38"/>
  <c r="G73" i="38"/>
  <c r="F73" i="38"/>
  <c r="E73" i="38"/>
  <c r="G65" i="38"/>
  <c r="E65" i="38"/>
  <c r="E141" i="38" s="1"/>
  <c r="G64" i="38"/>
  <c r="E64" i="38"/>
  <c r="E140" i="38" s="1"/>
  <c r="G63" i="38"/>
  <c r="E63" i="38"/>
  <c r="E139" i="38" s="1"/>
  <c r="T118" i="39"/>
  <c r="Y70" i="51" s="1"/>
  <c r="S118" i="39"/>
  <c r="X70" i="51" s="1"/>
  <c r="R118" i="39"/>
  <c r="W70" i="51" s="1"/>
  <c r="Q118" i="39"/>
  <c r="V70" i="51" s="1"/>
  <c r="P118" i="39"/>
  <c r="U70" i="51" s="1"/>
  <c r="O118" i="39"/>
  <c r="T70" i="51" s="1"/>
  <c r="N118" i="39"/>
  <c r="S70" i="51" s="1"/>
  <c r="M118" i="39"/>
  <c r="L118" i="39"/>
  <c r="K118" i="39"/>
  <c r="J118" i="39"/>
  <c r="G62" i="38"/>
  <c r="E62" i="38"/>
  <c r="E138" i="38" s="1"/>
  <c r="T104" i="39"/>
  <c r="Y63" i="51" s="1"/>
  <c r="S104" i="39"/>
  <c r="X63" i="51" s="1"/>
  <c r="R104" i="39"/>
  <c r="W63" i="51" s="1"/>
  <c r="Q104" i="39"/>
  <c r="V63" i="51" s="1"/>
  <c r="P104" i="39"/>
  <c r="U63" i="51" s="1"/>
  <c r="O104" i="39"/>
  <c r="T63" i="51" s="1"/>
  <c r="N104" i="39"/>
  <c r="S63" i="51" s="1"/>
  <c r="M104" i="39"/>
  <c r="L104" i="39"/>
  <c r="K104" i="39"/>
  <c r="J104" i="39"/>
  <c r="G61" i="38"/>
  <c r="E61" i="38"/>
  <c r="E137" i="38" s="1"/>
  <c r="T90" i="39"/>
  <c r="Y56" i="51" s="1"/>
  <c r="S90" i="39"/>
  <c r="X56" i="51" s="1"/>
  <c r="R90" i="39"/>
  <c r="W56" i="51" s="1"/>
  <c r="Q90" i="39"/>
  <c r="V56" i="51" s="1"/>
  <c r="P90" i="39"/>
  <c r="U56" i="51" s="1"/>
  <c r="O90" i="39"/>
  <c r="T56" i="51" s="1"/>
  <c r="N90" i="39"/>
  <c r="S56" i="51" s="1"/>
  <c r="M90" i="39"/>
  <c r="L90" i="39"/>
  <c r="K90" i="39"/>
  <c r="J90" i="39"/>
  <c r="G60" i="38"/>
  <c r="E60" i="38"/>
  <c r="E136" i="38" s="1"/>
  <c r="T76" i="39"/>
  <c r="Y49" i="51" s="1"/>
  <c r="S76" i="39"/>
  <c r="X49" i="51" s="1"/>
  <c r="R76" i="39"/>
  <c r="W49" i="51" s="1"/>
  <c r="Q76" i="39"/>
  <c r="V49" i="51" s="1"/>
  <c r="P76" i="39"/>
  <c r="U49" i="51" s="1"/>
  <c r="O76" i="39"/>
  <c r="T49" i="51" s="1"/>
  <c r="N76" i="39"/>
  <c r="S49" i="51" s="1"/>
  <c r="M76" i="39"/>
  <c r="L76" i="39"/>
  <c r="K76" i="39"/>
  <c r="J76" i="39"/>
  <c r="G59" i="38"/>
  <c r="E59" i="38"/>
  <c r="E135" i="38" s="1"/>
  <c r="T62" i="39"/>
  <c r="Y42" i="51" s="1"/>
  <c r="S62" i="39"/>
  <c r="X42" i="51" s="1"/>
  <c r="R62" i="39"/>
  <c r="W42" i="51" s="1"/>
  <c r="Q62" i="39"/>
  <c r="V42" i="51" s="1"/>
  <c r="P62" i="39"/>
  <c r="U42" i="51" s="1"/>
  <c r="O62" i="39"/>
  <c r="T42" i="51" s="1"/>
  <c r="N62" i="39"/>
  <c r="S42" i="51" s="1"/>
  <c r="M62" i="39"/>
  <c r="L62" i="39"/>
  <c r="K62" i="39"/>
  <c r="J62" i="39"/>
  <c r="G58" i="38"/>
  <c r="E58" i="38"/>
  <c r="E134" i="38" s="1"/>
  <c r="T48" i="39"/>
  <c r="Y35" i="51" s="1"/>
  <c r="S48" i="39"/>
  <c r="X35" i="51" s="1"/>
  <c r="R48" i="39"/>
  <c r="W35" i="51" s="1"/>
  <c r="Q48" i="39"/>
  <c r="V35" i="51" s="1"/>
  <c r="P48" i="39"/>
  <c r="U35" i="51" s="1"/>
  <c r="O48" i="39"/>
  <c r="T35" i="51" s="1"/>
  <c r="N48" i="39"/>
  <c r="S35" i="51" s="1"/>
  <c r="M48" i="39"/>
  <c r="L48" i="39"/>
  <c r="K48" i="39"/>
  <c r="J48" i="39"/>
  <c r="G57" i="38"/>
  <c r="E57" i="38"/>
  <c r="E133" i="38" s="1"/>
  <c r="T34" i="39"/>
  <c r="Y28" i="51" s="1"/>
  <c r="S34" i="39"/>
  <c r="X28" i="51" s="1"/>
  <c r="R34" i="39"/>
  <c r="W28" i="51" s="1"/>
  <c r="Q34" i="39"/>
  <c r="V28" i="51" s="1"/>
  <c r="P34" i="39"/>
  <c r="U28" i="51" s="1"/>
  <c r="O34" i="39"/>
  <c r="T28" i="51" s="1"/>
  <c r="M34" i="39"/>
  <c r="L34" i="39"/>
  <c r="K34" i="39"/>
  <c r="J34" i="39"/>
  <c r="H67" i="38"/>
  <c r="G56" i="38"/>
  <c r="G67" i="38" s="1"/>
  <c r="F67" i="38"/>
  <c r="E56" i="38"/>
  <c r="E132" i="38" s="1"/>
  <c r="H54" i="38"/>
  <c r="G54" i="38"/>
  <c r="F54" i="38"/>
  <c r="E54" i="38"/>
  <c r="G46" i="38"/>
  <c r="E46" i="38"/>
  <c r="G45" i="38"/>
  <c r="E45" i="38"/>
  <c r="G44" i="38"/>
  <c r="E44" i="38"/>
  <c r="T117" i="39"/>
  <c r="Y69" i="51" s="1"/>
  <c r="S117" i="39"/>
  <c r="X69" i="51" s="1"/>
  <c r="R117" i="39"/>
  <c r="W69" i="51" s="1"/>
  <c r="Q117" i="39"/>
  <c r="V69" i="51" s="1"/>
  <c r="P117" i="39"/>
  <c r="U69" i="51" s="1"/>
  <c r="O117" i="39"/>
  <c r="T69" i="51" s="1"/>
  <c r="N117" i="39"/>
  <c r="S69" i="51" s="1"/>
  <c r="M117" i="39"/>
  <c r="L117" i="39"/>
  <c r="K117" i="39"/>
  <c r="J117" i="39"/>
  <c r="G43" i="38"/>
  <c r="E43" i="38"/>
  <c r="T103" i="39"/>
  <c r="Y62" i="51" s="1"/>
  <c r="S103" i="39"/>
  <c r="X62" i="51" s="1"/>
  <c r="R103" i="39"/>
  <c r="W62" i="51" s="1"/>
  <c r="Q103" i="39"/>
  <c r="V62" i="51" s="1"/>
  <c r="P103" i="39"/>
  <c r="U62" i="51" s="1"/>
  <c r="O103" i="39"/>
  <c r="T62" i="51" s="1"/>
  <c r="N103" i="39"/>
  <c r="S62" i="51" s="1"/>
  <c r="M103" i="39"/>
  <c r="L103" i="39"/>
  <c r="K103" i="39"/>
  <c r="J103" i="39"/>
  <c r="G42" i="38"/>
  <c r="E42" i="38"/>
  <c r="T89" i="39"/>
  <c r="Y55" i="51" s="1"/>
  <c r="S89" i="39"/>
  <c r="X55" i="51" s="1"/>
  <c r="R89" i="39"/>
  <c r="W55" i="51" s="1"/>
  <c r="Q89" i="39"/>
  <c r="V55" i="51" s="1"/>
  <c r="P89" i="39"/>
  <c r="U55" i="51" s="1"/>
  <c r="O89" i="39"/>
  <c r="T55" i="51" s="1"/>
  <c r="N89" i="39"/>
  <c r="S55" i="51" s="1"/>
  <c r="M89" i="39"/>
  <c r="L89" i="39"/>
  <c r="K89" i="39"/>
  <c r="J89" i="39"/>
  <c r="G41" i="38"/>
  <c r="E41" i="38"/>
  <c r="T75" i="39"/>
  <c r="Y48" i="51" s="1"/>
  <c r="S75" i="39"/>
  <c r="X48" i="51" s="1"/>
  <c r="R75" i="39"/>
  <c r="W48" i="51" s="1"/>
  <c r="Q75" i="39"/>
  <c r="V48" i="51" s="1"/>
  <c r="P75" i="39"/>
  <c r="U48" i="51" s="1"/>
  <c r="O75" i="39"/>
  <c r="T48" i="51" s="1"/>
  <c r="N75" i="39"/>
  <c r="S48" i="51" s="1"/>
  <c r="M75" i="39"/>
  <c r="L75" i="39"/>
  <c r="K75" i="39"/>
  <c r="J75" i="39"/>
  <c r="G40" i="38"/>
  <c r="E40" i="38"/>
  <c r="T61" i="39"/>
  <c r="Y41" i="51" s="1"/>
  <c r="S61" i="39"/>
  <c r="X41" i="51" s="1"/>
  <c r="R61" i="39"/>
  <c r="W41" i="51" s="1"/>
  <c r="Q61" i="39"/>
  <c r="V41" i="51" s="1"/>
  <c r="P61" i="39"/>
  <c r="U41" i="51" s="1"/>
  <c r="O61" i="39"/>
  <c r="T41" i="51" s="1"/>
  <c r="N61" i="39"/>
  <c r="S41" i="51" s="1"/>
  <c r="M61" i="39"/>
  <c r="L61" i="39"/>
  <c r="K61" i="39"/>
  <c r="J61" i="39"/>
  <c r="G39" i="38"/>
  <c r="E39" i="38"/>
  <c r="T47" i="39"/>
  <c r="Y34" i="51" s="1"/>
  <c r="S47" i="39"/>
  <c r="X34" i="51" s="1"/>
  <c r="R47" i="39"/>
  <c r="W34" i="51" s="1"/>
  <c r="Q47" i="39"/>
  <c r="V34" i="51" s="1"/>
  <c r="P47" i="39"/>
  <c r="U34" i="51" s="1"/>
  <c r="O47" i="39"/>
  <c r="T34" i="51" s="1"/>
  <c r="N47" i="39"/>
  <c r="S34" i="51" s="1"/>
  <c r="M47" i="39"/>
  <c r="L47" i="39"/>
  <c r="K47" i="39"/>
  <c r="J47" i="39"/>
  <c r="G38" i="38"/>
  <c r="E38" i="38"/>
  <c r="S33" i="39"/>
  <c r="X27" i="51" s="1"/>
  <c r="Q33" i="39"/>
  <c r="V27" i="51" s="1"/>
  <c r="N33" i="39"/>
  <c r="S27" i="51" s="1"/>
  <c r="M33" i="39"/>
  <c r="K33" i="39"/>
  <c r="H48" i="38"/>
  <c r="G37" i="38"/>
  <c r="G48" i="38" s="1"/>
  <c r="F48" i="38"/>
  <c r="E37" i="38"/>
  <c r="H35" i="38"/>
  <c r="G35" i="38"/>
  <c r="F35" i="38"/>
  <c r="E35" i="38"/>
  <c r="G27" i="38"/>
  <c r="D27" i="38"/>
  <c r="G26" i="38"/>
  <c r="D26" i="38"/>
  <c r="G25" i="38"/>
  <c r="D25" i="38"/>
  <c r="G24" i="38"/>
  <c r="D24" i="38"/>
  <c r="G23" i="38"/>
  <c r="D23" i="38"/>
  <c r="G22" i="38"/>
  <c r="D22" i="38"/>
  <c r="G21" i="38"/>
  <c r="D21" i="38"/>
  <c r="G20" i="38"/>
  <c r="D20" i="38"/>
  <c r="G19" i="38"/>
  <c r="D19" i="38"/>
  <c r="H29" i="38"/>
  <c r="G18" i="38"/>
  <c r="G29" i="38" s="1"/>
  <c r="F29" i="38"/>
  <c r="D18" i="38"/>
  <c r="H16" i="38"/>
  <c r="G16" i="38"/>
  <c r="F16" i="38"/>
  <c r="E16" i="38"/>
  <c r="H10" i="38"/>
  <c r="G10" i="38"/>
  <c r="F10" i="38"/>
  <c r="E10" i="38"/>
  <c r="B10" i="38"/>
  <c r="T9" i="38"/>
  <c r="S9" i="38"/>
  <c r="R9" i="38"/>
  <c r="Q9" i="38"/>
  <c r="P9" i="38"/>
  <c r="O9" i="38"/>
  <c r="N9" i="38"/>
  <c r="M9" i="38"/>
  <c r="L9" i="38"/>
  <c r="K9" i="38"/>
  <c r="J9" i="38"/>
  <c r="B9" i="38"/>
  <c r="B8" i="38"/>
  <c r="B7" i="38"/>
  <c r="B6" i="38"/>
  <c r="B5" i="38"/>
  <c r="B4" i="38"/>
  <c r="B3" i="38"/>
  <c r="G173" i="37"/>
  <c r="G172" i="37"/>
  <c r="G171" i="37"/>
  <c r="G170" i="37"/>
  <c r="H180" i="37"/>
  <c r="G168" i="37"/>
  <c r="G180" i="37" s="1"/>
  <c r="F180" i="37"/>
  <c r="H166" i="37"/>
  <c r="G166" i="37"/>
  <c r="F166" i="37"/>
  <c r="E166" i="37"/>
  <c r="T116" i="37"/>
  <c r="S116" i="37"/>
  <c r="R116" i="37"/>
  <c r="Q116" i="37"/>
  <c r="P116" i="37"/>
  <c r="G109" i="37"/>
  <c r="G108" i="37"/>
  <c r="G107" i="37"/>
  <c r="G106" i="37"/>
  <c r="H116" i="37"/>
  <c r="G104" i="37"/>
  <c r="G116" i="37" s="1"/>
  <c r="F116" i="37"/>
  <c r="H102" i="37"/>
  <c r="G102" i="37"/>
  <c r="F102" i="37"/>
  <c r="E102" i="37"/>
  <c r="G87" i="37"/>
  <c r="D87" i="37"/>
  <c r="G86" i="37"/>
  <c r="G85" i="37"/>
  <c r="G84" i="37"/>
  <c r="H94" i="37"/>
  <c r="G82" i="37"/>
  <c r="G94" i="37" s="1"/>
  <c r="F94" i="37"/>
  <c r="D82" i="37"/>
  <c r="H80" i="37"/>
  <c r="G80" i="37"/>
  <c r="F80" i="37"/>
  <c r="E80" i="37"/>
  <c r="G65" i="37"/>
  <c r="G64" i="37"/>
  <c r="G63" i="37"/>
  <c r="G62" i="37"/>
  <c r="H72" i="37"/>
  <c r="G60" i="37"/>
  <c r="G72" i="37" s="1"/>
  <c r="F72" i="37"/>
  <c r="H58" i="37"/>
  <c r="G58" i="37"/>
  <c r="F58" i="37"/>
  <c r="E58" i="37"/>
  <c r="G43" i="37"/>
  <c r="D43" i="37"/>
  <c r="G42" i="37"/>
  <c r="D42" i="37"/>
  <c r="G41" i="37"/>
  <c r="G40" i="37"/>
  <c r="D40" i="37"/>
  <c r="H50" i="37"/>
  <c r="G38" i="37"/>
  <c r="G50" i="37" s="1"/>
  <c r="F50" i="37"/>
  <c r="H36" i="37"/>
  <c r="G36" i="37"/>
  <c r="F36" i="37"/>
  <c r="E36" i="37"/>
  <c r="G23" i="37"/>
  <c r="D109" i="37"/>
  <c r="G22" i="37"/>
  <c r="G21" i="37"/>
  <c r="H30" i="37"/>
  <c r="G18" i="37"/>
  <c r="D38" i="37"/>
  <c r="H16" i="37"/>
  <c r="G16" i="37"/>
  <c r="F16" i="37"/>
  <c r="E16" i="37"/>
  <c r="H10" i="37"/>
  <c r="G10" i="37"/>
  <c r="F10" i="37"/>
  <c r="E10" i="37"/>
  <c r="B10" i="37"/>
  <c r="T9" i="37"/>
  <c r="S9" i="37"/>
  <c r="R9" i="37"/>
  <c r="Q9" i="37"/>
  <c r="P9" i="37"/>
  <c r="O9" i="37"/>
  <c r="N9" i="37"/>
  <c r="M9" i="37"/>
  <c r="L9" i="37"/>
  <c r="K9" i="37"/>
  <c r="J9" i="37"/>
  <c r="B9" i="37"/>
  <c r="B8" i="37"/>
  <c r="B7" i="37"/>
  <c r="B6" i="37"/>
  <c r="B5" i="37"/>
  <c r="B4" i="37"/>
  <c r="B3" i="37"/>
  <c r="D35" i="31"/>
  <c r="C154" i="34"/>
  <c r="G162" i="34"/>
  <c r="D162" i="34"/>
  <c r="G161" i="34"/>
  <c r="D161" i="34"/>
  <c r="G160" i="34"/>
  <c r="D160" i="34"/>
  <c r="G159" i="34"/>
  <c r="D159" i="34"/>
  <c r="G158" i="34"/>
  <c r="G164" i="34" s="1"/>
  <c r="F164" i="34"/>
  <c r="D158" i="34"/>
  <c r="H156" i="34"/>
  <c r="G156" i="34"/>
  <c r="F156" i="34"/>
  <c r="E156" i="34"/>
  <c r="C140" i="34"/>
  <c r="G148" i="34"/>
  <c r="D148" i="34"/>
  <c r="G147" i="34"/>
  <c r="D147" i="34"/>
  <c r="G146" i="34"/>
  <c r="D146" i="34"/>
  <c r="G145" i="34"/>
  <c r="D145" i="34"/>
  <c r="G144" i="34"/>
  <c r="G150" i="34" s="1"/>
  <c r="F150" i="34"/>
  <c r="D144" i="34"/>
  <c r="H142" i="34"/>
  <c r="G142" i="34"/>
  <c r="F142" i="34"/>
  <c r="E142" i="34"/>
  <c r="C126" i="34"/>
  <c r="G134" i="34"/>
  <c r="D134" i="34"/>
  <c r="G133" i="34"/>
  <c r="D133" i="34"/>
  <c r="G132" i="34"/>
  <c r="D132" i="34"/>
  <c r="G131" i="34"/>
  <c r="D131" i="34"/>
  <c r="G130" i="34"/>
  <c r="G136" i="34" s="1"/>
  <c r="F136" i="34"/>
  <c r="D130" i="34"/>
  <c r="H128" i="34"/>
  <c r="G128" i="34"/>
  <c r="F128" i="34"/>
  <c r="E128" i="34"/>
  <c r="C112" i="34"/>
  <c r="G120" i="34"/>
  <c r="D120" i="34"/>
  <c r="G119" i="34"/>
  <c r="D119" i="34"/>
  <c r="G118" i="34"/>
  <c r="D118" i="34"/>
  <c r="G117" i="34"/>
  <c r="D117" i="34"/>
  <c r="G116" i="34"/>
  <c r="G122" i="34" s="1"/>
  <c r="F122" i="34"/>
  <c r="D116" i="34"/>
  <c r="H114" i="34"/>
  <c r="G114" i="34"/>
  <c r="F114" i="34"/>
  <c r="E114" i="34"/>
  <c r="C98" i="34"/>
  <c r="G106" i="34"/>
  <c r="D106" i="34"/>
  <c r="G105" i="34"/>
  <c r="D105" i="34"/>
  <c r="G104" i="34"/>
  <c r="D104" i="34"/>
  <c r="G103" i="34"/>
  <c r="D103" i="34"/>
  <c r="G102" i="34"/>
  <c r="G108" i="34" s="1"/>
  <c r="F108" i="34"/>
  <c r="D102" i="34"/>
  <c r="H100" i="34"/>
  <c r="G100" i="34"/>
  <c r="F100" i="34"/>
  <c r="E100" i="34"/>
  <c r="C84" i="34"/>
  <c r="G92" i="34"/>
  <c r="D92" i="34"/>
  <c r="G91" i="34"/>
  <c r="D91" i="34"/>
  <c r="G90" i="34"/>
  <c r="D90" i="34"/>
  <c r="G89" i="34"/>
  <c r="D89" i="34"/>
  <c r="G88" i="34"/>
  <c r="G94" i="34" s="1"/>
  <c r="F94" i="34"/>
  <c r="D88" i="34"/>
  <c r="H86" i="34"/>
  <c r="G86" i="34"/>
  <c r="F86" i="34"/>
  <c r="E86" i="34"/>
  <c r="C70" i="34"/>
  <c r="G78" i="34"/>
  <c r="D78" i="34"/>
  <c r="G77" i="34"/>
  <c r="D77" i="34"/>
  <c r="G76" i="34"/>
  <c r="D76" i="34"/>
  <c r="G75" i="34"/>
  <c r="D75" i="34"/>
  <c r="G74" i="34"/>
  <c r="G80" i="34" s="1"/>
  <c r="F80" i="34"/>
  <c r="D74" i="34"/>
  <c r="H72" i="34"/>
  <c r="G72" i="34"/>
  <c r="F72" i="34"/>
  <c r="E72" i="34"/>
  <c r="C56" i="34"/>
  <c r="G64" i="34"/>
  <c r="D64" i="34"/>
  <c r="G63" i="34"/>
  <c r="D63" i="34"/>
  <c r="G62" i="34"/>
  <c r="D62" i="34"/>
  <c r="G61" i="34"/>
  <c r="D61" i="34"/>
  <c r="G60" i="34"/>
  <c r="G66" i="34" s="1"/>
  <c r="F66" i="34"/>
  <c r="D60" i="34"/>
  <c r="H58" i="34"/>
  <c r="G58" i="34"/>
  <c r="F58" i="34"/>
  <c r="E58" i="34"/>
  <c r="C42" i="34"/>
  <c r="G50" i="34"/>
  <c r="D50" i="34"/>
  <c r="G49" i="34"/>
  <c r="D49" i="34"/>
  <c r="G48" i="34"/>
  <c r="D48" i="34"/>
  <c r="G47" i="34"/>
  <c r="D47" i="34"/>
  <c r="G46" i="34"/>
  <c r="G52" i="34" s="1"/>
  <c r="F52" i="34"/>
  <c r="D46" i="34"/>
  <c r="H44" i="34"/>
  <c r="G44" i="34"/>
  <c r="F44" i="34"/>
  <c r="E44" i="34"/>
  <c r="D36" i="34"/>
  <c r="D35" i="34"/>
  <c r="D34" i="34"/>
  <c r="D33" i="34"/>
  <c r="D32" i="34"/>
  <c r="C28" i="34"/>
  <c r="D29" i="28"/>
  <c r="G36" i="34"/>
  <c r="G35" i="34"/>
  <c r="G34" i="34"/>
  <c r="G33" i="34"/>
  <c r="G32" i="34"/>
  <c r="G38" i="34" s="1"/>
  <c r="F38" i="34"/>
  <c r="H30" i="34"/>
  <c r="G30" i="34"/>
  <c r="F30" i="34"/>
  <c r="E30" i="34"/>
  <c r="H10" i="34"/>
  <c r="G10" i="34"/>
  <c r="F10" i="34"/>
  <c r="E10" i="34"/>
  <c r="B10" i="34"/>
  <c r="T9" i="34"/>
  <c r="S9" i="34"/>
  <c r="R9" i="34"/>
  <c r="Q9" i="34"/>
  <c r="P9" i="34"/>
  <c r="O9" i="34"/>
  <c r="N9" i="34"/>
  <c r="M9" i="34"/>
  <c r="L9" i="34"/>
  <c r="K9" i="34"/>
  <c r="J9" i="34"/>
  <c r="B9" i="34"/>
  <c r="B8" i="34"/>
  <c r="B7" i="34"/>
  <c r="B6" i="34"/>
  <c r="B5" i="34"/>
  <c r="B4" i="34"/>
  <c r="B3" i="34"/>
  <c r="D26" i="25"/>
  <c r="D22" i="25"/>
  <c r="D17" i="25"/>
  <c r="E95" i="33"/>
  <c r="E96" i="33"/>
  <c r="E97" i="33"/>
  <c r="E98" i="33"/>
  <c r="E99" i="33"/>
  <c r="E100" i="33"/>
  <c r="E101" i="33"/>
  <c r="E102" i="33"/>
  <c r="E103" i="33"/>
  <c r="E94" i="33"/>
  <c r="E76" i="33"/>
  <c r="E77" i="33"/>
  <c r="E78" i="33"/>
  <c r="E79" i="33"/>
  <c r="E80" i="33"/>
  <c r="E81" i="33"/>
  <c r="E82" i="33"/>
  <c r="E83" i="33"/>
  <c r="E84" i="33"/>
  <c r="E75" i="33"/>
  <c r="E57" i="33"/>
  <c r="E58" i="33"/>
  <c r="E59" i="33"/>
  <c r="E60" i="33"/>
  <c r="E61" i="33"/>
  <c r="E62" i="33"/>
  <c r="E63" i="33"/>
  <c r="E64" i="33"/>
  <c r="E65" i="33"/>
  <c r="E56" i="33"/>
  <c r="E46" i="33"/>
  <c r="E45" i="33"/>
  <c r="E44" i="33"/>
  <c r="E43" i="33"/>
  <c r="E42" i="33"/>
  <c r="E41" i="33"/>
  <c r="E40" i="33"/>
  <c r="E39" i="33"/>
  <c r="E38" i="33"/>
  <c r="E37" i="33"/>
  <c r="D27" i="33"/>
  <c r="D26" i="33"/>
  <c r="D25" i="33"/>
  <c r="D24" i="33"/>
  <c r="D23" i="33"/>
  <c r="D22" i="33"/>
  <c r="D21" i="33"/>
  <c r="D20" i="33"/>
  <c r="D19" i="33"/>
  <c r="D18" i="33"/>
  <c r="E10" i="31" a="1"/>
  <c r="E10" i="31" s="1"/>
  <c r="G160" i="33"/>
  <c r="G159" i="33"/>
  <c r="G158" i="33"/>
  <c r="G157" i="33"/>
  <c r="G156" i="33"/>
  <c r="G155" i="33"/>
  <c r="G154" i="33"/>
  <c r="G153" i="33"/>
  <c r="G152" i="33"/>
  <c r="G151" i="33"/>
  <c r="G162" i="33" s="1"/>
  <c r="F162" i="33"/>
  <c r="G149" i="33"/>
  <c r="F149" i="33"/>
  <c r="E149" i="33"/>
  <c r="G103" i="33"/>
  <c r="G102" i="33"/>
  <c r="G101" i="33"/>
  <c r="G100" i="33"/>
  <c r="G99" i="33"/>
  <c r="G98" i="33"/>
  <c r="G97" i="33"/>
  <c r="G96" i="33"/>
  <c r="G95" i="33"/>
  <c r="G94" i="33"/>
  <c r="G105" i="33" s="1"/>
  <c r="F105" i="33"/>
  <c r="G92" i="33"/>
  <c r="F92" i="33"/>
  <c r="E92" i="33"/>
  <c r="G84" i="33"/>
  <c r="G83" i="33"/>
  <c r="G82" i="33"/>
  <c r="G81" i="33"/>
  <c r="G80" i="33"/>
  <c r="G79" i="33"/>
  <c r="G78" i="33"/>
  <c r="G77" i="33"/>
  <c r="G76" i="33"/>
  <c r="G75" i="33"/>
  <c r="G86" i="33" s="1"/>
  <c r="F86" i="33"/>
  <c r="G73" i="33"/>
  <c r="F73" i="33"/>
  <c r="E73" i="33"/>
  <c r="G65" i="33"/>
  <c r="G64" i="33"/>
  <c r="G63" i="33"/>
  <c r="G62" i="33"/>
  <c r="G61" i="33"/>
  <c r="G60" i="33"/>
  <c r="G59" i="33"/>
  <c r="G58" i="33"/>
  <c r="G57" i="33"/>
  <c r="G56" i="33"/>
  <c r="G67" i="33" s="1"/>
  <c r="F67" i="33"/>
  <c r="G54" i="33"/>
  <c r="F54" i="33"/>
  <c r="E54" i="33"/>
  <c r="G46" i="33"/>
  <c r="G45" i="33"/>
  <c r="G44" i="33"/>
  <c r="G43" i="33"/>
  <c r="G42" i="33"/>
  <c r="G41" i="33"/>
  <c r="G40" i="33"/>
  <c r="G39" i="33"/>
  <c r="G38" i="33"/>
  <c r="G37" i="33"/>
  <c r="G48" i="33" s="1"/>
  <c r="F48" i="33"/>
  <c r="G35" i="33"/>
  <c r="F35" i="33"/>
  <c r="E35" i="33"/>
  <c r="G27" i="33"/>
  <c r="G26" i="33"/>
  <c r="G25" i="33"/>
  <c r="G24" i="33"/>
  <c r="G23" i="33"/>
  <c r="G22" i="33"/>
  <c r="G21" i="33"/>
  <c r="G20" i="33"/>
  <c r="G19" i="33"/>
  <c r="G18" i="33"/>
  <c r="G29" i="33" s="1"/>
  <c r="F29" i="33"/>
  <c r="G16" i="33"/>
  <c r="F16" i="33"/>
  <c r="E16" i="33"/>
  <c r="G10" i="33"/>
  <c r="F10" i="33"/>
  <c r="E10" i="33"/>
  <c r="B10" i="33"/>
  <c r="T9" i="33"/>
  <c r="S9" i="33"/>
  <c r="R9" i="33"/>
  <c r="Q9" i="33"/>
  <c r="P9" i="33"/>
  <c r="O9" i="33"/>
  <c r="N9" i="33"/>
  <c r="M9" i="33"/>
  <c r="L9" i="33"/>
  <c r="K9" i="33"/>
  <c r="J9" i="33"/>
  <c r="B9" i="33"/>
  <c r="B8" i="33"/>
  <c r="B7" i="33"/>
  <c r="B6" i="33"/>
  <c r="B5" i="33"/>
  <c r="B4" i="33"/>
  <c r="B3" i="33"/>
  <c r="G243" i="32"/>
  <c r="G244" i="32"/>
  <c r="G250" i="32"/>
  <c r="G152" i="32"/>
  <c r="G153" i="32"/>
  <c r="G159" i="32"/>
  <c r="G121" i="32"/>
  <c r="G122" i="32"/>
  <c r="G128" i="32"/>
  <c r="G90" i="32"/>
  <c r="G91" i="32"/>
  <c r="G97" i="32"/>
  <c r="G59" i="32"/>
  <c r="G60" i="32"/>
  <c r="G66" i="32"/>
  <c r="D30" i="32"/>
  <c r="G30" i="32"/>
  <c r="D31" i="32"/>
  <c r="G31" i="32"/>
  <c r="D37" i="32"/>
  <c r="G37" i="32"/>
  <c r="D29" i="32"/>
  <c r="D28" i="32"/>
  <c r="D27" i="32"/>
  <c r="D26" i="32"/>
  <c r="D25" i="32"/>
  <c r="D24" i="32"/>
  <c r="D23" i="32"/>
  <c r="D22" i="32"/>
  <c r="D21" i="32"/>
  <c r="D20" i="32"/>
  <c r="D19" i="32"/>
  <c r="D18" i="32"/>
  <c r="D22" i="31"/>
  <c r="M22" i="31" s="1"/>
  <c r="N22" i="31" s="1"/>
  <c r="D23" i="31"/>
  <c r="D24" i="31"/>
  <c r="D30" i="31"/>
  <c r="D21" i="31"/>
  <c r="D12" i="31"/>
  <c r="D13" i="31"/>
  <c r="D14" i="31"/>
  <c r="D15" i="31"/>
  <c r="D16" i="31"/>
  <c r="D17" i="31"/>
  <c r="D18" i="31"/>
  <c r="D19" i="31"/>
  <c r="D20" i="31"/>
  <c r="D11" i="31"/>
  <c r="G242" i="32"/>
  <c r="G241" i="32"/>
  <c r="G240" i="32"/>
  <c r="G239" i="32"/>
  <c r="G238" i="32"/>
  <c r="G237" i="32"/>
  <c r="G236" i="32"/>
  <c r="G235" i="32"/>
  <c r="G234" i="32"/>
  <c r="G233" i="32"/>
  <c r="G232" i="32"/>
  <c r="G231" i="32"/>
  <c r="G252" i="32" s="1"/>
  <c r="F252" i="32"/>
  <c r="G229" i="32"/>
  <c r="F229" i="32"/>
  <c r="E229" i="32"/>
  <c r="G151" i="32"/>
  <c r="G150" i="32"/>
  <c r="G149" i="32"/>
  <c r="G148" i="32"/>
  <c r="G147" i="32"/>
  <c r="G146" i="32"/>
  <c r="G145" i="32"/>
  <c r="G144" i="32"/>
  <c r="G143" i="32"/>
  <c r="G142" i="32"/>
  <c r="G141" i="32"/>
  <c r="G140" i="32"/>
  <c r="G161" i="32" s="1"/>
  <c r="F161" i="32"/>
  <c r="G138" i="32"/>
  <c r="F138" i="32"/>
  <c r="E138" i="32"/>
  <c r="G120" i="32"/>
  <c r="G119" i="32"/>
  <c r="G118" i="32"/>
  <c r="G117" i="32"/>
  <c r="G116" i="32"/>
  <c r="G115" i="32"/>
  <c r="G114" i="32"/>
  <c r="G113" i="32"/>
  <c r="G112" i="32"/>
  <c r="G111" i="32"/>
  <c r="G110" i="32"/>
  <c r="G109" i="32"/>
  <c r="G130" i="32" s="1"/>
  <c r="F130" i="32"/>
  <c r="G107" i="32"/>
  <c r="F107" i="32"/>
  <c r="E107" i="32"/>
  <c r="G89" i="32"/>
  <c r="G88" i="32"/>
  <c r="G87" i="32"/>
  <c r="G86" i="32"/>
  <c r="G85" i="32"/>
  <c r="G84" i="32"/>
  <c r="G83" i="32"/>
  <c r="G82" i="32"/>
  <c r="G81" i="32"/>
  <c r="G80" i="32"/>
  <c r="G79" i="32"/>
  <c r="G78" i="32"/>
  <c r="G99" i="32" s="1"/>
  <c r="F99" i="32"/>
  <c r="G76" i="32"/>
  <c r="F76" i="32"/>
  <c r="E76" i="32"/>
  <c r="G58" i="32"/>
  <c r="G57" i="32"/>
  <c r="G56" i="32"/>
  <c r="G55" i="32"/>
  <c r="G54" i="32"/>
  <c r="G53" i="32"/>
  <c r="G52" i="32"/>
  <c r="G51" i="32"/>
  <c r="G50" i="32"/>
  <c r="G49" i="32"/>
  <c r="G48" i="32"/>
  <c r="G47" i="32"/>
  <c r="G68" i="32" s="1"/>
  <c r="F68" i="32"/>
  <c r="G45" i="32"/>
  <c r="F45" i="32"/>
  <c r="E45" i="32"/>
  <c r="R37" i="45" l="1"/>
  <c r="R182" i="45" s="1"/>
  <c r="R240" i="45" s="1"/>
  <c r="F30" i="37"/>
  <c r="G30" i="37"/>
  <c r="Q118" i="37"/>
  <c r="R118" i="37"/>
  <c r="S118" i="37"/>
  <c r="T118" i="37"/>
  <c r="P118" i="37"/>
  <c r="E41" i="31"/>
  <c r="E34" i="31"/>
  <c r="D120" i="38"/>
  <c r="D139" i="38"/>
  <c r="D84" i="38"/>
  <c r="D141" i="38"/>
  <c r="D122" i="38"/>
  <c r="D37" i="38"/>
  <c r="D113" i="38"/>
  <c r="D132" i="38"/>
  <c r="D134" i="38"/>
  <c r="D115" i="38"/>
  <c r="D117" i="38"/>
  <c r="D136" i="38"/>
  <c r="D81" i="38"/>
  <c r="D138" i="38"/>
  <c r="D119" i="38"/>
  <c r="D45" i="38"/>
  <c r="D121" i="38"/>
  <c r="D140" i="38"/>
  <c r="D76" i="38"/>
  <c r="D114" i="38"/>
  <c r="D133" i="38"/>
  <c r="D78" i="38"/>
  <c r="D116" i="38"/>
  <c r="D135" i="38"/>
  <c r="D80" i="38"/>
  <c r="D137" i="38"/>
  <c r="D118" i="38"/>
  <c r="D37" i="33"/>
  <c r="D132" i="33"/>
  <c r="D113" i="33"/>
  <c r="D140" i="33"/>
  <c r="D121" i="33"/>
  <c r="D76" i="33"/>
  <c r="D114" i="33"/>
  <c r="D133" i="33"/>
  <c r="D122" i="33"/>
  <c r="D141" i="33"/>
  <c r="D39" i="33"/>
  <c r="D134" i="33"/>
  <c r="D115" i="33"/>
  <c r="D120" i="33"/>
  <c r="D139" i="33"/>
  <c r="D82" i="33"/>
  <c r="D78" i="33"/>
  <c r="D135" i="33"/>
  <c r="D116" i="33"/>
  <c r="D41" i="33"/>
  <c r="D136" i="33"/>
  <c r="D117" i="33"/>
  <c r="D137" i="33"/>
  <c r="D118" i="33"/>
  <c r="D119" i="33"/>
  <c r="D138" i="33"/>
  <c r="N138" i="33"/>
  <c r="M138" i="33"/>
  <c r="P138" i="33"/>
  <c r="T138" i="33"/>
  <c r="L138" i="33"/>
  <c r="S138" i="33"/>
  <c r="K138" i="33"/>
  <c r="R138" i="33"/>
  <c r="Q138" i="33"/>
  <c r="D75" i="38"/>
  <c r="D83" i="38"/>
  <c r="D234" i="32"/>
  <c r="D174" i="32"/>
  <c r="D203" i="32"/>
  <c r="D120" i="32"/>
  <c r="D182" i="32"/>
  <c r="D211" i="32"/>
  <c r="D122" i="32"/>
  <c r="D184" i="32"/>
  <c r="D213" i="32"/>
  <c r="D235" i="32"/>
  <c r="D175" i="32"/>
  <c r="D204" i="32"/>
  <c r="D237" i="32"/>
  <c r="D206" i="32"/>
  <c r="D177" i="32"/>
  <c r="D236" i="32"/>
  <c r="D176" i="32"/>
  <c r="D205" i="32"/>
  <c r="D54" i="32"/>
  <c r="D178" i="32"/>
  <c r="D207" i="32"/>
  <c r="D219" i="32"/>
  <c r="D159" i="32"/>
  <c r="D190" i="32"/>
  <c r="D243" i="32"/>
  <c r="D183" i="32"/>
  <c r="D212" i="32"/>
  <c r="D148" i="32"/>
  <c r="D179" i="32"/>
  <c r="D208" i="32"/>
  <c r="D110" i="32"/>
  <c r="D172" i="32"/>
  <c r="D201" i="32"/>
  <c r="D240" i="32"/>
  <c r="D180" i="32"/>
  <c r="D209" i="32"/>
  <c r="D47" i="32"/>
  <c r="D171" i="32"/>
  <c r="D200" i="32"/>
  <c r="D80" i="32"/>
  <c r="D173" i="32"/>
  <c r="D202" i="32"/>
  <c r="D57" i="32"/>
  <c r="D210" i="32"/>
  <c r="D181" i="32"/>
  <c r="D150" i="32"/>
  <c r="D58" i="32"/>
  <c r="D50" i="32"/>
  <c r="D81" i="32"/>
  <c r="D151" i="32"/>
  <c r="D242" i="32"/>
  <c r="D118" i="32"/>
  <c r="D49" i="32"/>
  <c r="D241" i="32"/>
  <c r="D88" i="32"/>
  <c r="D112" i="32"/>
  <c r="D171" i="37"/>
  <c r="D64" i="31" s="1"/>
  <c r="D63" i="37"/>
  <c r="D170" i="37"/>
  <c r="D63" i="31" s="1"/>
  <c r="D106" i="37"/>
  <c r="D62" i="37"/>
  <c r="D84" i="37"/>
  <c r="D41" i="37"/>
  <c r="D158" i="38"/>
  <c r="D101" i="38"/>
  <c r="D63" i="38"/>
  <c r="D44" i="38"/>
  <c r="D82" i="38"/>
  <c r="D168" i="37"/>
  <c r="D61" i="31" s="1"/>
  <c r="D104" i="37"/>
  <c r="D60" i="37"/>
  <c r="D108" i="37"/>
  <c r="D64" i="37"/>
  <c r="D86" i="37"/>
  <c r="D107" i="37"/>
  <c r="D153" i="38"/>
  <c r="D96" i="38"/>
  <c r="D58" i="38"/>
  <c r="D39" i="38"/>
  <c r="D172" i="37"/>
  <c r="D65" i="31" s="1"/>
  <c r="D85" i="37"/>
  <c r="D155" i="38"/>
  <c r="D98" i="38"/>
  <c r="D60" i="38"/>
  <c r="D41" i="38"/>
  <c r="L33" i="39"/>
  <c r="T33" i="39"/>
  <c r="Y27" i="51" s="1"/>
  <c r="D77" i="38"/>
  <c r="D79" i="38"/>
  <c r="D173" i="37"/>
  <c r="D66" i="31" s="1"/>
  <c r="O33" i="39"/>
  <c r="T27" i="51" s="1"/>
  <c r="N34" i="39"/>
  <c r="S28" i="51" s="1"/>
  <c r="P33" i="39"/>
  <c r="U27" i="51" s="1"/>
  <c r="D65" i="37"/>
  <c r="J33" i="39"/>
  <c r="R33" i="39"/>
  <c r="W27" i="51" s="1"/>
  <c r="D156" i="38"/>
  <c r="D99" i="38"/>
  <c r="D61" i="38"/>
  <c r="D42" i="38"/>
  <c r="D157" i="38"/>
  <c r="D100" i="38"/>
  <c r="D62" i="38"/>
  <c r="D43" i="38"/>
  <c r="J36" i="39"/>
  <c r="R36" i="39"/>
  <c r="W30" i="51" s="1"/>
  <c r="K36" i="39"/>
  <c r="S36" i="39"/>
  <c r="X30" i="51" s="1"/>
  <c r="D154" i="38"/>
  <c r="D97" i="38"/>
  <c r="O36" i="39"/>
  <c r="T30" i="51" s="1"/>
  <c r="D152" i="38"/>
  <c r="D95" i="38"/>
  <c r="D160" i="38"/>
  <c r="D103" i="38"/>
  <c r="D38" i="38"/>
  <c r="D40" i="38"/>
  <c r="D46" i="38"/>
  <c r="D151" i="38"/>
  <c r="D94" i="38"/>
  <c r="D159" i="38"/>
  <c r="D102" i="38"/>
  <c r="D56" i="38"/>
  <c r="D57" i="38"/>
  <c r="D59" i="38"/>
  <c r="D64" i="38"/>
  <c r="D65" i="38"/>
  <c r="L10" i="31"/>
  <c r="K10" i="31"/>
  <c r="J10" i="31"/>
  <c r="I10" i="31"/>
  <c r="H10" i="31"/>
  <c r="G10" i="31"/>
  <c r="N10" i="31"/>
  <c r="F10" i="31"/>
  <c r="M10" i="31"/>
  <c r="D233" i="32"/>
  <c r="D66" i="32"/>
  <c r="D59" i="32"/>
  <c r="D91" i="32"/>
  <c r="D128" i="32"/>
  <c r="D121" i="32"/>
  <c r="D153" i="32"/>
  <c r="D244" i="32"/>
  <c r="D250" i="32"/>
  <c r="D89" i="32"/>
  <c r="D143" i="32"/>
  <c r="D60" i="32"/>
  <c r="D97" i="32"/>
  <c r="D90" i="32"/>
  <c r="D152" i="32"/>
  <c r="D38" i="33"/>
  <c r="D152" i="33"/>
  <c r="D95" i="33"/>
  <c r="D57" i="33"/>
  <c r="D42" i="33"/>
  <c r="D99" i="33"/>
  <c r="D61" i="33"/>
  <c r="D156" i="33"/>
  <c r="D46" i="33"/>
  <c r="D160" i="33"/>
  <c r="D103" i="33"/>
  <c r="D65" i="33"/>
  <c r="D151" i="33"/>
  <c r="D75" i="33"/>
  <c r="D94" i="33"/>
  <c r="D56" i="33"/>
  <c r="D79" i="33"/>
  <c r="D155" i="33"/>
  <c r="D98" i="33"/>
  <c r="D60" i="33"/>
  <c r="D159" i="33"/>
  <c r="D83" i="33"/>
  <c r="D102" i="33"/>
  <c r="D64" i="33"/>
  <c r="D84" i="33"/>
  <c r="D81" i="33"/>
  <c r="D100" i="33"/>
  <c r="D157" i="33"/>
  <c r="D62" i="33"/>
  <c r="D45" i="33"/>
  <c r="D153" i="33"/>
  <c r="D77" i="33"/>
  <c r="D96" i="33"/>
  <c r="D58" i="33"/>
  <c r="D40" i="33"/>
  <c r="D97" i="33"/>
  <c r="D154" i="33"/>
  <c r="D59" i="33"/>
  <c r="D44" i="33"/>
  <c r="D101" i="33"/>
  <c r="D63" i="33"/>
  <c r="D158" i="33"/>
  <c r="D43" i="33"/>
  <c r="D80" i="33"/>
  <c r="D87" i="32"/>
  <c r="D149" i="32"/>
  <c r="D232" i="32"/>
  <c r="D56" i="32"/>
  <c r="D79" i="32"/>
  <c r="D141" i="32"/>
  <c r="D48" i="32"/>
  <c r="D119" i="32"/>
  <c r="D142" i="32"/>
  <c r="D111" i="32"/>
  <c r="D51" i="32"/>
  <c r="D84" i="32"/>
  <c r="D82" i="32"/>
  <c r="D113" i="32"/>
  <c r="D144" i="32"/>
  <c r="D85" i="32"/>
  <c r="D147" i="32"/>
  <c r="D146" i="32"/>
  <c r="D238" i="32"/>
  <c r="D116" i="32"/>
  <c r="D83" i="32"/>
  <c r="D145" i="32"/>
  <c r="D55" i="32"/>
  <c r="D117" i="32"/>
  <c r="D239" i="32"/>
  <c r="D53" i="32"/>
  <c r="D115" i="32"/>
  <c r="D52" i="32"/>
  <c r="D114" i="32"/>
  <c r="D86" i="32"/>
  <c r="D109" i="32"/>
  <c r="D231" i="32"/>
  <c r="D78" i="32"/>
  <c r="D140" i="32"/>
  <c r="S37" i="45" l="1"/>
  <c r="S182" i="45" s="1"/>
  <c r="S240" i="45" s="1"/>
  <c r="E43" i="31"/>
  <c r="E44" i="31"/>
  <c r="E45" i="31"/>
  <c r="G34" i="31"/>
  <c r="N34" i="31"/>
  <c r="G41" i="31"/>
  <c r="H34" i="31"/>
  <c r="K34" i="31"/>
  <c r="J34" i="31"/>
  <c r="M34" i="31"/>
  <c r="L34" i="31"/>
  <c r="H41" i="31"/>
  <c r="I34" i="31"/>
  <c r="F34" i="31"/>
  <c r="F41" i="31"/>
  <c r="T37" i="45" l="1"/>
  <c r="T182" i="45" s="1"/>
  <c r="T240" i="45" s="1"/>
  <c r="E46" i="31"/>
  <c r="H48" i="31"/>
  <c r="H43" i="31"/>
  <c r="H45" i="31"/>
  <c r="H44" i="31"/>
  <c r="F48" i="31"/>
  <c r="F43" i="31"/>
  <c r="F44" i="31"/>
  <c r="F45" i="31"/>
  <c r="G48" i="31"/>
  <c r="G43" i="31"/>
  <c r="G44" i="31"/>
  <c r="G45" i="31"/>
  <c r="H46" i="31" l="1"/>
  <c r="F46" i="31"/>
  <c r="G46" i="31"/>
  <c r="J74" i="39" l="1"/>
  <c r="J102" i="39"/>
  <c r="J46" i="39"/>
  <c r="J60" i="39"/>
  <c r="J116" i="39"/>
  <c r="J88" i="39"/>
  <c r="J66" i="39" l="1"/>
  <c r="J94" i="39"/>
  <c r="J52" i="39"/>
  <c r="J108" i="39"/>
  <c r="J80" i="39"/>
  <c r="J122" i="39"/>
  <c r="K102" i="39"/>
  <c r="K60" i="39"/>
  <c r="K88" i="39"/>
  <c r="K46" i="39"/>
  <c r="K116" i="39"/>
  <c r="K74" i="39"/>
  <c r="K108" i="39" l="1"/>
  <c r="K80" i="39"/>
  <c r="K52" i="39"/>
  <c r="K122" i="39"/>
  <c r="K94" i="39"/>
  <c r="K66" i="39"/>
  <c r="J27" i="43"/>
  <c r="L88" i="39"/>
  <c r="L46" i="39"/>
  <c r="L102" i="39"/>
  <c r="L74" i="39"/>
  <c r="L60" i="39"/>
  <c r="L116" i="39"/>
  <c r="L66" i="39" l="1"/>
  <c r="L122" i="39"/>
  <c r="L80" i="39"/>
  <c r="L52" i="39"/>
  <c r="L94" i="39"/>
  <c r="L108" i="39"/>
  <c r="J29" i="43"/>
  <c r="M60" i="39"/>
  <c r="M102" i="39"/>
  <c r="M74" i="39"/>
  <c r="M46" i="39"/>
  <c r="M116" i="39"/>
  <c r="M88" i="39"/>
  <c r="M80" i="39" l="1"/>
  <c r="M108" i="39"/>
  <c r="M94" i="39"/>
  <c r="M122" i="39"/>
  <c r="M66" i="39"/>
  <c r="M52" i="39"/>
  <c r="K27" i="43"/>
  <c r="N46" i="39"/>
  <c r="N74" i="39"/>
  <c r="N116" i="39"/>
  <c r="N102" i="39"/>
  <c r="N60" i="39"/>
  <c r="N88" i="39"/>
  <c r="N94" i="39" l="1"/>
  <c r="S54" i="51"/>
  <c r="S59" i="51" s="1"/>
  <c r="N108" i="39"/>
  <c r="S61" i="51"/>
  <c r="S66" i="51" s="1"/>
  <c r="N122" i="39"/>
  <c r="S68" i="51"/>
  <c r="S72" i="51" s="1"/>
  <c r="N52" i="39"/>
  <c r="S33" i="51"/>
  <c r="S38" i="51" s="1"/>
  <c r="N66" i="39"/>
  <c r="S40" i="51"/>
  <c r="S45" i="51" s="1"/>
  <c r="N80" i="39"/>
  <c r="S47" i="51"/>
  <c r="S52" i="51" s="1"/>
  <c r="J163" i="45"/>
  <c r="K29" i="43"/>
  <c r="O60" i="39"/>
  <c r="O102" i="39"/>
  <c r="O74" i="39"/>
  <c r="O46" i="39"/>
  <c r="O116" i="39"/>
  <c r="O88" i="39"/>
  <c r="T9" i="32"/>
  <c r="S9" i="32"/>
  <c r="R9" i="32"/>
  <c r="Q9" i="32"/>
  <c r="P9" i="32"/>
  <c r="O9" i="32"/>
  <c r="N9" i="32"/>
  <c r="M9" i="32"/>
  <c r="L9" i="32"/>
  <c r="K9" i="32"/>
  <c r="J9" i="32"/>
  <c r="G19" i="32"/>
  <c r="G20" i="32"/>
  <c r="G21" i="32"/>
  <c r="G22" i="32"/>
  <c r="G23" i="32"/>
  <c r="G24" i="32"/>
  <c r="G25" i="32"/>
  <c r="G26" i="32"/>
  <c r="G27" i="32"/>
  <c r="G28" i="32"/>
  <c r="G29" i="32"/>
  <c r="G18" i="32"/>
  <c r="G16" i="32"/>
  <c r="F16" i="32"/>
  <c r="E16" i="32"/>
  <c r="G10" i="32"/>
  <c r="F10" i="32"/>
  <c r="E10" i="32"/>
  <c r="B10" i="32"/>
  <c r="B9" i="32"/>
  <c r="B8" i="32"/>
  <c r="B7" i="32"/>
  <c r="B6" i="32"/>
  <c r="B5" i="32"/>
  <c r="B4" i="32"/>
  <c r="B3" i="32"/>
  <c r="A24" i="31"/>
  <c r="A23" i="31"/>
  <c r="A22" i="31"/>
  <c r="A21" i="31"/>
  <c r="A15" i="31"/>
  <c r="A16" i="31"/>
  <c r="A17" i="31"/>
  <c r="A18" i="31"/>
  <c r="A19" i="31"/>
  <c r="A11" i="31"/>
  <c r="O94" i="39" l="1"/>
  <c r="T54" i="51"/>
  <c r="T59" i="51" s="1"/>
  <c r="S53" i="51"/>
  <c r="S134" i="51"/>
  <c r="S105" i="51"/>
  <c r="S46" i="51"/>
  <c r="S104" i="51"/>
  <c r="S133" i="51"/>
  <c r="S67" i="51"/>
  <c r="S107" i="51"/>
  <c r="S136" i="51"/>
  <c r="O52" i="39"/>
  <c r="T33" i="51"/>
  <c r="T38" i="51" s="1"/>
  <c r="S39" i="51"/>
  <c r="S103" i="51"/>
  <c r="S132" i="51"/>
  <c r="S73" i="51"/>
  <c r="S108" i="51"/>
  <c r="S60" i="51"/>
  <c r="S106" i="51"/>
  <c r="S135" i="51"/>
  <c r="O122" i="39"/>
  <c r="T68" i="51"/>
  <c r="T72" i="51" s="1"/>
  <c r="O80" i="39"/>
  <c r="T47" i="51"/>
  <c r="T52" i="51" s="1"/>
  <c r="O108" i="39"/>
  <c r="T61" i="51"/>
  <c r="T66" i="51" s="1"/>
  <c r="O66" i="39"/>
  <c r="T40" i="51"/>
  <c r="T45" i="51" s="1"/>
  <c r="F39" i="32"/>
  <c r="G39" i="32"/>
  <c r="J221" i="45"/>
  <c r="L27" i="43"/>
  <c r="P46" i="39"/>
  <c r="P88" i="39"/>
  <c r="P74" i="39"/>
  <c r="P116" i="39"/>
  <c r="P60" i="39"/>
  <c r="P102" i="39"/>
  <c r="P80" i="39" l="1"/>
  <c r="U47" i="51"/>
  <c r="U52" i="51" s="1"/>
  <c r="T67" i="51"/>
  <c r="T136" i="51"/>
  <c r="T107" i="51"/>
  <c r="T39" i="51"/>
  <c r="T132" i="51"/>
  <c r="T103" i="51"/>
  <c r="T53" i="51"/>
  <c r="T134" i="51"/>
  <c r="T105" i="51"/>
  <c r="P94" i="39"/>
  <c r="U54" i="51"/>
  <c r="U59" i="51" s="1"/>
  <c r="P52" i="39"/>
  <c r="U33" i="51"/>
  <c r="U38" i="51" s="1"/>
  <c r="P108" i="39"/>
  <c r="U61" i="51"/>
  <c r="U66" i="51" s="1"/>
  <c r="T73" i="51"/>
  <c r="T108" i="51"/>
  <c r="T60" i="51"/>
  <c r="T106" i="51"/>
  <c r="T135" i="51"/>
  <c r="P66" i="39"/>
  <c r="U40" i="51"/>
  <c r="U45" i="51" s="1"/>
  <c r="P122" i="39"/>
  <c r="U68" i="51"/>
  <c r="U72" i="51" s="1"/>
  <c r="T46" i="51"/>
  <c r="T104" i="51"/>
  <c r="T133" i="51"/>
  <c r="K18" i="45"/>
  <c r="L29" i="43"/>
  <c r="Q88" i="39"/>
  <c r="Q60" i="39"/>
  <c r="Q116" i="39"/>
  <c r="Q46" i="39"/>
  <c r="Q102" i="39"/>
  <c r="Q74" i="39"/>
  <c r="Q94" i="39" l="1"/>
  <c r="V54" i="51"/>
  <c r="V59" i="51" s="1"/>
  <c r="U46" i="51"/>
  <c r="U133" i="51"/>
  <c r="U104" i="51"/>
  <c r="U67" i="51"/>
  <c r="U107" i="51"/>
  <c r="U136" i="51"/>
  <c r="Q80" i="39"/>
  <c r="V47" i="51"/>
  <c r="V52" i="51" s="1"/>
  <c r="U60" i="51"/>
  <c r="U135" i="51"/>
  <c r="U106" i="51"/>
  <c r="Q66" i="39"/>
  <c r="V40" i="51"/>
  <c r="V45" i="51" s="1"/>
  <c r="Q108" i="39"/>
  <c r="V61" i="51"/>
  <c r="V66" i="51" s="1"/>
  <c r="Q52" i="39"/>
  <c r="V33" i="51"/>
  <c r="V38" i="51" s="1"/>
  <c r="U39" i="51"/>
  <c r="U103" i="51"/>
  <c r="U132" i="51"/>
  <c r="Q122" i="39"/>
  <c r="V68" i="51"/>
  <c r="V72" i="51" s="1"/>
  <c r="U73" i="51"/>
  <c r="U108" i="51"/>
  <c r="U53" i="51"/>
  <c r="U134" i="51"/>
  <c r="U105" i="51"/>
  <c r="K163" i="45"/>
  <c r="R60" i="39"/>
  <c r="R74" i="39"/>
  <c r="R46" i="39"/>
  <c r="R88" i="39"/>
  <c r="R102" i="39"/>
  <c r="J32" i="39"/>
  <c r="R116" i="39"/>
  <c r="V73" i="51" l="1"/>
  <c r="V108" i="51"/>
  <c r="V46" i="51"/>
  <c r="V133" i="51"/>
  <c r="V104" i="51"/>
  <c r="V67" i="51"/>
  <c r="V107" i="51"/>
  <c r="V136" i="51"/>
  <c r="R80" i="39"/>
  <c r="W47" i="51"/>
  <c r="W52" i="51" s="1"/>
  <c r="R66" i="39"/>
  <c r="W40" i="51"/>
  <c r="W45" i="51" s="1"/>
  <c r="R122" i="39"/>
  <c r="W68" i="51"/>
  <c r="W72" i="51" s="1"/>
  <c r="R52" i="39"/>
  <c r="W33" i="51"/>
  <c r="W38" i="51" s="1"/>
  <c r="R108" i="39"/>
  <c r="W61" i="51"/>
  <c r="W66" i="51" s="1"/>
  <c r="V39" i="51"/>
  <c r="V132" i="51"/>
  <c r="V103" i="51"/>
  <c r="R94" i="39"/>
  <c r="W54" i="51"/>
  <c r="W59" i="51" s="1"/>
  <c r="V53" i="51"/>
  <c r="V105" i="51"/>
  <c r="V134" i="51"/>
  <c r="V60" i="51"/>
  <c r="V135" i="51"/>
  <c r="V106" i="51"/>
  <c r="J38" i="39"/>
  <c r="K221" i="45"/>
  <c r="S88" i="39"/>
  <c r="S46" i="39"/>
  <c r="S116" i="39"/>
  <c r="S74" i="39"/>
  <c r="S102" i="39"/>
  <c r="S60" i="39"/>
  <c r="W39" i="51" l="1"/>
  <c r="W132" i="51"/>
  <c r="W103" i="51"/>
  <c r="S80" i="39"/>
  <c r="X47" i="51"/>
  <c r="X52" i="51" s="1"/>
  <c r="W73" i="51"/>
  <c r="W108" i="51"/>
  <c r="S122" i="39"/>
  <c r="X68" i="51"/>
  <c r="X72" i="51" s="1"/>
  <c r="S66" i="39"/>
  <c r="X40" i="51"/>
  <c r="X45" i="51" s="1"/>
  <c r="S52" i="39"/>
  <c r="X33" i="51"/>
  <c r="X38" i="51" s="1"/>
  <c r="W46" i="51"/>
  <c r="W104" i="51"/>
  <c r="W133" i="51"/>
  <c r="S94" i="39"/>
  <c r="X54" i="51"/>
  <c r="X59" i="51" s="1"/>
  <c r="W60" i="51"/>
  <c r="W135" i="51"/>
  <c r="W106" i="51"/>
  <c r="W67" i="51"/>
  <c r="W107" i="51"/>
  <c r="W136" i="51"/>
  <c r="W53" i="51"/>
  <c r="W105" i="51"/>
  <c r="W134" i="51"/>
  <c r="S108" i="39"/>
  <c r="X61" i="51"/>
  <c r="X66" i="51" s="1"/>
  <c r="L18" i="45"/>
  <c r="T88" i="39"/>
  <c r="T74" i="39"/>
  <c r="T102" i="39"/>
  <c r="T46" i="39"/>
  <c r="T116" i="39"/>
  <c r="K32" i="39"/>
  <c r="T60" i="39"/>
  <c r="X53" i="51" l="1"/>
  <c r="X134" i="51"/>
  <c r="X105" i="51"/>
  <c r="X39" i="51"/>
  <c r="X132" i="51"/>
  <c r="X103" i="51"/>
  <c r="T52" i="39"/>
  <c r="Y33" i="51"/>
  <c r="Y38" i="51" s="1"/>
  <c r="T66" i="39"/>
  <c r="Y40" i="51"/>
  <c r="Y45" i="51" s="1"/>
  <c r="T122" i="39"/>
  <c r="Y68" i="51"/>
  <c r="Y72" i="51" s="1"/>
  <c r="X46" i="51"/>
  <c r="X133" i="51"/>
  <c r="X104" i="51"/>
  <c r="X67" i="51"/>
  <c r="X107" i="51"/>
  <c r="X136" i="51"/>
  <c r="T108" i="39"/>
  <c r="Y61" i="51"/>
  <c r="Y66" i="51" s="1"/>
  <c r="X60" i="51"/>
  <c r="X135" i="51"/>
  <c r="X106" i="51"/>
  <c r="T80" i="39"/>
  <c r="Y47" i="51"/>
  <c r="Y52" i="51" s="1"/>
  <c r="T94" i="39"/>
  <c r="Y54" i="51"/>
  <c r="Y59" i="51" s="1"/>
  <c r="X73" i="51"/>
  <c r="X108" i="51"/>
  <c r="K38" i="39"/>
  <c r="L163" i="45"/>
  <c r="Y39" i="51" l="1"/>
  <c r="Y132" i="51"/>
  <c r="Y103" i="51"/>
  <c r="Y53" i="51"/>
  <c r="Y105" i="51"/>
  <c r="Y134" i="51"/>
  <c r="Y67" i="51"/>
  <c r="Y107" i="51"/>
  <c r="Y136" i="51"/>
  <c r="Y60" i="51"/>
  <c r="Y106" i="51"/>
  <c r="Y135" i="51"/>
  <c r="Y108" i="51"/>
  <c r="Y73" i="51"/>
  <c r="Y46" i="51"/>
  <c r="Y133" i="51"/>
  <c r="Y104" i="51"/>
  <c r="L221" i="45"/>
  <c r="L32" i="39"/>
  <c r="L38" i="39" l="1"/>
  <c r="M18" i="45"/>
  <c r="M163" i="45" l="1"/>
  <c r="M32" i="39"/>
  <c r="M38" i="39" l="1"/>
  <c r="M221" i="45"/>
  <c r="M140" i="33"/>
  <c r="T140" i="33"/>
  <c r="L140" i="33"/>
  <c r="S140" i="33"/>
  <c r="K140" i="33"/>
  <c r="R140" i="33"/>
  <c r="Q140" i="33"/>
  <c r="P140" i="33"/>
  <c r="N140" i="33"/>
  <c r="N139" i="33"/>
  <c r="M139" i="33"/>
  <c r="T139" i="33"/>
  <c r="L139" i="33"/>
  <c r="S139" i="33"/>
  <c r="K139" i="33"/>
  <c r="R139" i="33"/>
  <c r="Q139" i="33"/>
  <c r="P139" i="33"/>
  <c r="A20" i="31" l="1"/>
  <c r="N18" i="45"/>
  <c r="N32" i="39"/>
  <c r="N38" i="39" l="1"/>
  <c r="S26" i="51"/>
  <c r="S31" i="51" s="1"/>
  <c r="N163" i="45"/>
  <c r="S32" i="51" l="1"/>
  <c r="S131" i="51"/>
  <c r="S102" i="51"/>
  <c r="N221" i="45"/>
  <c r="O32" i="39"/>
  <c r="O38" i="39" l="1"/>
  <c r="T26" i="51"/>
  <c r="T31" i="51" s="1"/>
  <c r="O18" i="45"/>
  <c r="T32" i="51" l="1"/>
  <c r="T131" i="51"/>
  <c r="T102" i="51"/>
  <c r="O163" i="45"/>
  <c r="P32" i="39"/>
  <c r="P38" i="39" l="1"/>
  <c r="U26" i="51"/>
  <c r="U31" i="51" s="1"/>
  <c r="J30" i="37"/>
  <c r="O221" i="45"/>
  <c r="U32" i="51" l="1"/>
  <c r="U102" i="51"/>
  <c r="U131" i="51"/>
  <c r="J32" i="37"/>
  <c r="P18" i="45"/>
  <c r="Q32" i="39"/>
  <c r="Q38" i="39" l="1"/>
  <c r="V26" i="51"/>
  <c r="V31" i="51" s="1"/>
  <c r="P163" i="45"/>
  <c r="V32" i="51" l="1"/>
  <c r="V102" i="51"/>
  <c r="V131" i="51"/>
  <c r="P221" i="45"/>
  <c r="R32" i="39"/>
  <c r="R38" i="39" l="1"/>
  <c r="W26" i="51"/>
  <c r="W31" i="51" s="1"/>
  <c r="Q18" i="45"/>
  <c r="W32" i="51" l="1"/>
  <c r="W102" i="51"/>
  <c r="W131" i="51"/>
  <c r="Q163" i="45"/>
  <c r="S32" i="39"/>
  <c r="S38" i="39" l="1"/>
  <c r="X26" i="51"/>
  <c r="X31" i="51" s="1"/>
  <c r="Q221" i="45"/>
  <c r="X32" i="51" l="1"/>
  <c r="X102" i="51"/>
  <c r="X131" i="51"/>
  <c r="R18" i="45"/>
  <c r="T32" i="39"/>
  <c r="T38" i="39" l="1"/>
  <c r="Y26" i="51"/>
  <c r="Y31" i="51" s="1"/>
  <c r="R163" i="45"/>
  <c r="Y32" i="51" l="1"/>
  <c r="Y131" i="51"/>
  <c r="Y102" i="51"/>
  <c r="R221" i="45"/>
  <c r="S18" i="45" l="1"/>
  <c r="B4" i="31"/>
  <c r="B3" i="31"/>
  <c r="S163" i="45" l="1"/>
  <c r="D56" i="4"/>
  <c r="E64" i="4"/>
  <c r="D64" i="4"/>
  <c r="D51" i="4"/>
  <c r="S221" i="45" l="1"/>
  <c r="J17" i="4"/>
  <c r="B3" i="25"/>
  <c r="B3" i="4"/>
  <c r="D36" i="28"/>
  <c r="D35" i="28"/>
  <c r="B6" i="28"/>
  <c r="B4" i="28"/>
  <c r="T18" i="45" l="1"/>
  <c r="J15" i="4"/>
  <c r="K17" i="4"/>
  <c r="T163" i="45" l="1"/>
  <c r="J16" i="4"/>
  <c r="L17" i="4"/>
  <c r="T221" i="45" l="1"/>
  <c r="K15" i="4"/>
  <c r="J18" i="4"/>
  <c r="M17" i="4"/>
  <c r="B4" i="25"/>
  <c r="K16" i="4" l="1"/>
  <c r="J20" i="4"/>
  <c r="N17" i="4"/>
  <c r="B4" i="4"/>
  <c r="K18" i="4" l="1"/>
  <c r="L15" i="4"/>
  <c r="O17" i="4"/>
  <c r="L16" i="4" l="1"/>
  <c r="K20" i="4"/>
  <c r="P17" i="4"/>
  <c r="M15" i="4" l="1"/>
  <c r="L18" i="4"/>
  <c r="Q17" i="4"/>
  <c r="J7" i="49" l="1"/>
  <c r="M16" i="4"/>
  <c r="L20" i="4"/>
  <c r="R17" i="4"/>
  <c r="K7" i="49" l="1"/>
  <c r="M18" i="4"/>
  <c r="N15" i="4"/>
  <c r="J7" i="33"/>
  <c r="J7" i="42"/>
  <c r="J7" i="46"/>
  <c r="J7" i="47"/>
  <c r="J7" i="45"/>
  <c r="J7" i="43"/>
  <c r="J7" i="39"/>
  <c r="J7" i="34"/>
  <c r="J7" i="37"/>
  <c r="J7" i="38"/>
  <c r="S17" i="4"/>
  <c r="J7" i="32"/>
  <c r="N16" i="4" l="1"/>
  <c r="M20" i="4"/>
  <c r="L7" i="49"/>
  <c r="K7" i="42"/>
  <c r="K7" i="46"/>
  <c r="K7" i="47"/>
  <c r="K7" i="45"/>
  <c r="K7" i="43"/>
  <c r="K7" i="39"/>
  <c r="K7" i="34"/>
  <c r="K7" i="37"/>
  <c r="K7" i="38"/>
  <c r="T17" i="4"/>
  <c r="K7" i="32"/>
  <c r="K7" i="33"/>
  <c r="O15" i="4" l="1"/>
  <c r="N18" i="4"/>
  <c r="M7" i="49"/>
  <c r="L7" i="42"/>
  <c r="L7" i="47"/>
  <c r="L7" i="46"/>
  <c r="L7" i="45"/>
  <c r="L7" i="43"/>
  <c r="L7" i="37"/>
  <c r="L7" i="39"/>
  <c r="L7" i="38"/>
  <c r="L7" i="34"/>
  <c r="U17" i="4"/>
  <c r="V17" i="4" s="1"/>
  <c r="L7" i="33"/>
  <c r="L7" i="32"/>
  <c r="M7" i="32"/>
  <c r="N20" i="4"/>
  <c r="M7" i="33" l="1"/>
  <c r="O16" i="4"/>
  <c r="N7" i="49"/>
  <c r="N7" i="33"/>
  <c r="N7" i="42"/>
  <c r="N7" i="46"/>
  <c r="N7" i="47"/>
  <c r="N7" i="45"/>
  <c r="N7" i="38"/>
  <c r="N7" i="39"/>
  <c r="N7" i="34"/>
  <c r="N7" i="37"/>
  <c r="M7" i="42"/>
  <c r="M7" i="47"/>
  <c r="M7" i="46"/>
  <c r="M7" i="45"/>
  <c r="U7" i="44"/>
  <c r="M7" i="43"/>
  <c r="M7" i="37"/>
  <c r="M7" i="38"/>
  <c r="M7" i="39"/>
  <c r="M7" i="34"/>
  <c r="W17" i="4"/>
  <c r="N7" i="32"/>
  <c r="AD20" i="4"/>
  <c r="P15" i="4" l="1"/>
  <c r="P16" i="4" s="1"/>
  <c r="O18" i="4"/>
  <c r="O20" i="4" s="1"/>
  <c r="O7" i="33"/>
  <c r="O7" i="42"/>
  <c r="O7" i="46"/>
  <c r="O7" i="47"/>
  <c r="O7" i="45"/>
  <c r="O7" i="38"/>
  <c r="O7" i="39"/>
  <c r="O7" i="34"/>
  <c r="O7" i="37"/>
  <c r="O7" i="32"/>
  <c r="X17" i="4"/>
  <c r="P7" i="33" l="1"/>
  <c r="P7" i="42"/>
  <c r="P7" i="47"/>
  <c r="P7" i="46"/>
  <c r="P7" i="45"/>
  <c r="P7" i="38"/>
  <c r="P7" i="39"/>
  <c r="P7" i="34"/>
  <c r="P7" i="37"/>
  <c r="P7" i="32"/>
  <c r="Y17" i="4"/>
  <c r="Q15" i="4"/>
  <c r="P18" i="4"/>
  <c r="J5" i="49" l="1"/>
  <c r="Q7" i="33"/>
  <c r="Q7" i="42"/>
  <c r="Q7" i="47"/>
  <c r="Q7" i="46"/>
  <c r="Q7" i="45"/>
  <c r="Q7" i="39"/>
  <c r="Q7" i="34"/>
  <c r="Q7" i="37"/>
  <c r="Q7" i="38"/>
  <c r="Q7" i="32"/>
  <c r="Z17" i="4"/>
  <c r="Q16" i="4"/>
  <c r="P20" i="4"/>
  <c r="J6" i="49" l="1"/>
  <c r="R7" i="33"/>
  <c r="R7" i="42"/>
  <c r="R7" i="47"/>
  <c r="R7" i="46"/>
  <c r="R7" i="45"/>
  <c r="R7" i="39"/>
  <c r="R7" i="34"/>
  <c r="R7" i="37"/>
  <c r="R7" i="38"/>
  <c r="R7" i="32"/>
  <c r="AA17" i="4"/>
  <c r="R15" i="4"/>
  <c r="Q18" i="4"/>
  <c r="J8" i="49" l="1"/>
  <c r="K5" i="49"/>
  <c r="J5" i="47"/>
  <c r="J5" i="42"/>
  <c r="S7" i="33"/>
  <c r="S7" i="42"/>
  <c r="S7" i="46"/>
  <c r="S7" i="47"/>
  <c r="S7" i="45"/>
  <c r="S7" i="39"/>
  <c r="S7" i="34"/>
  <c r="S7" i="37"/>
  <c r="S7" i="38"/>
  <c r="J5" i="45"/>
  <c r="J5" i="46"/>
  <c r="J5" i="43"/>
  <c r="J5" i="39"/>
  <c r="J5" i="38"/>
  <c r="J5" i="37"/>
  <c r="J5" i="34"/>
  <c r="J5" i="32"/>
  <c r="J5" i="33"/>
  <c r="S7" i="32"/>
  <c r="AB17" i="4"/>
  <c r="Q20" i="4"/>
  <c r="R16" i="4"/>
  <c r="K6" i="49" l="1"/>
  <c r="J10" i="49"/>
  <c r="T7" i="33"/>
  <c r="T7" i="42"/>
  <c r="T7" i="46"/>
  <c r="T7" i="47"/>
  <c r="T7" i="45"/>
  <c r="T7" i="37"/>
  <c r="T7" i="38"/>
  <c r="T7" i="34"/>
  <c r="T7" i="39"/>
  <c r="J6" i="47"/>
  <c r="J6" i="42"/>
  <c r="J6" i="45"/>
  <c r="J6" i="46"/>
  <c r="J6" i="43"/>
  <c r="J6" i="39"/>
  <c r="J6" i="37"/>
  <c r="J6" i="38"/>
  <c r="J6" i="33"/>
  <c r="J6" i="34"/>
  <c r="S15" i="4"/>
  <c r="J6" i="32"/>
  <c r="T7" i="32"/>
  <c r="R18" i="4"/>
  <c r="J16" i="49" l="1"/>
  <c r="J54" i="49"/>
  <c r="J35" i="49"/>
  <c r="K8" i="49"/>
  <c r="L5" i="49"/>
  <c r="K5" i="47"/>
  <c r="K5" i="42"/>
  <c r="J8" i="47"/>
  <c r="J8" i="42"/>
  <c r="J8" i="45"/>
  <c r="J8" i="46"/>
  <c r="K5" i="45"/>
  <c r="K5" i="46"/>
  <c r="K5" i="43"/>
  <c r="J8" i="43"/>
  <c r="J8" i="39"/>
  <c r="J8" i="37"/>
  <c r="J8" i="38"/>
  <c r="K5" i="38"/>
  <c r="K5" i="39"/>
  <c r="K5" i="37"/>
  <c r="J8" i="34"/>
  <c r="K5" i="33"/>
  <c r="K5" i="34"/>
  <c r="J8" i="32"/>
  <c r="J8" i="33"/>
  <c r="S16" i="4"/>
  <c r="K5" i="32"/>
  <c r="R20" i="4"/>
  <c r="K10" i="49" l="1"/>
  <c r="J10" i="50"/>
  <c r="J16" i="50" s="1"/>
  <c r="L6" i="49"/>
  <c r="K6" i="47"/>
  <c r="K6" i="42"/>
  <c r="J10" i="47"/>
  <c r="J74" i="47" s="1"/>
  <c r="J10" i="42"/>
  <c r="J14" i="42" s="1"/>
  <c r="J10" i="45"/>
  <c r="J190" i="45" s="1"/>
  <c r="J10" i="46"/>
  <c r="K6" i="45"/>
  <c r="K6" i="46"/>
  <c r="J10" i="43"/>
  <c r="J33" i="43" s="1"/>
  <c r="K6" i="43"/>
  <c r="J10" i="39"/>
  <c r="J14" i="39" s="1"/>
  <c r="J10" i="38"/>
  <c r="J10" i="37"/>
  <c r="K6" i="39"/>
  <c r="K6" i="38"/>
  <c r="K6" i="37"/>
  <c r="J10" i="34"/>
  <c r="K6" i="33"/>
  <c r="K6" i="34"/>
  <c r="J10" i="32"/>
  <c r="J10" i="33"/>
  <c r="K6" i="32"/>
  <c r="S18" i="4"/>
  <c r="T15" i="4"/>
  <c r="J189" i="37" l="1"/>
  <c r="J195" i="37"/>
  <c r="J261" i="32"/>
  <c r="J267" i="32"/>
  <c r="K16" i="49"/>
  <c r="K54" i="49"/>
  <c r="K35" i="49"/>
  <c r="J24" i="50"/>
  <c r="M5" i="49"/>
  <c r="L8" i="49"/>
  <c r="J30" i="34"/>
  <c r="J14" i="34"/>
  <c r="J45" i="45"/>
  <c r="J161" i="45"/>
  <c r="J16" i="45"/>
  <c r="J132" i="45"/>
  <c r="J161" i="47"/>
  <c r="J103" i="45"/>
  <c r="J132" i="47"/>
  <c r="J20" i="43"/>
  <c r="J219" i="45"/>
  <c r="J16" i="47"/>
  <c r="J190" i="47"/>
  <c r="J219" i="47"/>
  <c r="J74" i="45"/>
  <c r="J103" i="47"/>
  <c r="J45" i="47"/>
  <c r="J130" i="38"/>
  <c r="J111" i="38"/>
  <c r="J124" i="37"/>
  <c r="J144" i="37"/>
  <c r="J156" i="42"/>
  <c r="J44" i="42"/>
  <c r="J30" i="42"/>
  <c r="J86" i="42"/>
  <c r="J142" i="42"/>
  <c r="J72" i="42"/>
  <c r="J128" i="42"/>
  <c r="J114" i="42"/>
  <c r="J58" i="42"/>
  <c r="J100" i="42"/>
  <c r="L5" i="47"/>
  <c r="L5" i="42"/>
  <c r="K8" i="47"/>
  <c r="K8" i="42"/>
  <c r="L5" i="45"/>
  <c r="L5" i="46"/>
  <c r="J149" i="46"/>
  <c r="J130" i="46"/>
  <c r="J111" i="46"/>
  <c r="J92" i="46"/>
  <c r="J73" i="46"/>
  <c r="J54" i="46"/>
  <c r="J16" i="46"/>
  <c r="J35" i="46"/>
  <c r="K8" i="45"/>
  <c r="K8" i="46"/>
  <c r="L5" i="43"/>
  <c r="K8" i="43"/>
  <c r="J130" i="33"/>
  <c r="J111" i="33"/>
  <c r="J16" i="32"/>
  <c r="J169" i="32"/>
  <c r="J198" i="32"/>
  <c r="J45" i="32"/>
  <c r="L5" i="39"/>
  <c r="L5" i="38"/>
  <c r="L5" i="37"/>
  <c r="K8" i="39"/>
  <c r="K8" i="38"/>
  <c r="K8" i="37"/>
  <c r="J166" i="37"/>
  <c r="J102" i="37"/>
  <c r="J80" i="37"/>
  <c r="J58" i="37"/>
  <c r="J36" i="37"/>
  <c r="J16" i="37"/>
  <c r="J73" i="38"/>
  <c r="J92" i="38"/>
  <c r="J54" i="38"/>
  <c r="J16" i="38"/>
  <c r="J149" i="38"/>
  <c r="J35" i="38"/>
  <c r="J128" i="39"/>
  <c r="J142" i="39"/>
  <c r="J114" i="39"/>
  <c r="J86" i="39"/>
  <c r="J72" i="39"/>
  <c r="J44" i="39"/>
  <c r="J30" i="39"/>
  <c r="J156" i="39"/>
  <c r="J100" i="39"/>
  <c r="J58" i="39"/>
  <c r="J107" i="32"/>
  <c r="J76" i="32"/>
  <c r="J229" i="32"/>
  <c r="J138" i="32"/>
  <c r="J142" i="34"/>
  <c r="J72" i="34"/>
  <c r="J114" i="34"/>
  <c r="J156" i="34"/>
  <c r="J58" i="34"/>
  <c r="J44" i="34"/>
  <c r="J128" i="34"/>
  <c r="J100" i="34"/>
  <c r="J86" i="34"/>
  <c r="L5" i="33"/>
  <c r="L5" i="34"/>
  <c r="K8" i="33"/>
  <c r="K8" i="34"/>
  <c r="J92" i="33"/>
  <c r="J54" i="33"/>
  <c r="J149" i="33"/>
  <c r="J73" i="33"/>
  <c r="J35" i="33"/>
  <c r="J16" i="33"/>
  <c r="S20" i="4"/>
  <c r="K8" i="32"/>
  <c r="T16" i="4"/>
  <c r="L5" i="32"/>
  <c r="L10" i="49" l="1"/>
  <c r="K10" i="50"/>
  <c r="K16" i="50" s="1"/>
  <c r="M6" i="49"/>
  <c r="L6" i="47"/>
  <c r="L6" i="42"/>
  <c r="K10" i="47"/>
  <c r="K219" i="47" s="1"/>
  <c r="K10" i="42"/>
  <c r="K14" i="42" s="1"/>
  <c r="L6" i="45"/>
  <c r="L6" i="46"/>
  <c r="K10" i="45"/>
  <c r="K219" i="45" s="1"/>
  <c r="K10" i="46"/>
  <c r="L6" i="43"/>
  <c r="K10" i="43"/>
  <c r="K33" i="43" s="1"/>
  <c r="L6" i="39"/>
  <c r="L6" i="38"/>
  <c r="L6" i="37"/>
  <c r="K10" i="39"/>
  <c r="K14" i="39" s="1"/>
  <c r="K10" i="38"/>
  <c r="K10" i="37"/>
  <c r="K10" i="34"/>
  <c r="L6" i="33"/>
  <c r="L6" i="34"/>
  <c r="K10" i="32"/>
  <c r="K10" i="33"/>
  <c r="L6" i="32"/>
  <c r="T18" i="4"/>
  <c r="U15" i="4"/>
  <c r="K189" i="37" l="1"/>
  <c r="K195" i="37"/>
  <c r="K261" i="32"/>
  <c r="K267" i="32"/>
  <c r="L16" i="49"/>
  <c r="L54" i="49"/>
  <c r="L35" i="49"/>
  <c r="K24" i="50"/>
  <c r="M8" i="49"/>
  <c r="N5" i="49"/>
  <c r="K30" i="34"/>
  <c r="K14" i="34"/>
  <c r="K103" i="45"/>
  <c r="K16" i="47"/>
  <c r="K74" i="47"/>
  <c r="K190" i="47"/>
  <c r="K45" i="47"/>
  <c r="K130" i="38"/>
  <c r="K111" i="38"/>
  <c r="K124" i="37"/>
  <c r="K144" i="37"/>
  <c r="K103" i="47"/>
  <c r="L8" i="47"/>
  <c r="L8" i="42"/>
  <c r="K132" i="45"/>
  <c r="K132" i="47"/>
  <c r="K16" i="45"/>
  <c r="K161" i="47"/>
  <c r="M5" i="47"/>
  <c r="M5" i="42"/>
  <c r="K44" i="42"/>
  <c r="K142" i="42"/>
  <c r="K30" i="42"/>
  <c r="K128" i="42"/>
  <c r="K58" i="42"/>
  <c r="K114" i="42"/>
  <c r="K156" i="42"/>
  <c r="K100" i="42"/>
  <c r="K86" i="42"/>
  <c r="K72" i="42"/>
  <c r="K74" i="45"/>
  <c r="M5" i="45"/>
  <c r="M5" i="46"/>
  <c r="K130" i="46"/>
  <c r="K149" i="46"/>
  <c r="K92" i="46"/>
  <c r="K73" i="46"/>
  <c r="K111" i="46"/>
  <c r="K35" i="46"/>
  <c r="K16" i="46"/>
  <c r="K54" i="46"/>
  <c r="L8" i="45"/>
  <c r="L8" i="46"/>
  <c r="K45" i="45"/>
  <c r="K190" i="45"/>
  <c r="K161" i="45"/>
  <c r="K20" i="43"/>
  <c r="L8" i="43"/>
  <c r="M5" i="43"/>
  <c r="U5" i="44"/>
  <c r="K111" i="33"/>
  <c r="K130" i="33"/>
  <c r="K107" i="32"/>
  <c r="K198" i="32"/>
  <c r="K169" i="32"/>
  <c r="L8" i="39"/>
  <c r="L8" i="38"/>
  <c r="L8" i="37"/>
  <c r="K73" i="38"/>
  <c r="K92" i="38"/>
  <c r="K54" i="38"/>
  <c r="K35" i="38"/>
  <c r="K149" i="38"/>
  <c r="K16" i="38"/>
  <c r="K128" i="39"/>
  <c r="K142" i="39"/>
  <c r="K114" i="39"/>
  <c r="K156" i="39"/>
  <c r="K86" i="39"/>
  <c r="K100" i="39"/>
  <c r="K72" i="39"/>
  <c r="K44" i="39"/>
  <c r="K30" i="39"/>
  <c r="K58" i="39"/>
  <c r="M5" i="39"/>
  <c r="M5" i="38"/>
  <c r="M5" i="37"/>
  <c r="K80" i="37"/>
  <c r="K58" i="37"/>
  <c r="K166" i="37"/>
  <c r="K36" i="37"/>
  <c r="K102" i="37"/>
  <c r="K16" i="37"/>
  <c r="K114" i="34"/>
  <c r="K156" i="34"/>
  <c r="K58" i="34"/>
  <c r="K44" i="34"/>
  <c r="K128" i="34"/>
  <c r="K100" i="34"/>
  <c r="K86" i="34"/>
  <c r="K142" i="34"/>
  <c r="K72" i="34"/>
  <c r="K45" i="32"/>
  <c r="K138" i="32"/>
  <c r="K16" i="32"/>
  <c r="K229" i="32"/>
  <c r="M5" i="33"/>
  <c r="M5" i="34"/>
  <c r="K76" i="32"/>
  <c r="L8" i="33"/>
  <c r="L8" i="34"/>
  <c r="K54" i="33"/>
  <c r="K149" i="33"/>
  <c r="K73" i="33"/>
  <c r="K92" i="33"/>
  <c r="K35" i="33"/>
  <c r="K16" i="33"/>
  <c r="U16" i="4"/>
  <c r="M5" i="32"/>
  <c r="T20" i="4"/>
  <c r="L8" i="32"/>
  <c r="N6" i="49" l="1"/>
  <c r="M10" i="49"/>
  <c r="L10" i="50"/>
  <c r="L10" i="47"/>
  <c r="L103" i="47" s="1"/>
  <c r="L10" i="42"/>
  <c r="L14" i="42" s="1"/>
  <c r="M6" i="47"/>
  <c r="M6" i="42"/>
  <c r="M6" i="45"/>
  <c r="M6" i="46"/>
  <c r="L10" i="45"/>
  <c r="L190" i="45" s="1"/>
  <c r="L10" i="46"/>
  <c r="M6" i="43"/>
  <c r="U6" i="44"/>
  <c r="L10" i="43"/>
  <c r="L33" i="43" s="1"/>
  <c r="L10" i="39"/>
  <c r="L14" i="39" s="1"/>
  <c r="L10" i="38"/>
  <c r="L10" i="37"/>
  <c r="M6" i="39"/>
  <c r="M6" i="38"/>
  <c r="M6" i="37"/>
  <c r="L10" i="34"/>
  <c r="M6" i="33"/>
  <c r="M6" i="34"/>
  <c r="L10" i="32"/>
  <c r="L10" i="33"/>
  <c r="M6" i="32"/>
  <c r="V15" i="4"/>
  <c r="U18" i="4"/>
  <c r="L189" i="37" l="1"/>
  <c r="L195" i="37"/>
  <c r="L261" i="32"/>
  <c r="L267" i="32"/>
  <c r="M16" i="49"/>
  <c r="M54" i="49"/>
  <c r="M35" i="49"/>
  <c r="L24" i="50"/>
  <c r="L16" i="50"/>
  <c r="N8" i="49"/>
  <c r="L30" i="34"/>
  <c r="L14" i="34"/>
  <c r="L161" i="47"/>
  <c r="L132" i="47"/>
  <c r="L219" i="47"/>
  <c r="L190" i="47"/>
  <c r="L45" i="47"/>
  <c r="L74" i="47"/>
  <c r="L16" i="47"/>
  <c r="L45" i="45"/>
  <c r="L130" i="38"/>
  <c r="L111" i="38"/>
  <c r="L124" i="37"/>
  <c r="L144" i="37"/>
  <c r="N5" i="47"/>
  <c r="N5" i="42"/>
  <c r="M8" i="47"/>
  <c r="M8" i="42"/>
  <c r="L132" i="45"/>
  <c r="L58" i="42"/>
  <c r="L30" i="42"/>
  <c r="L44" i="42"/>
  <c r="L156" i="42"/>
  <c r="L142" i="42"/>
  <c r="L128" i="42"/>
  <c r="L72" i="42"/>
  <c r="L114" i="42"/>
  <c r="L100" i="42"/>
  <c r="L86" i="42"/>
  <c r="L74" i="45"/>
  <c r="L161" i="45"/>
  <c r="L16" i="45"/>
  <c r="L219" i="45"/>
  <c r="M8" i="45"/>
  <c r="M8" i="46"/>
  <c r="N5" i="45"/>
  <c r="N5" i="46"/>
  <c r="L149" i="46"/>
  <c r="L73" i="46"/>
  <c r="L130" i="46"/>
  <c r="L111" i="46"/>
  <c r="L54" i="46"/>
  <c r="L92" i="46"/>
  <c r="L35" i="46"/>
  <c r="L16" i="46"/>
  <c r="L103" i="45"/>
  <c r="L20" i="43"/>
  <c r="M8" i="43"/>
  <c r="U8" i="44"/>
  <c r="L111" i="33"/>
  <c r="L130" i="33"/>
  <c r="L76" i="32"/>
  <c r="L198" i="32"/>
  <c r="L169" i="32"/>
  <c r="N5" i="39"/>
  <c r="N5" i="37"/>
  <c r="N5" i="38"/>
  <c r="M8" i="39"/>
  <c r="M8" i="38"/>
  <c r="M8" i="37"/>
  <c r="L166" i="37"/>
  <c r="L102" i="37"/>
  <c r="L36" i="37"/>
  <c r="L58" i="37"/>
  <c r="L80" i="37"/>
  <c r="L16" i="37"/>
  <c r="L149" i="38"/>
  <c r="L73" i="38"/>
  <c r="L92" i="38"/>
  <c r="L54" i="38"/>
  <c r="L16" i="38"/>
  <c r="L35" i="38"/>
  <c r="L142" i="39"/>
  <c r="L156" i="39"/>
  <c r="L114" i="39"/>
  <c r="L86" i="39"/>
  <c r="L100" i="39"/>
  <c r="L58" i="39"/>
  <c r="L44" i="39"/>
  <c r="L30" i="39"/>
  <c r="L72" i="39"/>
  <c r="L128" i="39"/>
  <c r="L114" i="34"/>
  <c r="L156" i="34"/>
  <c r="L58" i="34"/>
  <c r="L44" i="34"/>
  <c r="L128" i="34"/>
  <c r="L100" i="34"/>
  <c r="L86" i="34"/>
  <c r="L142" i="34"/>
  <c r="L72" i="34"/>
  <c r="L138" i="32"/>
  <c r="L229" i="32"/>
  <c r="L16" i="32"/>
  <c r="L45" i="32"/>
  <c r="M8" i="33"/>
  <c r="M8" i="34"/>
  <c r="N5" i="33"/>
  <c r="N5" i="34"/>
  <c r="L107" i="32"/>
  <c r="L54" i="33"/>
  <c r="L149" i="33"/>
  <c r="L73" i="33"/>
  <c r="L35" i="33"/>
  <c r="L16" i="33"/>
  <c r="L92" i="33"/>
  <c r="U20" i="4"/>
  <c r="M8" i="32"/>
  <c r="V16" i="4"/>
  <c r="N5" i="32"/>
  <c r="N10" i="49" l="1"/>
  <c r="M10" i="50"/>
  <c r="N6" i="47"/>
  <c r="N6" i="42"/>
  <c r="M10" i="47"/>
  <c r="M103" i="47" s="1"/>
  <c r="M10" i="42"/>
  <c r="M14" i="42" s="1"/>
  <c r="M10" i="45"/>
  <c r="M190" i="45" s="1"/>
  <c r="M10" i="46"/>
  <c r="N6" i="45"/>
  <c r="N6" i="46"/>
  <c r="M10" i="43"/>
  <c r="M33" i="43" s="1"/>
  <c r="M10" i="39"/>
  <c r="M14" i="39" s="1"/>
  <c r="M10" i="37"/>
  <c r="M10" i="38"/>
  <c r="N6" i="39"/>
  <c r="N6" i="38"/>
  <c r="N6" i="37"/>
  <c r="M10" i="34"/>
  <c r="N6" i="33"/>
  <c r="N6" i="34"/>
  <c r="M10" i="32"/>
  <c r="M10" i="33"/>
  <c r="N6" i="32"/>
  <c r="W15" i="4"/>
  <c r="V18" i="4"/>
  <c r="M189" i="37" l="1"/>
  <c r="M195" i="37"/>
  <c r="M261" i="32"/>
  <c r="M267" i="32"/>
  <c r="N16" i="49"/>
  <c r="N54" i="49"/>
  <c r="N35" i="49"/>
  <c r="M24" i="50"/>
  <c r="M16" i="50"/>
  <c r="M30" i="34"/>
  <c r="M14" i="34"/>
  <c r="U42" i="44"/>
  <c r="U55" i="44"/>
  <c r="U74" i="44"/>
  <c r="M16" i="47"/>
  <c r="M74" i="47"/>
  <c r="M16" i="45"/>
  <c r="M74" i="45"/>
  <c r="M132" i="47"/>
  <c r="M161" i="47"/>
  <c r="M190" i="47"/>
  <c r="M219" i="47"/>
  <c r="M45" i="47"/>
  <c r="M103" i="45"/>
  <c r="M130" i="38"/>
  <c r="M111" i="38"/>
  <c r="M124" i="37"/>
  <c r="M144" i="37"/>
  <c r="N8" i="47"/>
  <c r="N8" i="42"/>
  <c r="O5" i="47"/>
  <c r="O5" i="42"/>
  <c r="M132" i="45"/>
  <c r="M86" i="42"/>
  <c r="M30" i="42"/>
  <c r="M58" i="42"/>
  <c r="M100" i="42"/>
  <c r="M72" i="42"/>
  <c r="M114" i="42"/>
  <c r="M156" i="42"/>
  <c r="M142" i="42"/>
  <c r="M44" i="42"/>
  <c r="M128" i="42"/>
  <c r="M219" i="45"/>
  <c r="M45" i="45"/>
  <c r="M161" i="45"/>
  <c r="N8" i="45"/>
  <c r="N8" i="46"/>
  <c r="M149" i="46"/>
  <c r="M130" i="46"/>
  <c r="M111" i="46"/>
  <c r="M92" i="46"/>
  <c r="M73" i="46"/>
  <c r="M35" i="46"/>
  <c r="M54" i="46"/>
  <c r="M16" i="46"/>
  <c r="O5" i="45"/>
  <c r="O5" i="46"/>
  <c r="M20" i="43"/>
  <c r="U29" i="44"/>
  <c r="U16" i="44"/>
  <c r="M111" i="33"/>
  <c r="M130" i="33"/>
  <c r="M16" i="32"/>
  <c r="M198" i="32"/>
  <c r="M169" i="32"/>
  <c r="N8" i="39"/>
  <c r="N8" i="38"/>
  <c r="N8" i="37"/>
  <c r="O5" i="39"/>
  <c r="O5" i="38"/>
  <c r="O5" i="37"/>
  <c r="M149" i="38"/>
  <c r="M92" i="38"/>
  <c r="M54" i="38"/>
  <c r="M16" i="38"/>
  <c r="M35" i="38"/>
  <c r="M73" i="38"/>
  <c r="M166" i="37"/>
  <c r="M80" i="37"/>
  <c r="M58" i="37"/>
  <c r="M36" i="37"/>
  <c r="M16" i="37"/>
  <c r="M102" i="37"/>
  <c r="M142" i="39"/>
  <c r="M114" i="39"/>
  <c r="M128" i="39"/>
  <c r="M100" i="39"/>
  <c r="M58" i="39"/>
  <c r="M30" i="39"/>
  <c r="M156" i="39"/>
  <c r="M44" i="39"/>
  <c r="M72" i="39"/>
  <c r="M86" i="39"/>
  <c r="M156" i="34"/>
  <c r="M58" i="34"/>
  <c r="M44" i="34"/>
  <c r="M128" i="34"/>
  <c r="M100" i="34"/>
  <c r="M86" i="34"/>
  <c r="M142" i="34"/>
  <c r="M72" i="34"/>
  <c r="M114" i="34"/>
  <c r="N8" i="33"/>
  <c r="N8" i="34"/>
  <c r="O5" i="33"/>
  <c r="O5" i="34"/>
  <c r="M138" i="32"/>
  <c r="M76" i="32"/>
  <c r="M45" i="32"/>
  <c r="M229" i="32"/>
  <c r="M107" i="32"/>
  <c r="M149" i="33"/>
  <c r="M73" i="33"/>
  <c r="M92" i="33"/>
  <c r="M54" i="33"/>
  <c r="M35" i="33"/>
  <c r="M16" i="33"/>
  <c r="W16" i="4"/>
  <c r="O5" i="32"/>
  <c r="V20" i="4"/>
  <c r="N8" i="32"/>
  <c r="N10" i="50" l="1"/>
  <c r="N10" i="43"/>
  <c r="N16" i="50"/>
  <c r="N24" i="50"/>
  <c r="O6" i="47"/>
  <c r="O6" i="42"/>
  <c r="N10" i="47"/>
  <c r="N161" i="47" s="1"/>
  <c r="N10" i="42"/>
  <c r="N14" i="42" s="1"/>
  <c r="N10" i="45"/>
  <c r="N132" i="45" s="1"/>
  <c r="N10" i="46"/>
  <c r="O6" i="45"/>
  <c r="O6" i="46"/>
  <c r="G80" i="31"/>
  <c r="G59" i="31"/>
  <c r="N10" i="39"/>
  <c r="N14" i="39" s="1"/>
  <c r="N10" i="38"/>
  <c r="N10" i="37"/>
  <c r="O6" i="39"/>
  <c r="O6" i="38"/>
  <c r="O6" i="37"/>
  <c r="N10" i="34"/>
  <c r="O6" i="33"/>
  <c r="O6" i="34"/>
  <c r="N10" i="32"/>
  <c r="N10" i="33"/>
  <c r="W18" i="4"/>
  <c r="O6" i="32"/>
  <c r="X15" i="4"/>
  <c r="N189" i="37" l="1"/>
  <c r="N195" i="37"/>
  <c r="N261" i="32"/>
  <c r="N267" i="32"/>
  <c r="N30" i="34"/>
  <c r="N14" i="34"/>
  <c r="N161" i="45"/>
  <c r="N45" i="45"/>
  <c r="N16" i="47"/>
  <c r="N16" i="45"/>
  <c r="N103" i="47"/>
  <c r="N74" i="45"/>
  <c r="N132" i="47"/>
  <c r="N219" i="45"/>
  <c r="N190" i="47"/>
  <c r="N219" i="47"/>
  <c r="N130" i="38"/>
  <c r="N111" i="38"/>
  <c r="N124" i="37"/>
  <c r="N144" i="37"/>
  <c r="N114" i="42"/>
  <c r="N100" i="42"/>
  <c r="N156" i="42"/>
  <c r="N30" i="42"/>
  <c r="N58" i="42"/>
  <c r="N44" i="42"/>
  <c r="N86" i="42"/>
  <c r="N72" i="42"/>
  <c r="N128" i="42"/>
  <c r="N142" i="42"/>
  <c r="N103" i="45"/>
  <c r="N45" i="47"/>
  <c r="N190" i="45"/>
  <c r="N74" i="47"/>
  <c r="P5" i="47"/>
  <c r="P5" i="42"/>
  <c r="O8" i="47"/>
  <c r="O8" i="42"/>
  <c r="P5" i="45"/>
  <c r="P5" i="46"/>
  <c r="O8" i="45"/>
  <c r="O8" i="46"/>
  <c r="N149" i="46"/>
  <c r="N130" i="46"/>
  <c r="N111" i="46"/>
  <c r="N92" i="46"/>
  <c r="N73" i="46"/>
  <c r="N54" i="46"/>
  <c r="N16" i="46"/>
  <c r="N35" i="46"/>
  <c r="N111" i="33"/>
  <c r="N130" i="33"/>
  <c r="N16" i="32"/>
  <c r="N198" i="32"/>
  <c r="N169" i="32"/>
  <c r="N76" i="32"/>
  <c r="N80" i="37"/>
  <c r="N36" i="37"/>
  <c r="N166" i="37"/>
  <c r="N102" i="37"/>
  <c r="N16" i="37"/>
  <c r="N58" i="37"/>
  <c r="P5" i="39"/>
  <c r="P5" i="38"/>
  <c r="P5" i="37"/>
  <c r="N149" i="38"/>
  <c r="N92" i="38"/>
  <c r="N35" i="38"/>
  <c r="N73" i="38"/>
  <c r="N16" i="38"/>
  <c r="N54" i="38"/>
  <c r="O8" i="38"/>
  <c r="O8" i="39"/>
  <c r="O8" i="37"/>
  <c r="N142" i="39"/>
  <c r="N114" i="39"/>
  <c r="N156" i="39"/>
  <c r="N128" i="39"/>
  <c r="N100" i="39"/>
  <c r="N58" i="39"/>
  <c r="N44" i="39"/>
  <c r="N86" i="39"/>
  <c r="N30" i="39"/>
  <c r="N72" i="39"/>
  <c r="N229" i="32"/>
  <c r="N138" i="32"/>
  <c r="N107" i="32"/>
  <c r="N156" i="34"/>
  <c r="N128" i="34"/>
  <c r="N100" i="34"/>
  <c r="N86" i="34"/>
  <c r="N142" i="34"/>
  <c r="N72" i="34"/>
  <c r="N114" i="34"/>
  <c r="N58" i="34"/>
  <c r="N44" i="34"/>
  <c r="O8" i="33"/>
  <c r="O8" i="34"/>
  <c r="P5" i="33"/>
  <c r="P5" i="34"/>
  <c r="N45" i="32"/>
  <c r="N73" i="33"/>
  <c r="N35" i="33"/>
  <c r="N92" i="33"/>
  <c r="N149" i="33"/>
  <c r="N16" i="33"/>
  <c r="N54" i="33"/>
  <c r="W20" i="4"/>
  <c r="O8" i="32"/>
  <c r="X16" i="4"/>
  <c r="P5" i="32"/>
  <c r="O10" i="50" l="1"/>
  <c r="O10" i="43"/>
  <c r="O16" i="50"/>
  <c r="O24" i="50"/>
  <c r="P6" i="47"/>
  <c r="P6" i="42"/>
  <c r="O10" i="47"/>
  <c r="O190" i="47" s="1"/>
  <c r="O10" i="42"/>
  <c r="O14" i="42" s="1"/>
  <c r="P6" i="45"/>
  <c r="P6" i="46"/>
  <c r="O10" i="45"/>
  <c r="O190" i="45" s="1"/>
  <c r="O10" i="46"/>
  <c r="P6" i="39"/>
  <c r="P6" i="38"/>
  <c r="P6" i="37"/>
  <c r="O10" i="39"/>
  <c r="O14" i="39" s="1"/>
  <c r="O10" i="38"/>
  <c r="O10" i="37"/>
  <c r="O10" i="34"/>
  <c r="P6" i="33"/>
  <c r="P6" i="34"/>
  <c r="O10" i="32"/>
  <c r="O10" i="33"/>
  <c r="X18" i="4"/>
  <c r="P6" i="32"/>
  <c r="Y15" i="4"/>
  <c r="O189" i="37" l="1"/>
  <c r="O195" i="37"/>
  <c r="O261" i="32"/>
  <c r="O267" i="32"/>
  <c r="O30" i="34"/>
  <c r="O14" i="34"/>
  <c r="O132" i="47"/>
  <c r="O16" i="47"/>
  <c r="O74" i="47"/>
  <c r="O45" i="45"/>
  <c r="O45" i="47"/>
  <c r="O16" i="45"/>
  <c r="O103" i="47"/>
  <c r="O161" i="47"/>
  <c r="O219" i="47"/>
  <c r="O130" i="38"/>
  <c r="O111" i="38"/>
  <c r="O124" i="37"/>
  <c r="O144" i="37"/>
  <c r="P8" i="47"/>
  <c r="P8" i="42"/>
  <c r="Q5" i="47"/>
  <c r="Q5" i="42"/>
  <c r="O44" i="42"/>
  <c r="O142" i="42"/>
  <c r="O128" i="42"/>
  <c r="O30" i="42"/>
  <c r="O114" i="42"/>
  <c r="O100" i="42"/>
  <c r="O58" i="42"/>
  <c r="O156" i="42"/>
  <c r="O86" i="42"/>
  <c r="O72" i="42"/>
  <c r="O103" i="45"/>
  <c r="O74" i="45"/>
  <c r="O132" i="45"/>
  <c r="O219" i="45"/>
  <c r="O130" i="46"/>
  <c r="O92" i="46"/>
  <c r="O149" i="46"/>
  <c r="O73" i="46"/>
  <c r="O111" i="46"/>
  <c r="O35" i="46"/>
  <c r="O54" i="46"/>
  <c r="O16" i="46"/>
  <c r="Q5" i="45"/>
  <c r="Q5" i="46"/>
  <c r="P8" i="45"/>
  <c r="P8" i="46"/>
  <c r="O161" i="45"/>
  <c r="O111" i="33"/>
  <c r="O130" i="33"/>
  <c r="O229" i="32"/>
  <c r="O169" i="32"/>
  <c r="O198" i="32"/>
  <c r="O107" i="32"/>
  <c r="O76" i="32"/>
  <c r="Q5" i="39"/>
  <c r="Q5" i="38"/>
  <c r="Q5" i="37"/>
  <c r="O58" i="37"/>
  <c r="O166" i="37"/>
  <c r="O102" i="37"/>
  <c r="O36" i="37"/>
  <c r="O16" i="37"/>
  <c r="O80" i="37"/>
  <c r="O149" i="38"/>
  <c r="O73" i="38"/>
  <c r="O54" i="38"/>
  <c r="O92" i="38"/>
  <c r="O35" i="38"/>
  <c r="O16" i="38"/>
  <c r="P8" i="39"/>
  <c r="P8" i="38"/>
  <c r="P8" i="37"/>
  <c r="O114" i="39"/>
  <c r="O156" i="39"/>
  <c r="O100" i="39"/>
  <c r="O72" i="39"/>
  <c r="O142" i="39"/>
  <c r="O58" i="39"/>
  <c r="O128" i="39"/>
  <c r="O86" i="39"/>
  <c r="O44" i="39"/>
  <c r="O30" i="39"/>
  <c r="O138" i="32"/>
  <c r="O45" i="32"/>
  <c r="O16" i="32"/>
  <c r="O128" i="34"/>
  <c r="O100" i="34"/>
  <c r="O86" i="34"/>
  <c r="O142" i="34"/>
  <c r="O72" i="34"/>
  <c r="O114" i="34"/>
  <c r="O58" i="34"/>
  <c r="O44" i="34"/>
  <c r="O156" i="34"/>
  <c r="Q5" i="33"/>
  <c r="Q5" i="34"/>
  <c r="P8" i="33"/>
  <c r="P8" i="34"/>
  <c r="O73" i="33"/>
  <c r="O35" i="33"/>
  <c r="O92" i="33"/>
  <c r="O54" i="33"/>
  <c r="O149" i="33"/>
  <c r="O16" i="33"/>
  <c r="Y16" i="4"/>
  <c r="Q5" i="32"/>
  <c r="X20" i="4"/>
  <c r="P8" i="32"/>
  <c r="P10" i="50" l="1"/>
  <c r="P10" i="43"/>
  <c r="P16" i="50"/>
  <c r="P24" i="50"/>
  <c r="P10" i="47"/>
  <c r="P161" i="47" s="1"/>
  <c r="P10" i="42"/>
  <c r="P14" i="42" s="1"/>
  <c r="Q6" i="47"/>
  <c r="Q6" i="42"/>
  <c r="P10" i="45"/>
  <c r="P190" i="45" s="1"/>
  <c r="P10" i="46"/>
  <c r="Q6" i="45"/>
  <c r="Q6" i="46"/>
  <c r="P10" i="39"/>
  <c r="P14" i="39" s="1"/>
  <c r="P10" i="38"/>
  <c r="P10" i="37"/>
  <c r="Q6" i="39"/>
  <c r="Q6" i="38"/>
  <c r="Q6" i="37"/>
  <c r="P10" i="34"/>
  <c r="Q6" i="33"/>
  <c r="Q6" i="34"/>
  <c r="P10" i="32"/>
  <c r="P10" i="33"/>
  <c r="Y18" i="4"/>
  <c r="Q6" i="32"/>
  <c r="Z15" i="4"/>
  <c r="P189" i="37" l="1"/>
  <c r="P195" i="37"/>
  <c r="P261" i="32"/>
  <c r="P267" i="32"/>
  <c r="P30" i="34"/>
  <c r="P14" i="34"/>
  <c r="P103" i="47"/>
  <c r="P74" i="47"/>
  <c r="P190" i="47"/>
  <c r="P219" i="47"/>
  <c r="P45" i="47"/>
  <c r="P16" i="47"/>
  <c r="P111" i="38"/>
  <c r="P130" i="38"/>
  <c r="P124" i="37"/>
  <c r="P144" i="37"/>
  <c r="P44" i="42"/>
  <c r="P30" i="42"/>
  <c r="P156" i="42"/>
  <c r="P142" i="42"/>
  <c r="P58" i="42"/>
  <c r="P128" i="42"/>
  <c r="P114" i="42"/>
  <c r="P100" i="42"/>
  <c r="P86" i="42"/>
  <c r="P72" i="42"/>
  <c r="P16" i="45"/>
  <c r="P132" i="47"/>
  <c r="P74" i="45"/>
  <c r="R5" i="47"/>
  <c r="R5" i="42"/>
  <c r="P219" i="45"/>
  <c r="Q8" i="47"/>
  <c r="Q8" i="42"/>
  <c r="P103" i="45"/>
  <c r="P132" i="45"/>
  <c r="P45" i="45"/>
  <c r="P161" i="45"/>
  <c r="Q8" i="45"/>
  <c r="Q8" i="46"/>
  <c r="P130" i="46"/>
  <c r="P149" i="46"/>
  <c r="P73" i="46"/>
  <c r="P111" i="46"/>
  <c r="P54" i="46"/>
  <c r="P92" i="46"/>
  <c r="P16" i="46"/>
  <c r="P35" i="46"/>
  <c r="R5" i="45"/>
  <c r="R5" i="46"/>
  <c r="P111" i="33"/>
  <c r="P130" i="33"/>
  <c r="P16" i="32"/>
  <c r="P169" i="32"/>
  <c r="P198" i="32"/>
  <c r="R5" i="39"/>
  <c r="R5" i="38"/>
  <c r="R5" i="37"/>
  <c r="P166" i="37"/>
  <c r="P102" i="37"/>
  <c r="P80" i="37"/>
  <c r="P36" i="37"/>
  <c r="P16" i="37"/>
  <c r="P58" i="37"/>
  <c r="P149" i="38"/>
  <c r="P92" i="38"/>
  <c r="P73" i="38"/>
  <c r="P54" i="38"/>
  <c r="P16" i="38"/>
  <c r="P35" i="38"/>
  <c r="Q8" i="39"/>
  <c r="Q8" i="38"/>
  <c r="Q8" i="37"/>
  <c r="P114" i="39"/>
  <c r="P156" i="39"/>
  <c r="P128" i="39"/>
  <c r="P142" i="39"/>
  <c r="P72" i="39"/>
  <c r="P58" i="39"/>
  <c r="P86" i="39"/>
  <c r="P100" i="39"/>
  <c r="P30" i="39"/>
  <c r="P44" i="39"/>
  <c r="P128" i="34"/>
  <c r="P100" i="34"/>
  <c r="P86" i="34"/>
  <c r="P142" i="34"/>
  <c r="P72" i="34"/>
  <c r="P114" i="34"/>
  <c r="P156" i="34"/>
  <c r="P58" i="34"/>
  <c r="P44" i="34"/>
  <c r="Q8" i="33"/>
  <c r="Q8" i="34"/>
  <c r="R5" i="33"/>
  <c r="R5" i="34"/>
  <c r="P138" i="32"/>
  <c r="P45" i="32"/>
  <c r="P229" i="32"/>
  <c r="P107" i="32"/>
  <c r="P76" i="32"/>
  <c r="P92" i="33"/>
  <c r="P54" i="33"/>
  <c r="P149" i="33"/>
  <c r="P73" i="33"/>
  <c r="P35" i="33"/>
  <c r="P16" i="33"/>
  <c r="Y20" i="4"/>
  <c r="Q8" i="32"/>
  <c r="Z16" i="4"/>
  <c r="R5" i="32"/>
  <c r="Q10" i="50" l="1"/>
  <c r="Q10" i="43"/>
  <c r="Q24" i="50"/>
  <c r="Q16" i="50"/>
  <c r="Q10" i="47"/>
  <c r="Q190" i="47" s="1"/>
  <c r="Q10" i="42"/>
  <c r="Q14" i="42" s="1"/>
  <c r="R6" i="47"/>
  <c r="R6" i="42"/>
  <c r="Q10" i="45"/>
  <c r="Q161" i="45" s="1"/>
  <c r="Q10" i="46"/>
  <c r="R6" i="45"/>
  <c r="R6" i="46"/>
  <c r="Q10" i="39"/>
  <c r="Q14" i="39" s="1"/>
  <c r="Q10" i="38"/>
  <c r="Q10" i="37"/>
  <c r="R6" i="39"/>
  <c r="R6" i="38"/>
  <c r="R6" i="37"/>
  <c r="Q10" i="34"/>
  <c r="R6" i="33"/>
  <c r="R6" i="34"/>
  <c r="Q10" i="32"/>
  <c r="Q10" i="33"/>
  <c r="Z18" i="4"/>
  <c r="R6" i="32"/>
  <c r="AA15" i="4"/>
  <c r="Q189" i="37" l="1"/>
  <c r="Q195" i="37"/>
  <c r="Q261" i="32"/>
  <c r="Q267" i="32"/>
  <c r="Q219" i="47"/>
  <c r="Q30" i="34"/>
  <c r="Q14" i="34"/>
  <c r="Q16" i="47"/>
  <c r="Q45" i="47"/>
  <c r="Q74" i="47"/>
  <c r="Q103" i="47"/>
  <c r="Q132" i="47"/>
  <c r="Q161" i="47"/>
  <c r="Q190" i="45"/>
  <c r="Q74" i="45"/>
  <c r="Q111" i="38"/>
  <c r="Q130" i="38"/>
  <c r="Q124" i="37"/>
  <c r="Q144" i="37"/>
  <c r="R8" i="47"/>
  <c r="R8" i="42"/>
  <c r="Q103" i="45"/>
  <c r="Q156" i="42"/>
  <c r="Q142" i="42"/>
  <c r="Q58" i="42"/>
  <c r="Q30" i="42"/>
  <c r="Q128" i="42"/>
  <c r="Q114" i="42"/>
  <c r="Q100" i="42"/>
  <c r="Q72" i="42"/>
  <c r="Q86" i="42"/>
  <c r="Q44" i="42"/>
  <c r="S5" i="47"/>
  <c r="S5" i="42"/>
  <c r="Q219" i="45"/>
  <c r="Q45" i="45"/>
  <c r="Q132" i="45"/>
  <c r="Q16" i="45"/>
  <c r="S5" i="45"/>
  <c r="S5" i="46"/>
  <c r="R8" i="45"/>
  <c r="R8" i="46"/>
  <c r="Q149" i="46"/>
  <c r="Q130" i="46"/>
  <c r="Q111" i="46"/>
  <c r="Q92" i="46"/>
  <c r="Q35" i="46"/>
  <c r="Q73" i="46"/>
  <c r="Q54" i="46"/>
  <c r="Q16" i="46"/>
  <c r="Q130" i="33"/>
  <c r="Q111" i="33"/>
  <c r="Q16" i="32"/>
  <c r="Q198" i="32"/>
  <c r="Q169" i="32"/>
  <c r="S5" i="39"/>
  <c r="S5" i="38"/>
  <c r="S5" i="37"/>
  <c r="R8" i="39"/>
  <c r="R8" i="38"/>
  <c r="R8" i="37"/>
  <c r="Q102" i="37"/>
  <c r="Q58" i="37"/>
  <c r="Q80" i="37"/>
  <c r="Q166" i="37"/>
  <c r="Q36" i="37"/>
  <c r="Q16" i="37"/>
  <c r="Q92" i="38"/>
  <c r="Q73" i="38"/>
  <c r="Q54" i="38"/>
  <c r="Q149" i="38"/>
  <c r="Q35" i="38"/>
  <c r="Q16" i="38"/>
  <c r="Q156" i="39"/>
  <c r="Q128" i="39"/>
  <c r="Q142" i="39"/>
  <c r="Q86" i="39"/>
  <c r="Q44" i="39"/>
  <c r="Q114" i="39"/>
  <c r="Q58" i="39"/>
  <c r="Q30" i="39"/>
  <c r="Q100" i="39"/>
  <c r="Q72" i="39"/>
  <c r="Q142" i="34"/>
  <c r="Q72" i="34"/>
  <c r="Q114" i="34"/>
  <c r="Q156" i="34"/>
  <c r="Q58" i="34"/>
  <c r="Q44" i="34"/>
  <c r="Q86" i="34"/>
  <c r="Q100" i="34"/>
  <c r="Q128" i="34"/>
  <c r="R8" i="33"/>
  <c r="R8" i="34"/>
  <c r="S5" i="33"/>
  <c r="S5" i="34"/>
  <c r="Q76" i="32"/>
  <c r="Q229" i="32"/>
  <c r="Q45" i="32"/>
  <c r="Q138" i="32"/>
  <c r="Q107" i="32"/>
  <c r="Q35" i="33"/>
  <c r="Q92" i="33"/>
  <c r="Q54" i="33"/>
  <c r="Q149" i="33"/>
  <c r="Q16" i="33"/>
  <c r="Q73" i="33"/>
  <c r="Z20" i="4"/>
  <c r="R8" i="32"/>
  <c r="AA16" i="4"/>
  <c r="S5" i="32"/>
  <c r="R10" i="50" l="1"/>
  <c r="R10" i="43"/>
  <c r="R24" i="50"/>
  <c r="R16" i="50"/>
  <c r="S6" i="47"/>
  <c r="S6" i="42"/>
  <c r="R10" i="47"/>
  <c r="R190" i="47" s="1"/>
  <c r="R10" i="42"/>
  <c r="R14" i="42" s="1"/>
  <c r="S6" i="45"/>
  <c r="S6" i="46"/>
  <c r="R10" i="45"/>
  <c r="R190" i="45" s="1"/>
  <c r="R10" i="46"/>
  <c r="R10" i="39"/>
  <c r="R14" i="39" s="1"/>
  <c r="R10" i="38"/>
  <c r="R10" i="37"/>
  <c r="S6" i="39"/>
  <c r="S6" i="38"/>
  <c r="S6" i="37"/>
  <c r="R10" i="34"/>
  <c r="S6" i="33"/>
  <c r="S6" i="34"/>
  <c r="R10" i="32"/>
  <c r="R10" i="33"/>
  <c r="AA18" i="4"/>
  <c r="S6" i="32"/>
  <c r="AB15" i="4"/>
  <c r="R189" i="37" l="1"/>
  <c r="R195" i="37"/>
  <c r="R261" i="32"/>
  <c r="R267" i="32"/>
  <c r="R219" i="47"/>
  <c r="R30" i="34"/>
  <c r="R14" i="34"/>
  <c r="R16" i="47"/>
  <c r="R45" i="47"/>
  <c r="R161" i="47"/>
  <c r="R45" i="45"/>
  <c r="R74" i="47"/>
  <c r="R103" i="47"/>
  <c r="R132" i="47"/>
  <c r="R130" i="38"/>
  <c r="R111" i="38"/>
  <c r="R124" i="37"/>
  <c r="R144" i="37"/>
  <c r="T5" i="47"/>
  <c r="T5" i="42"/>
  <c r="R132" i="45"/>
  <c r="R128" i="42"/>
  <c r="R30" i="42"/>
  <c r="R114" i="42"/>
  <c r="R44" i="42"/>
  <c r="R156" i="42"/>
  <c r="R142" i="42"/>
  <c r="R58" i="42"/>
  <c r="R100" i="42"/>
  <c r="R72" i="42"/>
  <c r="R86" i="42"/>
  <c r="S8" i="47"/>
  <c r="S8" i="42"/>
  <c r="R161" i="45"/>
  <c r="R103" i="45"/>
  <c r="R149" i="46"/>
  <c r="R130" i="46"/>
  <c r="R111" i="46"/>
  <c r="R92" i="46"/>
  <c r="R73" i="46"/>
  <c r="R54" i="46"/>
  <c r="R16" i="46"/>
  <c r="R35" i="46"/>
  <c r="S8" i="45"/>
  <c r="S8" i="46"/>
  <c r="R16" i="45"/>
  <c r="R219" i="45"/>
  <c r="T5" i="45"/>
  <c r="T5" i="46"/>
  <c r="R74" i="45"/>
  <c r="R130" i="33"/>
  <c r="R111" i="33"/>
  <c r="R107" i="32"/>
  <c r="R169" i="32"/>
  <c r="R198" i="32"/>
  <c r="R229" i="32"/>
  <c r="S8" i="39"/>
  <c r="S8" i="38"/>
  <c r="S8" i="37"/>
  <c r="R166" i="37"/>
  <c r="R80" i="37"/>
  <c r="R58" i="37"/>
  <c r="R102" i="37"/>
  <c r="R36" i="37"/>
  <c r="R16" i="37"/>
  <c r="R73" i="38"/>
  <c r="R54" i="38"/>
  <c r="R16" i="38"/>
  <c r="R149" i="38"/>
  <c r="R92" i="38"/>
  <c r="R35" i="38"/>
  <c r="T5" i="39"/>
  <c r="T5" i="38"/>
  <c r="T5" i="37"/>
  <c r="R45" i="32"/>
  <c r="R128" i="39"/>
  <c r="R86" i="39"/>
  <c r="R44" i="39"/>
  <c r="R142" i="39"/>
  <c r="R114" i="39"/>
  <c r="R30" i="39"/>
  <c r="R72" i="39"/>
  <c r="R100" i="39"/>
  <c r="R156" i="39"/>
  <c r="R58" i="39"/>
  <c r="R76" i="32"/>
  <c r="R16" i="32"/>
  <c r="R138" i="32"/>
  <c r="R142" i="34"/>
  <c r="R72" i="34"/>
  <c r="R114" i="34"/>
  <c r="R156" i="34"/>
  <c r="R58" i="34"/>
  <c r="R44" i="34"/>
  <c r="R128" i="34"/>
  <c r="R100" i="34"/>
  <c r="R86" i="34"/>
  <c r="T5" i="33"/>
  <c r="T5" i="34"/>
  <c r="S8" i="33"/>
  <c r="S8" i="34"/>
  <c r="R92" i="33"/>
  <c r="R54" i="33"/>
  <c r="R149" i="33"/>
  <c r="R73" i="33"/>
  <c r="R35" i="33"/>
  <c r="R16" i="33"/>
  <c r="T5" i="32"/>
  <c r="AB16" i="4"/>
  <c r="AA20" i="4"/>
  <c r="S8" i="32"/>
  <c r="S10" i="50" l="1"/>
  <c r="S10" i="43"/>
  <c r="S16" i="50"/>
  <c r="S24" i="50"/>
  <c r="S10" i="47"/>
  <c r="S161" i="47" s="1"/>
  <c r="S10" i="42"/>
  <c r="S14" i="42" s="1"/>
  <c r="T6" i="47"/>
  <c r="T6" i="42"/>
  <c r="T6" i="45"/>
  <c r="T6" i="46"/>
  <c r="S10" i="45"/>
  <c r="S219" i="45" s="1"/>
  <c r="S10" i="46"/>
  <c r="S10" i="39"/>
  <c r="S14" i="39" s="1"/>
  <c r="S10" i="38"/>
  <c r="S10" i="37"/>
  <c r="T6" i="39"/>
  <c r="T6" i="38"/>
  <c r="T6" i="37"/>
  <c r="S10" i="34"/>
  <c r="T6" i="33"/>
  <c r="T6" i="34"/>
  <c r="S10" i="32"/>
  <c r="S10" i="33"/>
  <c r="T6" i="32"/>
  <c r="AB18" i="4"/>
  <c r="S189" i="37" l="1"/>
  <c r="S195" i="37"/>
  <c r="S261" i="32"/>
  <c r="S267" i="32"/>
  <c r="S219" i="47"/>
  <c r="S45" i="47"/>
  <c r="S16" i="47"/>
  <c r="S132" i="47"/>
  <c r="S74" i="47"/>
  <c r="S190" i="47"/>
  <c r="S103" i="47"/>
  <c r="S30" i="34"/>
  <c r="S14" i="34"/>
  <c r="S132" i="45"/>
  <c r="S130" i="38"/>
  <c r="S111" i="38"/>
  <c r="S124" i="37"/>
  <c r="S144" i="37"/>
  <c r="T8" i="47"/>
  <c r="T8" i="42"/>
  <c r="S44" i="42"/>
  <c r="S142" i="42"/>
  <c r="S128" i="42"/>
  <c r="S114" i="42"/>
  <c r="S30" i="42"/>
  <c r="S100" i="42"/>
  <c r="S86" i="42"/>
  <c r="S72" i="42"/>
  <c r="S58" i="42"/>
  <c r="S156" i="42"/>
  <c r="S103" i="45"/>
  <c r="S74" i="45"/>
  <c r="S161" i="45"/>
  <c r="S149" i="46"/>
  <c r="S92" i="46"/>
  <c r="S73" i="46"/>
  <c r="S130" i="46"/>
  <c r="S35" i="46"/>
  <c r="S111" i="46"/>
  <c r="S54" i="46"/>
  <c r="S16" i="46"/>
  <c r="S45" i="45"/>
  <c r="S190" i="45"/>
  <c r="T8" i="45"/>
  <c r="T8" i="46"/>
  <c r="S16" i="45"/>
  <c r="S111" i="33"/>
  <c r="S130" i="33"/>
  <c r="S16" i="32"/>
  <c r="S198" i="32"/>
  <c r="S169" i="32"/>
  <c r="T8" i="39"/>
  <c r="T8" i="38"/>
  <c r="T8" i="37"/>
  <c r="S102" i="37"/>
  <c r="S58" i="37"/>
  <c r="S80" i="37"/>
  <c r="S36" i="37"/>
  <c r="S16" i="37"/>
  <c r="S166" i="37"/>
  <c r="S73" i="38"/>
  <c r="S54" i="38"/>
  <c r="S149" i="38"/>
  <c r="S35" i="38"/>
  <c r="S92" i="38"/>
  <c r="S16" i="38"/>
  <c r="S128" i="39"/>
  <c r="S142" i="39"/>
  <c r="S114" i="39"/>
  <c r="S156" i="39"/>
  <c r="S86" i="39"/>
  <c r="S100" i="39"/>
  <c r="S72" i="39"/>
  <c r="S30" i="39"/>
  <c r="S44" i="39"/>
  <c r="S58" i="39"/>
  <c r="S45" i="32"/>
  <c r="S107" i="32"/>
  <c r="S76" i="32"/>
  <c r="S114" i="34"/>
  <c r="S156" i="34"/>
  <c r="S58" i="34"/>
  <c r="S44" i="34"/>
  <c r="S128" i="34"/>
  <c r="S100" i="34"/>
  <c r="S86" i="34"/>
  <c r="S142" i="34"/>
  <c r="S72" i="34"/>
  <c r="T8" i="33"/>
  <c r="T8" i="34"/>
  <c r="S229" i="32"/>
  <c r="S138" i="32"/>
  <c r="S54" i="33"/>
  <c r="S149" i="33"/>
  <c r="S73" i="33"/>
  <c r="S92" i="33"/>
  <c r="S16" i="33"/>
  <c r="S35" i="33"/>
  <c r="T8" i="32"/>
  <c r="AB20" i="4"/>
  <c r="T10" i="50" l="1"/>
  <c r="T10" i="43"/>
  <c r="T24" i="50"/>
  <c r="T16" i="50"/>
  <c r="T10" i="47"/>
  <c r="T45" i="47" s="1"/>
  <c r="T10" i="42"/>
  <c r="T14" i="42" s="1"/>
  <c r="T10" i="45"/>
  <c r="T219" i="45" s="1"/>
  <c r="T10" i="46"/>
  <c r="T10" i="39"/>
  <c r="T14" i="39" s="1"/>
  <c r="T10" i="38"/>
  <c r="T10" i="37"/>
  <c r="T10" i="33"/>
  <c r="T10" i="34"/>
  <c r="T14" i="34" s="1"/>
  <c r="T10" i="32"/>
  <c r="AE20" i="4"/>
  <c r="T189" i="37" l="1"/>
  <c r="T195" i="37"/>
  <c r="T261" i="32"/>
  <c r="T267" i="32"/>
  <c r="T45" i="45"/>
  <c r="T132" i="47"/>
  <c r="T161" i="47"/>
  <c r="T74" i="47"/>
  <c r="T16" i="47"/>
  <c r="T103" i="47"/>
  <c r="T190" i="47"/>
  <c r="T219" i="47"/>
  <c r="T130" i="38"/>
  <c r="T111" i="38"/>
  <c r="T124" i="37"/>
  <c r="T144" i="37"/>
  <c r="T16" i="45"/>
  <c r="T103" i="45"/>
  <c r="T44" i="42"/>
  <c r="T58" i="42"/>
  <c r="T30" i="42"/>
  <c r="T142" i="42"/>
  <c r="T128" i="42"/>
  <c r="T114" i="42"/>
  <c r="T100" i="42"/>
  <c r="T86" i="42"/>
  <c r="T72" i="42"/>
  <c r="T156" i="42"/>
  <c r="T161" i="45"/>
  <c r="T74" i="45"/>
  <c r="T190" i="45"/>
  <c r="T132" i="45"/>
  <c r="T149" i="46"/>
  <c r="T130" i="46"/>
  <c r="T73" i="46"/>
  <c r="T111" i="46"/>
  <c r="T54" i="46"/>
  <c r="T92" i="46"/>
  <c r="T16" i="46"/>
  <c r="T35" i="46"/>
  <c r="T54" i="33"/>
  <c r="T111" i="33"/>
  <c r="T130" i="33"/>
  <c r="T198" i="32"/>
  <c r="T169" i="32"/>
  <c r="T166" i="37"/>
  <c r="T80" i="37"/>
  <c r="T36" i="37"/>
  <c r="T58" i="37"/>
  <c r="T102" i="37"/>
  <c r="T16" i="37"/>
  <c r="T149" i="38"/>
  <c r="T73" i="38"/>
  <c r="T54" i="38"/>
  <c r="T16" i="38"/>
  <c r="T92" i="38"/>
  <c r="T35" i="38"/>
  <c r="T142" i="39"/>
  <c r="T156" i="39"/>
  <c r="T86" i="39"/>
  <c r="T58" i="39"/>
  <c r="T100" i="39"/>
  <c r="T114" i="39"/>
  <c r="T72" i="39"/>
  <c r="T30" i="39"/>
  <c r="T128" i="39"/>
  <c r="T44" i="39"/>
  <c r="T114" i="34"/>
  <c r="T156" i="34"/>
  <c r="T58" i="34"/>
  <c r="T44" i="34"/>
  <c r="T128" i="34"/>
  <c r="T100" i="34"/>
  <c r="T86" i="34"/>
  <c r="T142" i="34"/>
  <c r="T72" i="34"/>
  <c r="T92" i="33"/>
  <c r="T16" i="33"/>
  <c r="T35" i="33"/>
  <c r="T73" i="33"/>
  <c r="T149" i="33"/>
  <c r="T30" i="34"/>
  <c r="T16" i="32"/>
  <c r="T138" i="32"/>
  <c r="T229" i="32"/>
  <c r="T76" i="32"/>
  <c r="T45" i="32"/>
  <c r="T107" i="32"/>
  <c r="K137" i="33" l="1"/>
  <c r="L137" i="33"/>
  <c r="M137" i="33"/>
  <c r="N137" i="33"/>
  <c r="P137" i="33"/>
  <c r="Q137" i="33"/>
  <c r="R137" i="33"/>
  <c r="S137" i="33"/>
  <c r="T137" i="33"/>
  <c r="T134" i="33" l="1"/>
  <c r="N134" i="33"/>
  <c r="S134" i="33"/>
  <c r="P134" i="33"/>
  <c r="R134" i="33"/>
  <c r="Q134" i="33"/>
  <c r="L134" i="33"/>
  <c r="K134" i="33"/>
  <c r="M134" i="33"/>
  <c r="P133" i="33" l="1"/>
  <c r="M133" i="33"/>
  <c r="N133" i="33"/>
  <c r="Q133" i="33"/>
  <c r="K133" i="33"/>
  <c r="R133" i="33"/>
  <c r="T133" i="33"/>
  <c r="L133" i="33"/>
  <c r="S133" i="33"/>
  <c r="Q136" i="33" l="1"/>
  <c r="M136" i="33"/>
  <c r="R136" i="33"/>
  <c r="S136" i="33"/>
  <c r="N136" i="33"/>
  <c r="P136" i="33"/>
  <c r="K136" i="33"/>
  <c r="T136" i="33"/>
  <c r="L136" i="33"/>
  <c r="T135" i="33"/>
  <c r="R135" i="33"/>
  <c r="K135" i="33"/>
  <c r="N135" i="33"/>
  <c r="Q135" i="33"/>
  <c r="P135" i="33"/>
  <c r="S135" i="33"/>
  <c r="M135" i="33"/>
  <c r="L135" i="33"/>
  <c r="T141" i="33" l="1"/>
  <c r="Q141" i="33"/>
  <c r="R141" i="33"/>
  <c r="K141" i="33"/>
  <c r="P141" i="33"/>
  <c r="N141" i="33"/>
  <c r="M141" i="33"/>
  <c r="S141" i="33"/>
  <c r="L141" i="33"/>
  <c r="A13" i="31"/>
  <c r="A1" i="49" l="1"/>
  <c r="H20" i="25" s="1"/>
  <c r="E48" i="31" l="1"/>
  <c r="A14" i="31" l="1"/>
  <c r="N132" i="33"/>
  <c r="N143" i="33" s="1"/>
  <c r="N145" i="33" s="1"/>
  <c r="T132" i="33"/>
  <c r="T143" i="33" s="1"/>
  <c r="T145" i="33" s="1"/>
  <c r="K132" i="33"/>
  <c r="K143" i="33" s="1"/>
  <c r="K145" i="33" s="1"/>
  <c r="P132" i="33"/>
  <c r="P143" i="33" s="1"/>
  <c r="P145" i="33" s="1"/>
  <c r="S132" i="33"/>
  <c r="S143" i="33" s="1"/>
  <c r="S145" i="33" s="1"/>
  <c r="Q132" i="33"/>
  <c r="Q143" i="33" s="1"/>
  <c r="Q145" i="33" s="1"/>
  <c r="M132" i="33"/>
  <c r="M143" i="33" s="1"/>
  <c r="M145" i="33" s="1"/>
  <c r="L132" i="33"/>
  <c r="L143" i="33" s="1"/>
  <c r="L145" i="33" s="1"/>
  <c r="R132" i="33"/>
  <c r="R143" i="33" s="1"/>
  <c r="R145" i="33" s="1"/>
  <c r="A12" i="31"/>
  <c r="G47" i="31" l="1"/>
  <c r="G50" i="31" s="1"/>
  <c r="H47" i="31" l="1"/>
  <c r="H50" i="31" s="1"/>
  <c r="G53" i="31" s="1"/>
  <c r="G55" i="31" s="1"/>
  <c r="F47" i="31"/>
  <c r="F50" i="31" s="1"/>
  <c r="H53" i="31" l="1"/>
  <c r="H55" i="31" s="1"/>
  <c r="E47" i="31"/>
  <c r="E50" i="31" s="1"/>
  <c r="F52" i="31" s="1"/>
  <c r="F55" i="31" s="1"/>
  <c r="E52" i="31" l="1"/>
  <c r="E55" i="31" s="1"/>
  <c r="A55" i="31" s="1"/>
  <c r="Q120" i="37" l="1"/>
  <c r="P120" i="37"/>
  <c r="R120" i="37"/>
  <c r="S120" i="37" l="1"/>
  <c r="T120" i="37" l="1"/>
  <c r="R94" i="37" l="1"/>
  <c r="R96" i="37" s="1"/>
  <c r="S94" i="37"/>
  <c r="S96" i="37" s="1"/>
  <c r="Q94" i="37"/>
  <c r="Q96" i="37" s="1"/>
  <c r="P94" i="37"/>
  <c r="P96" i="37" s="1"/>
  <c r="T94" i="37"/>
  <c r="T96" i="37" s="1"/>
  <c r="P98" i="37" l="1"/>
  <c r="T98" i="37"/>
  <c r="R98" i="37"/>
  <c r="S98" i="37"/>
  <c r="Q98" i="37"/>
  <c r="J23" i="45" l="1"/>
  <c r="J201" i="47"/>
  <c r="J25" i="47" l="1"/>
  <c r="J24" i="47"/>
  <c r="J30" i="47"/>
  <c r="J31" i="47"/>
  <c r="J18" i="47"/>
  <c r="J29" i="47"/>
  <c r="J28" i="47"/>
  <c r="J20" i="47"/>
  <c r="J199" i="47"/>
  <c r="J203" i="47"/>
  <c r="J195" i="45"/>
  <c r="M27" i="43"/>
  <c r="M29" i="43" s="1"/>
  <c r="A29" i="43" s="1"/>
  <c r="J124" i="47"/>
  <c r="J85" i="47"/>
  <c r="J21" i="45"/>
  <c r="J84" i="47"/>
  <c r="J88" i="47"/>
  <c r="J82" i="47"/>
  <c r="J81" i="45"/>
  <c r="J19" i="45"/>
  <c r="J77" i="45"/>
  <c r="J89" i="47"/>
  <c r="J22" i="45"/>
  <c r="J80" i="45"/>
  <c r="J95" i="47"/>
  <c r="J198" i="47"/>
  <c r="J202" i="47"/>
  <c r="J193" i="45"/>
  <c r="J78" i="47"/>
  <c r="J194" i="47"/>
  <c r="J196" i="45"/>
  <c r="J205" i="47"/>
  <c r="J204" i="47"/>
  <c r="J197" i="45"/>
  <c r="J37" i="47" l="1"/>
  <c r="J27" i="33"/>
  <c r="J200" i="47"/>
  <c r="J26" i="47"/>
  <c r="J26" i="33"/>
  <c r="K26" i="50"/>
  <c r="K29" i="50" s="1"/>
  <c r="J191" i="37"/>
  <c r="J263" i="32"/>
  <c r="J56" i="32" s="1"/>
  <c r="J56" i="47" s="1"/>
  <c r="J23" i="33"/>
  <c r="J22" i="33"/>
  <c r="J19" i="33"/>
  <c r="J25" i="33"/>
  <c r="J76" i="47"/>
  <c r="J192" i="47"/>
  <c r="J138" i="33"/>
  <c r="J133" i="33"/>
  <c r="J221" i="32"/>
  <c r="J223" i="32" s="1"/>
  <c r="J137" i="33"/>
  <c r="J136" i="33"/>
  <c r="J132" i="33"/>
  <c r="J141" i="33"/>
  <c r="J134" i="33"/>
  <c r="J140" i="33"/>
  <c r="J139" i="33"/>
  <c r="J135" i="33"/>
  <c r="J18" i="33"/>
  <c r="J27" i="47"/>
  <c r="J21" i="33"/>
  <c r="J24" i="33"/>
  <c r="J39" i="32"/>
  <c r="J20" i="33"/>
  <c r="J79" i="45"/>
  <c r="J94" i="47"/>
  <c r="J91" i="47"/>
  <c r="J86" i="47"/>
  <c r="J83" i="47"/>
  <c r="J93" i="47"/>
  <c r="J87" i="47"/>
  <c r="J90" i="47"/>
  <c r="J57" i="33" l="1"/>
  <c r="J48" i="34" s="1"/>
  <c r="J32" i="34"/>
  <c r="J29" i="33"/>
  <c r="J31" i="33" s="1"/>
  <c r="J56" i="33"/>
  <c r="J130" i="34"/>
  <c r="J158" i="34"/>
  <c r="J225" i="32"/>
  <c r="J41" i="32"/>
  <c r="J46" i="34"/>
  <c r="J63" i="33"/>
  <c r="J132" i="34" s="1"/>
  <c r="J116" i="34"/>
  <c r="J64" i="33"/>
  <c r="J146" i="34" s="1"/>
  <c r="J88" i="34"/>
  <c r="J57" i="32"/>
  <c r="J63" i="32"/>
  <c r="J64" i="32"/>
  <c r="J61" i="32"/>
  <c r="J62" i="32"/>
  <c r="J65" i="32"/>
  <c r="J59" i="32"/>
  <c r="J47" i="32"/>
  <c r="J53" i="32"/>
  <c r="J58" i="32"/>
  <c r="J54" i="32"/>
  <c r="J60" i="32"/>
  <c r="J52" i="32"/>
  <c r="J52" i="45" s="1"/>
  <c r="J49" i="32"/>
  <c r="J74" i="34"/>
  <c r="J61" i="33"/>
  <c r="J104" i="34" s="1"/>
  <c r="J45" i="37"/>
  <c r="J38" i="37"/>
  <c r="J39" i="37"/>
  <c r="J48" i="37"/>
  <c r="J44" i="37"/>
  <c r="J46" i="37"/>
  <c r="J40" i="37"/>
  <c r="J43" i="37"/>
  <c r="J41" i="37"/>
  <c r="J42" i="37"/>
  <c r="J47" i="37"/>
  <c r="J48" i="32"/>
  <c r="J48" i="45" s="1"/>
  <c r="J59" i="33"/>
  <c r="J76" i="34" s="1"/>
  <c r="J60" i="34"/>
  <c r="J58" i="33"/>
  <c r="J62" i="34" s="1"/>
  <c r="J62" i="33"/>
  <c r="J118" i="34" s="1"/>
  <c r="J144" i="34"/>
  <c r="J50" i="32"/>
  <c r="J50" i="45" s="1"/>
  <c r="J66" i="32"/>
  <c r="J143" i="33"/>
  <c r="J145" i="33" s="1"/>
  <c r="J60" i="33"/>
  <c r="J90" i="34" s="1"/>
  <c r="J65" i="33"/>
  <c r="J160" i="34" s="1"/>
  <c r="J94" i="37"/>
  <c r="J96" i="37" s="1"/>
  <c r="J116" i="37"/>
  <c r="J99" i="32"/>
  <c r="J101" i="32" s="1"/>
  <c r="J102" i="34"/>
  <c r="J55" i="32"/>
  <c r="J51" i="32"/>
  <c r="J103" i="32"/>
  <c r="K84" i="47"/>
  <c r="K83" i="47"/>
  <c r="K87" i="47"/>
  <c r="K95" i="47"/>
  <c r="K89" i="47"/>
  <c r="K93" i="47"/>
  <c r="K88" i="47"/>
  <c r="K86" i="47"/>
  <c r="K78" i="47"/>
  <c r="K85" i="47"/>
  <c r="K94" i="47"/>
  <c r="K90" i="47"/>
  <c r="K82" i="47"/>
  <c r="K91" i="47"/>
  <c r="J138" i="45" l="1"/>
  <c r="J137" i="45"/>
  <c r="J139" i="45"/>
  <c r="J175" i="32"/>
  <c r="J235" i="32" s="1"/>
  <c r="K22" i="32" s="1"/>
  <c r="J51" i="45"/>
  <c r="J135" i="45"/>
  <c r="J132" i="37"/>
  <c r="J174" i="37" s="1"/>
  <c r="K24" i="37" s="1"/>
  <c r="J176" i="32"/>
  <c r="J236" i="32" s="1"/>
  <c r="K23" i="32" s="1"/>
  <c r="J98" i="37"/>
  <c r="J55" i="47"/>
  <c r="J148" i="47"/>
  <c r="J119" i="47"/>
  <c r="J66" i="47"/>
  <c r="J182" i="47" s="1"/>
  <c r="J240" i="47" s="1"/>
  <c r="K37" i="47" s="1"/>
  <c r="J190" i="32"/>
  <c r="J250" i="32" s="1"/>
  <c r="K37" i="32" s="1"/>
  <c r="J62" i="47"/>
  <c r="J120" i="37"/>
  <c r="J118" i="37"/>
  <c r="J144" i="47"/>
  <c r="J115" i="47"/>
  <c r="J174" i="32"/>
  <c r="J234" i="32" s="1"/>
  <c r="K21" i="32" s="1"/>
  <c r="J172" i="32"/>
  <c r="J232" i="32" s="1"/>
  <c r="K19" i="32" s="1"/>
  <c r="J136" i="37"/>
  <c r="J178" i="37" s="1"/>
  <c r="K28" i="37" s="1"/>
  <c r="J60" i="47"/>
  <c r="J61" i="47"/>
  <c r="J141" i="47"/>
  <c r="J112" i="47"/>
  <c r="J135" i="37"/>
  <c r="J177" i="37" s="1"/>
  <c r="K27" i="37" s="1"/>
  <c r="J127" i="37"/>
  <c r="J169" i="37" s="1"/>
  <c r="K19" i="37" s="1"/>
  <c r="J54" i="47"/>
  <c r="J64" i="47"/>
  <c r="J180" i="47" s="1"/>
  <c r="J238" i="47" s="1"/>
  <c r="K35" i="47" s="1"/>
  <c r="J188" i="32"/>
  <c r="J248" i="32" s="1"/>
  <c r="K35" i="32" s="1"/>
  <c r="J142" i="47"/>
  <c r="J113" i="47"/>
  <c r="J145" i="47"/>
  <c r="J116" i="47"/>
  <c r="J130" i="37"/>
  <c r="J172" i="37" s="1"/>
  <c r="K22" i="37" s="1"/>
  <c r="J50" i="37"/>
  <c r="J58" i="47"/>
  <c r="J63" i="47"/>
  <c r="J179" i="47" s="1"/>
  <c r="J237" i="47" s="1"/>
  <c r="K34" i="47" s="1"/>
  <c r="J187" i="32"/>
  <c r="J247" i="32" s="1"/>
  <c r="K34" i="32" s="1"/>
  <c r="J140" i="47"/>
  <c r="J111" i="47"/>
  <c r="J147" i="47"/>
  <c r="J118" i="47"/>
  <c r="J129" i="37"/>
  <c r="J171" i="37" s="1"/>
  <c r="K21" i="37" s="1"/>
  <c r="J133" i="37"/>
  <c r="J175" i="37" s="1"/>
  <c r="K25" i="37" s="1"/>
  <c r="J53" i="47"/>
  <c r="J57" i="47"/>
  <c r="J146" i="47"/>
  <c r="J117" i="47"/>
  <c r="J149" i="47"/>
  <c r="J131" i="37"/>
  <c r="J173" i="37" s="1"/>
  <c r="K23" i="37" s="1"/>
  <c r="J42" i="33"/>
  <c r="J39" i="33"/>
  <c r="J46" i="33"/>
  <c r="J40" i="33"/>
  <c r="J47" i="47"/>
  <c r="J68" i="32"/>
  <c r="J72" i="32" s="1"/>
  <c r="J44" i="33"/>
  <c r="J43" i="33"/>
  <c r="J37" i="33"/>
  <c r="J41" i="33"/>
  <c r="J38" i="33"/>
  <c r="J45" i="33"/>
  <c r="J67" i="33"/>
  <c r="J69" i="33" s="1"/>
  <c r="J34" i="34"/>
  <c r="J99" i="33"/>
  <c r="J106" i="34" s="1"/>
  <c r="J161" i="32"/>
  <c r="J163" i="32" s="1"/>
  <c r="J97" i="33"/>
  <c r="J78" i="34" s="1"/>
  <c r="J98" i="33"/>
  <c r="J92" i="34" s="1"/>
  <c r="J100" i="33"/>
  <c r="J120" i="34" s="1"/>
  <c r="J103" i="33"/>
  <c r="J162" i="34" s="1"/>
  <c r="J96" i="33"/>
  <c r="J64" i="34" s="1"/>
  <c r="J134" i="47"/>
  <c r="J102" i="33"/>
  <c r="J148" i="34" s="1"/>
  <c r="J95" i="33"/>
  <c r="J50" i="34" s="1"/>
  <c r="J101" i="33"/>
  <c r="J134" i="34" s="1"/>
  <c r="J94" i="33"/>
  <c r="J128" i="37"/>
  <c r="J170" i="37" s="1"/>
  <c r="K20" i="37" s="1"/>
  <c r="J59" i="47"/>
  <c r="J136" i="47"/>
  <c r="J107" i="47"/>
  <c r="J143" i="47"/>
  <c r="J134" i="37"/>
  <c r="J176" i="37" s="1"/>
  <c r="K26" i="37" s="1"/>
  <c r="J49" i="47"/>
  <c r="J65" i="47"/>
  <c r="J181" i="47" s="1"/>
  <c r="J239" i="47" s="1"/>
  <c r="K36" i="47" s="1"/>
  <c r="J189" i="32"/>
  <c r="J249" i="32" s="1"/>
  <c r="K36" i="32" s="1"/>
  <c r="J16" i="34"/>
  <c r="K65" i="33"/>
  <c r="K160" i="34" s="1"/>
  <c r="K60" i="33"/>
  <c r="K90" i="34" s="1"/>
  <c r="K63" i="33"/>
  <c r="K132" i="34" s="1"/>
  <c r="K61" i="33"/>
  <c r="K104" i="34" s="1"/>
  <c r="K59" i="33"/>
  <c r="K76" i="34" s="1"/>
  <c r="K57" i="33"/>
  <c r="K48" i="34" s="1"/>
  <c r="K56" i="33"/>
  <c r="K58" i="33"/>
  <c r="K62" i="34" s="1"/>
  <c r="K99" i="32"/>
  <c r="K101" i="32" s="1"/>
  <c r="K64" i="33"/>
  <c r="K146" i="34" s="1"/>
  <c r="K62" i="33"/>
  <c r="K118" i="34" s="1"/>
  <c r="K76" i="47"/>
  <c r="J38" i="43" l="1"/>
  <c r="J110" i="45"/>
  <c r="J36" i="43"/>
  <c r="J108" i="45"/>
  <c r="J35" i="43"/>
  <c r="J106" i="45"/>
  <c r="J37" i="43"/>
  <c r="J109" i="45"/>
  <c r="J183" i="32"/>
  <c r="J243" i="32" s="1"/>
  <c r="K30" i="32" s="1"/>
  <c r="J165" i="32"/>
  <c r="K103" i="32"/>
  <c r="J173" i="32"/>
  <c r="J233" i="32" s="1"/>
  <c r="K20" i="32" s="1"/>
  <c r="J177" i="32"/>
  <c r="J237" i="32" s="1"/>
  <c r="K24" i="32" s="1"/>
  <c r="J178" i="32"/>
  <c r="J238" i="32" s="1"/>
  <c r="K25" i="32" s="1"/>
  <c r="J185" i="32"/>
  <c r="J245" i="32" s="1"/>
  <c r="K32" i="32" s="1"/>
  <c r="J182" i="32"/>
  <c r="J242" i="32" s="1"/>
  <c r="K29" i="32" s="1"/>
  <c r="J181" i="32"/>
  <c r="J241" i="32" s="1"/>
  <c r="K28" i="32" s="1"/>
  <c r="J47" i="34"/>
  <c r="J159" i="34"/>
  <c r="J52" i="37"/>
  <c r="J89" i="34"/>
  <c r="J61" i="34"/>
  <c r="J120" i="47"/>
  <c r="J178" i="47" s="1"/>
  <c r="J236" i="47" s="1"/>
  <c r="K33" i="47" s="1"/>
  <c r="J186" i="32"/>
  <c r="J246" i="32" s="1"/>
  <c r="K33" i="32" s="1"/>
  <c r="J114" i="47"/>
  <c r="J172" i="47" s="1"/>
  <c r="J230" i="47" s="1"/>
  <c r="K27" i="47" s="1"/>
  <c r="J180" i="32"/>
  <c r="J240" i="32" s="1"/>
  <c r="K27" i="32" s="1"/>
  <c r="J33" i="34"/>
  <c r="J48" i="33"/>
  <c r="J50" i="33" s="1"/>
  <c r="J103" i="34"/>
  <c r="J175" i="47"/>
  <c r="J233" i="47" s="1"/>
  <c r="K30" i="47" s="1"/>
  <c r="J79" i="33"/>
  <c r="J91" i="34" s="1"/>
  <c r="J78" i="33"/>
  <c r="J77" i="34" s="1"/>
  <c r="J76" i="33"/>
  <c r="J49" i="34" s="1"/>
  <c r="J83" i="33"/>
  <c r="J147" i="34" s="1"/>
  <c r="J84" i="33"/>
  <c r="J161" i="34" s="1"/>
  <c r="J105" i="47"/>
  <c r="J163" i="47" s="1"/>
  <c r="J221" i="47" s="1"/>
  <c r="K18" i="47" s="1"/>
  <c r="J82" i="33"/>
  <c r="J133" i="34" s="1"/>
  <c r="J75" i="33"/>
  <c r="J80" i="33"/>
  <c r="J105" i="34" s="1"/>
  <c r="J77" i="33"/>
  <c r="J63" i="34" s="1"/>
  <c r="J81" i="33"/>
  <c r="J119" i="34" s="1"/>
  <c r="J130" i="32"/>
  <c r="J132" i="32" s="1"/>
  <c r="J117" i="34"/>
  <c r="J165" i="47"/>
  <c r="J223" i="47" s="1"/>
  <c r="K20" i="47" s="1"/>
  <c r="J36" i="34"/>
  <c r="J105" i="33"/>
  <c r="J107" i="33" s="1"/>
  <c r="J18" i="34"/>
  <c r="J131" i="34"/>
  <c r="J171" i="32"/>
  <c r="J145" i="34"/>
  <c r="J75" i="34"/>
  <c r="J184" i="32"/>
  <c r="J244" i="32" s="1"/>
  <c r="K31" i="32" s="1"/>
  <c r="J170" i="47"/>
  <c r="J228" i="47" s="1"/>
  <c r="K25" i="47" s="1"/>
  <c r="J179" i="32"/>
  <c r="J239" i="32" s="1"/>
  <c r="K26" i="32" s="1"/>
  <c r="K76" i="37"/>
  <c r="K72" i="37"/>
  <c r="K74" i="37" s="1"/>
  <c r="J177" i="47"/>
  <c r="J235" i="47" s="1"/>
  <c r="K32" i="47" s="1"/>
  <c r="J176" i="47"/>
  <c r="J234" i="47" s="1"/>
  <c r="K31" i="47" s="1"/>
  <c r="J54" i="37"/>
  <c r="J174" i="47"/>
  <c r="J232" i="47" s="1"/>
  <c r="K29" i="47" s="1"/>
  <c r="J173" i="47"/>
  <c r="J231" i="47" s="1"/>
  <c r="K28" i="47" s="1"/>
  <c r="J70" i="32"/>
  <c r="J169" i="47"/>
  <c r="J227" i="47" s="1"/>
  <c r="K24" i="47" s="1"/>
  <c r="J171" i="47"/>
  <c r="J229" i="47" s="1"/>
  <c r="K26" i="47" s="1"/>
  <c r="K34" i="34"/>
  <c r="K67" i="33"/>
  <c r="K69" i="33" s="1"/>
  <c r="J40" i="43" l="1"/>
  <c r="J42" i="43" s="1"/>
  <c r="J116" i="33"/>
  <c r="J154" i="33" s="1"/>
  <c r="K21" i="33" s="1"/>
  <c r="K74" i="34" s="1"/>
  <c r="J115" i="33"/>
  <c r="J153" i="33" s="1"/>
  <c r="K20" i="33" s="1"/>
  <c r="K60" i="34" s="1"/>
  <c r="J121" i="33"/>
  <c r="J159" i="33" s="1"/>
  <c r="K26" i="33" s="1"/>
  <c r="K144" i="34" s="1"/>
  <c r="J119" i="33"/>
  <c r="J157" i="33" s="1"/>
  <c r="K24" i="33" s="1"/>
  <c r="K116" i="34" s="1"/>
  <c r="J120" i="33"/>
  <c r="J158" i="33" s="1"/>
  <c r="K25" i="33" s="1"/>
  <c r="K130" i="34" s="1"/>
  <c r="J66" i="34"/>
  <c r="J68" i="34" s="1"/>
  <c r="J192" i="32"/>
  <c r="J194" i="32" s="1"/>
  <c r="J231" i="32"/>
  <c r="J136" i="34"/>
  <c r="J122" i="34"/>
  <c r="J124" i="34" s="1"/>
  <c r="J117" i="33"/>
  <c r="J155" i="33" s="1"/>
  <c r="K22" i="33" s="1"/>
  <c r="K88" i="34" s="1"/>
  <c r="J72" i="37"/>
  <c r="J126" i="37"/>
  <c r="J80" i="34"/>
  <c r="J118" i="33"/>
  <c r="J156" i="33" s="1"/>
  <c r="K23" i="33" s="1"/>
  <c r="K102" i="34" s="1"/>
  <c r="J94" i="34"/>
  <c r="J122" i="33"/>
  <c r="J160" i="33" s="1"/>
  <c r="K27" i="33" s="1"/>
  <c r="K158" i="34" s="1"/>
  <c r="J113" i="33"/>
  <c r="J35" i="34"/>
  <c r="J86" i="33"/>
  <c r="J88" i="33" s="1"/>
  <c r="J108" i="34"/>
  <c r="J164" i="34"/>
  <c r="J134" i="32"/>
  <c r="J114" i="33"/>
  <c r="J152" i="33" s="1"/>
  <c r="K19" i="33" s="1"/>
  <c r="K46" i="34" s="1"/>
  <c r="J20" i="34"/>
  <c r="J17" i="34"/>
  <c r="J52" i="34"/>
  <c r="J150" i="34"/>
  <c r="K18" i="34"/>
  <c r="J152" i="34" l="1"/>
  <c r="J138" i="34"/>
  <c r="J82" i="34"/>
  <c r="J166" i="34"/>
  <c r="J54" i="34"/>
  <c r="J110" i="34"/>
  <c r="J257" i="32"/>
  <c r="J252" i="32"/>
  <c r="K18" i="32"/>
  <c r="K39" i="32" s="1"/>
  <c r="K41" i="32" s="1"/>
  <c r="J168" i="37"/>
  <c r="J138" i="37"/>
  <c r="J140" i="37" s="1"/>
  <c r="J76" i="37"/>
  <c r="J74" i="37"/>
  <c r="J38" i="34"/>
  <c r="J19" i="34"/>
  <c r="J151" i="33"/>
  <c r="J124" i="33"/>
  <c r="J126" i="33" s="1"/>
  <c r="J96" i="34"/>
  <c r="J256" i="32" l="1"/>
  <c r="J254" i="32"/>
  <c r="K18" i="33"/>
  <c r="J162" i="33"/>
  <c r="J164" i="33" s="1"/>
  <c r="J185" i="37"/>
  <c r="J180" i="37"/>
  <c r="K18" i="37"/>
  <c r="K30" i="37" s="1"/>
  <c r="K32" i="37" s="1"/>
  <c r="J40" i="34"/>
  <c r="J22" i="34"/>
  <c r="K29" i="33" l="1"/>
  <c r="K31" i="33" s="1"/>
  <c r="K32" i="34"/>
  <c r="J184" i="37"/>
  <c r="J182" i="37"/>
  <c r="J24" i="34"/>
  <c r="K16" i="34" l="1"/>
  <c r="K263" i="32" l="1"/>
  <c r="M191" i="37"/>
  <c r="L191" i="37"/>
  <c r="K191" i="37"/>
  <c r="M263" i="32" l="1"/>
  <c r="L26" i="50"/>
  <c r="M26" i="50" s="1"/>
  <c r="L263" i="32"/>
  <c r="N191" i="37"/>
  <c r="K38" i="37"/>
  <c r="K47" i="37"/>
  <c r="K45" i="37"/>
  <c r="K41" i="37"/>
  <c r="K44" i="37"/>
  <c r="K46" i="37"/>
  <c r="K40" i="37"/>
  <c r="K39" i="37"/>
  <c r="K42" i="37"/>
  <c r="K48" i="37"/>
  <c r="K43" i="37"/>
  <c r="K51" i="32"/>
  <c r="K53" i="32"/>
  <c r="K59" i="32"/>
  <c r="K48" i="32"/>
  <c r="K61" i="32"/>
  <c r="K52" i="32"/>
  <c r="K62" i="32"/>
  <c r="K63" i="32"/>
  <c r="K57" i="32"/>
  <c r="K55" i="32"/>
  <c r="K47" i="32"/>
  <c r="K64" i="32"/>
  <c r="K65" i="32"/>
  <c r="K54" i="32"/>
  <c r="K66" i="32"/>
  <c r="K58" i="32"/>
  <c r="K50" i="32"/>
  <c r="K60" i="32"/>
  <c r="K49" i="32"/>
  <c r="K56" i="32"/>
  <c r="O191" i="37"/>
  <c r="N27" i="50"/>
  <c r="O263" i="32"/>
  <c r="L144" i="47"/>
  <c r="L136" i="47"/>
  <c r="L146" i="47"/>
  <c r="L145" i="47"/>
  <c r="L142" i="47"/>
  <c r="L148" i="47"/>
  <c r="L149" i="47"/>
  <c r="L141" i="47"/>
  <c r="L147" i="47"/>
  <c r="L143" i="47"/>
  <c r="L140" i="47"/>
  <c r="M149" i="47"/>
  <c r="M145" i="47"/>
  <c r="M136" i="47"/>
  <c r="M146" i="47"/>
  <c r="M142" i="47"/>
  <c r="M144" i="47"/>
  <c r="M147" i="47"/>
  <c r="M148" i="47"/>
  <c r="M141" i="47"/>
  <c r="M140" i="47"/>
  <c r="M143" i="47"/>
  <c r="K140" i="47"/>
  <c r="K144" i="47"/>
  <c r="K143" i="47"/>
  <c r="K141" i="47"/>
  <c r="K147" i="47"/>
  <c r="K146" i="47"/>
  <c r="K136" i="47"/>
  <c r="K142" i="47"/>
  <c r="K149" i="47"/>
  <c r="K145" i="47"/>
  <c r="K148" i="47"/>
  <c r="N263" i="32" l="1"/>
  <c r="L29" i="50"/>
  <c r="L95" i="33"/>
  <c r="L50" i="34" s="1"/>
  <c r="L98" i="33"/>
  <c r="L92" i="34" s="1"/>
  <c r="L100" i="33"/>
  <c r="L120" i="34" s="1"/>
  <c r="L94" i="33"/>
  <c r="L161" i="32"/>
  <c r="L163" i="32" s="1"/>
  <c r="L99" i="33"/>
  <c r="L106" i="34" s="1"/>
  <c r="L102" i="33"/>
  <c r="L148" i="34" s="1"/>
  <c r="L97" i="33"/>
  <c r="L78" i="34" s="1"/>
  <c r="L103" i="33"/>
  <c r="L162" i="34" s="1"/>
  <c r="L101" i="33"/>
  <c r="L134" i="34" s="1"/>
  <c r="L96" i="33"/>
  <c r="L64" i="34" s="1"/>
  <c r="L134" i="47"/>
  <c r="M29" i="50"/>
  <c r="N26" i="50"/>
  <c r="K65" i="47"/>
  <c r="K61" i="47"/>
  <c r="O146" i="47"/>
  <c r="O141" i="47"/>
  <c r="O144" i="47"/>
  <c r="O140" i="47"/>
  <c r="O147" i="47"/>
  <c r="O149" i="47"/>
  <c r="O145" i="47"/>
  <c r="O148" i="47"/>
  <c r="O136" i="47"/>
  <c r="O142" i="47"/>
  <c r="O143" i="47"/>
  <c r="K56" i="47"/>
  <c r="K64" i="47"/>
  <c r="N142" i="47"/>
  <c r="N140" i="47"/>
  <c r="N147" i="47"/>
  <c r="N144" i="47"/>
  <c r="N148" i="47"/>
  <c r="N145" i="47"/>
  <c r="N149" i="47"/>
  <c r="N136" i="47"/>
  <c r="N143" i="47"/>
  <c r="N146" i="47"/>
  <c r="N141" i="47"/>
  <c r="K161" i="32"/>
  <c r="K163" i="32" s="1"/>
  <c r="K99" i="33"/>
  <c r="K106" i="34" s="1"/>
  <c r="K98" i="33"/>
  <c r="K92" i="34" s="1"/>
  <c r="K97" i="33"/>
  <c r="K78" i="34" s="1"/>
  <c r="K102" i="33"/>
  <c r="K148" i="34" s="1"/>
  <c r="K94" i="33"/>
  <c r="K96" i="33"/>
  <c r="K64" i="34" s="1"/>
  <c r="K134" i="47"/>
  <c r="K103" i="33"/>
  <c r="K162" i="34" s="1"/>
  <c r="K101" i="33"/>
  <c r="K134" i="34" s="1"/>
  <c r="K95" i="33"/>
  <c r="K50" i="34" s="1"/>
  <c r="K100" i="33"/>
  <c r="K120" i="34" s="1"/>
  <c r="K49" i="47"/>
  <c r="K47" i="47"/>
  <c r="K38" i="33"/>
  <c r="K43" i="33"/>
  <c r="K41" i="33"/>
  <c r="K40" i="33"/>
  <c r="K46" i="33"/>
  <c r="K45" i="33"/>
  <c r="K68" i="32"/>
  <c r="K70" i="32" s="1"/>
  <c r="K42" i="33"/>
  <c r="K37" i="33"/>
  <c r="K44" i="33"/>
  <c r="K39" i="33"/>
  <c r="K59" i="47"/>
  <c r="K60" i="47"/>
  <c r="K55" i="47"/>
  <c r="K53" i="47"/>
  <c r="K57" i="47"/>
  <c r="L165" i="32"/>
  <c r="K58" i="47"/>
  <c r="K187" i="32"/>
  <c r="K247" i="32" s="1"/>
  <c r="L34" i="32" s="1"/>
  <c r="K63" i="47"/>
  <c r="K179" i="47" s="1"/>
  <c r="K237" i="47" s="1"/>
  <c r="L34" i="47" s="1"/>
  <c r="M101" i="33"/>
  <c r="M134" i="34" s="1"/>
  <c r="M161" i="32"/>
  <c r="M163" i="32" s="1"/>
  <c r="M100" i="33"/>
  <c r="M120" i="34" s="1"/>
  <c r="M96" i="33"/>
  <c r="M64" i="34" s="1"/>
  <c r="M94" i="33"/>
  <c r="M95" i="33"/>
  <c r="M50" i="34" s="1"/>
  <c r="M98" i="33"/>
  <c r="M92" i="34" s="1"/>
  <c r="M99" i="33"/>
  <c r="M106" i="34" s="1"/>
  <c r="M134" i="47"/>
  <c r="M102" i="33"/>
  <c r="M148" i="34" s="1"/>
  <c r="M97" i="33"/>
  <c r="M78" i="34" s="1"/>
  <c r="M103" i="33"/>
  <c r="M162" i="34" s="1"/>
  <c r="K66" i="47"/>
  <c r="K62" i="47"/>
  <c r="K165" i="32"/>
  <c r="K54" i="47"/>
  <c r="K50" i="37"/>
  <c r="L124" i="47"/>
  <c r="L111" i="47"/>
  <c r="L93" i="47"/>
  <c r="L83" i="47"/>
  <c r="L89" i="47"/>
  <c r="L78" i="47"/>
  <c r="L91" i="47"/>
  <c r="L86" i="47"/>
  <c r="L85" i="47"/>
  <c r="L90" i="47"/>
  <c r="L88" i="47"/>
  <c r="L84" i="47"/>
  <c r="L87" i="47"/>
  <c r="L94" i="47"/>
  <c r="L82" i="47"/>
  <c r="L95" i="47"/>
  <c r="L122" i="47"/>
  <c r="L113" i="47"/>
  <c r="K107" i="47"/>
  <c r="L114" i="47"/>
  <c r="L120" i="47"/>
  <c r="K120" i="47"/>
  <c r="L119" i="47"/>
  <c r="L117" i="47"/>
  <c r="L118" i="47"/>
  <c r="L123" i="47"/>
  <c r="K122" i="47"/>
  <c r="K113" i="47"/>
  <c r="K118" i="47"/>
  <c r="K119" i="47"/>
  <c r="K111" i="47"/>
  <c r="K174" i="32"/>
  <c r="K234" i="32" s="1"/>
  <c r="L21" i="32" s="1"/>
  <c r="L50" i="32" s="1"/>
  <c r="L112" i="47"/>
  <c r="K116" i="47"/>
  <c r="K115" i="47"/>
  <c r="K117" i="47"/>
  <c r="K72" i="32"/>
  <c r="L115" i="47"/>
  <c r="L107" i="47"/>
  <c r="L116" i="47"/>
  <c r="K114" i="47"/>
  <c r="K112" i="47"/>
  <c r="K123" i="47"/>
  <c r="K116" i="37" l="1"/>
  <c r="K118" i="37" s="1"/>
  <c r="K133" i="37"/>
  <c r="K175" i="37" s="1"/>
  <c r="L25" i="37" s="1"/>
  <c r="L45" i="37" s="1"/>
  <c r="K134" i="37"/>
  <c r="K176" i="37" s="1"/>
  <c r="L26" i="37" s="1"/>
  <c r="L46" i="37" s="1"/>
  <c r="K127" i="37"/>
  <c r="K169" i="37" s="1"/>
  <c r="L19" i="37" s="1"/>
  <c r="L39" i="37" s="1"/>
  <c r="T112" i="51"/>
  <c r="K130" i="37"/>
  <c r="K172" i="37" s="1"/>
  <c r="L22" i="37" s="1"/>
  <c r="L42" i="37" s="1"/>
  <c r="K135" i="37"/>
  <c r="K177" i="37" s="1"/>
  <c r="L27" i="37" s="1"/>
  <c r="L47" i="37" s="1"/>
  <c r="S112" i="51"/>
  <c r="K131" i="37"/>
  <c r="K173" i="37" s="1"/>
  <c r="L23" i="37" s="1"/>
  <c r="L43" i="37" s="1"/>
  <c r="K128" i="37"/>
  <c r="K170" i="37" s="1"/>
  <c r="L20" i="37" s="1"/>
  <c r="L40" i="37" s="1"/>
  <c r="K129" i="37"/>
  <c r="K171" i="37" s="1"/>
  <c r="L21" i="37" s="1"/>
  <c r="L41" i="37" s="1"/>
  <c r="M116" i="37"/>
  <c r="M118" i="37" s="1"/>
  <c r="L116" i="37"/>
  <c r="L118" i="37" s="1"/>
  <c r="K132" i="37"/>
  <c r="K174" i="37" s="1"/>
  <c r="L24" i="37" s="1"/>
  <c r="L44" i="37" s="1"/>
  <c r="L174" i="32"/>
  <c r="L234" i="32" s="1"/>
  <c r="M21" i="32" s="1"/>
  <c r="M50" i="32" s="1"/>
  <c r="L37" i="43"/>
  <c r="K184" i="32"/>
  <c r="K244" i="32" s="1"/>
  <c r="L31" i="32" s="1"/>
  <c r="K61" i="34"/>
  <c r="K89" i="34"/>
  <c r="K188" i="32"/>
  <c r="K248" i="32" s="1"/>
  <c r="L35" i="32" s="1"/>
  <c r="K38" i="43"/>
  <c r="K37" i="43"/>
  <c r="L99" i="32"/>
  <c r="L101" i="32" s="1"/>
  <c r="L58" i="33"/>
  <c r="L62" i="34" s="1"/>
  <c r="L76" i="47"/>
  <c r="L56" i="33"/>
  <c r="L57" i="33"/>
  <c r="L48" i="34" s="1"/>
  <c r="L65" i="33"/>
  <c r="L160" i="34" s="1"/>
  <c r="L61" i="33"/>
  <c r="L104" i="34" s="1"/>
  <c r="L60" i="33"/>
  <c r="L90" i="34" s="1"/>
  <c r="L59" i="33"/>
  <c r="L76" i="34" s="1"/>
  <c r="L62" i="33"/>
  <c r="L118" i="34" s="1"/>
  <c r="L63" i="33"/>
  <c r="L132" i="34" s="1"/>
  <c r="L64" i="33"/>
  <c r="L146" i="34" s="1"/>
  <c r="K176" i="47"/>
  <c r="K234" i="47" s="1"/>
  <c r="L31" i="47" s="1"/>
  <c r="K131" i="34"/>
  <c r="K117" i="34"/>
  <c r="K172" i="47"/>
  <c r="K230" i="47" s="1"/>
  <c r="L27" i="47" s="1"/>
  <c r="L63" i="32"/>
  <c r="L63" i="47" s="1"/>
  <c r="L179" i="47" s="1"/>
  <c r="L237" i="47" s="1"/>
  <c r="M34" i="47" s="1"/>
  <c r="K175" i="32"/>
  <c r="K235" i="32" s="1"/>
  <c r="L22" i="32" s="1"/>
  <c r="K48" i="33"/>
  <c r="K50" i="33" s="1"/>
  <c r="K33" i="34"/>
  <c r="K47" i="34"/>
  <c r="K36" i="34"/>
  <c r="K105" i="33"/>
  <c r="K107" i="33" s="1"/>
  <c r="K180" i="32"/>
  <c r="K240" i="32" s="1"/>
  <c r="L27" i="32" s="1"/>
  <c r="L36" i="34"/>
  <c r="L105" i="33"/>
  <c r="L107" i="33" s="1"/>
  <c r="K35" i="43"/>
  <c r="K176" i="32"/>
  <c r="K236" i="32" s="1"/>
  <c r="L23" i="32" s="1"/>
  <c r="L52" i="32" s="1"/>
  <c r="K186" i="32"/>
  <c r="K246" i="32" s="1"/>
  <c r="L33" i="32" s="1"/>
  <c r="K182" i="32"/>
  <c r="K242" i="32" s="1"/>
  <c r="L29" i="32" s="1"/>
  <c r="K181" i="32"/>
  <c r="K241" i="32" s="1"/>
  <c r="L28" i="32" s="1"/>
  <c r="K103" i="34"/>
  <c r="K185" i="32"/>
  <c r="K245" i="32" s="1"/>
  <c r="L32" i="32" s="1"/>
  <c r="L35" i="43"/>
  <c r="K178" i="32"/>
  <c r="K238" i="32" s="1"/>
  <c r="L25" i="32" s="1"/>
  <c r="K178" i="47"/>
  <c r="K236" i="47" s="1"/>
  <c r="L33" i="47" s="1"/>
  <c r="K174" i="47"/>
  <c r="K232" i="47" s="1"/>
  <c r="L29" i="47" s="1"/>
  <c r="K173" i="47"/>
  <c r="K231" i="47" s="1"/>
  <c r="L28" i="47" s="1"/>
  <c r="K169" i="47"/>
  <c r="K227" i="47" s="1"/>
  <c r="L24" i="47" s="1"/>
  <c r="K173" i="32"/>
  <c r="K233" i="32" s="1"/>
  <c r="L20" i="32" s="1"/>
  <c r="N100" i="33"/>
  <c r="N120" i="34" s="1"/>
  <c r="N103" i="33"/>
  <c r="N162" i="34" s="1"/>
  <c r="K92" i="51" s="1"/>
  <c r="N94" i="33"/>
  <c r="N161" i="32"/>
  <c r="N163" i="32" s="1"/>
  <c r="N99" i="33"/>
  <c r="N106" i="34" s="1"/>
  <c r="K65" i="51" s="1"/>
  <c r="N95" i="33"/>
  <c r="N50" i="34" s="1"/>
  <c r="K37" i="51" s="1"/>
  <c r="N134" i="47"/>
  <c r="N96" i="33"/>
  <c r="N64" i="34" s="1"/>
  <c r="K44" i="51" s="1"/>
  <c r="N98" i="33"/>
  <c r="N92" i="34" s="1"/>
  <c r="K58" i="51" s="1"/>
  <c r="N97" i="33"/>
  <c r="N78" i="34" s="1"/>
  <c r="K51" i="51" s="1"/>
  <c r="N101" i="33"/>
  <c r="N134" i="34" s="1"/>
  <c r="K78" i="51" s="1"/>
  <c r="N102" i="33"/>
  <c r="N148" i="34" s="1"/>
  <c r="K85" i="51" s="1"/>
  <c r="K177" i="47"/>
  <c r="K235" i="47" s="1"/>
  <c r="L32" i="47" s="1"/>
  <c r="L36" i="43"/>
  <c r="K170" i="47"/>
  <c r="K228" i="47" s="1"/>
  <c r="L25" i="47" s="1"/>
  <c r="K177" i="32"/>
  <c r="K237" i="32" s="1"/>
  <c r="L24" i="32" s="1"/>
  <c r="K175" i="47"/>
  <c r="K233" i="47" s="1"/>
  <c r="L30" i="47" s="1"/>
  <c r="K145" i="34"/>
  <c r="K165" i="47"/>
  <c r="K223" i="47" s="1"/>
  <c r="L20" i="47" s="1"/>
  <c r="M165" i="32"/>
  <c r="K189" i="32"/>
  <c r="K249" i="32" s="1"/>
  <c r="L36" i="32" s="1"/>
  <c r="M105" i="33"/>
  <c r="M107" i="33" s="1"/>
  <c r="M36" i="34"/>
  <c r="K171" i="47"/>
  <c r="K229" i="47" s="1"/>
  <c r="L26" i="47" s="1"/>
  <c r="K183" i="32"/>
  <c r="K243" i="32" s="1"/>
  <c r="L30" i="32" s="1"/>
  <c r="K159" i="34"/>
  <c r="K172" i="32"/>
  <c r="K232" i="32" s="1"/>
  <c r="L19" i="32" s="1"/>
  <c r="L48" i="32" s="1"/>
  <c r="K181" i="47"/>
  <c r="K239" i="47" s="1"/>
  <c r="L36" i="47" s="1"/>
  <c r="K36" i="43"/>
  <c r="L38" i="43"/>
  <c r="K52" i="37"/>
  <c r="K54" i="37"/>
  <c r="K179" i="32"/>
  <c r="K239" i="32" s="1"/>
  <c r="L26" i="32" s="1"/>
  <c r="K75" i="34"/>
  <c r="K180" i="47"/>
  <c r="K238" i="47" s="1"/>
  <c r="L35" i="47" s="1"/>
  <c r="O94" i="33"/>
  <c r="O99" i="33"/>
  <c r="O106" i="34" s="1"/>
  <c r="L65" i="51" s="1"/>
  <c r="O97" i="33"/>
  <c r="O78" i="34" s="1"/>
  <c r="L51" i="51" s="1"/>
  <c r="O100" i="33"/>
  <c r="O120" i="34" s="1"/>
  <c r="O101" i="33"/>
  <c r="O134" i="34" s="1"/>
  <c r="L78" i="51" s="1"/>
  <c r="O134" i="47"/>
  <c r="O161" i="32"/>
  <c r="O163" i="32" s="1"/>
  <c r="O98" i="33"/>
  <c r="O92" i="34" s="1"/>
  <c r="L58" i="51" s="1"/>
  <c r="O103" i="33"/>
  <c r="O162" i="34" s="1"/>
  <c r="L92" i="51" s="1"/>
  <c r="O96" i="33"/>
  <c r="O64" i="34" s="1"/>
  <c r="L44" i="51" s="1"/>
  <c r="O102" i="33"/>
  <c r="O148" i="34" s="1"/>
  <c r="L85" i="51" s="1"/>
  <c r="O95" i="33"/>
  <c r="O50" i="34" s="1"/>
  <c r="L37" i="51" s="1"/>
  <c r="O26" i="50"/>
  <c r="N29" i="50"/>
  <c r="M114" i="47"/>
  <c r="M107" i="47"/>
  <c r="M120" i="47"/>
  <c r="M122" i="47"/>
  <c r="M113" i="47"/>
  <c r="M111" i="47"/>
  <c r="M84" i="47"/>
  <c r="M82" i="47"/>
  <c r="M88" i="47"/>
  <c r="M95" i="47"/>
  <c r="M86" i="47"/>
  <c r="M90" i="47"/>
  <c r="M87" i="47"/>
  <c r="M93" i="47"/>
  <c r="M94" i="47"/>
  <c r="M89" i="47"/>
  <c r="M83" i="47"/>
  <c r="M91" i="47"/>
  <c r="M78" i="47"/>
  <c r="M85" i="47"/>
  <c r="M112" i="47"/>
  <c r="M124" i="47"/>
  <c r="M115" i="47"/>
  <c r="M116" i="47"/>
  <c r="M119" i="47"/>
  <c r="M123" i="47"/>
  <c r="L103" i="32"/>
  <c r="M117" i="47"/>
  <c r="M118" i="47"/>
  <c r="M120" i="37" l="1"/>
  <c r="K120" i="37"/>
  <c r="L131" i="37"/>
  <c r="L173" i="37" s="1"/>
  <c r="M23" i="37" s="1"/>
  <c r="M43" i="37" s="1"/>
  <c r="L130" i="37"/>
  <c r="L172" i="37" s="1"/>
  <c r="M22" i="37" s="1"/>
  <c r="M42" i="37" s="1"/>
  <c r="O116" i="37"/>
  <c r="O118" i="37" s="1"/>
  <c r="O120" i="37"/>
  <c r="L127" i="37"/>
  <c r="L169" i="37" s="1"/>
  <c r="M19" i="37" s="1"/>
  <c r="M39" i="37" s="1"/>
  <c r="L128" i="37"/>
  <c r="L170" i="37" s="1"/>
  <c r="M20" i="37" s="1"/>
  <c r="M40" i="37" s="1"/>
  <c r="L120" i="37"/>
  <c r="N116" i="37"/>
  <c r="L134" i="37"/>
  <c r="L176" i="37" s="1"/>
  <c r="M26" i="37" s="1"/>
  <c r="M46" i="37" s="1"/>
  <c r="K136" i="37"/>
  <c r="K178" i="37" s="1"/>
  <c r="L28" i="37" s="1"/>
  <c r="L48" i="37" s="1"/>
  <c r="L135" i="37"/>
  <c r="L177" i="37" s="1"/>
  <c r="M27" i="37" s="1"/>
  <c r="M47" i="37" s="1"/>
  <c r="L132" i="37"/>
  <c r="L174" i="37" s="1"/>
  <c r="M24" i="37" s="1"/>
  <c r="M44" i="37" s="1"/>
  <c r="M36" i="43"/>
  <c r="K124" i="47"/>
  <c r="K182" i="47" s="1"/>
  <c r="K240" i="47" s="1"/>
  <c r="L37" i="47" s="1"/>
  <c r="K190" i="32"/>
  <c r="K250" i="32" s="1"/>
  <c r="L37" i="32" s="1"/>
  <c r="K78" i="33"/>
  <c r="K79" i="33"/>
  <c r="K84" i="33"/>
  <c r="K81" i="33"/>
  <c r="K83" i="33"/>
  <c r="K77" i="33"/>
  <c r="K80" i="33"/>
  <c r="K76" i="33"/>
  <c r="K75" i="33"/>
  <c r="K130" i="32"/>
  <c r="K82" i="33"/>
  <c r="K105" i="47"/>
  <c r="K171" i="32"/>
  <c r="M20" i="34"/>
  <c r="L56" i="32"/>
  <c r="L56" i="47" s="1"/>
  <c r="L172" i="47" s="1"/>
  <c r="L230" i="47" s="1"/>
  <c r="M27" i="47" s="1"/>
  <c r="L67" i="33"/>
  <c r="L69" i="33" s="1"/>
  <c r="L34" i="34"/>
  <c r="O105" i="33"/>
  <c r="O107" i="33" s="1"/>
  <c r="O36" i="34"/>
  <c r="L172" i="32"/>
  <c r="L232" i="32" s="1"/>
  <c r="M19" i="32" s="1"/>
  <c r="M48" i="32" s="1"/>
  <c r="L49" i="32"/>
  <c r="L49" i="47" s="1"/>
  <c r="L165" i="47" s="1"/>
  <c r="L223" i="47" s="1"/>
  <c r="M20" i="47" s="1"/>
  <c r="L40" i="43"/>
  <c r="L51" i="32"/>
  <c r="L64" i="32"/>
  <c r="L64" i="47" s="1"/>
  <c r="L180" i="47" s="1"/>
  <c r="L238" i="47" s="1"/>
  <c r="M35" i="47" s="1"/>
  <c r="M37" i="43"/>
  <c r="O165" i="32"/>
  <c r="L61" i="32"/>
  <c r="L61" i="47" s="1"/>
  <c r="L177" i="47" s="1"/>
  <c r="L235" i="47" s="1"/>
  <c r="M32" i="47" s="1"/>
  <c r="L57" i="32"/>
  <c r="L57" i="47" s="1"/>
  <c r="L173" i="47" s="1"/>
  <c r="L231" i="47" s="1"/>
  <c r="M28" i="47" s="1"/>
  <c r="K40" i="43"/>
  <c r="L187" i="32"/>
  <c r="L247" i="32" s="1"/>
  <c r="M34" i="32" s="1"/>
  <c r="N165" i="32"/>
  <c r="L60" i="32"/>
  <c r="L60" i="47" s="1"/>
  <c r="L176" i="47" s="1"/>
  <c r="L234" i="47" s="1"/>
  <c r="M31" i="47" s="1"/>
  <c r="M35" i="43"/>
  <c r="L58" i="32"/>
  <c r="L58" i="47" s="1"/>
  <c r="L174" i="47" s="1"/>
  <c r="L232" i="47" s="1"/>
  <c r="M29" i="47" s="1"/>
  <c r="K20" i="34"/>
  <c r="L20" i="34"/>
  <c r="O29" i="50"/>
  <c r="P26" i="50"/>
  <c r="L65" i="32"/>
  <c r="L65" i="47" s="1"/>
  <c r="L181" i="47" s="1"/>
  <c r="L239" i="47" s="1"/>
  <c r="M36" i="47" s="1"/>
  <c r="L62" i="32"/>
  <c r="L62" i="47" s="1"/>
  <c r="L178" i="47" s="1"/>
  <c r="L236" i="47" s="1"/>
  <c r="M33" i="47" s="1"/>
  <c r="M38" i="43"/>
  <c r="M60" i="33"/>
  <c r="M90" i="34" s="1"/>
  <c r="M65" i="33"/>
  <c r="M160" i="34" s="1"/>
  <c r="M63" i="33"/>
  <c r="M132" i="34" s="1"/>
  <c r="M57" i="33"/>
  <c r="M48" i="34" s="1"/>
  <c r="M62" i="33"/>
  <c r="M118" i="34" s="1"/>
  <c r="M76" i="47"/>
  <c r="M58" i="33"/>
  <c r="M62" i="34" s="1"/>
  <c r="M61" i="33"/>
  <c r="M104" i="34" s="1"/>
  <c r="M99" i="32"/>
  <c r="M101" i="32" s="1"/>
  <c r="M56" i="33"/>
  <c r="M64" i="33"/>
  <c r="M146" i="34" s="1"/>
  <c r="M59" i="33"/>
  <c r="M76" i="34" s="1"/>
  <c r="L55" i="32"/>
  <c r="L55" i="47" s="1"/>
  <c r="L171" i="47" s="1"/>
  <c r="L229" i="47" s="1"/>
  <c r="M26" i="47" s="1"/>
  <c r="L59" i="32"/>
  <c r="L59" i="47" s="1"/>
  <c r="L175" i="47" s="1"/>
  <c r="L233" i="47" s="1"/>
  <c r="M30" i="47" s="1"/>
  <c r="L53" i="32"/>
  <c r="L53" i="47" s="1"/>
  <c r="L169" i="47" s="1"/>
  <c r="L227" i="47" s="1"/>
  <c r="M24" i="47" s="1"/>
  <c r="N105" i="33"/>
  <c r="N107" i="33" s="1"/>
  <c r="N36" i="34"/>
  <c r="L54" i="32"/>
  <c r="L54" i="47" s="1"/>
  <c r="L170" i="47" s="1"/>
  <c r="L228" i="47" s="1"/>
  <c r="M25" i="47" s="1"/>
  <c r="L176" i="32"/>
  <c r="L236" i="32" s="1"/>
  <c r="M23" i="32" s="1"/>
  <c r="K17" i="34"/>
  <c r="M174" i="32"/>
  <c r="M234" i="32" s="1"/>
  <c r="N21" i="32" s="1"/>
  <c r="N50" i="32" s="1"/>
  <c r="N94" i="47"/>
  <c r="N86" i="47"/>
  <c r="N83" i="47"/>
  <c r="N89" i="47"/>
  <c r="N85" i="47"/>
  <c r="N82" i="47"/>
  <c r="N90" i="47"/>
  <c r="N93" i="47"/>
  <c r="N78" i="47"/>
  <c r="N84" i="47"/>
  <c r="N91" i="47"/>
  <c r="N87" i="47"/>
  <c r="N88" i="47"/>
  <c r="N95" i="47"/>
  <c r="N124" i="47"/>
  <c r="L175" i="32" l="1"/>
  <c r="L235" i="32" s="1"/>
  <c r="M22" i="32" s="1"/>
  <c r="M103" i="32"/>
  <c r="L185" i="32"/>
  <c r="L245" i="32" s="1"/>
  <c r="M32" i="32" s="1"/>
  <c r="L173" i="32"/>
  <c r="L233" i="32" s="1"/>
  <c r="M20" i="32" s="1"/>
  <c r="M49" i="32" s="1"/>
  <c r="M49" i="47" s="1"/>
  <c r="M165" i="47" s="1"/>
  <c r="M223" i="47" s="1"/>
  <c r="N20" i="47" s="1"/>
  <c r="L129" i="37"/>
  <c r="L171" i="37" s="1"/>
  <c r="M21" i="37" s="1"/>
  <c r="M41" i="37" s="1"/>
  <c r="L189" i="32"/>
  <c r="L249" i="32" s="1"/>
  <c r="M36" i="32" s="1"/>
  <c r="L183" i="32"/>
  <c r="L243" i="32" s="1"/>
  <c r="M30" i="32" s="1"/>
  <c r="L181" i="32"/>
  <c r="L241" i="32" s="1"/>
  <c r="M28" i="32" s="1"/>
  <c r="M57" i="32" s="1"/>
  <c r="M57" i="47" s="1"/>
  <c r="M173" i="47" s="1"/>
  <c r="M231" i="47" s="1"/>
  <c r="N28" i="47" s="1"/>
  <c r="K94" i="37"/>
  <c r="K126" i="37"/>
  <c r="N118" i="37"/>
  <c r="A118" i="37" s="1"/>
  <c r="N120" i="37"/>
  <c r="A120" i="37" s="1"/>
  <c r="L94" i="37"/>
  <c r="L96" i="37" s="1"/>
  <c r="L184" i="32"/>
  <c r="L244" i="32" s="1"/>
  <c r="M31" i="32" s="1"/>
  <c r="L180" i="32"/>
  <c r="L240" i="32" s="1"/>
  <c r="M27" i="32" s="1"/>
  <c r="M56" i="32" s="1"/>
  <c r="M56" i="47" s="1"/>
  <c r="M172" i="47" s="1"/>
  <c r="M230" i="47" s="1"/>
  <c r="N27" i="47" s="1"/>
  <c r="M131" i="37"/>
  <c r="M173" i="37" s="1"/>
  <c r="L133" i="37"/>
  <c r="L175" i="37" s="1"/>
  <c r="M25" i="37" s="1"/>
  <c r="M45" i="37" s="1"/>
  <c r="M135" i="37"/>
  <c r="M177" i="37" s="1"/>
  <c r="L177" i="32"/>
  <c r="L237" i="32" s="1"/>
  <c r="M24" i="32" s="1"/>
  <c r="M53" i="32" s="1"/>
  <c r="M53" i="47" s="1"/>
  <c r="M169" i="47" s="1"/>
  <c r="M227" i="47" s="1"/>
  <c r="N24" i="47" s="1"/>
  <c r="L188" i="32"/>
  <c r="L248" i="32" s="1"/>
  <c r="M35" i="32" s="1"/>
  <c r="M64" i="32" s="1"/>
  <c r="M64" i="47" s="1"/>
  <c r="M180" i="47" s="1"/>
  <c r="M238" i="47" s="1"/>
  <c r="N35" i="47" s="1"/>
  <c r="M128" i="37"/>
  <c r="M170" i="37" s="1"/>
  <c r="L136" i="37"/>
  <c r="L178" i="37" s="1"/>
  <c r="M28" i="37" s="1"/>
  <c r="M48" i="37" s="1"/>
  <c r="M127" i="37"/>
  <c r="M169" i="37" s="1"/>
  <c r="M51" i="32"/>
  <c r="M52" i="32"/>
  <c r="K86" i="33"/>
  <c r="K88" i="33" s="1"/>
  <c r="K35" i="34"/>
  <c r="K113" i="33"/>
  <c r="K77" i="34"/>
  <c r="K116" i="33"/>
  <c r="K154" i="33" s="1"/>
  <c r="L21" i="33" s="1"/>
  <c r="N62" i="33"/>
  <c r="N118" i="34" s="1"/>
  <c r="K70" i="51" s="1"/>
  <c r="N99" i="32"/>
  <c r="N101" i="32" s="1"/>
  <c r="N56" i="33"/>
  <c r="N76" i="47"/>
  <c r="N65" i="33"/>
  <c r="N160" i="34" s="1"/>
  <c r="K90" i="51" s="1"/>
  <c r="N59" i="33"/>
  <c r="N76" i="34" s="1"/>
  <c r="K49" i="51" s="1"/>
  <c r="N57" i="33"/>
  <c r="N48" i="34" s="1"/>
  <c r="K35" i="51" s="1"/>
  <c r="N58" i="33"/>
  <c r="N62" i="34" s="1"/>
  <c r="K42" i="51" s="1"/>
  <c r="N63" i="33"/>
  <c r="N132" i="34" s="1"/>
  <c r="K76" i="51" s="1"/>
  <c r="N61" i="33"/>
  <c r="N104" i="34" s="1"/>
  <c r="K63" i="51" s="1"/>
  <c r="N64" i="33"/>
  <c r="N146" i="34" s="1"/>
  <c r="K83" i="51" s="1"/>
  <c r="N60" i="33"/>
  <c r="N90" i="34" s="1"/>
  <c r="K56" i="51" s="1"/>
  <c r="L178" i="32"/>
  <c r="L238" i="32" s="1"/>
  <c r="M25" i="32" s="1"/>
  <c r="L179" i="32"/>
  <c r="L239" i="32" s="1"/>
  <c r="M26" i="32" s="1"/>
  <c r="L186" i="32"/>
  <c r="L246" i="32" s="1"/>
  <c r="M33" i="32" s="1"/>
  <c r="L182" i="32"/>
  <c r="L242" i="32" s="1"/>
  <c r="M29" i="32" s="1"/>
  <c r="K49" i="34"/>
  <c r="K114" i="33"/>
  <c r="K152" i="33" s="1"/>
  <c r="L19" i="33" s="1"/>
  <c r="M40" i="43"/>
  <c r="N16" i="43" s="1"/>
  <c r="M61" i="32"/>
  <c r="M61" i="47" s="1"/>
  <c r="M177" i="47" s="1"/>
  <c r="M235" i="47" s="1"/>
  <c r="N32" i="47" s="1"/>
  <c r="M172" i="32"/>
  <c r="M232" i="32" s="1"/>
  <c r="N19" i="32" s="1"/>
  <c r="N48" i="32" s="1"/>
  <c r="K105" i="34"/>
  <c r="K118" i="33"/>
  <c r="K156" i="33" s="1"/>
  <c r="L23" i="33" s="1"/>
  <c r="N20" i="34"/>
  <c r="K17" i="51" s="1"/>
  <c r="K30" i="51"/>
  <c r="M65" i="32"/>
  <c r="M65" i="47" s="1"/>
  <c r="M181" i="47" s="1"/>
  <c r="M239" i="47" s="1"/>
  <c r="N36" i="47" s="1"/>
  <c r="M60" i="32"/>
  <c r="M60" i="47" s="1"/>
  <c r="M176" i="47" s="1"/>
  <c r="M234" i="47" s="1"/>
  <c r="N31" i="47" s="1"/>
  <c r="L30" i="51"/>
  <c r="O20" i="34"/>
  <c r="L17" i="51" s="1"/>
  <c r="K63" i="34"/>
  <c r="K115" i="33"/>
  <c r="K153" i="33" s="1"/>
  <c r="L20" i="33" s="1"/>
  <c r="K192" i="32"/>
  <c r="K194" i="32" s="1"/>
  <c r="K231" i="32"/>
  <c r="K147" i="34"/>
  <c r="K121" i="33"/>
  <c r="K159" i="33" s="1"/>
  <c r="L26" i="33" s="1"/>
  <c r="L66" i="32"/>
  <c r="L66" i="47" s="1"/>
  <c r="L182" i="47" s="1"/>
  <c r="L240" i="47" s="1"/>
  <c r="M37" i="47" s="1"/>
  <c r="M67" i="33"/>
  <c r="M69" i="33" s="1"/>
  <c r="M34" i="34"/>
  <c r="L42" i="43"/>
  <c r="L16" i="43"/>
  <c r="K163" i="47"/>
  <c r="K119" i="34"/>
  <c r="K119" i="33"/>
  <c r="K157" i="33" s="1"/>
  <c r="L24" i="33" s="1"/>
  <c r="L76" i="33"/>
  <c r="L49" i="34" s="1"/>
  <c r="L80" i="33"/>
  <c r="L105" i="34" s="1"/>
  <c r="L81" i="33"/>
  <c r="L119" i="34" s="1"/>
  <c r="L77" i="33"/>
  <c r="L63" i="34" s="1"/>
  <c r="L82" i="33"/>
  <c r="L133" i="34" s="1"/>
  <c r="L84" i="33"/>
  <c r="L161" i="34" s="1"/>
  <c r="L130" i="32"/>
  <c r="L83" i="33"/>
  <c r="L147" i="34" s="1"/>
  <c r="L78" i="33"/>
  <c r="L77" i="34" s="1"/>
  <c r="L79" i="33"/>
  <c r="L91" i="34" s="1"/>
  <c r="L75" i="33"/>
  <c r="L105" i="47"/>
  <c r="M63" i="32"/>
  <c r="M63" i="47" s="1"/>
  <c r="M179" i="47" s="1"/>
  <c r="M237" i="47" s="1"/>
  <c r="N34" i="47" s="1"/>
  <c r="L18" i="34"/>
  <c r="K133" i="34"/>
  <c r="K120" i="33"/>
  <c r="K158" i="33" s="1"/>
  <c r="L25" i="33" s="1"/>
  <c r="K161" i="34"/>
  <c r="K122" i="33"/>
  <c r="K160" i="33" s="1"/>
  <c r="L27" i="33" s="1"/>
  <c r="M59" i="32"/>
  <c r="M59" i="47" s="1"/>
  <c r="M175" i="47" s="1"/>
  <c r="M233" i="47" s="1"/>
  <c r="N30" i="47" s="1"/>
  <c r="K42" i="43"/>
  <c r="K16" i="43"/>
  <c r="K132" i="32"/>
  <c r="K134" i="32"/>
  <c r="K91" i="34"/>
  <c r="K117" i="33"/>
  <c r="K155" i="33" s="1"/>
  <c r="L22" i="33" s="1"/>
  <c r="O124" i="47"/>
  <c r="O86" i="47"/>
  <c r="O90" i="47"/>
  <c r="O84" i="47"/>
  <c r="O91" i="47"/>
  <c r="O87" i="47"/>
  <c r="O95" i="47"/>
  <c r="O89" i="47"/>
  <c r="O85" i="47"/>
  <c r="O82" i="47"/>
  <c r="O78" i="47"/>
  <c r="O94" i="47"/>
  <c r="O83" i="47"/>
  <c r="O88" i="47"/>
  <c r="O93" i="47"/>
  <c r="N48" i="45" l="1"/>
  <c r="K195" i="45"/>
  <c r="K139" i="45"/>
  <c r="K81" i="45"/>
  <c r="K108" i="45"/>
  <c r="K77" i="45"/>
  <c r="K193" i="45"/>
  <c r="K138" i="45"/>
  <c r="K138" i="47" s="1"/>
  <c r="K106" i="45"/>
  <c r="K80" i="45"/>
  <c r="K197" i="45"/>
  <c r="K137" i="45"/>
  <c r="K79" i="45"/>
  <c r="K110" i="45"/>
  <c r="K196" i="45"/>
  <c r="K196" i="47" s="1"/>
  <c r="K109" i="45"/>
  <c r="K109" i="47" s="1"/>
  <c r="K135" i="45"/>
  <c r="K52" i="45"/>
  <c r="K51" i="45"/>
  <c r="K48" i="45"/>
  <c r="K50" i="45"/>
  <c r="K50" i="47" s="1"/>
  <c r="N197" i="45"/>
  <c r="N197" i="47" s="1"/>
  <c r="N137" i="45"/>
  <c r="N137" i="47" s="1"/>
  <c r="N79" i="45"/>
  <c r="N79" i="47" s="1"/>
  <c r="N196" i="45"/>
  <c r="N135" i="45"/>
  <c r="N195" i="45"/>
  <c r="N195" i="47" s="1"/>
  <c r="N139" i="45"/>
  <c r="N139" i="47" s="1"/>
  <c r="N81" i="45"/>
  <c r="N81" i="47" s="1"/>
  <c r="N193" i="45"/>
  <c r="N138" i="45"/>
  <c r="N138" i="47" s="1"/>
  <c r="N80" i="45"/>
  <c r="N80" i="47" s="1"/>
  <c r="N77" i="45"/>
  <c r="O16" i="43"/>
  <c r="M176" i="32"/>
  <c r="M236" i="32" s="1"/>
  <c r="N23" i="32" s="1"/>
  <c r="N52" i="32" s="1"/>
  <c r="N52" i="45" s="1"/>
  <c r="N52" i="47" s="1"/>
  <c r="M175" i="32"/>
  <c r="M235" i="32" s="1"/>
  <c r="N22" i="32" s="1"/>
  <c r="N51" i="32" s="1"/>
  <c r="N51" i="45" s="1"/>
  <c r="N50" i="45"/>
  <c r="L108" i="45"/>
  <c r="L77" i="45"/>
  <c r="L193" i="45"/>
  <c r="L138" i="45"/>
  <c r="L106" i="45"/>
  <c r="L80" i="45"/>
  <c r="L80" i="47" s="1"/>
  <c r="L197" i="45"/>
  <c r="L197" i="47" s="1"/>
  <c r="L137" i="45"/>
  <c r="L79" i="45"/>
  <c r="L110" i="45"/>
  <c r="L196" i="45"/>
  <c r="L135" i="45"/>
  <c r="L195" i="45"/>
  <c r="L139" i="45"/>
  <c r="L139" i="47" s="1"/>
  <c r="L81" i="45"/>
  <c r="L81" i="47" s="1"/>
  <c r="L109" i="45"/>
  <c r="L50" i="45"/>
  <c r="L52" i="45"/>
  <c r="L48" i="45"/>
  <c r="L51" i="45"/>
  <c r="N103" i="32"/>
  <c r="M136" i="37"/>
  <c r="M178" i="37" s="1"/>
  <c r="N28" i="37" s="1"/>
  <c r="N48" i="37" s="1"/>
  <c r="M132" i="37"/>
  <c r="M174" i="37" s="1"/>
  <c r="N24" i="37" s="1"/>
  <c r="N44" i="37" s="1"/>
  <c r="M184" i="32"/>
  <c r="M244" i="32" s="1"/>
  <c r="N31" i="32" s="1"/>
  <c r="N60" i="32" s="1"/>
  <c r="N60" i="47" s="1"/>
  <c r="M185" i="32"/>
  <c r="M245" i="32" s="1"/>
  <c r="N32" i="32" s="1"/>
  <c r="N61" i="32" s="1"/>
  <c r="N61" i="47" s="1"/>
  <c r="M180" i="32"/>
  <c r="M240" i="32" s="1"/>
  <c r="N27" i="32" s="1"/>
  <c r="N56" i="32" s="1"/>
  <c r="N56" i="47" s="1"/>
  <c r="M130" i="37"/>
  <c r="M172" i="37" s="1"/>
  <c r="G65" i="31" s="1"/>
  <c r="M134" i="37"/>
  <c r="M176" i="37" s="1"/>
  <c r="N26" i="37" s="1"/>
  <c r="N46" i="37" s="1"/>
  <c r="M181" i="32"/>
  <c r="M241" i="32" s="1"/>
  <c r="N28" i="32" s="1"/>
  <c r="N57" i="32" s="1"/>
  <c r="N57" i="47" s="1"/>
  <c r="G67" i="31"/>
  <c r="M129" i="37"/>
  <c r="M171" i="37" s="1"/>
  <c r="G62" i="31"/>
  <c r="N19" i="37"/>
  <c r="N39" i="37" s="1"/>
  <c r="M72" i="37"/>
  <c r="M74" i="37" s="1"/>
  <c r="L72" i="37"/>
  <c r="L74" i="37" s="1"/>
  <c r="M76" i="37"/>
  <c r="N20" i="37"/>
  <c r="N40" i="37" s="1"/>
  <c r="G63" i="31"/>
  <c r="N23" i="37"/>
  <c r="N43" i="37" s="1"/>
  <c r="G66" i="31"/>
  <c r="M133" i="37"/>
  <c r="M175" i="37" s="1"/>
  <c r="M94" i="37"/>
  <c r="M96" i="37" s="1"/>
  <c r="G70" i="31"/>
  <c r="N27" i="37"/>
  <c r="N47" i="37" s="1"/>
  <c r="L98" i="37"/>
  <c r="K168" i="37"/>
  <c r="K138" i="37"/>
  <c r="K140" i="37" s="1"/>
  <c r="K98" i="37"/>
  <c r="K96" i="37"/>
  <c r="L88" i="34"/>
  <c r="L144" i="34"/>
  <c r="N34" i="34"/>
  <c r="N67" i="33"/>
  <c r="N69" i="33" s="1"/>
  <c r="K94" i="34"/>
  <c r="K96" i="34" s="1"/>
  <c r="L158" i="34"/>
  <c r="M187" i="32"/>
  <c r="M247" i="32" s="1"/>
  <c r="N34" i="32" s="1"/>
  <c r="L132" i="32"/>
  <c r="L134" i="32"/>
  <c r="L116" i="34"/>
  <c r="K150" i="34"/>
  <c r="K152" i="34" s="1"/>
  <c r="M62" i="32"/>
  <c r="M62" i="47" s="1"/>
  <c r="M178" i="47" s="1"/>
  <c r="M236" i="47" s="1"/>
  <c r="N33" i="47" s="1"/>
  <c r="K164" i="34"/>
  <c r="K166" i="34" s="1"/>
  <c r="K122" i="34"/>
  <c r="K124" i="34" s="1"/>
  <c r="K257" i="32"/>
  <c r="K252" i="32"/>
  <c r="K254" i="32" s="1"/>
  <c r="L18" i="32"/>
  <c r="L102" i="34"/>
  <c r="M42" i="43"/>
  <c r="A42" i="43" s="1"/>
  <c r="A1" i="43" s="1"/>
  <c r="H19" i="25" s="1"/>
  <c r="M16" i="43"/>
  <c r="M52" i="45" s="1"/>
  <c r="M52" i="47" s="1"/>
  <c r="L130" i="34"/>
  <c r="K221" i="47"/>
  <c r="K108" i="34"/>
  <c r="K110" i="34" s="1"/>
  <c r="L74" i="34"/>
  <c r="K195" i="47"/>
  <c r="J137" i="47"/>
  <c r="J50" i="47"/>
  <c r="J80" i="47"/>
  <c r="J109" i="47"/>
  <c r="J196" i="47"/>
  <c r="J195" i="47"/>
  <c r="N196" i="47"/>
  <c r="J139" i="47"/>
  <c r="J110" i="47"/>
  <c r="L195" i="47"/>
  <c r="J108" i="47"/>
  <c r="L196" i="47"/>
  <c r="K197" i="47"/>
  <c r="J52" i="47"/>
  <c r="J197" i="47"/>
  <c r="J51" i="47"/>
  <c r="J138" i="47"/>
  <c r="J81" i="47"/>
  <c r="J79" i="47"/>
  <c r="K81" i="47"/>
  <c r="K79" i="47"/>
  <c r="K80" i="47"/>
  <c r="K137" i="47"/>
  <c r="L137" i="47"/>
  <c r="L138" i="47"/>
  <c r="K139" i="47"/>
  <c r="K52" i="47"/>
  <c r="K51" i="47"/>
  <c r="K110" i="47"/>
  <c r="K108" i="47"/>
  <c r="L50" i="47"/>
  <c r="L109" i="47"/>
  <c r="L108" i="47"/>
  <c r="L110" i="47"/>
  <c r="L79" i="47"/>
  <c r="L52" i="47"/>
  <c r="K136" i="34"/>
  <c r="K138" i="34" s="1"/>
  <c r="M18" i="34"/>
  <c r="N50" i="47"/>
  <c r="K80" i="34"/>
  <c r="K82" i="34" s="1"/>
  <c r="M130" i="32"/>
  <c r="M105" i="47"/>
  <c r="M75" i="33"/>
  <c r="M81" i="33"/>
  <c r="M119" i="34" s="1"/>
  <c r="M79" i="33"/>
  <c r="M91" i="34" s="1"/>
  <c r="M80" i="33"/>
  <c r="M105" i="34" s="1"/>
  <c r="M83" i="33"/>
  <c r="M147" i="34" s="1"/>
  <c r="M77" i="33"/>
  <c r="M63" i="34" s="1"/>
  <c r="M84" i="33"/>
  <c r="M161" i="34" s="1"/>
  <c r="M82" i="33"/>
  <c r="M133" i="34" s="1"/>
  <c r="M76" i="33"/>
  <c r="M49" i="34" s="1"/>
  <c r="M78" i="33"/>
  <c r="M77" i="34" s="1"/>
  <c r="L35" i="34"/>
  <c r="L86" i="33"/>
  <c r="L88" i="33" s="1"/>
  <c r="M188" i="32"/>
  <c r="M248" i="32" s="1"/>
  <c r="N35" i="32" s="1"/>
  <c r="N64" i="32" s="1"/>
  <c r="N64" i="47" s="1"/>
  <c r="L60" i="34"/>
  <c r="M189" i="32"/>
  <c r="M249" i="32" s="1"/>
  <c r="N36" i="32" s="1"/>
  <c r="N65" i="32" s="1"/>
  <c r="N65" i="47" s="1"/>
  <c r="L46" i="34"/>
  <c r="M55" i="32"/>
  <c r="M55" i="47" s="1"/>
  <c r="M171" i="47" s="1"/>
  <c r="M229" i="47" s="1"/>
  <c r="N26" i="47" s="1"/>
  <c r="K151" i="33"/>
  <c r="K124" i="33"/>
  <c r="K126" i="33" s="1"/>
  <c r="M177" i="32"/>
  <c r="M237" i="32" s="1"/>
  <c r="N24" i="32" s="1"/>
  <c r="N53" i="32" s="1"/>
  <c r="N53" i="47" s="1"/>
  <c r="L190" i="32"/>
  <c r="L250" i="32" s="1"/>
  <c r="M37" i="32" s="1"/>
  <c r="K66" i="34"/>
  <c r="K68" i="34" s="1"/>
  <c r="K52" i="34"/>
  <c r="K54" i="34" s="1"/>
  <c r="M54" i="32"/>
  <c r="M54" i="47" s="1"/>
  <c r="M170" i="47" s="1"/>
  <c r="M228" i="47" s="1"/>
  <c r="N25" i="47" s="1"/>
  <c r="K38" i="34"/>
  <c r="K19" i="34"/>
  <c r="M183" i="32"/>
  <c r="M243" i="32" s="1"/>
  <c r="N30" i="32" s="1"/>
  <c r="N59" i="32" s="1"/>
  <c r="N59" i="47" s="1"/>
  <c r="M173" i="32"/>
  <c r="M233" i="32" s="1"/>
  <c r="N20" i="32" s="1"/>
  <c r="N49" i="32" s="1"/>
  <c r="N49" i="47" s="1"/>
  <c r="L51" i="47"/>
  <c r="M58" i="32"/>
  <c r="M58" i="47" s="1"/>
  <c r="M174" i="47" s="1"/>
  <c r="M232" i="47" s="1"/>
  <c r="N29" i="47" s="1"/>
  <c r="O58" i="33"/>
  <c r="O62" i="34" s="1"/>
  <c r="L42" i="51" s="1"/>
  <c r="O64" i="33"/>
  <c r="O146" i="34" s="1"/>
  <c r="L83" i="51" s="1"/>
  <c r="O57" i="33"/>
  <c r="O48" i="34" s="1"/>
  <c r="L35" i="51" s="1"/>
  <c r="O56" i="33"/>
  <c r="O76" i="47"/>
  <c r="O59" i="33"/>
  <c r="O76" i="34" s="1"/>
  <c r="L49" i="51" s="1"/>
  <c r="O60" i="33"/>
  <c r="O90" i="34" s="1"/>
  <c r="L56" i="51" s="1"/>
  <c r="O65" i="33"/>
  <c r="O160" i="34" s="1"/>
  <c r="L90" i="51" s="1"/>
  <c r="O62" i="33"/>
  <c r="O118" i="34" s="1"/>
  <c r="L70" i="51" s="1"/>
  <c r="O99" i="32"/>
  <c r="O101" i="32" s="1"/>
  <c r="O61" i="33"/>
  <c r="O104" i="34" s="1"/>
  <c r="L63" i="51" s="1"/>
  <c r="O63" i="33"/>
  <c r="O132" i="34" s="1"/>
  <c r="L76" i="51" s="1"/>
  <c r="G71" i="31" l="1"/>
  <c r="O137" i="45"/>
  <c r="O137" i="47" s="1"/>
  <c r="O79" i="45"/>
  <c r="O79" i="47" s="1"/>
  <c r="O135" i="45"/>
  <c r="O139" i="45"/>
  <c r="O139" i="47" s="1"/>
  <c r="O81" i="45"/>
  <c r="O81" i="47" s="1"/>
  <c r="O77" i="45"/>
  <c r="O77" i="47" s="1"/>
  <c r="O64" i="46" s="1"/>
  <c r="O146" i="42" s="1"/>
  <c r="D83" i="51" s="1"/>
  <c r="O138" i="45"/>
  <c r="O138" i="47" s="1"/>
  <c r="O80" i="45"/>
  <c r="O80" i="47" s="1"/>
  <c r="P16" i="43"/>
  <c r="M193" i="45"/>
  <c r="M138" i="45"/>
  <c r="M138" i="47" s="1"/>
  <c r="M106" i="45"/>
  <c r="M106" i="47" s="1"/>
  <c r="M80" i="45"/>
  <c r="M80" i="47" s="1"/>
  <c r="M197" i="45"/>
  <c r="M197" i="47" s="1"/>
  <c r="M137" i="45"/>
  <c r="M137" i="47" s="1"/>
  <c r="M79" i="45"/>
  <c r="M79" i="47" s="1"/>
  <c r="M110" i="45"/>
  <c r="M110" i="47" s="1"/>
  <c r="M196" i="45"/>
  <c r="M196" i="47" s="1"/>
  <c r="M135" i="45"/>
  <c r="M135" i="47" s="1"/>
  <c r="M109" i="45"/>
  <c r="M109" i="47" s="1"/>
  <c r="M108" i="45"/>
  <c r="M108" i="47" s="1"/>
  <c r="M77" i="45"/>
  <c r="M195" i="45"/>
  <c r="M195" i="47" s="1"/>
  <c r="M139" i="45"/>
  <c r="M139" i="47" s="1"/>
  <c r="M81" i="45"/>
  <c r="M81" i="47" s="1"/>
  <c r="M50" i="45"/>
  <c r="M50" i="47" s="1"/>
  <c r="M48" i="45"/>
  <c r="N51" i="47"/>
  <c r="M51" i="45"/>
  <c r="M51" i="47" s="1"/>
  <c r="M98" i="37"/>
  <c r="G69" i="31"/>
  <c r="O103" i="32"/>
  <c r="N22" i="37"/>
  <c r="N42" i="37" s="1"/>
  <c r="M179" i="32"/>
  <c r="M239" i="32" s="1"/>
  <c r="N26" i="32" s="1"/>
  <c r="N55" i="32" s="1"/>
  <c r="N55" i="47" s="1"/>
  <c r="M178" i="32"/>
  <c r="M238" i="32" s="1"/>
  <c r="N25" i="32" s="1"/>
  <c r="N54" i="32" s="1"/>
  <c r="N54" i="47" s="1"/>
  <c r="N135" i="37"/>
  <c r="N177" i="37" s="1"/>
  <c r="O27" i="37" s="1"/>
  <c r="O47" i="37" s="1"/>
  <c r="N127" i="37"/>
  <c r="N169" i="37" s="1"/>
  <c r="O19" i="37" s="1"/>
  <c r="O39" i="37" s="1"/>
  <c r="N25" i="37"/>
  <c r="N45" i="37" s="1"/>
  <c r="N133" i="37" s="1"/>
  <c r="N175" i="37" s="1"/>
  <c r="O25" i="37" s="1"/>
  <c r="O45" i="37" s="1"/>
  <c r="G68" i="31"/>
  <c r="N131" i="37"/>
  <c r="N173" i="37" s="1"/>
  <c r="O23" i="37" s="1"/>
  <c r="O43" i="37" s="1"/>
  <c r="N21" i="37"/>
  <c r="N41" i="37" s="1"/>
  <c r="N129" i="37" s="1"/>
  <c r="N171" i="37" s="1"/>
  <c r="O21" i="37" s="1"/>
  <c r="O41" i="37" s="1"/>
  <c r="G64" i="31"/>
  <c r="N132" i="37"/>
  <c r="N174" i="37" s="1"/>
  <c r="O24" i="37" s="1"/>
  <c r="O44" i="37" s="1"/>
  <c r="N72" i="37"/>
  <c r="N74" i="37" s="1"/>
  <c r="N136" i="37"/>
  <c r="N178" i="37" s="1"/>
  <c r="O28" i="37" s="1"/>
  <c r="O48" i="37" s="1"/>
  <c r="N128" i="37"/>
  <c r="N170" i="37" s="1"/>
  <c r="O20" i="37" s="1"/>
  <c r="O40" i="37" s="1"/>
  <c r="N134" i="37"/>
  <c r="N176" i="37" s="1"/>
  <c r="O26" i="37" s="1"/>
  <c r="O46" i="37" s="1"/>
  <c r="L76" i="37"/>
  <c r="K185" i="37"/>
  <c r="L18" i="37"/>
  <c r="K180" i="37"/>
  <c r="K182" i="37" s="1"/>
  <c r="M186" i="32"/>
  <c r="M246" i="32" s="1"/>
  <c r="N33" i="32" s="1"/>
  <c r="N62" i="32" s="1"/>
  <c r="N62" i="47" s="1"/>
  <c r="N94" i="37"/>
  <c r="N96" i="37" s="1"/>
  <c r="N130" i="37"/>
  <c r="N172" i="37" s="1"/>
  <c r="O22" i="37" s="1"/>
  <c r="O42" i="37" s="1"/>
  <c r="O130" i="37" s="1"/>
  <c r="N68" i="45"/>
  <c r="N70" i="45" s="1"/>
  <c r="N48" i="47"/>
  <c r="K68" i="45"/>
  <c r="K70" i="45" s="1"/>
  <c r="K48" i="47"/>
  <c r="K97" i="45"/>
  <c r="K99" i="45" s="1"/>
  <c r="K77" i="47"/>
  <c r="J155" i="45"/>
  <c r="J157" i="45" s="1"/>
  <c r="J135" i="47"/>
  <c r="J23" i="47"/>
  <c r="J168" i="45"/>
  <c r="J226" i="45" s="1"/>
  <c r="K23" i="45" s="1"/>
  <c r="K168" i="45" s="1"/>
  <c r="K226" i="45" s="1"/>
  <c r="L23" i="45" s="1"/>
  <c r="L168" i="45" s="1"/>
  <c r="L226" i="45" s="1"/>
  <c r="M23" i="45" s="1"/>
  <c r="K162" i="33"/>
  <c r="K164" i="33" s="1"/>
  <c r="L18" i="33"/>
  <c r="M132" i="32"/>
  <c r="M134" i="32"/>
  <c r="M193" i="47"/>
  <c r="O135" i="47"/>
  <c r="K126" i="45"/>
  <c r="K128" i="45" s="1"/>
  <c r="K106" i="47"/>
  <c r="J77" i="47"/>
  <c r="J97" i="45"/>
  <c r="J99" i="45" s="1"/>
  <c r="M182" i="32"/>
  <c r="M242" i="32" s="1"/>
  <c r="N29" i="32" s="1"/>
  <c r="N58" i="32" s="1"/>
  <c r="N58" i="47" s="1"/>
  <c r="K40" i="34"/>
  <c r="K22" i="34"/>
  <c r="L68" i="45"/>
  <c r="L70" i="45" s="1"/>
  <c r="L48" i="47"/>
  <c r="L97" i="45"/>
  <c r="L99" i="45" s="1"/>
  <c r="L77" i="47"/>
  <c r="J164" i="45"/>
  <c r="J39" i="45"/>
  <c r="J41" i="45" s="1"/>
  <c r="J19" i="47"/>
  <c r="J68" i="45"/>
  <c r="J70" i="45" s="1"/>
  <c r="J48" i="47"/>
  <c r="J213" i="45"/>
  <c r="J215" i="45" s="1"/>
  <c r="J193" i="47"/>
  <c r="J166" i="45"/>
  <c r="J224" i="45" s="1"/>
  <c r="K21" i="45" s="1"/>
  <c r="K166" i="45" s="1"/>
  <c r="K224" i="45" s="1"/>
  <c r="L21" i="45" s="1"/>
  <c r="L166" i="45" s="1"/>
  <c r="L224" i="45" s="1"/>
  <c r="M21" i="45" s="1"/>
  <c r="J21" i="47"/>
  <c r="N18" i="34"/>
  <c r="K15" i="51" s="1"/>
  <c r="K28" i="51"/>
  <c r="M66" i="32"/>
  <c r="M66" i="47" s="1"/>
  <c r="M182" i="47" s="1"/>
  <c r="M240" i="47" s="1"/>
  <c r="N37" i="47" s="1"/>
  <c r="J106" i="47"/>
  <c r="J126" i="45"/>
  <c r="J128" i="45" s="1"/>
  <c r="L39" i="32"/>
  <c r="L41" i="32" s="1"/>
  <c r="L47" i="32"/>
  <c r="N63" i="32"/>
  <c r="N63" i="47" s="1"/>
  <c r="N179" i="47" s="1"/>
  <c r="N237" i="47" s="1"/>
  <c r="O34" i="47" s="1"/>
  <c r="L19" i="34"/>
  <c r="L126" i="45"/>
  <c r="L128" i="45" s="1"/>
  <c r="L106" i="47"/>
  <c r="K155" i="45"/>
  <c r="K157" i="45" s="1"/>
  <c r="K135" i="47"/>
  <c r="J22" i="47"/>
  <c r="J167" i="45"/>
  <c r="J225" i="45" s="1"/>
  <c r="K22" i="45" s="1"/>
  <c r="K167" i="45" s="1"/>
  <c r="K225" i="45" s="1"/>
  <c r="L22" i="45" s="1"/>
  <c r="L167" i="45" s="1"/>
  <c r="L225" i="45" s="1"/>
  <c r="M22" i="45" s="1"/>
  <c r="L18" i="47"/>
  <c r="M48" i="47"/>
  <c r="L155" i="45"/>
  <c r="L157" i="45" s="1"/>
  <c r="L135" i="47"/>
  <c r="M35" i="34"/>
  <c r="M86" i="33"/>
  <c r="M88" i="33" s="1"/>
  <c r="N97" i="45"/>
  <c r="N99" i="45" s="1"/>
  <c r="N77" i="47"/>
  <c r="N155" i="45"/>
  <c r="N157" i="45" s="1"/>
  <c r="N135" i="47"/>
  <c r="L193" i="47"/>
  <c r="L213" i="45"/>
  <c r="L215" i="45" s="1"/>
  <c r="N193" i="47"/>
  <c r="N213" i="45"/>
  <c r="N215" i="45" s="1"/>
  <c r="K193" i="47"/>
  <c r="K213" i="45"/>
  <c r="K215" i="45" s="1"/>
  <c r="K256" i="32"/>
  <c r="O67" i="33"/>
  <c r="O69" i="33" s="1"/>
  <c r="O34" i="34"/>
  <c r="O97" i="45" l="1"/>
  <c r="O99" i="45" s="1"/>
  <c r="M155" i="45"/>
  <c r="M157" i="45" s="1"/>
  <c r="M82" i="46"/>
  <c r="M126" i="45"/>
  <c r="M128" i="45" s="1"/>
  <c r="M97" i="45"/>
  <c r="M99" i="45" s="1"/>
  <c r="M68" i="45"/>
  <c r="M70" i="45" s="1"/>
  <c r="M167" i="45"/>
  <c r="M225" i="45" s="1"/>
  <c r="N22" i="45" s="1"/>
  <c r="O155" i="45"/>
  <c r="O157" i="45" s="1"/>
  <c r="M213" i="45"/>
  <c r="M215" i="45" s="1"/>
  <c r="M77" i="47"/>
  <c r="M168" i="45"/>
  <c r="M226" i="45" s="1"/>
  <c r="N23" i="45" s="1"/>
  <c r="M166" i="45"/>
  <c r="M224" i="45" s="1"/>
  <c r="N21" i="45" s="1"/>
  <c r="Q16" i="43"/>
  <c r="P196" i="45"/>
  <c r="P196" i="47" s="1"/>
  <c r="P195" i="45"/>
  <c r="P195" i="47" s="1"/>
  <c r="P193" i="45"/>
  <c r="P197" i="45"/>
  <c r="P197" i="47" s="1"/>
  <c r="J167" i="47"/>
  <c r="J225" i="47" s="1"/>
  <c r="K22" i="47" s="1"/>
  <c r="K167" i="47" s="1"/>
  <c r="K225" i="47" s="1"/>
  <c r="L22" i="47" s="1"/>
  <c r="L167" i="47" s="1"/>
  <c r="L225" i="47" s="1"/>
  <c r="M22" i="47" s="1"/>
  <c r="M167" i="47" s="1"/>
  <c r="M225" i="47" s="1"/>
  <c r="N22" i="47" s="1"/>
  <c r="N76" i="37"/>
  <c r="O134" i="37"/>
  <c r="O176" i="37" s="1"/>
  <c r="P26" i="37" s="1"/>
  <c r="J166" i="47"/>
  <c r="J224" i="47" s="1"/>
  <c r="K21" i="47" s="1"/>
  <c r="K166" i="47" s="1"/>
  <c r="K224" i="47" s="1"/>
  <c r="L21" i="47" s="1"/>
  <c r="L166" i="47" s="1"/>
  <c r="L224" i="47" s="1"/>
  <c r="M21" i="47" s="1"/>
  <c r="M166" i="47" s="1"/>
  <c r="M224" i="47" s="1"/>
  <c r="N21" i="47" s="1"/>
  <c r="J168" i="47"/>
  <c r="J226" i="47" s="1"/>
  <c r="K23" i="47" s="1"/>
  <c r="K168" i="47" s="1"/>
  <c r="K226" i="47" s="1"/>
  <c r="L23" i="47" s="1"/>
  <c r="L168" i="47" s="1"/>
  <c r="L226" i="47" s="1"/>
  <c r="M23" i="47" s="1"/>
  <c r="M168" i="47" s="1"/>
  <c r="M226" i="47" s="1"/>
  <c r="N23" i="47" s="1"/>
  <c r="M190" i="32"/>
  <c r="M250" i="32" s="1"/>
  <c r="N37" i="32" s="1"/>
  <c r="O59" i="46"/>
  <c r="O76" i="42" s="1"/>
  <c r="D49" i="51" s="1"/>
  <c r="N98" i="37"/>
  <c r="O72" i="37"/>
  <c r="O74" i="37" s="1"/>
  <c r="O135" i="37"/>
  <c r="O177" i="37" s="1"/>
  <c r="P27" i="37" s="1"/>
  <c r="O132" i="37"/>
  <c r="O128" i="37"/>
  <c r="O129" i="37"/>
  <c r="O131" i="37"/>
  <c r="O133" i="37"/>
  <c r="O127" i="37"/>
  <c r="K184" i="37"/>
  <c r="L38" i="37"/>
  <c r="L50" i="37" s="1"/>
  <c r="L30" i="37"/>
  <c r="L32" i="37" s="1"/>
  <c r="O94" i="37"/>
  <c r="O96" i="37" s="1"/>
  <c r="A96" i="37" s="1"/>
  <c r="O136" i="37"/>
  <c r="O178" i="37" s="1"/>
  <c r="P28" i="37" s="1"/>
  <c r="N138" i="46"/>
  <c r="N133" i="46"/>
  <c r="N137" i="46"/>
  <c r="N140" i="46"/>
  <c r="N136" i="46"/>
  <c r="N213" i="47"/>
  <c r="N215" i="47" s="1"/>
  <c r="N141" i="46"/>
  <c r="N134" i="46"/>
  <c r="N132" i="46"/>
  <c r="N135" i="46"/>
  <c r="N139" i="46"/>
  <c r="M19" i="34"/>
  <c r="J21" i="46"/>
  <c r="J20" i="46"/>
  <c r="J19" i="46"/>
  <c r="J25" i="46"/>
  <c r="J39" i="47"/>
  <c r="J41" i="47" s="1"/>
  <c r="J26" i="46"/>
  <c r="J24" i="46"/>
  <c r="J22" i="46"/>
  <c r="J23" i="46"/>
  <c r="J164" i="47"/>
  <c r="J27" i="46"/>
  <c r="J18" i="46"/>
  <c r="K57" i="46"/>
  <c r="K48" i="42" s="1"/>
  <c r="K61" i="46"/>
  <c r="K104" i="42" s="1"/>
  <c r="K60" i="46"/>
  <c r="K90" i="42" s="1"/>
  <c r="K59" i="46"/>
  <c r="K76" i="42" s="1"/>
  <c r="K64" i="46"/>
  <c r="K146" i="42" s="1"/>
  <c r="K56" i="46"/>
  <c r="K62" i="46"/>
  <c r="K118" i="42" s="1"/>
  <c r="K65" i="46"/>
  <c r="K160" i="42" s="1"/>
  <c r="K58" i="46"/>
  <c r="K62" i="42" s="1"/>
  <c r="K63" i="46"/>
  <c r="K132" i="42" s="1"/>
  <c r="K97" i="47"/>
  <c r="K99" i="47" s="1"/>
  <c r="M84" i="46"/>
  <c r="L95" i="46"/>
  <c r="L50" i="42" s="1"/>
  <c r="L98" i="46"/>
  <c r="L92" i="42" s="1"/>
  <c r="L155" i="47"/>
  <c r="L157" i="47" s="1"/>
  <c r="L102" i="46"/>
  <c r="L148" i="42" s="1"/>
  <c r="L103" i="46"/>
  <c r="L162" i="42" s="1"/>
  <c r="L97" i="46"/>
  <c r="L78" i="42" s="1"/>
  <c r="L96" i="46"/>
  <c r="L64" i="42" s="1"/>
  <c r="L99" i="46"/>
  <c r="L106" i="42" s="1"/>
  <c r="L100" i="46"/>
  <c r="L120" i="42" s="1"/>
  <c r="L94" i="46"/>
  <c r="L101" i="46"/>
  <c r="L134" i="42" s="1"/>
  <c r="L171" i="32"/>
  <c r="L47" i="47"/>
  <c r="L38" i="33"/>
  <c r="L46" i="33"/>
  <c r="L42" i="33"/>
  <c r="L45" i="33"/>
  <c r="L40" i="33"/>
  <c r="L39" i="33"/>
  <c r="L43" i="33"/>
  <c r="L37" i="33"/>
  <c r="L41" i="33"/>
  <c r="L44" i="33"/>
  <c r="L68" i="32"/>
  <c r="J62" i="46"/>
  <c r="J118" i="42" s="1"/>
  <c r="J64" i="46"/>
  <c r="J146" i="42" s="1"/>
  <c r="J59" i="46"/>
  <c r="J76" i="42" s="1"/>
  <c r="J56" i="46"/>
  <c r="J57" i="46"/>
  <c r="J48" i="42" s="1"/>
  <c r="J63" i="46"/>
  <c r="J132" i="42" s="1"/>
  <c r="J65" i="46"/>
  <c r="J160" i="42" s="1"/>
  <c r="J60" i="46"/>
  <c r="J90" i="42" s="1"/>
  <c r="J97" i="47"/>
  <c r="J99" i="47" s="1"/>
  <c r="J61" i="46"/>
  <c r="J104" i="42" s="1"/>
  <c r="J58" i="46"/>
  <c r="J62" i="42" s="1"/>
  <c r="M213" i="47"/>
  <c r="M215" i="47" s="1"/>
  <c r="M132" i="46"/>
  <c r="M140" i="46"/>
  <c r="M141" i="46"/>
  <c r="M139" i="46"/>
  <c r="M133" i="42" s="1"/>
  <c r="M136" i="46"/>
  <c r="M138" i="46"/>
  <c r="M134" i="46"/>
  <c r="M135" i="46"/>
  <c r="M137" i="46"/>
  <c r="M133" i="46"/>
  <c r="M126" i="47"/>
  <c r="M128" i="47" s="1"/>
  <c r="L213" i="47"/>
  <c r="L215" i="47" s="1"/>
  <c r="L138" i="46"/>
  <c r="L139" i="46"/>
  <c r="L140" i="46"/>
  <c r="L136" i="46"/>
  <c r="L134" i="46"/>
  <c r="L133" i="46"/>
  <c r="L135" i="46"/>
  <c r="L137" i="46"/>
  <c r="L141" i="46"/>
  <c r="L132" i="46"/>
  <c r="J222" i="45"/>
  <c r="J184" i="45"/>
  <c r="J186" i="45" s="1"/>
  <c r="K24" i="34"/>
  <c r="K41" i="46"/>
  <c r="K89" i="42" s="1"/>
  <c r="K44" i="46"/>
  <c r="K131" i="42" s="1"/>
  <c r="K43" i="46"/>
  <c r="K117" i="42" s="1"/>
  <c r="K38" i="46"/>
  <c r="K47" i="42" s="1"/>
  <c r="K68" i="47"/>
  <c r="K70" i="47" s="1"/>
  <c r="K37" i="46"/>
  <c r="K46" i="46"/>
  <c r="K159" i="42" s="1"/>
  <c r="K42" i="46"/>
  <c r="K103" i="42" s="1"/>
  <c r="K40" i="46"/>
  <c r="K75" i="42" s="1"/>
  <c r="K39" i="46"/>
  <c r="K61" i="42" s="1"/>
  <c r="K45" i="46"/>
  <c r="K145" i="42" s="1"/>
  <c r="M77" i="46"/>
  <c r="N94" i="46"/>
  <c r="N101" i="46"/>
  <c r="N134" i="42" s="1"/>
  <c r="C78" i="51" s="1"/>
  <c r="N96" i="46"/>
  <c r="N64" i="42" s="1"/>
  <c r="C44" i="51" s="1"/>
  <c r="N102" i="46"/>
  <c r="N148" i="42" s="1"/>
  <c r="C85" i="51" s="1"/>
  <c r="N95" i="46"/>
  <c r="N50" i="42" s="1"/>
  <c r="C37" i="51" s="1"/>
  <c r="N155" i="47"/>
  <c r="N157" i="47" s="1"/>
  <c r="N98" i="46"/>
  <c r="N92" i="42" s="1"/>
  <c r="C58" i="51" s="1"/>
  <c r="N97" i="46"/>
  <c r="N78" i="42" s="1"/>
  <c r="C51" i="51" s="1"/>
  <c r="N103" i="46"/>
  <c r="N162" i="42" s="1"/>
  <c r="C92" i="51" s="1"/>
  <c r="N99" i="46"/>
  <c r="N106" i="42" s="1"/>
  <c r="C65" i="51" s="1"/>
  <c r="N100" i="46"/>
  <c r="N120" i="42" s="1"/>
  <c r="L65" i="46"/>
  <c r="L160" i="42" s="1"/>
  <c r="L58" i="46"/>
  <c r="L62" i="42" s="1"/>
  <c r="L62" i="46"/>
  <c r="L118" i="42" s="1"/>
  <c r="L61" i="46"/>
  <c r="L104" i="42" s="1"/>
  <c r="L56" i="46"/>
  <c r="L59" i="46"/>
  <c r="L76" i="42" s="1"/>
  <c r="L63" i="46"/>
  <c r="L132" i="42" s="1"/>
  <c r="L60" i="46"/>
  <c r="L90" i="42" s="1"/>
  <c r="L57" i="46"/>
  <c r="L48" i="42" s="1"/>
  <c r="L97" i="47"/>
  <c r="L99" i="47" s="1"/>
  <c r="L64" i="46"/>
  <c r="L146" i="42" s="1"/>
  <c r="M97" i="46"/>
  <c r="M78" i="42" s="1"/>
  <c r="M102" i="46"/>
  <c r="M148" i="42" s="1"/>
  <c r="M100" i="46"/>
  <c r="M120" i="42" s="1"/>
  <c r="M103" i="46"/>
  <c r="M162" i="42" s="1"/>
  <c r="M96" i="46"/>
  <c r="M64" i="42" s="1"/>
  <c r="M98" i="46"/>
  <c r="M92" i="42" s="1"/>
  <c r="M155" i="47"/>
  <c r="M157" i="47" s="1"/>
  <c r="M99" i="46"/>
  <c r="M106" i="42" s="1"/>
  <c r="M95" i="46"/>
  <c r="M50" i="42" s="1"/>
  <c r="M94" i="46"/>
  <c r="M101" i="46"/>
  <c r="M134" i="42" s="1"/>
  <c r="L29" i="33"/>
  <c r="L31" i="33" s="1"/>
  <c r="L32" i="34"/>
  <c r="L113" i="33"/>
  <c r="M76" i="46"/>
  <c r="K94" i="46"/>
  <c r="K95" i="46"/>
  <c r="K50" i="42" s="1"/>
  <c r="K103" i="46"/>
  <c r="K162" i="42" s="1"/>
  <c r="K101" i="46"/>
  <c r="K134" i="42" s="1"/>
  <c r="K97" i="46"/>
  <c r="K78" i="42" s="1"/>
  <c r="K98" i="46"/>
  <c r="K92" i="42" s="1"/>
  <c r="K96" i="46"/>
  <c r="K64" i="42" s="1"/>
  <c r="K155" i="47"/>
  <c r="K157" i="47" s="1"/>
  <c r="K102" i="46"/>
  <c r="K148" i="42" s="1"/>
  <c r="K100" i="46"/>
  <c r="K120" i="42" s="1"/>
  <c r="K99" i="46"/>
  <c r="K106" i="42" s="1"/>
  <c r="J80" i="46"/>
  <c r="J79" i="46"/>
  <c r="J126" i="47"/>
  <c r="J128" i="47" s="1"/>
  <c r="J76" i="46"/>
  <c r="J84" i="46"/>
  <c r="J82" i="46"/>
  <c r="J83" i="46"/>
  <c r="J81" i="46"/>
  <c r="J78" i="46"/>
  <c r="J75" i="46"/>
  <c r="J77" i="46"/>
  <c r="J139" i="46"/>
  <c r="J136" i="46"/>
  <c r="J141" i="46"/>
  <c r="J132" i="46"/>
  <c r="J213" i="47"/>
  <c r="J215" i="47" s="1"/>
  <c r="J137" i="46"/>
  <c r="J138" i="46"/>
  <c r="J134" i="46"/>
  <c r="J135" i="46"/>
  <c r="J133" i="46"/>
  <c r="J140" i="46"/>
  <c r="K77" i="46"/>
  <c r="K82" i="46"/>
  <c r="K79" i="46"/>
  <c r="K78" i="46"/>
  <c r="K126" i="47"/>
  <c r="K128" i="47" s="1"/>
  <c r="K83" i="46"/>
  <c r="K76" i="46"/>
  <c r="K80" i="46"/>
  <c r="K81" i="46"/>
  <c r="K84" i="46"/>
  <c r="K75" i="46"/>
  <c r="M81" i="46"/>
  <c r="M79" i="46"/>
  <c r="N64" i="46"/>
  <c r="N146" i="42" s="1"/>
  <c r="C83" i="51" s="1"/>
  <c r="N97" i="47"/>
  <c r="N99" i="47" s="1"/>
  <c r="N57" i="46"/>
  <c r="N48" i="42" s="1"/>
  <c r="C35" i="51" s="1"/>
  <c r="N56" i="46"/>
  <c r="N58" i="46"/>
  <c r="N62" i="42" s="1"/>
  <c r="C42" i="51" s="1"/>
  <c r="N59" i="46"/>
  <c r="N76" i="42" s="1"/>
  <c r="C49" i="51" s="1"/>
  <c r="N62" i="46"/>
  <c r="N118" i="42" s="1"/>
  <c r="C70" i="51" s="1"/>
  <c r="N60" i="46"/>
  <c r="N90" i="42" s="1"/>
  <c r="C56" i="51" s="1"/>
  <c r="N65" i="46"/>
  <c r="N160" i="42" s="1"/>
  <c r="C90" i="51" s="1"/>
  <c r="N63" i="46"/>
  <c r="N132" i="42" s="1"/>
  <c r="C76" i="51" s="1"/>
  <c r="N61" i="46"/>
  <c r="N104" i="42" s="1"/>
  <c r="C63" i="51" s="1"/>
  <c r="N66" i="32"/>
  <c r="N66" i="47" s="1"/>
  <c r="N182" i="47" s="1"/>
  <c r="N240" i="47" s="1"/>
  <c r="O37" i="47" s="1"/>
  <c r="M60" i="46"/>
  <c r="M90" i="42" s="1"/>
  <c r="M59" i="46"/>
  <c r="M76" i="42" s="1"/>
  <c r="M56" i="46"/>
  <c r="M58" i="46"/>
  <c r="M62" i="42" s="1"/>
  <c r="M57" i="46"/>
  <c r="M48" i="42" s="1"/>
  <c r="M97" i="47"/>
  <c r="M99" i="47" s="1"/>
  <c r="M61" i="46"/>
  <c r="M104" i="42" s="1"/>
  <c r="M64" i="46"/>
  <c r="M146" i="42" s="1"/>
  <c r="M62" i="46"/>
  <c r="M118" i="42" s="1"/>
  <c r="M63" i="46"/>
  <c r="M132" i="42" s="1"/>
  <c r="M65" i="46"/>
  <c r="M160" i="42" s="1"/>
  <c r="M78" i="46"/>
  <c r="M80" i="46"/>
  <c r="K132" i="46"/>
  <c r="K213" i="47"/>
  <c r="K215" i="47" s="1"/>
  <c r="K135" i="46"/>
  <c r="K141" i="46"/>
  <c r="K138" i="46"/>
  <c r="K136" i="46"/>
  <c r="K137" i="46"/>
  <c r="K140" i="46"/>
  <c r="K134" i="46"/>
  <c r="K133" i="46"/>
  <c r="K139" i="46"/>
  <c r="L79" i="46"/>
  <c r="L75" i="46"/>
  <c r="L77" i="46"/>
  <c r="L63" i="42" s="1"/>
  <c r="L84" i="46"/>
  <c r="L76" i="46"/>
  <c r="L80" i="46"/>
  <c r="L83" i="46"/>
  <c r="L78" i="46"/>
  <c r="L82" i="46"/>
  <c r="L133" i="42" s="1"/>
  <c r="L126" i="47"/>
  <c r="L128" i="47" s="1"/>
  <c r="L81" i="46"/>
  <c r="J38" i="46"/>
  <c r="J47" i="42" s="1"/>
  <c r="J44" i="46"/>
  <c r="J131" i="42" s="1"/>
  <c r="J45" i="46"/>
  <c r="J145" i="42" s="1"/>
  <c r="J42" i="46"/>
  <c r="J103" i="42" s="1"/>
  <c r="J40" i="46"/>
  <c r="J75" i="42" s="1"/>
  <c r="J68" i="47"/>
  <c r="J70" i="47" s="1"/>
  <c r="J39" i="46"/>
  <c r="J61" i="42" s="1"/>
  <c r="J43" i="46"/>
  <c r="J117" i="42" s="1"/>
  <c r="J46" i="46"/>
  <c r="J159" i="42" s="1"/>
  <c r="J37" i="46"/>
  <c r="J41" i="46"/>
  <c r="J89" i="42" s="1"/>
  <c r="O95" i="46"/>
  <c r="O50" i="42" s="1"/>
  <c r="D37" i="51" s="1"/>
  <c r="O94" i="46"/>
  <c r="O99" i="46"/>
  <c r="O106" i="42" s="1"/>
  <c r="D65" i="51" s="1"/>
  <c r="O155" i="47"/>
  <c r="O157" i="47" s="1"/>
  <c r="O103" i="46"/>
  <c r="O162" i="42" s="1"/>
  <c r="D92" i="51" s="1"/>
  <c r="O101" i="46"/>
  <c r="O134" i="42" s="1"/>
  <c r="D78" i="51" s="1"/>
  <c r="O102" i="46"/>
  <c r="O148" i="42" s="1"/>
  <c r="D85" i="51" s="1"/>
  <c r="O96" i="46"/>
  <c r="O64" i="42" s="1"/>
  <c r="D44" i="51" s="1"/>
  <c r="O97" i="46"/>
  <c r="O78" i="42" s="1"/>
  <c r="D51" i="51" s="1"/>
  <c r="O98" i="46"/>
  <c r="O92" i="42" s="1"/>
  <c r="D58" i="51" s="1"/>
  <c r="O100" i="46"/>
  <c r="O120" i="42" s="1"/>
  <c r="J96" i="46"/>
  <c r="J64" i="42" s="1"/>
  <c r="J99" i="46"/>
  <c r="J106" i="42" s="1"/>
  <c r="J102" i="46"/>
  <c r="J148" i="42" s="1"/>
  <c r="J98" i="46"/>
  <c r="J92" i="42" s="1"/>
  <c r="J94" i="46"/>
  <c r="J95" i="46"/>
  <c r="J50" i="42" s="1"/>
  <c r="J101" i="46"/>
  <c r="J134" i="42" s="1"/>
  <c r="J103" i="46"/>
  <c r="J162" i="42" s="1"/>
  <c r="J100" i="46"/>
  <c r="J120" i="42" s="1"/>
  <c r="J155" i="47"/>
  <c r="J157" i="47" s="1"/>
  <c r="J97" i="46"/>
  <c r="J78" i="42" s="1"/>
  <c r="M83" i="46"/>
  <c r="M75" i="46"/>
  <c r="N187" i="32"/>
  <c r="N247" i="32" s="1"/>
  <c r="O34" i="32" s="1"/>
  <c r="O97" i="47"/>
  <c r="O99" i="47" s="1"/>
  <c r="O56" i="46"/>
  <c r="O18" i="34"/>
  <c r="L15" i="51" s="1"/>
  <c r="L28" i="51"/>
  <c r="O60" i="46"/>
  <c r="O90" i="42" s="1"/>
  <c r="D56" i="51" s="1"/>
  <c r="O58" i="46"/>
  <c r="O62" i="42" s="1"/>
  <c r="D42" i="51" s="1"/>
  <c r="O61" i="46"/>
  <c r="O104" i="42" s="1"/>
  <c r="D63" i="51" s="1"/>
  <c r="O65" i="46"/>
  <c r="O160" i="42" s="1"/>
  <c r="D90" i="51" s="1"/>
  <c r="O62" i="46"/>
  <c r="O118" i="42" s="1"/>
  <c r="D70" i="51" s="1"/>
  <c r="O57" i="46"/>
  <c r="O48" i="42" s="1"/>
  <c r="D35" i="51" s="1"/>
  <c r="O63" i="46"/>
  <c r="O132" i="42" s="1"/>
  <c r="D76" i="51" s="1"/>
  <c r="M119" i="42" l="1"/>
  <c r="P213" i="45"/>
  <c r="P215" i="45" s="1"/>
  <c r="P193" i="47"/>
  <c r="R16" i="43"/>
  <c r="Q196" i="45"/>
  <c r="Q196" i="47" s="1"/>
  <c r="Q195" i="45"/>
  <c r="Q195" i="47" s="1"/>
  <c r="Q193" i="45"/>
  <c r="Q197" i="45"/>
  <c r="Q197" i="47" s="1"/>
  <c r="L161" i="42"/>
  <c r="L77" i="42"/>
  <c r="M105" i="42"/>
  <c r="L126" i="37"/>
  <c r="N190" i="32"/>
  <c r="N250" i="32" s="1"/>
  <c r="O37" i="32" s="1"/>
  <c r="O66" i="32" s="1"/>
  <c r="O66" i="47" s="1"/>
  <c r="O182" i="47" s="1"/>
  <c r="M49" i="42"/>
  <c r="L147" i="42"/>
  <c r="M147" i="42"/>
  <c r="L49" i="42"/>
  <c r="M63" i="42"/>
  <c r="L105" i="42"/>
  <c r="O98" i="37"/>
  <c r="A98" i="37" s="1"/>
  <c r="O76" i="37"/>
  <c r="M77" i="42"/>
  <c r="L138" i="37"/>
  <c r="L140" i="37" s="1"/>
  <c r="L168" i="37"/>
  <c r="L91" i="42"/>
  <c r="L54" i="37"/>
  <c r="L52" i="37"/>
  <c r="K91" i="42"/>
  <c r="J77" i="42"/>
  <c r="J133" i="42"/>
  <c r="J33" i="42"/>
  <c r="J48" i="46"/>
  <c r="J50" i="46" s="1"/>
  <c r="K77" i="42"/>
  <c r="J35" i="42"/>
  <c r="J86" i="46"/>
  <c r="J88" i="46" s="1"/>
  <c r="J91" i="42"/>
  <c r="L34" i="42"/>
  <c r="L67" i="46"/>
  <c r="L69" i="46" s="1"/>
  <c r="L143" i="46"/>
  <c r="L145" i="46" s="1"/>
  <c r="L70" i="32"/>
  <c r="L72" i="32"/>
  <c r="L103" i="34"/>
  <c r="L118" i="33"/>
  <c r="L156" i="33" s="1"/>
  <c r="M23" i="33" s="1"/>
  <c r="L36" i="42"/>
  <c r="L105" i="46"/>
  <c r="L107" i="46" s="1"/>
  <c r="K67" i="46"/>
  <c r="K69" i="46" s="1"/>
  <c r="K34" i="42"/>
  <c r="J222" i="47"/>
  <c r="J184" i="47"/>
  <c r="J186" i="47" s="1"/>
  <c r="J60" i="42"/>
  <c r="J115" i="46"/>
  <c r="J153" i="46" s="1"/>
  <c r="K20" i="46" s="1"/>
  <c r="K86" i="46"/>
  <c r="K88" i="46" s="1"/>
  <c r="K35" i="42"/>
  <c r="L159" i="34"/>
  <c r="L122" i="33"/>
  <c r="L160" i="33" s="1"/>
  <c r="M27" i="33" s="1"/>
  <c r="J116" i="46"/>
  <c r="J154" i="46" s="1"/>
  <c r="K21" i="46" s="1"/>
  <c r="J74" i="42"/>
  <c r="O63" i="32"/>
  <c r="O63" i="47" s="1"/>
  <c r="O179" i="47" s="1"/>
  <c r="O237" i="47" s="1"/>
  <c r="P34" i="47" s="1"/>
  <c r="L119" i="42"/>
  <c r="K161" i="42"/>
  <c r="K133" i="42"/>
  <c r="J119" i="42"/>
  <c r="L16" i="34"/>
  <c r="L89" i="34"/>
  <c r="L117" i="33"/>
  <c r="L155" i="33" s="1"/>
  <c r="M22" i="33" s="1"/>
  <c r="L47" i="34"/>
  <c r="L114" i="33"/>
  <c r="L152" i="33" s="1"/>
  <c r="M19" i="33" s="1"/>
  <c r="M161" i="42"/>
  <c r="J88" i="42"/>
  <c r="J117" i="46"/>
  <c r="J155" i="46" s="1"/>
  <c r="K22" i="46" s="1"/>
  <c r="J105" i="42"/>
  <c r="L151" i="33"/>
  <c r="L86" i="46"/>
  <c r="L88" i="46" s="1"/>
  <c r="L35" i="42"/>
  <c r="N34" i="42"/>
  <c r="N67" i="46"/>
  <c r="N69" i="46" s="1"/>
  <c r="K119" i="42"/>
  <c r="K63" i="42"/>
  <c r="J143" i="46"/>
  <c r="J145" i="46" s="1"/>
  <c r="J147" i="42"/>
  <c r="L33" i="34"/>
  <c r="L38" i="34" s="1"/>
  <c r="L48" i="33"/>
  <c r="L50" i="33" s="1"/>
  <c r="L42" i="46"/>
  <c r="L103" i="42" s="1"/>
  <c r="L40" i="46"/>
  <c r="L75" i="42" s="1"/>
  <c r="L44" i="46"/>
  <c r="L131" i="42" s="1"/>
  <c r="L45" i="46"/>
  <c r="L145" i="42" s="1"/>
  <c r="L38" i="46"/>
  <c r="L47" i="42" s="1"/>
  <c r="L37" i="46"/>
  <c r="L68" i="47"/>
  <c r="L70" i="47" s="1"/>
  <c r="L41" i="46"/>
  <c r="L89" i="42" s="1"/>
  <c r="L43" i="46"/>
  <c r="L117" i="42" s="1"/>
  <c r="L39" i="46"/>
  <c r="L61" i="42" s="1"/>
  <c r="L46" i="46"/>
  <c r="L159" i="42" s="1"/>
  <c r="J116" i="42"/>
  <c r="J119" i="46"/>
  <c r="J157" i="46" s="1"/>
  <c r="K24" i="46" s="1"/>
  <c r="K105" i="42"/>
  <c r="K36" i="42"/>
  <c r="K105" i="46"/>
  <c r="K107" i="46" s="1"/>
  <c r="L117" i="34"/>
  <c r="L119" i="33"/>
  <c r="L157" i="33" s="1"/>
  <c r="M24" i="33" s="1"/>
  <c r="L192" i="32"/>
  <c r="L194" i="32" s="1"/>
  <c r="L231" i="32"/>
  <c r="J144" i="42"/>
  <c r="J121" i="46"/>
  <c r="J159" i="46" s="1"/>
  <c r="K26" i="46" s="1"/>
  <c r="L131" i="34"/>
  <c r="L120" i="33"/>
  <c r="L158" i="33" s="1"/>
  <c r="M25" i="33" s="1"/>
  <c r="J102" i="42"/>
  <c r="J118" i="46"/>
  <c r="J156" i="46" s="1"/>
  <c r="K23" i="46" s="1"/>
  <c r="O105" i="46"/>
  <c r="O107" i="46" s="1"/>
  <c r="O36" i="42"/>
  <c r="M67" i="46"/>
  <c r="M69" i="46" s="1"/>
  <c r="M34" i="42"/>
  <c r="K49" i="42"/>
  <c r="J161" i="42"/>
  <c r="M36" i="42"/>
  <c r="M105" i="46"/>
  <c r="M107" i="46" s="1"/>
  <c r="M143" i="46"/>
  <c r="M145" i="46" s="1"/>
  <c r="L61" i="34"/>
  <c r="L115" i="33"/>
  <c r="L153" i="33" s="1"/>
  <c r="M20" i="33" s="1"/>
  <c r="K147" i="42"/>
  <c r="J49" i="42"/>
  <c r="K48" i="46"/>
  <c r="K50" i="46" s="1"/>
  <c r="K33" i="42"/>
  <c r="J34" i="42"/>
  <c r="J67" i="46"/>
  <c r="J69" i="46" s="1"/>
  <c r="L75" i="34"/>
  <c r="L116" i="33"/>
  <c r="L154" i="33" s="1"/>
  <c r="M21" i="33" s="1"/>
  <c r="L163" i="47"/>
  <c r="J32" i="42"/>
  <c r="J113" i="46"/>
  <c r="J29" i="46"/>
  <c r="J31" i="46" s="1"/>
  <c r="J130" i="42"/>
  <c r="J120" i="46"/>
  <c r="J158" i="46" s="1"/>
  <c r="K25" i="46" s="1"/>
  <c r="N143" i="46"/>
  <c r="N145" i="46" s="1"/>
  <c r="M86" i="46"/>
  <c r="M88" i="46" s="1"/>
  <c r="M35" i="42"/>
  <c r="J36" i="42"/>
  <c r="J105" i="46"/>
  <c r="J107" i="46" s="1"/>
  <c r="K143" i="46"/>
  <c r="K145" i="46" s="1"/>
  <c r="M91" i="42"/>
  <c r="J63" i="42"/>
  <c r="N36" i="42"/>
  <c r="N105" i="46"/>
  <c r="N107" i="46" s="1"/>
  <c r="K19" i="45"/>
  <c r="J242" i="45"/>
  <c r="J244" i="45" s="1"/>
  <c r="L145" i="34"/>
  <c r="L121" i="33"/>
  <c r="L159" i="33" s="1"/>
  <c r="M26" i="33" s="1"/>
  <c r="J158" i="42"/>
  <c r="J122" i="46"/>
  <c r="J160" i="46" s="1"/>
  <c r="K27" i="46" s="1"/>
  <c r="J114" i="46"/>
  <c r="J152" i="46" s="1"/>
  <c r="K19" i="46" s="1"/>
  <c r="J46" i="42"/>
  <c r="O34" i="42"/>
  <c r="O67" i="46"/>
  <c r="O69" i="46" s="1"/>
  <c r="Q193" i="47" l="1"/>
  <c r="Q213" i="45"/>
  <c r="Q215" i="45" s="1"/>
  <c r="P140" i="46"/>
  <c r="P134" i="46"/>
  <c r="P141" i="46"/>
  <c r="P136" i="46"/>
  <c r="P138" i="46"/>
  <c r="P137" i="46"/>
  <c r="P132" i="46"/>
  <c r="P133" i="46"/>
  <c r="P213" i="47"/>
  <c r="P215" i="47" s="1"/>
  <c r="P139" i="46"/>
  <c r="P135" i="46"/>
  <c r="S16" i="43"/>
  <c r="R195" i="45"/>
  <c r="R195" i="47" s="1"/>
  <c r="R193" i="45"/>
  <c r="R197" i="45"/>
  <c r="R197" i="47" s="1"/>
  <c r="R196" i="45"/>
  <c r="R196" i="47" s="1"/>
  <c r="O190" i="32"/>
  <c r="L185" i="37"/>
  <c r="M18" i="37"/>
  <c r="L180" i="37"/>
  <c r="L182" i="37" s="1"/>
  <c r="K122" i="46"/>
  <c r="K160" i="46" s="1"/>
  <c r="L27" i="46" s="1"/>
  <c r="K158" i="42"/>
  <c r="M19" i="42"/>
  <c r="K119" i="46"/>
  <c r="K157" i="46" s="1"/>
  <c r="L24" i="46" s="1"/>
  <c r="K116" i="42"/>
  <c r="K114" i="46"/>
  <c r="K152" i="46" s="1"/>
  <c r="L19" i="46" s="1"/>
  <c r="K46" i="42"/>
  <c r="K164" i="45"/>
  <c r="K39" i="45"/>
  <c r="K41" i="45" s="1"/>
  <c r="J20" i="42"/>
  <c r="J151" i="46"/>
  <c r="J124" i="46"/>
  <c r="J126" i="46" s="1"/>
  <c r="J18" i="42"/>
  <c r="J150" i="42"/>
  <c r="J152" i="42" s="1"/>
  <c r="L33" i="42"/>
  <c r="L48" i="46"/>
  <c r="L50" i="46" s="1"/>
  <c r="L52" i="34"/>
  <c r="L54" i="34" s="1"/>
  <c r="K116" i="46"/>
  <c r="K154" i="46" s="1"/>
  <c r="L21" i="46" s="1"/>
  <c r="K74" i="42"/>
  <c r="J242" i="47"/>
  <c r="J244" i="47" s="1"/>
  <c r="K19" i="47"/>
  <c r="J164" i="42"/>
  <c r="J166" i="42" s="1"/>
  <c r="C30" i="51"/>
  <c r="N20" i="42"/>
  <c r="C17" i="51" s="1"/>
  <c r="L221" i="47"/>
  <c r="M20" i="42"/>
  <c r="K118" i="46"/>
  <c r="K156" i="46" s="1"/>
  <c r="L23" i="46" s="1"/>
  <c r="K102" i="42"/>
  <c r="J122" i="42"/>
  <c r="J124" i="42" s="1"/>
  <c r="L124" i="33"/>
  <c r="L126" i="33" s="1"/>
  <c r="L94" i="34"/>
  <c r="L96" i="34" s="1"/>
  <c r="L164" i="34"/>
  <c r="L166" i="34" s="1"/>
  <c r="M88" i="34"/>
  <c r="M144" i="34"/>
  <c r="M74" i="34"/>
  <c r="J108" i="42"/>
  <c r="J110" i="42" s="1"/>
  <c r="M116" i="34"/>
  <c r="L40" i="34"/>
  <c r="K19" i="42"/>
  <c r="L18" i="42"/>
  <c r="K17" i="42"/>
  <c r="M158" i="34"/>
  <c r="L150" i="34"/>
  <c r="L152" i="34" s="1"/>
  <c r="L80" i="34"/>
  <c r="L82" i="34" s="1"/>
  <c r="M130" i="34"/>
  <c r="L122" i="34"/>
  <c r="L124" i="34" s="1"/>
  <c r="K88" i="42"/>
  <c r="K117" i="46"/>
  <c r="K155" i="46" s="1"/>
  <c r="L22" i="46" s="1"/>
  <c r="O187" i="32"/>
  <c r="O247" i="32" s="1"/>
  <c r="P34" i="32" s="1"/>
  <c r="L20" i="42"/>
  <c r="K18" i="42"/>
  <c r="K130" i="42"/>
  <c r="K120" i="46"/>
  <c r="K158" i="46" s="1"/>
  <c r="L25" i="46" s="1"/>
  <c r="M18" i="42"/>
  <c r="L136" i="34"/>
  <c r="L138" i="34" s="1"/>
  <c r="N18" i="42"/>
  <c r="C15" i="51" s="1"/>
  <c r="C28" i="51"/>
  <c r="J94" i="42"/>
  <c r="J96" i="42" s="1"/>
  <c r="K60" i="42"/>
  <c r="K115" i="46"/>
  <c r="K153" i="46" s="1"/>
  <c r="L20" i="46" s="1"/>
  <c r="M102" i="34"/>
  <c r="J17" i="42"/>
  <c r="L162" i="33"/>
  <c r="M18" i="33"/>
  <c r="J136" i="42"/>
  <c r="J138" i="42" s="1"/>
  <c r="M60" i="34"/>
  <c r="J66" i="42"/>
  <c r="J68" i="42" s="1"/>
  <c r="L108" i="34"/>
  <c r="L110" i="34" s="1"/>
  <c r="J19" i="42"/>
  <c r="J16" i="42"/>
  <c r="J38" i="42"/>
  <c r="L257" i="32"/>
  <c r="M18" i="32"/>
  <c r="L252" i="32"/>
  <c r="L254" i="32" s="1"/>
  <c r="J52" i="42"/>
  <c r="J54" i="42" s="1"/>
  <c r="L66" i="34"/>
  <c r="L68" i="34" s="1"/>
  <c r="O20" i="42"/>
  <c r="D17" i="51" s="1"/>
  <c r="D30" i="51"/>
  <c r="K121" i="46"/>
  <c r="K159" i="46" s="1"/>
  <c r="L26" i="46" s="1"/>
  <c r="K144" i="42"/>
  <c r="K20" i="42"/>
  <c r="L17" i="34"/>
  <c r="L19" i="42"/>
  <c r="M46" i="34"/>
  <c r="J80" i="42"/>
  <c r="J82" i="42" s="1"/>
  <c r="D28" i="51"/>
  <c r="O18" i="42"/>
  <c r="D15" i="51" s="1"/>
  <c r="P143" i="46" l="1"/>
  <c r="T16" i="43"/>
  <c r="S195" i="45"/>
  <c r="S195" i="47" s="1"/>
  <c r="S193" i="45"/>
  <c r="S197" i="45"/>
  <c r="S197" i="47" s="1"/>
  <c r="S196" i="45"/>
  <c r="S196" i="47" s="1"/>
  <c r="R213" i="45"/>
  <c r="R215" i="45" s="1"/>
  <c r="R193" i="47"/>
  <c r="P145" i="46"/>
  <c r="Q136" i="46"/>
  <c r="Q134" i="46"/>
  <c r="Q139" i="46"/>
  <c r="Q141" i="46"/>
  <c r="Q138" i="46"/>
  <c r="Q133" i="46"/>
  <c r="Q135" i="46"/>
  <c r="Q132" i="46"/>
  <c r="Q140" i="46"/>
  <c r="Q137" i="46"/>
  <c r="Q213" i="47"/>
  <c r="Q215" i="47" s="1"/>
  <c r="L184" i="37"/>
  <c r="M30" i="37"/>
  <c r="M32" i="37" s="1"/>
  <c r="M38" i="37"/>
  <c r="K18" i="46"/>
  <c r="J162" i="46"/>
  <c r="J164" i="46" s="1"/>
  <c r="L117" i="46"/>
  <c r="L155" i="46" s="1"/>
  <c r="M22" i="46" s="1"/>
  <c r="L88" i="42"/>
  <c r="K108" i="42"/>
  <c r="K110" i="42" s="1"/>
  <c r="K122" i="42"/>
  <c r="K124" i="42" s="1"/>
  <c r="K150" i="42"/>
  <c r="K152" i="42" s="1"/>
  <c r="K94" i="42"/>
  <c r="K96" i="42" s="1"/>
  <c r="L118" i="46"/>
  <c r="L156" i="46" s="1"/>
  <c r="M23" i="46" s="1"/>
  <c r="L102" i="42"/>
  <c r="L17" i="42"/>
  <c r="L119" i="46"/>
  <c r="L157" i="46" s="1"/>
  <c r="M24" i="46" s="1"/>
  <c r="L116" i="42"/>
  <c r="L144" i="42"/>
  <c r="L121" i="46"/>
  <c r="L159" i="46" s="1"/>
  <c r="M26" i="46" s="1"/>
  <c r="L115" i="46"/>
  <c r="L153" i="46" s="1"/>
  <c r="M20" i="46" s="1"/>
  <c r="L60" i="42"/>
  <c r="L22" i="34"/>
  <c r="K39" i="47"/>
  <c r="K41" i="47" s="1"/>
  <c r="K164" i="47"/>
  <c r="M39" i="32"/>
  <c r="M41" i="32" s="1"/>
  <c r="M47" i="32"/>
  <c r="K66" i="42"/>
  <c r="K68" i="42" s="1"/>
  <c r="K184" i="45"/>
  <c r="K186" i="45" s="1"/>
  <c r="K222" i="45"/>
  <c r="M29" i="33"/>
  <c r="M32" i="34"/>
  <c r="L120" i="46"/>
  <c r="L158" i="46" s="1"/>
  <c r="M25" i="46" s="1"/>
  <c r="L130" i="42"/>
  <c r="K80" i="42"/>
  <c r="K82" i="42" s="1"/>
  <c r="K52" i="42"/>
  <c r="K54" i="42" s="1"/>
  <c r="K164" i="42"/>
  <c r="K166" i="42" s="1"/>
  <c r="J22" i="42"/>
  <c r="J40" i="42"/>
  <c r="L164" i="33"/>
  <c r="K136" i="42"/>
  <c r="K138" i="42" s="1"/>
  <c r="M18" i="47"/>
  <c r="L116" i="46"/>
  <c r="L154" i="46" s="1"/>
  <c r="M21" i="46" s="1"/>
  <c r="L74" i="42"/>
  <c r="L46" i="42"/>
  <c r="L114" i="46"/>
  <c r="L152" i="46" s="1"/>
  <c r="M19" i="46" s="1"/>
  <c r="L122" i="46"/>
  <c r="L160" i="46" s="1"/>
  <c r="M27" i="46" s="1"/>
  <c r="L158" i="42"/>
  <c r="Q143" i="46" l="1"/>
  <c r="Q145" i="46" s="1"/>
  <c r="R140" i="46"/>
  <c r="R136" i="46"/>
  <c r="R137" i="46"/>
  <c r="R138" i="46"/>
  <c r="R135" i="46"/>
  <c r="R139" i="46"/>
  <c r="R213" i="47"/>
  <c r="R215" i="47" s="1"/>
  <c r="R141" i="46"/>
  <c r="R134" i="46"/>
  <c r="R132" i="46"/>
  <c r="R133" i="46"/>
  <c r="S193" i="47"/>
  <c r="S213" i="45"/>
  <c r="S215" i="45" s="1"/>
  <c r="T193" i="45"/>
  <c r="T197" i="45"/>
  <c r="T197" i="47" s="1"/>
  <c r="T196" i="45"/>
  <c r="T196" i="47" s="1"/>
  <c r="T195" i="45"/>
  <c r="T195" i="47" s="1"/>
  <c r="M126" i="37"/>
  <c r="M50" i="37"/>
  <c r="M31" i="33"/>
  <c r="M158" i="42"/>
  <c r="K222" i="47"/>
  <c r="K184" i="47"/>
  <c r="K186" i="47" s="1"/>
  <c r="L66" i="42"/>
  <c r="L68" i="42" s="1"/>
  <c r="M46" i="42"/>
  <c r="M16" i="34"/>
  <c r="M60" i="42"/>
  <c r="L52" i="42"/>
  <c r="L54" i="42" s="1"/>
  <c r="J24" i="42"/>
  <c r="M144" i="42"/>
  <c r="L108" i="42"/>
  <c r="L110" i="42" s="1"/>
  <c r="L80" i="42"/>
  <c r="L82" i="42" s="1"/>
  <c r="L150" i="42"/>
  <c r="L152" i="42" s="1"/>
  <c r="M102" i="42"/>
  <c r="L94" i="42"/>
  <c r="L96" i="42" s="1"/>
  <c r="M74" i="42"/>
  <c r="M88" i="42"/>
  <c r="L24" i="34"/>
  <c r="L136" i="42"/>
  <c r="L138" i="42" s="1"/>
  <c r="K242" i="45"/>
  <c r="K244" i="45" s="1"/>
  <c r="L19" i="45"/>
  <c r="M171" i="32"/>
  <c r="M68" i="32"/>
  <c r="M38" i="33"/>
  <c r="M42" i="33"/>
  <c r="M39" i="33"/>
  <c r="M44" i="33"/>
  <c r="M41" i="33"/>
  <c r="M37" i="33"/>
  <c r="M45" i="33"/>
  <c r="M46" i="33"/>
  <c r="M43" i="33"/>
  <c r="M40" i="33"/>
  <c r="M47" i="47"/>
  <c r="M163" i="47" s="1"/>
  <c r="L122" i="42"/>
  <c r="L124" i="42" s="1"/>
  <c r="L164" i="42"/>
  <c r="L166" i="42" s="1"/>
  <c r="M130" i="42"/>
  <c r="M116" i="42"/>
  <c r="K113" i="46"/>
  <c r="K32" i="42"/>
  <c r="K29" i="46"/>
  <c r="K31" i="46" s="1"/>
  <c r="R143" i="46" l="1"/>
  <c r="S135" i="46"/>
  <c r="S140" i="46"/>
  <c r="S134" i="46"/>
  <c r="S138" i="46"/>
  <c r="S132" i="46"/>
  <c r="S213" i="47"/>
  <c r="S215" i="47" s="1"/>
  <c r="S136" i="46"/>
  <c r="S137" i="46"/>
  <c r="S133" i="46"/>
  <c r="S139" i="46"/>
  <c r="S141" i="46"/>
  <c r="T213" i="45"/>
  <c r="T215" i="45" s="1"/>
  <c r="T193" i="47"/>
  <c r="R145" i="46"/>
  <c r="M52" i="37"/>
  <c r="M54" i="37"/>
  <c r="M168" i="37"/>
  <c r="M138" i="37"/>
  <c r="M140" i="37" s="1"/>
  <c r="M221" i="47"/>
  <c r="K16" i="42"/>
  <c r="K38" i="42"/>
  <c r="M159" i="34"/>
  <c r="M122" i="33"/>
  <c r="M160" i="33" s="1"/>
  <c r="N27" i="33" s="1"/>
  <c r="N158" i="34" s="1"/>
  <c r="K88" i="51" s="1"/>
  <c r="M70" i="32"/>
  <c r="M72" i="32"/>
  <c r="K124" i="46"/>
  <c r="K126" i="46" s="1"/>
  <c r="K151" i="46"/>
  <c r="M145" i="34"/>
  <c r="M121" i="33"/>
  <c r="M159" i="33" s="1"/>
  <c r="N26" i="33" s="1"/>
  <c r="N144" i="34" s="1"/>
  <c r="K81" i="51" s="1"/>
  <c r="M231" i="32"/>
  <c r="M192" i="32"/>
  <c r="M194" i="32" s="1"/>
  <c r="M48" i="33"/>
  <c r="M50" i="33" s="1"/>
  <c r="M33" i="34"/>
  <c r="M113" i="33"/>
  <c r="M89" i="34"/>
  <c r="M117" i="33"/>
  <c r="M155" i="33" s="1"/>
  <c r="N22" i="33" s="1"/>
  <c r="N88" i="34" s="1"/>
  <c r="K54" i="51" s="1"/>
  <c r="L19" i="47"/>
  <c r="K242" i="47"/>
  <c r="K244" i="47" s="1"/>
  <c r="M131" i="34"/>
  <c r="M120" i="33"/>
  <c r="M158" i="33" s="1"/>
  <c r="N25" i="33" s="1"/>
  <c r="N130" i="34" s="1"/>
  <c r="K74" i="51" s="1"/>
  <c r="L164" i="45"/>
  <c r="L39" i="45"/>
  <c r="L41" i="45" s="1"/>
  <c r="M38" i="46"/>
  <c r="M39" i="46"/>
  <c r="M46" i="46"/>
  <c r="M68" i="47"/>
  <c r="M70" i="47" s="1"/>
  <c r="M41" i="46"/>
  <c r="M42" i="46"/>
  <c r="M43" i="46"/>
  <c r="M40" i="46"/>
  <c r="M37" i="46"/>
  <c r="M44" i="46"/>
  <c r="M45" i="46"/>
  <c r="M61" i="34"/>
  <c r="M115" i="33"/>
  <c r="M153" i="33" s="1"/>
  <c r="N20" i="33" s="1"/>
  <c r="N60" i="34" s="1"/>
  <c r="K40" i="51" s="1"/>
  <c r="M75" i="34"/>
  <c r="M116" i="33"/>
  <c r="M154" i="33" s="1"/>
  <c r="N21" i="33" s="1"/>
  <c r="N74" i="34" s="1"/>
  <c r="K47" i="51" s="1"/>
  <c r="M103" i="34"/>
  <c r="M118" i="33"/>
  <c r="M156" i="33" s="1"/>
  <c r="N23" i="33" s="1"/>
  <c r="N102" i="34" s="1"/>
  <c r="K61" i="51" s="1"/>
  <c r="M117" i="34"/>
  <c r="M119" i="33"/>
  <c r="M157" i="33" s="1"/>
  <c r="N24" i="33" s="1"/>
  <c r="N116" i="34" s="1"/>
  <c r="K68" i="51" s="1"/>
  <c r="M47" i="34"/>
  <c r="M114" i="33"/>
  <c r="M152" i="33" s="1"/>
  <c r="N19" i="33" s="1"/>
  <c r="N46" i="34" s="1"/>
  <c r="K33" i="51" s="1"/>
  <c r="S143" i="46" l="1"/>
  <c r="T140" i="46"/>
  <c r="T141" i="46"/>
  <c r="T138" i="46"/>
  <c r="T137" i="46"/>
  <c r="T213" i="47"/>
  <c r="T215" i="47" s="1"/>
  <c r="T132" i="46"/>
  <c r="T134" i="46"/>
  <c r="T133" i="46"/>
  <c r="T135" i="46"/>
  <c r="T136" i="46"/>
  <c r="T139" i="46"/>
  <c r="S145" i="46"/>
  <c r="M185" i="37"/>
  <c r="M180" i="37"/>
  <c r="N18" i="37"/>
  <c r="G61" i="31"/>
  <c r="G73" i="31" s="1"/>
  <c r="M122" i="34"/>
  <c r="M124" i="34" s="1"/>
  <c r="M117" i="42"/>
  <c r="M119" i="46"/>
  <c r="M157" i="46" s="1"/>
  <c r="N24" i="46" s="1"/>
  <c r="N116" i="42" s="1"/>
  <c r="C68" i="51" s="1"/>
  <c r="M94" i="34"/>
  <c r="M96" i="34" s="1"/>
  <c r="M17" i="34"/>
  <c r="M38" i="34"/>
  <c r="L18" i="46"/>
  <c r="K162" i="46"/>
  <c r="K164" i="46" s="1"/>
  <c r="M164" i="34"/>
  <c r="M166" i="34" s="1"/>
  <c r="M103" i="42"/>
  <c r="M118" i="46"/>
  <c r="M156" i="46" s="1"/>
  <c r="N23" i="46" s="1"/>
  <c r="N102" i="42" s="1"/>
  <c r="C61" i="51" s="1"/>
  <c r="M108" i="34"/>
  <c r="M110" i="34" s="1"/>
  <c r="M89" i="42"/>
  <c r="M117" i="46"/>
  <c r="M155" i="46" s="1"/>
  <c r="N22" i="46" s="1"/>
  <c r="N88" i="42" s="1"/>
  <c r="C54" i="51" s="1"/>
  <c r="M66" i="34"/>
  <c r="M68" i="34" s="1"/>
  <c r="K22" i="42"/>
  <c r="K40" i="42"/>
  <c r="M80" i="34"/>
  <c r="M82" i="34" s="1"/>
  <c r="M145" i="42"/>
  <c r="M121" i="46"/>
  <c r="M159" i="46" s="1"/>
  <c r="N26" i="46" s="1"/>
  <c r="N144" i="42" s="1"/>
  <c r="C81" i="51" s="1"/>
  <c r="M159" i="42"/>
  <c r="M122" i="46"/>
  <c r="M160" i="46" s="1"/>
  <c r="N27" i="46" s="1"/>
  <c r="N158" i="42" s="1"/>
  <c r="C88" i="51" s="1"/>
  <c r="L256" i="32"/>
  <c r="M131" i="42"/>
  <c r="M120" i="46"/>
  <c r="M158" i="46" s="1"/>
  <c r="N25" i="46" s="1"/>
  <c r="N130" i="42" s="1"/>
  <c r="C74" i="51" s="1"/>
  <c r="M61" i="42"/>
  <c r="M115" i="46"/>
  <c r="M153" i="46" s="1"/>
  <c r="N20" i="46" s="1"/>
  <c r="N60" i="42" s="1"/>
  <c r="C40" i="51" s="1"/>
  <c r="L222" i="45"/>
  <c r="L184" i="45"/>
  <c r="L186" i="45" s="1"/>
  <c r="M257" i="32"/>
  <c r="M252" i="32"/>
  <c r="M254" i="32" s="1"/>
  <c r="N18" i="32"/>
  <c r="M52" i="34"/>
  <c r="M54" i="34" s="1"/>
  <c r="M48" i="46"/>
  <c r="M50" i="46" s="1"/>
  <c r="M33" i="42"/>
  <c r="M47" i="42"/>
  <c r="M114" i="46"/>
  <c r="M152" i="46" s="1"/>
  <c r="N19" i="46" s="1"/>
  <c r="N46" i="42" s="1"/>
  <c r="C33" i="51" s="1"/>
  <c r="M75" i="42"/>
  <c r="M116" i="46"/>
  <c r="M154" i="46" s="1"/>
  <c r="N21" i="46" s="1"/>
  <c r="N74" i="42" s="1"/>
  <c r="C47" i="51" s="1"/>
  <c r="M136" i="34"/>
  <c r="M138" i="34" s="1"/>
  <c r="L164" i="47"/>
  <c r="L39" i="47"/>
  <c r="L41" i="47" s="1"/>
  <c r="M151" i="33"/>
  <c r="M124" i="33"/>
  <c r="M126" i="33" s="1"/>
  <c r="M150" i="34"/>
  <c r="M152" i="34" s="1"/>
  <c r="N18" i="47"/>
  <c r="T143" i="46" l="1"/>
  <c r="T145" i="46"/>
  <c r="G84" i="31"/>
  <c r="G75" i="31"/>
  <c r="A75" i="31" s="1"/>
  <c r="G82" i="31"/>
  <c r="L35" i="31" s="1"/>
  <c r="G83" i="31"/>
  <c r="M35" i="31" s="1"/>
  <c r="N30" i="37"/>
  <c r="N32" i="37" s="1"/>
  <c r="N38" i="37"/>
  <c r="M184" i="37"/>
  <c r="M182" i="37"/>
  <c r="M162" i="33"/>
  <c r="M164" i="33" s="1"/>
  <c r="N18" i="33"/>
  <c r="N47" i="32"/>
  <c r="N39" i="32"/>
  <c r="N41" i="32" s="1"/>
  <c r="M66" i="42"/>
  <c r="M68" i="42" s="1"/>
  <c r="L222" i="47"/>
  <c r="L184" i="47"/>
  <c r="L186" i="47" s="1"/>
  <c r="M136" i="42"/>
  <c r="M138" i="42" s="1"/>
  <c r="M94" i="42"/>
  <c r="M96" i="42" s="1"/>
  <c r="L29" i="46"/>
  <c r="L31" i="46" s="1"/>
  <c r="L32" i="42"/>
  <c r="L113" i="46"/>
  <c r="M52" i="42"/>
  <c r="M54" i="42" s="1"/>
  <c r="M164" i="42"/>
  <c r="M166" i="42" s="1"/>
  <c r="K24" i="42"/>
  <c r="M22" i="34"/>
  <c r="M40" i="34"/>
  <c r="M17" i="42"/>
  <c r="M108" i="42"/>
  <c r="M110" i="42" s="1"/>
  <c r="M150" i="42"/>
  <c r="M152" i="42" s="1"/>
  <c r="M122" i="42"/>
  <c r="M124" i="42" s="1"/>
  <c r="M19" i="45"/>
  <c r="L242" i="45"/>
  <c r="L244" i="45" s="1"/>
  <c r="M80" i="42"/>
  <c r="M82" i="42" s="1"/>
  <c r="Q101" i="38" l="1"/>
  <c r="Q134" i="39" s="1"/>
  <c r="J63" i="38"/>
  <c r="L101" i="38"/>
  <c r="J44" i="38"/>
  <c r="J131" i="39" s="1"/>
  <c r="S82" i="38"/>
  <c r="L44" i="38"/>
  <c r="L131" i="39" s="1"/>
  <c r="N101" i="38"/>
  <c r="N134" i="39" s="1"/>
  <c r="S78" i="51" s="1"/>
  <c r="R101" i="38"/>
  <c r="M82" i="38"/>
  <c r="J82" i="38"/>
  <c r="K101" i="38"/>
  <c r="N35" i="31"/>
  <c r="M44" i="38"/>
  <c r="M131" i="39" s="1"/>
  <c r="S139" i="38"/>
  <c r="O63" i="38"/>
  <c r="T101" i="38"/>
  <c r="L82" i="38"/>
  <c r="P101" i="38"/>
  <c r="T82" i="38"/>
  <c r="M63" i="38"/>
  <c r="M132" i="39" s="1"/>
  <c r="N82" i="38"/>
  <c r="T139" i="38"/>
  <c r="J101" i="38"/>
  <c r="N139" i="38"/>
  <c r="O82" i="38"/>
  <c r="M101" i="38"/>
  <c r="S101" i="38"/>
  <c r="K139" i="38"/>
  <c r="K63" i="38"/>
  <c r="K132" i="39" s="1"/>
  <c r="K82" i="38"/>
  <c r="R139" i="38"/>
  <c r="L139" i="38"/>
  <c r="J139" i="38"/>
  <c r="R82" i="38"/>
  <c r="J25" i="38"/>
  <c r="M139" i="38"/>
  <c r="O101" i="38"/>
  <c r="O134" i="39" s="1"/>
  <c r="T78" i="51" s="1"/>
  <c r="Q82" i="38"/>
  <c r="L63" i="38"/>
  <c r="L132" i="39" s="1"/>
  <c r="P139" i="38"/>
  <c r="N63" i="38"/>
  <c r="N132" i="39" s="1"/>
  <c r="Q139" i="38"/>
  <c r="P82" i="38"/>
  <c r="K44" i="38"/>
  <c r="K131" i="39" s="1"/>
  <c r="N44" i="38"/>
  <c r="N131" i="39" s="1"/>
  <c r="S75" i="51" s="1"/>
  <c r="N45" i="38"/>
  <c r="N145" i="39" s="1"/>
  <c r="S82" i="51" s="1"/>
  <c r="N126" i="37"/>
  <c r="N50" i="37"/>
  <c r="S83" i="38"/>
  <c r="N140" i="38"/>
  <c r="J140" i="38"/>
  <c r="Q140" i="38"/>
  <c r="Q102" i="38"/>
  <c r="Q148" i="39" s="1"/>
  <c r="P102" i="38"/>
  <c r="P148" i="39" s="1"/>
  <c r="T102" i="38"/>
  <c r="T148" i="39" s="1"/>
  <c r="N64" i="38"/>
  <c r="N146" i="39" s="1"/>
  <c r="S83" i="51" s="1"/>
  <c r="T140" i="38"/>
  <c r="J83" i="38"/>
  <c r="N102" i="38"/>
  <c r="N148" i="39" s="1"/>
  <c r="S85" i="51" s="1"/>
  <c r="O102" i="38"/>
  <c r="O148" i="39" s="1"/>
  <c r="T85" i="51" s="1"/>
  <c r="Q83" i="38"/>
  <c r="K45" i="38"/>
  <c r="K145" i="39" s="1"/>
  <c r="L64" i="38"/>
  <c r="L146" i="39" s="1"/>
  <c r="P140" i="38"/>
  <c r="M83" i="38"/>
  <c r="J26" i="38"/>
  <c r="L45" i="38"/>
  <c r="L145" i="39" s="1"/>
  <c r="K102" i="38"/>
  <c r="K148" i="39" s="1"/>
  <c r="K83" i="38"/>
  <c r="J45" i="38"/>
  <c r="J145" i="39" s="1"/>
  <c r="O83" i="38"/>
  <c r="M64" i="38"/>
  <c r="M146" i="39" s="1"/>
  <c r="R83" i="38"/>
  <c r="M45" i="38"/>
  <c r="M145" i="39" s="1"/>
  <c r="K64" i="38"/>
  <c r="K146" i="39" s="1"/>
  <c r="S102" i="38"/>
  <c r="S148" i="39" s="1"/>
  <c r="T83" i="38"/>
  <c r="L140" i="38"/>
  <c r="O64" i="38"/>
  <c r="O146" i="39" s="1"/>
  <c r="T83" i="51" s="1"/>
  <c r="N83" i="38"/>
  <c r="R140" i="38"/>
  <c r="S140" i="38"/>
  <c r="M140" i="38"/>
  <c r="J64" i="38"/>
  <c r="J146" i="39" s="1"/>
  <c r="K140" i="38"/>
  <c r="P83" i="38"/>
  <c r="R102" i="38"/>
  <c r="R148" i="39" s="1"/>
  <c r="L83" i="38"/>
  <c r="M102" i="38"/>
  <c r="M148" i="39" s="1"/>
  <c r="J102" i="38"/>
  <c r="J148" i="39" s="1"/>
  <c r="L102" i="38"/>
  <c r="L148" i="39" s="1"/>
  <c r="N39" i="33"/>
  <c r="N61" i="34" s="1"/>
  <c r="K41" i="51" s="1"/>
  <c r="N38" i="33"/>
  <c r="N47" i="34" s="1"/>
  <c r="K34" i="51" s="1"/>
  <c r="N68" i="32"/>
  <c r="N37" i="33"/>
  <c r="N40" i="33"/>
  <c r="N75" i="34" s="1"/>
  <c r="K48" i="51" s="1"/>
  <c r="N41" i="33"/>
  <c r="N89" i="34" s="1"/>
  <c r="K55" i="51" s="1"/>
  <c r="N42" i="33"/>
  <c r="N103" i="34" s="1"/>
  <c r="K62" i="51" s="1"/>
  <c r="N45" i="33"/>
  <c r="N145" i="34" s="1"/>
  <c r="K82" i="51" s="1"/>
  <c r="N46" i="33"/>
  <c r="N159" i="34" s="1"/>
  <c r="K89" i="51" s="1"/>
  <c r="N44" i="33"/>
  <c r="N131" i="34" s="1"/>
  <c r="K75" i="51" s="1"/>
  <c r="N43" i="33"/>
  <c r="N117" i="34" s="1"/>
  <c r="K69" i="51" s="1"/>
  <c r="N47" i="47"/>
  <c r="L151" i="46"/>
  <c r="L124" i="46"/>
  <c r="L126" i="46" s="1"/>
  <c r="L16" i="42"/>
  <c r="L38" i="42"/>
  <c r="N29" i="33"/>
  <c r="N31" i="33" s="1"/>
  <c r="N32" i="34"/>
  <c r="M24" i="34"/>
  <c r="M164" i="45"/>
  <c r="M39" i="45"/>
  <c r="M41" i="45" s="1"/>
  <c r="S76" i="51"/>
  <c r="M19" i="47"/>
  <c r="L242" i="47"/>
  <c r="L244" i="47" s="1"/>
  <c r="N133" i="39" l="1"/>
  <c r="S77" i="51" s="1"/>
  <c r="S133" i="39"/>
  <c r="T133" i="39"/>
  <c r="N147" i="39"/>
  <c r="S84" i="51" s="1"/>
  <c r="M147" i="39"/>
  <c r="Q133" i="39"/>
  <c r="L133" i="39"/>
  <c r="P147" i="39"/>
  <c r="T147" i="39"/>
  <c r="Q147" i="39"/>
  <c r="L147" i="39"/>
  <c r="R147" i="39"/>
  <c r="J121" i="38"/>
  <c r="J159" i="38" s="1"/>
  <c r="K26" i="38" s="1"/>
  <c r="J144" i="39"/>
  <c r="J147" i="39"/>
  <c r="N54" i="37"/>
  <c r="N52" i="37"/>
  <c r="P134" i="39"/>
  <c r="J133" i="39"/>
  <c r="J132" i="39"/>
  <c r="N168" i="37"/>
  <c r="N138" i="37"/>
  <c r="N140" i="37" s="1"/>
  <c r="M133" i="39"/>
  <c r="P133" i="39"/>
  <c r="K133" i="39"/>
  <c r="T134" i="39"/>
  <c r="R134" i="39"/>
  <c r="J134" i="39"/>
  <c r="O132" i="39"/>
  <c r="K147" i="39"/>
  <c r="S147" i="39"/>
  <c r="J130" i="39"/>
  <c r="J120" i="38"/>
  <c r="J158" i="38" s="1"/>
  <c r="K25" i="38" s="1"/>
  <c r="R133" i="39"/>
  <c r="S134" i="39"/>
  <c r="P103" i="38"/>
  <c r="P162" i="39" s="1"/>
  <c r="S141" i="38"/>
  <c r="S143" i="38" s="1"/>
  <c r="S145" i="38" s="1"/>
  <c r="O103" i="38"/>
  <c r="Q103" i="38"/>
  <c r="L46" i="38"/>
  <c r="N46" i="38"/>
  <c r="K84" i="38"/>
  <c r="N103" i="38"/>
  <c r="K65" i="38"/>
  <c r="J27" i="38"/>
  <c r="M46" i="38"/>
  <c r="R141" i="38"/>
  <c r="R143" i="38" s="1"/>
  <c r="R145" i="38" s="1"/>
  <c r="Q141" i="38"/>
  <c r="Q143" i="38" s="1"/>
  <c r="Q145" i="38" s="1"/>
  <c r="T103" i="38"/>
  <c r="T162" i="39" s="1"/>
  <c r="N141" i="38"/>
  <c r="N143" i="38" s="1"/>
  <c r="N145" i="38" s="1"/>
  <c r="J84" i="38"/>
  <c r="O84" i="38"/>
  <c r="M84" i="38"/>
  <c r="M86" i="38" s="1"/>
  <c r="M88" i="38" s="1"/>
  <c r="R103" i="38"/>
  <c r="R162" i="39" s="1"/>
  <c r="K103" i="38"/>
  <c r="K162" i="39" s="1"/>
  <c r="M141" i="38"/>
  <c r="M143" i="38" s="1"/>
  <c r="M145" i="38" s="1"/>
  <c r="K141" i="38"/>
  <c r="K143" i="38" s="1"/>
  <c r="K145" i="38" s="1"/>
  <c r="L103" i="38"/>
  <c r="L162" i="39" s="1"/>
  <c r="L141" i="38"/>
  <c r="L143" i="38" s="1"/>
  <c r="L145" i="38" s="1"/>
  <c r="O65" i="38"/>
  <c r="O160" i="39" s="1"/>
  <c r="T90" i="51" s="1"/>
  <c r="Q84" i="38"/>
  <c r="T141" i="38"/>
  <c r="T143" i="38" s="1"/>
  <c r="T145" i="38" s="1"/>
  <c r="M103" i="38"/>
  <c r="M162" i="39" s="1"/>
  <c r="L65" i="38"/>
  <c r="P141" i="38"/>
  <c r="P143" i="38" s="1"/>
  <c r="P145" i="38" s="1"/>
  <c r="J103" i="38"/>
  <c r="J162" i="39" s="1"/>
  <c r="M65" i="38"/>
  <c r="L84" i="38"/>
  <c r="A35" i="31"/>
  <c r="A1" i="31" s="1"/>
  <c r="H22" i="25" s="1"/>
  <c r="J65" i="38"/>
  <c r="J160" i="39" s="1"/>
  <c r="S103" i="38"/>
  <c r="S162" i="39" s="1"/>
  <c r="R84" i="38"/>
  <c r="P84" i="38"/>
  <c r="N84" i="38"/>
  <c r="S84" i="38"/>
  <c r="J46" i="38"/>
  <c r="T84" i="38"/>
  <c r="J141" i="38"/>
  <c r="J143" i="38" s="1"/>
  <c r="J145" i="38" s="1"/>
  <c r="N65" i="38"/>
  <c r="K46" i="38"/>
  <c r="M134" i="39"/>
  <c r="K134" i="39"/>
  <c r="L134" i="39"/>
  <c r="M222" i="45"/>
  <c r="M184" i="45"/>
  <c r="M186" i="45" s="1"/>
  <c r="N43" i="46"/>
  <c r="N117" i="42" s="1"/>
  <c r="C69" i="51" s="1"/>
  <c r="N44" i="46"/>
  <c r="N131" i="42" s="1"/>
  <c r="C75" i="51" s="1"/>
  <c r="N46" i="46"/>
  <c r="N159" i="42" s="1"/>
  <c r="C89" i="51" s="1"/>
  <c r="N40" i="46"/>
  <c r="N75" i="42" s="1"/>
  <c r="C48" i="51" s="1"/>
  <c r="N45" i="46"/>
  <c r="N145" i="42" s="1"/>
  <c r="C82" i="51" s="1"/>
  <c r="N41" i="46"/>
  <c r="N89" i="42" s="1"/>
  <c r="C55" i="51" s="1"/>
  <c r="N42" i="46"/>
  <c r="N103" i="42" s="1"/>
  <c r="C62" i="51" s="1"/>
  <c r="N68" i="47"/>
  <c r="N70" i="47" s="1"/>
  <c r="N38" i="46"/>
  <c r="N47" i="42" s="1"/>
  <c r="C34" i="51" s="1"/>
  <c r="N37" i="46"/>
  <c r="N39" i="46"/>
  <c r="N61" i="42" s="1"/>
  <c r="C41" i="51" s="1"/>
  <c r="N33" i="34"/>
  <c r="N48" i="33"/>
  <c r="N50" i="33" s="1"/>
  <c r="N70" i="32"/>
  <c r="N72" i="32"/>
  <c r="N16" i="34"/>
  <c r="K13" i="51" s="1"/>
  <c r="K26" i="51"/>
  <c r="L22" i="42"/>
  <c r="L40" i="42"/>
  <c r="M164" i="47"/>
  <c r="M39" i="47"/>
  <c r="M41" i="47" s="1"/>
  <c r="M18" i="46"/>
  <c r="L162" i="46"/>
  <c r="L164" i="46" s="1"/>
  <c r="K105" i="38" l="1"/>
  <c r="K107" i="38" s="1"/>
  <c r="N161" i="39"/>
  <c r="L105" i="38"/>
  <c r="L107" i="38" s="1"/>
  <c r="L20" i="39"/>
  <c r="S161" i="39"/>
  <c r="S19" i="39" s="1"/>
  <c r="S86" i="38"/>
  <c r="S88" i="38" s="1"/>
  <c r="L161" i="39"/>
  <c r="L86" i="38"/>
  <c r="L88" i="38" s="1"/>
  <c r="J122" i="38"/>
  <c r="J29" i="38"/>
  <c r="J31" i="38" s="1"/>
  <c r="J158" i="39"/>
  <c r="Q162" i="39"/>
  <c r="Q20" i="39" s="1"/>
  <c r="Q105" i="38"/>
  <c r="Q107" i="38" s="1"/>
  <c r="P20" i="39"/>
  <c r="M160" i="39"/>
  <c r="M67" i="38"/>
  <c r="M69" i="38" s="1"/>
  <c r="J161" i="39"/>
  <c r="K160" i="39"/>
  <c r="K67" i="38"/>
  <c r="K69" i="38" s="1"/>
  <c r="O162" i="39"/>
  <c r="O105" i="38"/>
  <c r="O107" i="38" s="1"/>
  <c r="R105" i="38"/>
  <c r="R107" i="38" s="1"/>
  <c r="O86" i="38"/>
  <c r="O88" i="38" s="1"/>
  <c r="K20" i="39"/>
  <c r="P86" i="38"/>
  <c r="P88" i="38" s="1"/>
  <c r="P161" i="39"/>
  <c r="P19" i="39" s="1"/>
  <c r="N162" i="39"/>
  <c r="N105" i="38"/>
  <c r="N107" i="38" s="1"/>
  <c r="J136" i="39"/>
  <c r="O67" i="38"/>
  <c r="O69" i="38" s="1"/>
  <c r="R20" i="39"/>
  <c r="M105" i="38"/>
  <c r="M107" i="38" s="1"/>
  <c r="K159" i="39"/>
  <c r="K48" i="38"/>
  <c r="K50" i="38" s="1"/>
  <c r="R161" i="39"/>
  <c r="R19" i="39" s="1"/>
  <c r="R86" i="38"/>
  <c r="R88" i="38" s="1"/>
  <c r="K86" i="38"/>
  <c r="K88" i="38" s="1"/>
  <c r="K161" i="39"/>
  <c r="T76" i="51"/>
  <c r="O18" i="39"/>
  <c r="T15" i="51" s="1"/>
  <c r="T105" i="38"/>
  <c r="T107" i="38" s="1"/>
  <c r="N86" i="38"/>
  <c r="N88" i="38" s="1"/>
  <c r="J67" i="38"/>
  <c r="J69" i="38" s="1"/>
  <c r="M20" i="39"/>
  <c r="N160" i="39"/>
  <c r="N67" i="38"/>
  <c r="N69" i="38" s="1"/>
  <c r="L160" i="39"/>
  <c r="L67" i="38"/>
  <c r="L69" i="38" s="1"/>
  <c r="J105" i="38"/>
  <c r="J107" i="38" s="1"/>
  <c r="T20" i="39"/>
  <c r="J18" i="39"/>
  <c r="S105" i="38"/>
  <c r="S107" i="38" s="1"/>
  <c r="J20" i="39"/>
  <c r="J86" i="38"/>
  <c r="J88" i="38" s="1"/>
  <c r="T161" i="39"/>
  <c r="T19" i="39" s="1"/>
  <c r="T86" i="38"/>
  <c r="T88" i="38" s="1"/>
  <c r="N159" i="39"/>
  <c r="N48" i="38"/>
  <c r="N50" i="38" s="1"/>
  <c r="S20" i="39"/>
  <c r="J150" i="39"/>
  <c r="J152" i="39" s="1"/>
  <c r="J159" i="39"/>
  <c r="J48" i="38"/>
  <c r="J50" i="38" s="1"/>
  <c r="Q86" i="38"/>
  <c r="Q88" i="38" s="1"/>
  <c r="Q161" i="39"/>
  <c r="Q19" i="39" s="1"/>
  <c r="M161" i="39"/>
  <c r="M159" i="39"/>
  <c r="M48" i="38"/>
  <c r="M50" i="38" s="1"/>
  <c r="L159" i="39"/>
  <c r="L48" i="38"/>
  <c r="L50" i="38" s="1"/>
  <c r="N185" i="37"/>
  <c r="N180" i="37"/>
  <c r="O18" i="37"/>
  <c r="P105" i="38"/>
  <c r="P107" i="38" s="1"/>
  <c r="K144" i="39"/>
  <c r="K121" i="38"/>
  <c r="K159" i="38" s="1"/>
  <c r="L26" i="38" s="1"/>
  <c r="M222" i="47"/>
  <c r="M184" i="47"/>
  <c r="M186" i="47" s="1"/>
  <c r="K27" i="51"/>
  <c r="N17" i="34"/>
  <c r="K14" i="51" s="1"/>
  <c r="L24" i="42"/>
  <c r="M32" i="42"/>
  <c r="M29" i="46"/>
  <c r="M31" i="46" s="1"/>
  <c r="M113" i="46"/>
  <c r="N33" i="42"/>
  <c r="N48" i="46"/>
  <c r="N50" i="46" s="1"/>
  <c r="M242" i="45"/>
  <c r="M244" i="45" s="1"/>
  <c r="N19" i="45"/>
  <c r="N39" i="45" s="1"/>
  <c r="N41" i="45" s="1"/>
  <c r="K130" i="39"/>
  <c r="K120" i="38"/>
  <c r="L19" i="39" l="1"/>
  <c r="S91" i="51"/>
  <c r="N19" i="39"/>
  <c r="S16" i="51" s="1"/>
  <c r="M17" i="39"/>
  <c r="J19" i="39"/>
  <c r="O30" i="37"/>
  <c r="O32" i="37" s="1"/>
  <c r="O38" i="37"/>
  <c r="M19" i="39"/>
  <c r="S90" i="51"/>
  <c r="N18" i="39"/>
  <c r="S15" i="51" s="1"/>
  <c r="N184" i="37"/>
  <c r="N182" i="37"/>
  <c r="K17" i="39"/>
  <c r="M18" i="39"/>
  <c r="L144" i="39"/>
  <c r="L121" i="38"/>
  <c r="L159" i="38" s="1"/>
  <c r="M26" i="38" s="1"/>
  <c r="A88" i="38"/>
  <c r="A107" i="38"/>
  <c r="K150" i="39"/>
  <c r="K152" i="39" s="1"/>
  <c r="J17" i="39"/>
  <c r="K19" i="39"/>
  <c r="T92" i="51"/>
  <c r="O20" i="39"/>
  <c r="T17" i="51" s="1"/>
  <c r="J164" i="39"/>
  <c r="J16" i="39"/>
  <c r="L17" i="39"/>
  <c r="S89" i="51"/>
  <c r="N17" i="39"/>
  <c r="S14" i="51" s="1"/>
  <c r="L18" i="39"/>
  <c r="J138" i="39"/>
  <c r="S92" i="51"/>
  <c r="N20" i="39"/>
  <c r="S17" i="51" s="1"/>
  <c r="K18" i="39"/>
  <c r="J160" i="38"/>
  <c r="J124" i="38"/>
  <c r="J126" i="38" s="1"/>
  <c r="N17" i="42"/>
  <c r="C14" i="51" s="1"/>
  <c r="C27" i="51"/>
  <c r="K158" i="38"/>
  <c r="M124" i="46"/>
  <c r="M126" i="46" s="1"/>
  <c r="M151" i="46"/>
  <c r="K136" i="39"/>
  <c r="N19" i="47"/>
  <c r="N39" i="47" s="1"/>
  <c r="N41" i="47" s="1"/>
  <c r="M242" i="47"/>
  <c r="M244" i="47" s="1"/>
  <c r="M38" i="42"/>
  <c r="M16" i="42"/>
  <c r="J166" i="39" l="1"/>
  <c r="J22" i="39"/>
  <c r="O170" i="37"/>
  <c r="P20" i="37" s="1"/>
  <c r="O173" i="37"/>
  <c r="P23" i="37" s="1"/>
  <c r="M121" i="38"/>
  <c r="M159" i="38" s="1"/>
  <c r="N26" i="38" s="1"/>
  <c r="M144" i="39"/>
  <c r="O172" i="37"/>
  <c r="P22" i="37" s="1"/>
  <c r="O169" i="37"/>
  <c r="P19" i="37" s="1"/>
  <c r="K27" i="38"/>
  <c r="J162" i="38"/>
  <c r="J164" i="38" s="1"/>
  <c r="L150" i="39"/>
  <c r="L152" i="39" s="1"/>
  <c r="O46" i="38"/>
  <c r="O159" i="39" s="1"/>
  <c r="T89" i="51" s="1"/>
  <c r="O126" i="37"/>
  <c r="O50" i="37"/>
  <c r="O44" i="38"/>
  <c r="O45" i="38"/>
  <c r="O145" i="39" s="1"/>
  <c r="T82" i="51" s="1"/>
  <c r="O171" i="37"/>
  <c r="P21" i="37" s="1"/>
  <c r="O174" i="37"/>
  <c r="P24" i="37" s="1"/>
  <c r="O175" i="37"/>
  <c r="P25" i="37" s="1"/>
  <c r="K138" i="39"/>
  <c r="L25" i="38"/>
  <c r="M22" i="42"/>
  <c r="M40" i="42"/>
  <c r="N18" i="46"/>
  <c r="M162" i="46"/>
  <c r="M164" i="46" s="1"/>
  <c r="J24" i="39" l="1"/>
  <c r="O52" i="37"/>
  <c r="O54" i="37"/>
  <c r="M150" i="39"/>
  <c r="M152" i="39" s="1"/>
  <c r="O168" i="37"/>
  <c r="O138" i="37"/>
  <c r="O140" i="37" s="1"/>
  <c r="K158" i="39"/>
  <c r="K122" i="38"/>
  <c r="K29" i="38"/>
  <c r="K31" i="38" s="1"/>
  <c r="N121" i="38"/>
  <c r="N159" i="38" s="1"/>
  <c r="O26" i="38" s="1"/>
  <c r="N144" i="39"/>
  <c r="O158" i="37"/>
  <c r="O160" i="37" s="1"/>
  <c r="A160" i="37" s="1"/>
  <c r="O139" i="38"/>
  <c r="O133" i="39" s="1"/>
  <c r="O140" i="38"/>
  <c r="O147" i="39" s="1"/>
  <c r="T84" i="51" s="1"/>
  <c r="O141" i="38"/>
  <c r="O131" i="39"/>
  <c r="O48" i="38"/>
  <c r="O50" i="38" s="1"/>
  <c r="O162" i="37"/>
  <c r="A162" i="37" s="1"/>
  <c r="N32" i="42"/>
  <c r="N29" i="46"/>
  <c r="N31" i="46" s="1"/>
  <c r="L130" i="39"/>
  <c r="L120" i="38"/>
  <c r="M24" i="42"/>
  <c r="O143" i="38" l="1"/>
  <c r="O145" i="38" s="1"/>
  <c r="A145" i="38" s="1"/>
  <c r="O161" i="39"/>
  <c r="T91" i="51" s="1"/>
  <c r="O121" i="38"/>
  <c r="O159" i="38" s="1"/>
  <c r="P26" i="38" s="1"/>
  <c r="P144" i="39" s="1"/>
  <c r="O144" i="39"/>
  <c r="T77" i="51"/>
  <c r="K160" i="38"/>
  <c r="K124" i="38"/>
  <c r="K126" i="38" s="1"/>
  <c r="K164" i="39"/>
  <c r="K16" i="39"/>
  <c r="T75" i="51"/>
  <c r="O17" i="39"/>
  <c r="T14" i="51" s="1"/>
  <c r="O185" i="37"/>
  <c r="P18" i="37"/>
  <c r="P30" i="37" s="1"/>
  <c r="P32" i="37" s="1"/>
  <c r="O180" i="37"/>
  <c r="N150" i="39"/>
  <c r="N152" i="39" s="1"/>
  <c r="S81" i="51"/>
  <c r="L158" i="38"/>
  <c r="L136" i="39"/>
  <c r="C26" i="51"/>
  <c r="N16" i="42"/>
  <c r="C13" i="51" s="1"/>
  <c r="O19" i="39" l="1"/>
  <c r="T16" i="51" s="1"/>
  <c r="K166" i="39"/>
  <c r="K22" i="39"/>
  <c r="L27" i="38"/>
  <c r="K162" i="38"/>
  <c r="K164" i="38" s="1"/>
  <c r="O150" i="39"/>
  <c r="O152" i="39" s="1"/>
  <c r="T81" i="51"/>
  <c r="S86" i="51"/>
  <c r="O184" i="37"/>
  <c r="O182" i="37"/>
  <c r="L138" i="39"/>
  <c r="M25" i="38"/>
  <c r="L158" i="39" l="1"/>
  <c r="L122" i="38"/>
  <c r="L29" i="38"/>
  <c r="L31" i="38" s="1"/>
  <c r="S110" i="51"/>
  <c r="S87" i="51"/>
  <c r="S138" i="51"/>
  <c r="K24" i="39"/>
  <c r="T86" i="51"/>
  <c r="M130" i="39"/>
  <c r="M120" i="38"/>
  <c r="T87" i="51" l="1"/>
  <c r="T138" i="51"/>
  <c r="T110" i="51"/>
  <c r="L160" i="38"/>
  <c r="L124" i="38"/>
  <c r="L126" i="38" s="1"/>
  <c r="L164" i="39"/>
  <c r="L16" i="39"/>
  <c r="M158" i="38"/>
  <c r="M136" i="39"/>
  <c r="M27" i="38" l="1"/>
  <c r="L162" i="38"/>
  <c r="L164" i="38" s="1"/>
  <c r="L166" i="39"/>
  <c r="L22" i="39"/>
  <c r="M138" i="39"/>
  <c r="N25" i="38"/>
  <c r="L24" i="39" l="1"/>
  <c r="M158" i="39"/>
  <c r="M122" i="38"/>
  <c r="M29" i="38"/>
  <c r="M31" i="38" s="1"/>
  <c r="N130" i="39"/>
  <c r="N120" i="38"/>
  <c r="P64" i="38" l="1"/>
  <c r="P146" i="39" s="1"/>
  <c r="P63" i="38"/>
  <c r="P65" i="38"/>
  <c r="P160" i="39" s="1"/>
  <c r="P72" i="37"/>
  <c r="P74" i="37" s="1"/>
  <c r="Q72" i="37"/>
  <c r="Q74" i="37" s="1"/>
  <c r="Q64" i="38"/>
  <c r="Q146" i="39" s="1"/>
  <c r="Q63" i="38"/>
  <c r="Q65" i="38"/>
  <c r="Q160" i="39" s="1"/>
  <c r="S64" i="38"/>
  <c r="S146" i="39" s="1"/>
  <c r="S63" i="38"/>
  <c r="S65" i="38"/>
  <c r="S160" i="39" s="1"/>
  <c r="S72" i="37"/>
  <c r="S74" i="37" s="1"/>
  <c r="T72" i="37"/>
  <c r="T74" i="37" s="1"/>
  <c r="T64" i="38"/>
  <c r="T146" i="39" s="1"/>
  <c r="T63" i="38"/>
  <c r="T65" i="38"/>
  <c r="T160" i="39" s="1"/>
  <c r="R72" i="37"/>
  <c r="R74" i="37" s="1"/>
  <c r="R63" i="38"/>
  <c r="R64" i="38"/>
  <c r="R146" i="39" s="1"/>
  <c r="R65" i="38"/>
  <c r="R160" i="39" s="1"/>
  <c r="M160" i="38"/>
  <c r="M124" i="38"/>
  <c r="M126" i="38" s="1"/>
  <c r="M164" i="39"/>
  <c r="M16" i="39"/>
  <c r="N158" i="38"/>
  <c r="S74" i="51"/>
  <c r="N136" i="39"/>
  <c r="R76" i="37" l="1"/>
  <c r="T76" i="37"/>
  <c r="S76" i="37"/>
  <c r="S132" i="39"/>
  <c r="S18" i="39" s="1"/>
  <c r="S67" i="38"/>
  <c r="S69" i="38" s="1"/>
  <c r="T132" i="39"/>
  <c r="T18" i="39" s="1"/>
  <c r="T67" i="38"/>
  <c r="T69" i="38" s="1"/>
  <c r="A74" i="37"/>
  <c r="Q76" i="37"/>
  <c r="R132" i="39"/>
  <c r="R18" i="39" s="1"/>
  <c r="R67" i="38"/>
  <c r="R69" i="38" s="1"/>
  <c r="P76" i="37"/>
  <c r="P132" i="39"/>
  <c r="P18" i="39" s="1"/>
  <c r="P67" i="38"/>
  <c r="P69" i="38" s="1"/>
  <c r="Q132" i="39"/>
  <c r="Q18" i="39" s="1"/>
  <c r="Q67" i="38"/>
  <c r="Q69" i="38" s="1"/>
  <c r="M166" i="39"/>
  <c r="M22" i="39"/>
  <c r="N27" i="38"/>
  <c r="M162" i="38"/>
  <c r="M164" i="38" s="1"/>
  <c r="N138" i="39"/>
  <c r="S79" i="51"/>
  <c r="O25" i="38"/>
  <c r="A76" i="37" l="1"/>
  <c r="A69" i="38"/>
  <c r="M24" i="39"/>
  <c r="N158" i="39"/>
  <c r="N122" i="38"/>
  <c r="N29" i="38"/>
  <c r="N31" i="38" s="1"/>
  <c r="O130" i="39"/>
  <c r="O120" i="38"/>
  <c r="S109" i="51"/>
  <c r="S80" i="51"/>
  <c r="S137" i="51"/>
  <c r="N160" i="38" l="1"/>
  <c r="N124" i="38"/>
  <c r="N126" i="38" s="1"/>
  <c r="N164" i="39"/>
  <c r="S88" i="51"/>
  <c r="N16" i="39"/>
  <c r="S13" i="51" s="1"/>
  <c r="O158" i="38"/>
  <c r="T74" i="51"/>
  <c r="O136" i="39"/>
  <c r="S93" i="51" l="1"/>
  <c r="N166" i="39"/>
  <c r="N22" i="39"/>
  <c r="O27" i="38"/>
  <c r="N162" i="38"/>
  <c r="N164" i="38" s="1"/>
  <c r="O138" i="39"/>
  <c r="T79" i="51"/>
  <c r="P25" i="38"/>
  <c r="O122" i="38" l="1"/>
  <c r="O158" i="39"/>
  <c r="O29" i="38"/>
  <c r="O31" i="38" s="1"/>
  <c r="N24" i="39"/>
  <c r="S18" i="51"/>
  <c r="S94" i="51"/>
  <c r="S111" i="51"/>
  <c r="S139" i="51"/>
  <c r="P130" i="39"/>
  <c r="T109" i="51"/>
  <c r="T80" i="51"/>
  <c r="T137" i="51"/>
  <c r="S19" i="51" l="1"/>
  <c r="T88" i="51"/>
  <c r="O164" i="39"/>
  <c r="O16" i="39"/>
  <c r="T13" i="51" s="1"/>
  <c r="O160" i="38"/>
  <c r="O124" i="38"/>
  <c r="O126" i="38" s="1"/>
  <c r="P27" i="38" l="1"/>
  <c r="O162" i="38"/>
  <c r="O164" i="38" s="1"/>
  <c r="O166" i="39"/>
  <c r="O22" i="39"/>
  <c r="T93" i="51"/>
  <c r="P158" i="39" l="1"/>
  <c r="P16" i="39" s="1"/>
  <c r="P29" i="38"/>
  <c r="P31" i="38" s="1"/>
  <c r="T139" i="51"/>
  <c r="T94" i="51"/>
  <c r="T111" i="51"/>
  <c r="T18" i="51"/>
  <c r="O24" i="39"/>
  <c r="T19" i="51" l="1"/>
  <c r="P27" i="50" l="1"/>
  <c r="Q191" i="37"/>
  <c r="T263" i="32"/>
  <c r="R263" i="32"/>
  <c r="P263" i="32"/>
  <c r="P63" i="32" s="1"/>
  <c r="Q26" i="50"/>
  <c r="S263" i="32"/>
  <c r="S191" i="37"/>
  <c r="R191" i="37" l="1"/>
  <c r="P191" i="37"/>
  <c r="P40" i="37" s="1"/>
  <c r="P128" i="37" s="1"/>
  <c r="P170" i="37" s="1"/>
  <c r="Q20" i="37" s="1"/>
  <c r="Q40" i="37" s="1"/>
  <c r="Q128" i="37" s="1"/>
  <c r="Q170" i="37" s="1"/>
  <c r="R20" i="37" s="1"/>
  <c r="R40" i="37" s="1"/>
  <c r="R128" i="37" s="1"/>
  <c r="R170" i="37" s="1"/>
  <c r="S20" i="37" s="1"/>
  <c r="S40" i="37" s="1"/>
  <c r="S128" i="37" s="1"/>
  <c r="S170" i="37" s="1"/>
  <c r="T20" i="37" s="1"/>
  <c r="Q263" i="32"/>
  <c r="T191" i="37"/>
  <c r="P47" i="37"/>
  <c r="P135" i="37" s="1"/>
  <c r="P177" i="37" s="1"/>
  <c r="Q27" i="37" s="1"/>
  <c r="Q47" i="37" s="1"/>
  <c r="Q135" i="37" s="1"/>
  <c r="Q177" i="37" s="1"/>
  <c r="R27" i="37" s="1"/>
  <c r="R47" i="37" s="1"/>
  <c r="R135" i="37" s="1"/>
  <c r="R177" i="37" s="1"/>
  <c r="S27" i="37" s="1"/>
  <c r="S47" i="37" s="1"/>
  <c r="S135" i="37" s="1"/>
  <c r="S177" i="37" s="1"/>
  <c r="T27" i="37" s="1"/>
  <c r="P43" i="37"/>
  <c r="P131" i="37" s="1"/>
  <c r="P173" i="37" s="1"/>
  <c r="Q23" i="37" s="1"/>
  <c r="Q43" i="37" s="1"/>
  <c r="Q131" i="37" s="1"/>
  <c r="Q173" i="37" s="1"/>
  <c r="R23" i="37" s="1"/>
  <c r="R43" i="37" s="1"/>
  <c r="R131" i="37" s="1"/>
  <c r="R173" i="37" s="1"/>
  <c r="S23" i="37" s="1"/>
  <c r="S43" i="37" s="1"/>
  <c r="S131" i="37" s="1"/>
  <c r="S173" i="37" s="1"/>
  <c r="T23" i="37" s="1"/>
  <c r="P41" i="37"/>
  <c r="P129" i="37" s="1"/>
  <c r="P171" i="37" s="1"/>
  <c r="Q21" i="37" s="1"/>
  <c r="Q41" i="37" s="1"/>
  <c r="Q129" i="37" s="1"/>
  <c r="Q171" i="37" s="1"/>
  <c r="R21" i="37" s="1"/>
  <c r="R41" i="37" s="1"/>
  <c r="R129" i="37" s="1"/>
  <c r="R171" i="37" s="1"/>
  <c r="S21" i="37" s="1"/>
  <c r="S41" i="37" s="1"/>
  <c r="S129" i="37" s="1"/>
  <c r="S171" i="37" s="1"/>
  <c r="T21" i="37" s="1"/>
  <c r="P46" i="37"/>
  <c r="P134" i="37" s="1"/>
  <c r="P176" i="37" s="1"/>
  <c r="Q26" i="37" s="1"/>
  <c r="Q46" i="37" s="1"/>
  <c r="Q134" i="37" s="1"/>
  <c r="Q176" i="37" s="1"/>
  <c r="R26" i="37" s="1"/>
  <c r="R46" i="37" s="1"/>
  <c r="R134" i="37" s="1"/>
  <c r="R176" i="37" s="1"/>
  <c r="S26" i="37" s="1"/>
  <c r="S46" i="37" s="1"/>
  <c r="S134" i="37" s="1"/>
  <c r="S176" i="37" s="1"/>
  <c r="T26" i="37" s="1"/>
  <c r="P39" i="37"/>
  <c r="P127" i="37" s="1"/>
  <c r="P169" i="37" s="1"/>
  <c r="Q19" i="37" s="1"/>
  <c r="P38" i="37"/>
  <c r="Q27" i="50"/>
  <c r="Q29" i="50" s="1"/>
  <c r="U112" i="51"/>
  <c r="P29" i="50"/>
  <c r="U78" i="51"/>
  <c r="U76" i="51"/>
  <c r="U74" i="51"/>
  <c r="U77" i="51"/>
  <c r="U92" i="51"/>
  <c r="U90" i="51"/>
  <c r="U85" i="51"/>
  <c r="U83" i="51"/>
  <c r="U84" i="51"/>
  <c r="U17" i="51"/>
  <c r="U15" i="51"/>
  <c r="U91" i="51"/>
  <c r="U16" i="51"/>
  <c r="U88" i="51"/>
  <c r="U81" i="51"/>
  <c r="U13" i="51"/>
  <c r="P63" i="47"/>
  <c r="R26" i="50"/>
  <c r="P92" i="47"/>
  <c r="P42" i="37" l="1"/>
  <c r="P130" i="37" s="1"/>
  <c r="P172" i="37" s="1"/>
  <c r="Q22" i="37" s="1"/>
  <c r="Q42" i="37" s="1"/>
  <c r="Q130" i="37" s="1"/>
  <c r="Q172" i="37" s="1"/>
  <c r="R22" i="37" s="1"/>
  <c r="R42" i="37" s="1"/>
  <c r="R130" i="37" s="1"/>
  <c r="R172" i="37" s="1"/>
  <c r="S22" i="37" s="1"/>
  <c r="S42" i="37" s="1"/>
  <c r="S130" i="37" s="1"/>
  <c r="S172" i="37" s="1"/>
  <c r="T22" i="37" s="1"/>
  <c r="T40" i="37"/>
  <c r="T128" i="37" s="1"/>
  <c r="T170" i="37" s="1"/>
  <c r="P45" i="37"/>
  <c r="P133" i="37" s="1"/>
  <c r="P175" i="37" s="1"/>
  <c r="Q25" i="37" s="1"/>
  <c r="Q45" i="37" s="1"/>
  <c r="Q133" i="37" s="1"/>
  <c r="Q175" i="37" s="1"/>
  <c r="R25" i="37" s="1"/>
  <c r="R45" i="37" s="1"/>
  <c r="R133" i="37" s="1"/>
  <c r="R175" i="37" s="1"/>
  <c r="S25" i="37" s="1"/>
  <c r="S45" i="37" s="1"/>
  <c r="S133" i="37" s="1"/>
  <c r="S175" i="37" s="1"/>
  <c r="T25" i="37" s="1"/>
  <c r="P48" i="37"/>
  <c r="P136" i="37" s="1"/>
  <c r="P178" i="37" s="1"/>
  <c r="Q28" i="37" s="1"/>
  <c r="P44" i="37"/>
  <c r="P132" i="37" s="1"/>
  <c r="P174" i="37" s="1"/>
  <c r="Q24" i="37" s="1"/>
  <c r="Q44" i="37" s="1"/>
  <c r="Q132" i="37" s="1"/>
  <c r="Q174" i="37" s="1"/>
  <c r="R24" i="37" s="1"/>
  <c r="R44" i="37" s="1"/>
  <c r="R132" i="37" s="1"/>
  <c r="R174" i="37" s="1"/>
  <c r="S24" i="37" s="1"/>
  <c r="S44" i="37" s="1"/>
  <c r="S132" i="37" s="1"/>
  <c r="S174" i="37" s="1"/>
  <c r="T24" i="37" s="1"/>
  <c r="T44" i="37" s="1"/>
  <c r="T132" i="37" s="1"/>
  <c r="T174" i="37" s="1"/>
  <c r="T46" i="37"/>
  <c r="T134" i="37" s="1"/>
  <c r="T176" i="37" s="1"/>
  <c r="T41" i="37"/>
  <c r="T129" i="37" s="1"/>
  <c r="T171" i="37" s="1"/>
  <c r="T43" i="37"/>
  <c r="T131" i="37" s="1"/>
  <c r="T173" i="37" s="1"/>
  <c r="T42" i="37"/>
  <c r="T130" i="37" s="1"/>
  <c r="T172" i="37" s="1"/>
  <c r="T47" i="37"/>
  <c r="T135" i="37" s="1"/>
  <c r="T177" i="37" s="1"/>
  <c r="T45" i="37"/>
  <c r="T133" i="37" s="1"/>
  <c r="T175" i="37" s="1"/>
  <c r="R153" i="47"/>
  <c r="Q48" i="37"/>
  <c r="Q136" i="37" s="1"/>
  <c r="Q178" i="37" s="1"/>
  <c r="R28" i="37" s="1"/>
  <c r="Q153" i="47"/>
  <c r="P153" i="47"/>
  <c r="R27" i="50"/>
  <c r="R29" i="50" s="1"/>
  <c r="V112" i="51"/>
  <c r="V78" i="51"/>
  <c r="V77" i="51"/>
  <c r="V83" i="51"/>
  <c r="V92" i="51"/>
  <c r="V76" i="51"/>
  <c r="V90" i="51"/>
  <c r="V84" i="51"/>
  <c r="V85" i="51"/>
  <c r="V15" i="51"/>
  <c r="V17" i="51"/>
  <c r="V91" i="51"/>
  <c r="V16" i="51"/>
  <c r="S153" i="47"/>
  <c r="P126" i="37"/>
  <c r="P44" i="38"/>
  <c r="P50" i="37"/>
  <c r="Q39" i="37"/>
  <c r="Q127" i="37" s="1"/>
  <c r="Q169" i="37" s="1"/>
  <c r="R19" i="37" s="1"/>
  <c r="T153" i="47"/>
  <c r="S26" i="50"/>
  <c r="P46" i="38" l="1"/>
  <c r="P45" i="38"/>
  <c r="Q124" i="47"/>
  <c r="P124" i="47"/>
  <c r="P145" i="39"/>
  <c r="P121" i="38"/>
  <c r="P159" i="38" s="1"/>
  <c r="Q26" i="38" s="1"/>
  <c r="R48" i="37"/>
  <c r="R136" i="37" s="1"/>
  <c r="R178" i="37" s="1"/>
  <c r="S28" i="37" s="1"/>
  <c r="S48" i="37" s="1"/>
  <c r="S136" i="37" s="1"/>
  <c r="S178" i="37" s="1"/>
  <c r="T28" i="37" s="1"/>
  <c r="T48" i="37" s="1"/>
  <c r="T136" i="37" s="1"/>
  <c r="T178" i="37" s="1"/>
  <c r="P52" i="37"/>
  <c r="P54" i="37"/>
  <c r="S27" i="50"/>
  <c r="S29" i="50" s="1"/>
  <c r="W112" i="51"/>
  <c r="W78" i="51"/>
  <c r="W77" i="51"/>
  <c r="W90" i="51"/>
  <c r="W85" i="51"/>
  <c r="W83" i="51"/>
  <c r="W92" i="51"/>
  <c r="W84" i="51"/>
  <c r="W91" i="51"/>
  <c r="W17" i="51"/>
  <c r="W76" i="51"/>
  <c r="W15" i="51"/>
  <c r="W16" i="51"/>
  <c r="P131" i="39"/>
  <c r="P120" i="38"/>
  <c r="P48" i="38"/>
  <c r="P50" i="38" s="1"/>
  <c r="P168" i="37"/>
  <c r="P138" i="37"/>
  <c r="P140" i="37" s="1"/>
  <c r="P159" i="39"/>
  <c r="P122" i="38"/>
  <c r="P160" i="38" s="1"/>
  <c r="Q27" i="38" s="1"/>
  <c r="R39" i="37"/>
  <c r="R127" i="37" s="1"/>
  <c r="R169" i="37" s="1"/>
  <c r="S19" i="37" s="1"/>
  <c r="T26" i="50"/>
  <c r="R124" i="47"/>
  <c r="Q158" i="39" l="1"/>
  <c r="U89" i="51"/>
  <c r="P164" i="39"/>
  <c r="P166" i="39" s="1"/>
  <c r="S39" i="37"/>
  <c r="S127" i="37" s="1"/>
  <c r="S169" i="37" s="1"/>
  <c r="T19" i="37" s="1"/>
  <c r="P158" i="38"/>
  <c r="P124" i="38"/>
  <c r="P126" i="38" s="1"/>
  <c r="U75" i="51"/>
  <c r="P136" i="39"/>
  <c r="P17" i="39"/>
  <c r="U14" i="51" s="1"/>
  <c r="T27" i="50"/>
  <c r="X112" i="51"/>
  <c r="X78" i="51"/>
  <c r="X77" i="51"/>
  <c r="X83" i="51"/>
  <c r="X90" i="51"/>
  <c r="X92" i="51"/>
  <c r="X84" i="51"/>
  <c r="X91" i="51"/>
  <c r="X76" i="51"/>
  <c r="X85" i="51"/>
  <c r="X15" i="51"/>
  <c r="X16" i="51"/>
  <c r="X17" i="51"/>
  <c r="Q144" i="39"/>
  <c r="Q18" i="37"/>
  <c r="P185" i="37"/>
  <c r="P180" i="37"/>
  <c r="U82" i="51"/>
  <c r="P150" i="39"/>
  <c r="P152" i="39" s="1"/>
  <c r="S124" i="47"/>
  <c r="Q38" i="37" l="1"/>
  <c r="Q30" i="37"/>
  <c r="Q32" i="37" s="1"/>
  <c r="T39" i="37"/>
  <c r="T127" i="37" s="1"/>
  <c r="T169" i="37" s="1"/>
  <c r="U93" i="51"/>
  <c r="Y112" i="51"/>
  <c r="Y78" i="51"/>
  <c r="Y83" i="51"/>
  <c r="Y77" i="51"/>
  <c r="Y84" i="51"/>
  <c r="Y90" i="51"/>
  <c r="Y92" i="51"/>
  <c r="Y85" i="51"/>
  <c r="Y17" i="51"/>
  <c r="Y76" i="51"/>
  <c r="Y91" i="51"/>
  <c r="Y15" i="51"/>
  <c r="Y16" i="51"/>
  <c r="V88" i="51"/>
  <c r="U79" i="51"/>
  <c r="V81" i="51"/>
  <c r="U86" i="51"/>
  <c r="Q25" i="38"/>
  <c r="P162" i="38"/>
  <c r="P164" i="38" s="1"/>
  <c r="P182" i="37"/>
  <c r="P184" i="37"/>
  <c r="T29" i="50"/>
  <c r="A29" i="50" s="1"/>
  <c r="A1" i="50" s="1"/>
  <c r="H16" i="25" s="1"/>
  <c r="P138" i="39"/>
  <c r="P22" i="39"/>
  <c r="T124" i="47"/>
  <c r="U139" i="51" l="1"/>
  <c r="U94" i="51"/>
  <c r="U111" i="51"/>
  <c r="Q130" i="39"/>
  <c r="Q29" i="38"/>
  <c r="Q31" i="38" s="1"/>
  <c r="U87" i="51"/>
  <c r="U110" i="51"/>
  <c r="U138" i="51"/>
  <c r="U18" i="51"/>
  <c r="P24" i="39"/>
  <c r="Q126" i="37"/>
  <c r="Q46" i="38"/>
  <c r="Q50" i="37"/>
  <c r="Q44" i="38"/>
  <c r="Q120" i="38" s="1"/>
  <c r="Q45" i="38"/>
  <c r="U137" i="51"/>
  <c r="U80" i="51"/>
  <c r="U109" i="51"/>
  <c r="Q158" i="38" l="1"/>
  <c r="Q145" i="39"/>
  <c r="Q121" i="38"/>
  <c r="Q159" i="38" s="1"/>
  <c r="R26" i="38" s="1"/>
  <c r="Q131" i="39"/>
  <c r="Q48" i="38"/>
  <c r="Q50" i="38" s="1"/>
  <c r="U19" i="51"/>
  <c r="V74" i="51"/>
  <c r="Q16" i="39"/>
  <c r="V13" i="51" s="1"/>
  <c r="Q52" i="37"/>
  <c r="Q54" i="37"/>
  <c r="Q159" i="39"/>
  <c r="Q122" i="38"/>
  <c r="Q160" i="38" s="1"/>
  <c r="R27" i="38" s="1"/>
  <c r="Q168" i="37"/>
  <c r="Q138" i="37"/>
  <c r="Q140" i="37" s="1"/>
  <c r="R18" i="37" l="1"/>
  <c r="Q180" i="37"/>
  <c r="Q185" i="37"/>
  <c r="V89" i="51"/>
  <c r="Q164" i="39"/>
  <c r="Q166" i="39" s="1"/>
  <c r="R158" i="39"/>
  <c r="Q136" i="39"/>
  <c r="V75" i="51"/>
  <c r="Q17" i="39"/>
  <c r="V14" i="51" s="1"/>
  <c r="R144" i="39"/>
  <c r="V82" i="51"/>
  <c r="Q150" i="39"/>
  <c r="Q152" i="39" s="1"/>
  <c r="Q124" i="38"/>
  <c r="Q126" i="38" s="1"/>
  <c r="R25" i="38"/>
  <c r="Q162" i="38"/>
  <c r="Q164" i="38" l="1"/>
  <c r="V79" i="51"/>
  <c r="V109" i="51" s="1"/>
  <c r="Q138" i="39"/>
  <c r="Q22" i="39"/>
  <c r="W88" i="51"/>
  <c r="V86" i="51"/>
  <c r="W81" i="51"/>
  <c r="V93" i="51"/>
  <c r="R130" i="39"/>
  <c r="R29" i="38"/>
  <c r="Q182" i="37"/>
  <c r="Q184" i="37"/>
  <c r="R38" i="37"/>
  <c r="R30" i="37"/>
  <c r="R32" i="37" s="1"/>
  <c r="R31" i="38" l="1"/>
  <c r="V137" i="51"/>
  <c r="V80" i="51"/>
  <c r="V138" i="51"/>
  <c r="V87" i="51"/>
  <c r="V110" i="51"/>
  <c r="W74" i="51"/>
  <c r="R16" i="39"/>
  <c r="W13" i="51" s="1"/>
  <c r="R126" i="37"/>
  <c r="R44" i="38"/>
  <c r="R45" i="38"/>
  <c r="R50" i="37"/>
  <c r="R46" i="38"/>
  <c r="V111" i="51"/>
  <c r="V94" i="51"/>
  <c r="V139" i="51"/>
  <c r="V18" i="51"/>
  <c r="Q24" i="39"/>
  <c r="R159" i="39" l="1"/>
  <c r="R122" i="38"/>
  <c r="R160" i="38" s="1"/>
  <c r="S27" i="38" s="1"/>
  <c r="R52" i="37"/>
  <c r="R54" i="37"/>
  <c r="R145" i="39"/>
  <c r="R121" i="38"/>
  <c r="R159" i="38" s="1"/>
  <c r="S26" i="38" s="1"/>
  <c r="R120" i="38"/>
  <c r="R131" i="39"/>
  <c r="R48" i="38"/>
  <c r="R50" i="38" s="1"/>
  <c r="V19" i="51"/>
  <c r="R168" i="37"/>
  <c r="R138" i="37"/>
  <c r="R140" i="37" s="1"/>
  <c r="W82" i="51" l="1"/>
  <c r="R150" i="39"/>
  <c r="R152" i="39" s="1"/>
  <c r="S18" i="37"/>
  <c r="R185" i="37"/>
  <c r="R180" i="37"/>
  <c r="S158" i="39"/>
  <c r="W89" i="51"/>
  <c r="R164" i="39"/>
  <c r="R166" i="39" s="1"/>
  <c r="R136" i="39"/>
  <c r="W75" i="51"/>
  <c r="R17" i="39"/>
  <c r="W14" i="51" s="1"/>
  <c r="R158" i="38"/>
  <c r="R124" i="38"/>
  <c r="R126" i="38" s="1"/>
  <c r="S144" i="39"/>
  <c r="X81" i="51" l="1"/>
  <c r="W93" i="51"/>
  <c r="X88" i="51"/>
  <c r="S25" i="38"/>
  <c r="R162" i="38"/>
  <c r="R164" i="38" s="1"/>
  <c r="R182" i="37"/>
  <c r="R184" i="37"/>
  <c r="W79" i="51"/>
  <c r="S38" i="37"/>
  <c r="S30" i="37"/>
  <c r="S32" i="37" s="1"/>
  <c r="R138" i="39"/>
  <c r="R22" i="39"/>
  <c r="W86" i="51"/>
  <c r="S130" i="39" l="1"/>
  <c r="S29" i="38"/>
  <c r="S31" i="38" s="1"/>
  <c r="W18" i="51"/>
  <c r="R24" i="39"/>
  <c r="S126" i="37"/>
  <c r="S46" i="38"/>
  <c r="S45" i="38"/>
  <c r="S44" i="38"/>
  <c r="S120" i="38" s="1"/>
  <c r="S50" i="37"/>
  <c r="W109" i="51"/>
  <c r="W137" i="51"/>
  <c r="W80" i="51"/>
  <c r="W111" i="51"/>
  <c r="W94" i="51"/>
  <c r="W139" i="51"/>
  <c r="W87" i="51"/>
  <c r="W110" i="51"/>
  <c r="W138" i="51"/>
  <c r="S158" i="38" l="1"/>
  <c r="S159" i="39"/>
  <c r="S122" i="38"/>
  <c r="S160" i="38" s="1"/>
  <c r="T27" i="38" s="1"/>
  <c r="S145" i="39"/>
  <c r="S121" i="38"/>
  <c r="S159" i="38" s="1"/>
  <c r="T26" i="38" s="1"/>
  <c r="S168" i="37"/>
  <c r="S138" i="37"/>
  <c r="S140" i="37" s="1"/>
  <c r="W19" i="51"/>
  <c r="S54" i="37"/>
  <c r="S52" i="37"/>
  <c r="S48" i="38"/>
  <c r="S50" i="38" s="1"/>
  <c r="S131" i="39"/>
  <c r="X74" i="51"/>
  <c r="S16" i="39"/>
  <c r="X13" i="51" s="1"/>
  <c r="T144" i="39" l="1"/>
  <c r="X82" i="51"/>
  <c r="S150" i="39"/>
  <c r="S152" i="39" s="1"/>
  <c r="X89" i="51"/>
  <c r="S164" i="39"/>
  <c r="S166" i="39" s="1"/>
  <c r="T158" i="39"/>
  <c r="S17" i="39"/>
  <c r="X14" i="51" s="1"/>
  <c r="X75" i="51"/>
  <c r="T18" i="37"/>
  <c r="S180" i="37"/>
  <c r="S185" i="37"/>
  <c r="S136" i="39"/>
  <c r="S124" i="38"/>
  <c r="S126" i="38" s="1"/>
  <c r="T25" i="38"/>
  <c r="S162" i="38"/>
  <c r="S138" i="39" l="1"/>
  <c r="S22" i="39"/>
  <c r="Y88" i="51"/>
  <c r="T130" i="39"/>
  <c r="T29" i="38"/>
  <c r="X86" i="51"/>
  <c r="S184" i="37"/>
  <c r="S182" i="37"/>
  <c r="X93" i="51"/>
  <c r="S164" i="38"/>
  <c r="Y81" i="51"/>
  <c r="T38" i="37"/>
  <c r="T126" i="37" s="1"/>
  <c r="T30" i="37"/>
  <c r="T32" i="37" s="1"/>
  <c r="A32" i="37" s="1"/>
  <c r="X79" i="51"/>
  <c r="T31" i="38" l="1"/>
  <c r="A31" i="38" s="1"/>
  <c r="X94" i="51"/>
  <c r="X111" i="51"/>
  <c r="X139" i="51"/>
  <c r="Y74" i="51"/>
  <c r="T16" i="39"/>
  <c r="Y13" i="51" s="1"/>
  <c r="X80" i="51"/>
  <c r="X137" i="51"/>
  <c r="X109" i="51"/>
  <c r="T168" i="37"/>
  <c r="T138" i="37"/>
  <c r="T140" i="37" s="1"/>
  <c r="A140" i="37" s="1"/>
  <c r="S24" i="39"/>
  <c r="X18" i="51"/>
  <c r="T46" i="38"/>
  <c r="T50" i="37"/>
  <c r="T45" i="38"/>
  <c r="T44" i="38"/>
  <c r="X87" i="51"/>
  <c r="X138" i="51"/>
  <c r="X110" i="51"/>
  <c r="T120" i="38" l="1"/>
  <c r="T48" i="38"/>
  <c r="T50" i="38" s="1"/>
  <c r="A50" i="38" s="1"/>
  <c r="T131" i="39"/>
  <c r="T145" i="39"/>
  <c r="T121" i="38"/>
  <c r="T159" i="38" s="1"/>
  <c r="T54" i="37"/>
  <c r="A54" i="37" s="1"/>
  <c r="T52" i="37"/>
  <c r="A52" i="37" s="1"/>
  <c r="T159" i="39"/>
  <c r="T122" i="38"/>
  <c r="T160" i="38" s="1"/>
  <c r="T180" i="37"/>
  <c r="T185" i="37"/>
  <c r="A185" i="37" s="1"/>
  <c r="X19" i="51"/>
  <c r="Y75" i="51" l="1"/>
  <c r="T17" i="39"/>
  <c r="Y14" i="51" s="1"/>
  <c r="T136" i="39"/>
  <c r="T184" i="37"/>
  <c r="A184" i="37" s="1"/>
  <c r="T182" i="37"/>
  <c r="A182" i="37" s="1"/>
  <c r="Y89" i="51"/>
  <c r="T164" i="39"/>
  <c r="T166" i="39" s="1"/>
  <c r="A166" i="39" s="1"/>
  <c r="Y82" i="51"/>
  <c r="T150" i="39"/>
  <c r="T152" i="39" s="1"/>
  <c r="A152" i="39" s="1"/>
  <c r="T158" i="38"/>
  <c r="T162" i="38" s="1"/>
  <c r="T164" i="38" s="1"/>
  <c r="A164" i="38" s="1"/>
  <c r="T124" i="38"/>
  <c r="T126" i="38" s="1"/>
  <c r="A126" i="38" s="1"/>
  <c r="A1" i="37" l="1"/>
  <c r="H18" i="25" s="1"/>
  <c r="A1" i="38"/>
  <c r="H27" i="25" s="1"/>
  <c r="T138" i="39"/>
  <c r="A138" i="39" s="1"/>
  <c r="T22" i="39"/>
  <c r="Y86" i="51"/>
  <c r="Y79" i="51"/>
  <c r="Y93" i="51"/>
  <c r="Y94" i="51" l="1"/>
  <c r="Y139" i="51"/>
  <c r="Y111" i="51"/>
  <c r="Y80" i="51"/>
  <c r="Y137" i="51"/>
  <c r="Y109" i="51"/>
  <c r="Y110" i="51"/>
  <c r="Y87" i="51"/>
  <c r="Y138" i="51"/>
  <c r="T24" i="39"/>
  <c r="A24" i="39" s="1"/>
  <c r="A1" i="39" s="1"/>
  <c r="H29" i="25" s="1"/>
  <c r="Y18" i="51"/>
  <c r="Y19" i="51" l="1"/>
  <c r="Q150" i="47" l="1"/>
  <c r="R147" i="47"/>
  <c r="S141" i="47"/>
  <c r="Q152" i="47"/>
  <c r="R149" i="47"/>
  <c r="R152" i="47"/>
  <c r="Q135" i="45"/>
  <c r="S146" i="47"/>
  <c r="Q151" i="47"/>
  <c r="T140" i="47"/>
  <c r="R136" i="47"/>
  <c r="T151" i="47"/>
  <c r="Q146" i="47"/>
  <c r="Q149" i="47"/>
  <c r="S152" i="47"/>
  <c r="S135" i="45"/>
  <c r="S144" i="47"/>
  <c r="S136" i="47"/>
  <c r="T146" i="47"/>
  <c r="S149" i="47"/>
  <c r="R151" i="47"/>
  <c r="Q145" i="47"/>
  <c r="S142" i="47"/>
  <c r="R145" i="47"/>
  <c r="Q148" i="47"/>
  <c r="Q143" i="47"/>
  <c r="R135" i="45"/>
  <c r="Q144" i="47"/>
  <c r="R148" i="47"/>
  <c r="R141" i="47"/>
  <c r="T143" i="47"/>
  <c r="R142" i="47"/>
  <c r="T142" i="47"/>
  <c r="S148" i="47"/>
  <c r="R143" i="47"/>
  <c r="Q147" i="47"/>
  <c r="Q141" i="47"/>
  <c r="S147" i="47"/>
  <c r="T136" i="47"/>
  <c r="T152" i="47"/>
  <c r="R144" i="47"/>
  <c r="Q142" i="47"/>
  <c r="S145" i="47"/>
  <c r="R140" i="47"/>
  <c r="T145" i="47"/>
  <c r="T135" i="45"/>
  <c r="R146" i="47"/>
  <c r="T148" i="47"/>
  <c r="T149" i="47"/>
  <c r="Q140" i="47"/>
  <c r="S143" i="47"/>
  <c r="T144" i="47"/>
  <c r="T141" i="47"/>
  <c r="Q136" i="47"/>
  <c r="S140" i="47"/>
  <c r="S151" i="47"/>
  <c r="T147" i="47"/>
  <c r="R137" i="45" l="1"/>
  <c r="R137" i="47" s="1"/>
  <c r="S139" i="45"/>
  <c r="S139" i="47" s="1"/>
  <c r="S138" i="45"/>
  <c r="S138" i="47" s="1"/>
  <c r="Q138" i="45"/>
  <c r="Q138" i="47" s="1"/>
  <c r="Q139" i="45"/>
  <c r="Q139" i="47" s="1"/>
  <c r="S137" i="45"/>
  <c r="S137" i="47" s="1"/>
  <c r="R138" i="45"/>
  <c r="R138" i="47" s="1"/>
  <c r="T138" i="45"/>
  <c r="T138" i="47" s="1"/>
  <c r="Q137" i="45"/>
  <c r="Q137" i="47" s="1"/>
  <c r="T137" i="45"/>
  <c r="T137" i="47" s="1"/>
  <c r="R139" i="45"/>
  <c r="R139" i="47" s="1"/>
  <c r="T139" i="45"/>
  <c r="T139" i="47" s="1"/>
  <c r="Q155" i="45"/>
  <c r="Q157" i="45" s="1"/>
  <c r="S155" i="45"/>
  <c r="S157" i="45" s="1"/>
  <c r="R150" i="47"/>
  <c r="P150" i="47"/>
  <c r="R155" i="45" l="1"/>
  <c r="R157" i="45" s="1"/>
  <c r="T155" i="45"/>
  <c r="T157" i="45" s="1"/>
  <c r="T135" i="47"/>
  <c r="Q135" i="47"/>
  <c r="R135" i="47"/>
  <c r="S135" i="47"/>
  <c r="P142" i="47"/>
  <c r="P147" i="47"/>
  <c r="P143" i="47"/>
  <c r="P146" i="47"/>
  <c r="P149" i="47"/>
  <c r="P144" i="47"/>
  <c r="P148" i="47"/>
  <c r="P152" i="47"/>
  <c r="P140" i="47"/>
  <c r="P136" i="47"/>
  <c r="P135" i="45"/>
  <c r="P141" i="47"/>
  <c r="P151" i="47"/>
  <c r="P145" i="47"/>
  <c r="P137" i="45" l="1"/>
  <c r="P137" i="47" s="1"/>
  <c r="P139" i="45"/>
  <c r="P139" i="47" s="1"/>
  <c r="P138" i="45"/>
  <c r="P138" i="47" s="1"/>
  <c r="T134" i="47"/>
  <c r="P100" i="33"/>
  <c r="P120" i="34" s="1"/>
  <c r="P98" i="33"/>
  <c r="P92" i="34" s="1"/>
  <c r="M58" i="51" s="1"/>
  <c r="P103" i="33"/>
  <c r="P162" i="34" s="1"/>
  <c r="M92" i="51" s="1"/>
  <c r="P101" i="33"/>
  <c r="P134" i="34" s="1"/>
  <c r="M78" i="51" s="1"/>
  <c r="P96" i="33"/>
  <c r="P64" i="34" s="1"/>
  <c r="M44" i="51" s="1"/>
  <c r="P95" i="33"/>
  <c r="P50" i="34" s="1"/>
  <c r="M37" i="51" s="1"/>
  <c r="P134" i="47"/>
  <c r="P94" i="33"/>
  <c r="P161" i="32"/>
  <c r="P163" i="32" s="1"/>
  <c r="P97" i="33"/>
  <c r="P78" i="34" s="1"/>
  <c r="M51" i="51" s="1"/>
  <c r="P99" i="33"/>
  <c r="P106" i="34" s="1"/>
  <c r="M65" i="51" s="1"/>
  <c r="P102" i="33"/>
  <c r="P148" i="34" s="1"/>
  <c r="M85" i="51" s="1"/>
  <c r="S134" i="47"/>
  <c r="P155" i="45"/>
  <c r="P157" i="45" s="1"/>
  <c r="A157" i="45" s="1"/>
  <c r="P135" i="47" l="1"/>
  <c r="P102" i="46" s="1"/>
  <c r="P148" i="42" s="1"/>
  <c r="E85" i="51" s="1"/>
  <c r="P165" i="32"/>
  <c r="P105" i="33"/>
  <c r="P107" i="33" s="1"/>
  <c r="P36" i="34"/>
  <c r="R96" i="33"/>
  <c r="R64" i="34" s="1"/>
  <c r="O44" i="51" s="1"/>
  <c r="R95" i="33"/>
  <c r="R50" i="34" s="1"/>
  <c r="O37" i="51" s="1"/>
  <c r="R99" i="33"/>
  <c r="R106" i="34" s="1"/>
  <c r="O65" i="51" s="1"/>
  <c r="R101" i="33"/>
  <c r="R134" i="34" s="1"/>
  <c r="O78" i="51" s="1"/>
  <c r="R97" i="33"/>
  <c r="R78" i="34" s="1"/>
  <c r="O51" i="51" s="1"/>
  <c r="R100" i="33"/>
  <c r="R120" i="34" s="1"/>
  <c r="R102" i="33"/>
  <c r="R148" i="34" s="1"/>
  <c r="O85" i="51" s="1"/>
  <c r="R103" i="33"/>
  <c r="R162" i="34" s="1"/>
  <c r="O92" i="51" s="1"/>
  <c r="R161" i="32"/>
  <c r="R163" i="32" s="1"/>
  <c r="R98" i="33"/>
  <c r="R92" i="34" s="1"/>
  <c r="O58" i="51" s="1"/>
  <c r="R134" i="47"/>
  <c r="R94" i="33"/>
  <c r="Q98" i="33"/>
  <c r="Q92" i="34" s="1"/>
  <c r="N58" i="51" s="1"/>
  <c r="Q101" i="33"/>
  <c r="Q134" i="34" s="1"/>
  <c r="N78" i="51" s="1"/>
  <c r="Q103" i="33"/>
  <c r="Q162" i="34" s="1"/>
  <c r="N92" i="51" s="1"/>
  <c r="Q97" i="33"/>
  <c r="Q78" i="34" s="1"/>
  <c r="N51" i="51" s="1"/>
  <c r="Q94" i="33"/>
  <c r="Q99" i="33"/>
  <c r="Q106" i="34" s="1"/>
  <c r="N65" i="51" s="1"/>
  <c r="Q102" i="33"/>
  <c r="Q148" i="34" s="1"/>
  <c r="N85" i="51" s="1"/>
  <c r="Q100" i="33"/>
  <c r="Q120" i="34" s="1"/>
  <c r="Q161" i="32"/>
  <c r="Q163" i="32" s="1"/>
  <c r="Q134" i="47"/>
  <c r="Q96" i="33"/>
  <c r="Q64" i="34" s="1"/>
  <c r="N44" i="51" s="1"/>
  <c r="Q95" i="33"/>
  <c r="Q50" i="34" s="1"/>
  <c r="N37" i="51" s="1"/>
  <c r="R165" i="32" l="1"/>
  <c r="P94" i="46"/>
  <c r="P103" i="46"/>
  <c r="P162" i="42" s="1"/>
  <c r="E92" i="51" s="1"/>
  <c r="P101" i="46"/>
  <c r="P134" i="42" s="1"/>
  <c r="E78" i="51" s="1"/>
  <c r="P97" i="46"/>
  <c r="P78" i="42" s="1"/>
  <c r="E51" i="51" s="1"/>
  <c r="P100" i="46"/>
  <c r="P120" i="42" s="1"/>
  <c r="P155" i="47"/>
  <c r="P157" i="47" s="1"/>
  <c r="P98" i="46"/>
  <c r="P92" i="42" s="1"/>
  <c r="E58" i="51" s="1"/>
  <c r="P95" i="46"/>
  <c r="P50" i="42" s="1"/>
  <c r="E37" i="51" s="1"/>
  <c r="P96" i="46"/>
  <c r="P64" i="42" s="1"/>
  <c r="E44" i="51" s="1"/>
  <c r="P99" i="46"/>
  <c r="P106" i="42" s="1"/>
  <c r="E65" i="51" s="1"/>
  <c r="Q155" i="47"/>
  <c r="Q157" i="47" s="1"/>
  <c r="Q103" i="46"/>
  <c r="Q162" i="42" s="1"/>
  <c r="F92" i="51" s="1"/>
  <c r="Q95" i="46"/>
  <c r="Q50" i="42" s="1"/>
  <c r="F37" i="51" s="1"/>
  <c r="Q102" i="46"/>
  <c r="Q148" i="42" s="1"/>
  <c r="F85" i="51" s="1"/>
  <c r="Q97" i="46"/>
  <c r="Q78" i="42" s="1"/>
  <c r="F51" i="51" s="1"/>
  <c r="Q98" i="46"/>
  <c r="Q92" i="42" s="1"/>
  <c r="F58" i="51" s="1"/>
  <c r="Q99" i="46"/>
  <c r="Q106" i="42" s="1"/>
  <c r="F65" i="51" s="1"/>
  <c r="Q100" i="46"/>
  <c r="Q120" i="42" s="1"/>
  <c r="Q96" i="46"/>
  <c r="Q64" i="42" s="1"/>
  <c r="F44" i="51" s="1"/>
  <c r="Q101" i="46"/>
  <c r="Q134" i="42" s="1"/>
  <c r="F78" i="51" s="1"/>
  <c r="Q94" i="46"/>
  <c r="M30" i="51"/>
  <c r="P20" i="34"/>
  <c r="M17" i="51" s="1"/>
  <c r="Q165" i="32"/>
  <c r="Q36" i="34"/>
  <c r="Q105" i="33"/>
  <c r="Q107" i="33" s="1"/>
  <c r="P36" i="42"/>
  <c r="S150" i="47"/>
  <c r="S101" i="33"/>
  <c r="S134" i="34" s="1"/>
  <c r="P78" i="51" s="1"/>
  <c r="S102" i="33"/>
  <c r="S148" i="34" s="1"/>
  <c r="P85" i="51" s="1"/>
  <c r="S95" i="33"/>
  <c r="S50" i="34" s="1"/>
  <c r="P37" i="51" s="1"/>
  <c r="S94" i="33"/>
  <c r="S96" i="33"/>
  <c r="S64" i="34" s="1"/>
  <c r="P44" i="51" s="1"/>
  <c r="S97" i="33"/>
  <c r="S78" i="34" s="1"/>
  <c r="P51" i="51" s="1"/>
  <c r="S161" i="32"/>
  <c r="S163" i="32" s="1"/>
  <c r="S100" i="33"/>
  <c r="S120" i="34" s="1"/>
  <c r="S99" i="33"/>
  <c r="S106" i="34" s="1"/>
  <c r="P65" i="51" s="1"/>
  <c r="S98" i="33"/>
  <c r="S92" i="34" s="1"/>
  <c r="P58" i="51" s="1"/>
  <c r="S103" i="33"/>
  <c r="S162" i="34" s="1"/>
  <c r="P92" i="51" s="1"/>
  <c r="R105" i="33"/>
  <c r="R107" i="33" s="1"/>
  <c r="R36" i="34"/>
  <c r="R101" i="46"/>
  <c r="R134" i="42" s="1"/>
  <c r="G78" i="51" s="1"/>
  <c r="R96" i="46"/>
  <c r="R64" i="42" s="1"/>
  <c r="G44" i="51" s="1"/>
  <c r="R155" i="47"/>
  <c r="R157" i="47" s="1"/>
  <c r="R99" i="46"/>
  <c r="R106" i="42" s="1"/>
  <c r="G65" i="51" s="1"/>
  <c r="R97" i="46"/>
  <c r="R78" i="42" s="1"/>
  <c r="G51" i="51" s="1"/>
  <c r="R103" i="46"/>
  <c r="R162" i="42" s="1"/>
  <c r="G92" i="51" s="1"/>
  <c r="R100" i="46"/>
  <c r="R120" i="42" s="1"/>
  <c r="R94" i="46"/>
  <c r="R102" i="46"/>
  <c r="R148" i="42" s="1"/>
  <c r="G85" i="51" s="1"/>
  <c r="R95" i="46"/>
  <c r="R50" i="42" s="1"/>
  <c r="G37" i="51" s="1"/>
  <c r="R98" i="46"/>
  <c r="R92" i="42" s="1"/>
  <c r="G58" i="51" s="1"/>
  <c r="P105" i="46" l="1"/>
  <c r="P107" i="46" s="1"/>
  <c r="S165" i="32"/>
  <c r="R36" i="42"/>
  <c r="R105" i="46"/>
  <c r="R107" i="46" s="1"/>
  <c r="S105" i="33"/>
  <c r="S107" i="33" s="1"/>
  <c r="S36" i="34"/>
  <c r="E30" i="51"/>
  <c r="P20" i="42"/>
  <c r="E17" i="51" s="1"/>
  <c r="T150" i="47"/>
  <c r="T99" i="33"/>
  <c r="T106" i="34" s="1"/>
  <c r="Q65" i="51" s="1"/>
  <c r="T96" i="33"/>
  <c r="T64" i="34" s="1"/>
  <c r="Q44" i="51" s="1"/>
  <c r="T103" i="33"/>
  <c r="T162" i="34" s="1"/>
  <c r="Q92" i="51" s="1"/>
  <c r="T101" i="33"/>
  <c r="T134" i="34" s="1"/>
  <c r="Q78" i="51" s="1"/>
  <c r="T98" i="33"/>
  <c r="T92" i="34" s="1"/>
  <c r="Q58" i="51" s="1"/>
  <c r="T95" i="33"/>
  <c r="T50" i="34" s="1"/>
  <c r="Q37" i="51" s="1"/>
  <c r="T94" i="33"/>
  <c r="T102" i="33"/>
  <c r="T148" i="34" s="1"/>
  <c r="Q85" i="51" s="1"/>
  <c r="T161" i="32"/>
  <c r="T163" i="32" s="1"/>
  <c r="A163" i="32" s="1"/>
  <c r="T97" i="33"/>
  <c r="T78" i="34" s="1"/>
  <c r="Q51" i="51" s="1"/>
  <c r="T100" i="33"/>
  <c r="T120" i="34" s="1"/>
  <c r="T165" i="32"/>
  <c r="A165" i="32" s="1"/>
  <c r="Q36" i="42"/>
  <c r="Q105" i="46"/>
  <c r="Q107" i="46" s="1"/>
  <c r="R20" i="34"/>
  <c r="O17" i="51" s="1"/>
  <c r="O30" i="51"/>
  <c r="Q20" i="34"/>
  <c r="N17" i="51" s="1"/>
  <c r="N30" i="51"/>
  <c r="S101" i="46"/>
  <c r="S134" i="42" s="1"/>
  <c r="H78" i="51" s="1"/>
  <c r="S102" i="46"/>
  <c r="S148" i="42" s="1"/>
  <c r="H85" i="51" s="1"/>
  <c r="S100" i="46"/>
  <c r="S120" i="42" s="1"/>
  <c r="S99" i="46"/>
  <c r="S106" i="42" s="1"/>
  <c r="H65" i="51" s="1"/>
  <c r="S94" i="46"/>
  <c r="S98" i="46"/>
  <c r="S92" i="42" s="1"/>
  <c r="H58" i="51" s="1"/>
  <c r="S155" i="47"/>
  <c r="S157" i="47" s="1"/>
  <c r="S103" i="46"/>
  <c r="S162" i="42" s="1"/>
  <c r="H92" i="51" s="1"/>
  <c r="S95" i="46"/>
  <c r="S50" i="42" s="1"/>
  <c r="H37" i="51" s="1"/>
  <c r="S96" i="46"/>
  <c r="S64" i="42" s="1"/>
  <c r="H44" i="51" s="1"/>
  <c r="S97" i="46"/>
  <c r="S78" i="42" s="1"/>
  <c r="H51" i="51" s="1"/>
  <c r="S20" i="34" l="1"/>
  <c r="P17" i="51" s="1"/>
  <c r="P30" i="51"/>
  <c r="S105" i="46"/>
  <c r="S107" i="46" s="1"/>
  <c r="S36" i="42"/>
  <c r="T100" i="46"/>
  <c r="T120" i="42" s="1"/>
  <c r="T155" i="47"/>
  <c r="T157" i="47" s="1"/>
  <c r="A157" i="47" s="1"/>
  <c r="T103" i="46"/>
  <c r="T162" i="42" s="1"/>
  <c r="I92" i="51" s="1"/>
  <c r="T101" i="46"/>
  <c r="T134" i="42" s="1"/>
  <c r="I78" i="51" s="1"/>
  <c r="T94" i="46"/>
  <c r="T99" i="46"/>
  <c r="T106" i="42" s="1"/>
  <c r="I65" i="51" s="1"/>
  <c r="T102" i="46"/>
  <c r="T148" i="42" s="1"/>
  <c r="I85" i="51" s="1"/>
  <c r="T96" i="46"/>
  <c r="T64" i="42" s="1"/>
  <c r="I44" i="51" s="1"/>
  <c r="T95" i="46"/>
  <c r="T50" i="42" s="1"/>
  <c r="I37" i="51" s="1"/>
  <c r="T97" i="46"/>
  <c r="T78" i="42" s="1"/>
  <c r="I51" i="51" s="1"/>
  <c r="T98" i="46"/>
  <c r="T92" i="42" s="1"/>
  <c r="I58" i="51" s="1"/>
  <c r="R20" i="42"/>
  <c r="G17" i="51" s="1"/>
  <c r="G30" i="51"/>
  <c r="Q20" i="42"/>
  <c r="F17" i="51" s="1"/>
  <c r="F30" i="51"/>
  <c r="T36" i="34"/>
  <c r="T105" i="33"/>
  <c r="T107" i="33" s="1"/>
  <c r="A107" i="33" s="1"/>
  <c r="Q30" i="51" l="1"/>
  <c r="T20" i="34"/>
  <c r="Q17" i="51" s="1"/>
  <c r="S20" i="42"/>
  <c r="H17" i="51" s="1"/>
  <c r="H30" i="51"/>
  <c r="T105" i="46"/>
  <c r="T107" i="46" s="1"/>
  <c r="A107" i="46" s="1"/>
  <c r="T36" i="42"/>
  <c r="I30" i="51" l="1"/>
  <c r="T20" i="42"/>
  <c r="I17" i="51" s="1"/>
  <c r="O114" i="47" l="1"/>
  <c r="O115" i="47"/>
  <c r="K112" i="51" l="1"/>
  <c r="L112" i="51"/>
  <c r="O113" i="47"/>
  <c r="O122" i="47"/>
  <c r="O120" i="47"/>
  <c r="O111" i="47"/>
  <c r="O119" i="47"/>
  <c r="O116" i="47"/>
  <c r="O117" i="47"/>
  <c r="O123" i="47"/>
  <c r="O118" i="47"/>
  <c r="O112" i="47"/>
  <c r="O106" i="45"/>
  <c r="O107" i="47"/>
  <c r="O110" i="45" l="1"/>
  <c r="O110" i="47" s="1"/>
  <c r="O108" i="45"/>
  <c r="O108" i="47" s="1"/>
  <c r="O109" i="45"/>
  <c r="O109" i="47" s="1"/>
  <c r="O126" i="45"/>
  <c r="O128" i="45" s="1"/>
  <c r="N180" i="32"/>
  <c r="N240" i="32" s="1"/>
  <c r="O27" i="32" s="1"/>
  <c r="N114" i="47"/>
  <c r="N172" i="47" s="1"/>
  <c r="N230" i="47" s="1"/>
  <c r="O27" i="47" s="1"/>
  <c r="N109" i="45"/>
  <c r="N106" i="45"/>
  <c r="N110" i="45"/>
  <c r="N108" i="45"/>
  <c r="O106" i="47" l="1"/>
  <c r="O56" i="32"/>
  <c r="O56" i="47" s="1"/>
  <c r="O172" i="47" s="1"/>
  <c r="N177" i="32"/>
  <c r="N237" i="32" s="1"/>
  <c r="O24" i="32" s="1"/>
  <c r="N111" i="47"/>
  <c r="N169" i="47" s="1"/>
  <c r="N227" i="47" s="1"/>
  <c r="O24" i="47" s="1"/>
  <c r="N113" i="47"/>
  <c r="N171" i="47" s="1"/>
  <c r="N229" i="47" s="1"/>
  <c r="O26" i="47" s="1"/>
  <c r="N179" i="32"/>
  <c r="N239" i="32" s="1"/>
  <c r="O26" i="32" s="1"/>
  <c r="N118" i="47"/>
  <c r="N176" i="47" s="1"/>
  <c r="N234" i="47" s="1"/>
  <c r="O31" i="47" s="1"/>
  <c r="N184" i="32"/>
  <c r="N244" i="32" s="1"/>
  <c r="O31" i="32" s="1"/>
  <c r="N176" i="32"/>
  <c r="N236" i="32" s="1"/>
  <c r="O23" i="32" s="1"/>
  <c r="N168" i="45"/>
  <c r="N226" i="45" s="1"/>
  <c r="O23" i="45" s="1"/>
  <c r="N175" i="32"/>
  <c r="N235" i="32" s="1"/>
  <c r="O22" i="32" s="1"/>
  <c r="N167" i="45"/>
  <c r="N225" i="45" s="1"/>
  <c r="O22" i="45" s="1"/>
  <c r="N116" i="47"/>
  <c r="N174" i="47" s="1"/>
  <c r="N232" i="47" s="1"/>
  <c r="O29" i="47" s="1"/>
  <c r="N182" i="32"/>
  <c r="N242" i="32" s="1"/>
  <c r="O29" i="32" s="1"/>
  <c r="N173" i="32"/>
  <c r="N233" i="32" s="1"/>
  <c r="O20" i="32" s="1"/>
  <c r="N107" i="47"/>
  <c r="N165" i="47" s="1"/>
  <c r="N223" i="47" s="1"/>
  <c r="O20" i="47" s="1"/>
  <c r="N174" i="32"/>
  <c r="N234" i="32" s="1"/>
  <c r="O21" i="32" s="1"/>
  <c r="N166" i="45"/>
  <c r="N224" i="45" s="1"/>
  <c r="O21" i="45" s="1"/>
  <c r="N181" i="32"/>
  <c r="N241" i="32" s="1"/>
  <c r="O28" i="32" s="1"/>
  <c r="N115" i="47"/>
  <c r="N173" i="47" s="1"/>
  <c r="N231" i="47" s="1"/>
  <c r="O28" i="47" s="1"/>
  <c r="N123" i="47"/>
  <c r="N181" i="47" s="1"/>
  <c r="N239" i="47" s="1"/>
  <c r="O36" i="47" s="1"/>
  <c r="N189" i="32"/>
  <c r="N249" i="32" s="1"/>
  <c r="O36" i="32" s="1"/>
  <c r="N188" i="32"/>
  <c r="N248" i="32" s="1"/>
  <c r="O35" i="32" s="1"/>
  <c r="N122" i="47"/>
  <c r="N180" i="47" s="1"/>
  <c r="N238" i="47" s="1"/>
  <c r="O35" i="47" s="1"/>
  <c r="N112" i="47"/>
  <c r="N170" i="47" s="1"/>
  <c r="N228" i="47" s="1"/>
  <c r="O25" i="47" s="1"/>
  <c r="N178" i="32"/>
  <c r="N238" i="32" s="1"/>
  <c r="O25" i="32" s="1"/>
  <c r="N106" i="47"/>
  <c r="N164" i="47" s="1"/>
  <c r="N222" i="47" s="1"/>
  <c r="O19" i="47" s="1"/>
  <c r="N172" i="32"/>
  <c r="N232" i="32" s="1"/>
  <c r="O19" i="32" s="1"/>
  <c r="O48" i="32" s="1"/>
  <c r="O48" i="45" s="1"/>
  <c r="N117" i="47"/>
  <c r="N175" i="47" s="1"/>
  <c r="N233" i="47" s="1"/>
  <c r="O30" i="47" s="1"/>
  <c r="N183" i="32"/>
  <c r="N243" i="32" s="1"/>
  <c r="O30" i="32" s="1"/>
  <c r="N119" i="47"/>
  <c r="N177" i="47" s="1"/>
  <c r="N235" i="47" s="1"/>
  <c r="O32" i="47" s="1"/>
  <c r="N185" i="32"/>
  <c r="N245" i="32" s="1"/>
  <c r="O32" i="32" s="1"/>
  <c r="N120" i="47"/>
  <c r="N178" i="47" s="1"/>
  <c r="N236" i="47" s="1"/>
  <c r="O33" i="47" s="1"/>
  <c r="N186" i="32"/>
  <c r="N246" i="32" s="1"/>
  <c r="O33" i="32" s="1"/>
  <c r="N109" i="47" l="1"/>
  <c r="N167" i="47" s="1"/>
  <c r="N225" i="47" s="1"/>
  <c r="O22" i="47" s="1"/>
  <c r="N108" i="47"/>
  <c r="N166" i="47" s="1"/>
  <c r="N224" i="47" s="1"/>
  <c r="O21" i="47" s="1"/>
  <c r="N110" i="47"/>
  <c r="N168" i="47" s="1"/>
  <c r="N226" i="47" s="1"/>
  <c r="O23" i="47" s="1"/>
  <c r="O55" i="32"/>
  <c r="O55" i="47" s="1"/>
  <c r="O171" i="47" s="1"/>
  <c r="O172" i="32"/>
  <c r="O48" i="47"/>
  <c r="O164" i="47" s="1"/>
  <c r="O49" i="32"/>
  <c r="O49" i="47" s="1"/>
  <c r="O165" i="47" s="1"/>
  <c r="N76" i="33"/>
  <c r="N171" i="32"/>
  <c r="N78" i="33"/>
  <c r="N80" i="33"/>
  <c r="N75" i="33"/>
  <c r="N83" i="33"/>
  <c r="N82" i="33"/>
  <c r="N81" i="33"/>
  <c r="N84" i="33"/>
  <c r="N79" i="33"/>
  <c r="N130" i="32"/>
  <c r="N77" i="33"/>
  <c r="N105" i="47"/>
  <c r="O62" i="32"/>
  <c r="O62" i="47" s="1"/>
  <c r="O178" i="47" s="1"/>
  <c r="N126" i="45"/>
  <c r="N128" i="45" s="1"/>
  <c r="N164" i="45"/>
  <c r="O57" i="32"/>
  <c r="O57" i="47" s="1"/>
  <c r="O173" i="47" s="1"/>
  <c r="O52" i="32"/>
  <c r="O54" i="32"/>
  <c r="O54" i="47" s="1"/>
  <c r="O170" i="47" s="1"/>
  <c r="O58" i="32"/>
  <c r="O58" i="47" s="1"/>
  <c r="O174" i="47" s="1"/>
  <c r="O60" i="32"/>
  <c r="O60" i="47" s="1"/>
  <c r="O176" i="47" s="1"/>
  <c r="O53" i="32"/>
  <c r="O53" i="47" s="1"/>
  <c r="O169" i="47" s="1"/>
  <c r="O61" i="32"/>
  <c r="O61" i="47" s="1"/>
  <c r="O177" i="47" s="1"/>
  <c r="O180" i="32"/>
  <c r="O50" i="32"/>
  <c r="O59" i="32"/>
  <c r="O59" i="47" s="1"/>
  <c r="O175" i="47" s="1"/>
  <c r="O64" i="32"/>
  <c r="O64" i="47" s="1"/>
  <c r="O180" i="47" s="1"/>
  <c r="O65" i="32"/>
  <c r="O65" i="47" s="1"/>
  <c r="O181" i="47" s="1"/>
  <c r="O51" i="32"/>
  <c r="O51" i="45" l="1"/>
  <c r="O51" i="47" s="1"/>
  <c r="O167" i="47" s="1"/>
  <c r="O52" i="45"/>
  <c r="O52" i="47" s="1"/>
  <c r="O168" i="47" s="1"/>
  <c r="O50" i="45"/>
  <c r="O50" i="47" s="1"/>
  <c r="O166" i="47" s="1"/>
  <c r="O184" i="32"/>
  <c r="O179" i="32"/>
  <c r="O188" i="32"/>
  <c r="O177" i="32"/>
  <c r="O182" i="32"/>
  <c r="O189" i="32"/>
  <c r="O175" i="32"/>
  <c r="O185" i="32"/>
  <c r="O178" i="32"/>
  <c r="O183" i="32"/>
  <c r="O181" i="32"/>
  <c r="N132" i="32"/>
  <c r="N134" i="32"/>
  <c r="N77" i="34"/>
  <c r="N116" i="33"/>
  <c r="N154" i="33" s="1"/>
  <c r="O21" i="33" s="1"/>
  <c r="N91" i="34"/>
  <c r="N117" i="33"/>
  <c r="N155" i="33" s="1"/>
  <c r="O22" i="33" s="1"/>
  <c r="N231" i="32"/>
  <c r="N192" i="32"/>
  <c r="N194" i="32" s="1"/>
  <c r="O78" i="33"/>
  <c r="O105" i="47"/>
  <c r="O82" i="33"/>
  <c r="O130" i="32"/>
  <c r="O75" i="33"/>
  <c r="O79" i="33"/>
  <c r="O81" i="33"/>
  <c r="O77" i="33"/>
  <c r="O80" i="33"/>
  <c r="O84" i="33"/>
  <c r="O76" i="33"/>
  <c r="O83" i="33"/>
  <c r="N184" i="45"/>
  <c r="N186" i="45" s="1"/>
  <c r="N222" i="45"/>
  <c r="N122" i="33"/>
  <c r="N160" i="33" s="1"/>
  <c r="O27" i="33" s="1"/>
  <c r="N161" i="34"/>
  <c r="N114" i="33"/>
  <c r="N152" i="33" s="1"/>
  <c r="O19" i="33" s="1"/>
  <c r="N49" i="34"/>
  <c r="N119" i="34"/>
  <c r="N119" i="33"/>
  <c r="N157" i="33" s="1"/>
  <c r="O24" i="33" s="1"/>
  <c r="O174" i="32"/>
  <c r="O186" i="32"/>
  <c r="N120" i="33"/>
  <c r="N158" i="33" s="1"/>
  <c r="O25" i="33" s="1"/>
  <c r="N133" i="34"/>
  <c r="O173" i="32"/>
  <c r="O167" i="45"/>
  <c r="N121" i="33"/>
  <c r="N159" i="33" s="1"/>
  <c r="O26" i="33" s="1"/>
  <c r="N147" i="34"/>
  <c r="S114" i="47"/>
  <c r="O176" i="32"/>
  <c r="N79" i="46"/>
  <c r="N76" i="46"/>
  <c r="N83" i="46"/>
  <c r="N81" i="46"/>
  <c r="N77" i="46"/>
  <c r="N84" i="46"/>
  <c r="N126" i="47"/>
  <c r="N128" i="47" s="1"/>
  <c r="N80" i="46"/>
  <c r="N82" i="46"/>
  <c r="N75" i="46"/>
  <c r="N163" i="47"/>
  <c r="N78" i="46"/>
  <c r="N113" i="33"/>
  <c r="N86" i="33"/>
  <c r="N88" i="33" s="1"/>
  <c r="N35" i="34"/>
  <c r="N63" i="34"/>
  <c r="N115" i="33"/>
  <c r="N153" i="33" s="1"/>
  <c r="O20" i="33" s="1"/>
  <c r="N105" i="34"/>
  <c r="N118" i="33"/>
  <c r="N156" i="33" s="1"/>
  <c r="O23" i="33" s="1"/>
  <c r="O68" i="45"/>
  <c r="O70" i="45" s="1"/>
  <c r="P114" i="47"/>
  <c r="M112" i="51"/>
  <c r="O168" i="45" l="1"/>
  <c r="O166" i="45"/>
  <c r="S123" i="47"/>
  <c r="S120" i="47"/>
  <c r="P112" i="51"/>
  <c r="S121" i="47"/>
  <c r="O112" i="51"/>
  <c r="N38" i="34"/>
  <c r="N19" i="34"/>
  <c r="K16" i="51" s="1"/>
  <c r="K29" i="51"/>
  <c r="K71" i="51"/>
  <c r="N122" i="34"/>
  <c r="N124" i="34" s="1"/>
  <c r="O158" i="34"/>
  <c r="O74" i="34"/>
  <c r="S111" i="47"/>
  <c r="Q114" i="47"/>
  <c r="T120" i="47"/>
  <c r="S107" i="47"/>
  <c r="S115" i="47"/>
  <c r="S113" i="47"/>
  <c r="S118" i="47"/>
  <c r="N161" i="42"/>
  <c r="N122" i="46"/>
  <c r="N160" i="46" s="1"/>
  <c r="O27" i="46" s="1"/>
  <c r="N136" i="34"/>
  <c r="N138" i="34" s="1"/>
  <c r="K77" i="51"/>
  <c r="N242" i="45"/>
  <c r="N244" i="45" s="1"/>
  <c r="O19" i="45"/>
  <c r="K50" i="51"/>
  <c r="N80" i="34"/>
  <c r="N82" i="34" s="1"/>
  <c r="N118" i="46"/>
  <c r="N156" i="46" s="1"/>
  <c r="O23" i="46" s="1"/>
  <c r="N105" i="42"/>
  <c r="O116" i="34"/>
  <c r="O75" i="46"/>
  <c r="O76" i="46"/>
  <c r="O83" i="46"/>
  <c r="O78" i="46"/>
  <c r="O79" i="46"/>
  <c r="O81" i="46"/>
  <c r="O80" i="46"/>
  <c r="O82" i="46"/>
  <c r="O77" i="46"/>
  <c r="O84" i="46"/>
  <c r="O126" i="47"/>
  <c r="O128" i="47" s="1"/>
  <c r="S122" i="47"/>
  <c r="T114" i="47"/>
  <c r="N124" i="33"/>
  <c r="N126" i="33" s="1"/>
  <c r="N151" i="33"/>
  <c r="N63" i="42"/>
  <c r="N115" i="46"/>
  <c r="N153" i="46" s="1"/>
  <c r="O20" i="46" s="1"/>
  <c r="O130" i="34"/>
  <c r="O18" i="32"/>
  <c r="N252" i="32"/>
  <c r="N254" i="32" s="1"/>
  <c r="N257" i="32"/>
  <c r="N112" i="51"/>
  <c r="O102" i="34"/>
  <c r="N77" i="42"/>
  <c r="N116" i="46"/>
  <c r="N154" i="46" s="1"/>
  <c r="O21" i="46" s="1"/>
  <c r="N119" i="42"/>
  <c r="N119" i="46"/>
  <c r="N157" i="46" s="1"/>
  <c r="O24" i="46" s="1"/>
  <c r="O88" i="34"/>
  <c r="S106" i="45"/>
  <c r="N108" i="34"/>
  <c r="N110" i="34" s="1"/>
  <c r="K64" i="51"/>
  <c r="N184" i="47"/>
  <c r="N186" i="47" s="1"/>
  <c r="N221" i="47"/>
  <c r="N121" i="46"/>
  <c r="N159" i="46" s="1"/>
  <c r="O26" i="46" s="1"/>
  <c r="N147" i="42"/>
  <c r="K84" i="51"/>
  <c r="N150" i="34"/>
  <c r="N152" i="34" s="1"/>
  <c r="O86" i="33"/>
  <c r="O88" i="33" s="1"/>
  <c r="N94" i="34"/>
  <c r="N96" i="34" s="1"/>
  <c r="K57" i="51"/>
  <c r="K91" i="51"/>
  <c r="N164" i="34"/>
  <c r="N166" i="34" s="1"/>
  <c r="S112" i="47"/>
  <c r="R114" i="47"/>
  <c r="S116" i="47"/>
  <c r="S119" i="47"/>
  <c r="Q112" i="51"/>
  <c r="O60" i="34"/>
  <c r="N86" i="46"/>
  <c r="N88" i="46" s="1"/>
  <c r="N35" i="42"/>
  <c r="N113" i="46"/>
  <c r="N49" i="42"/>
  <c r="N114" i="46"/>
  <c r="N152" i="46" s="1"/>
  <c r="O19" i="46" s="1"/>
  <c r="O144" i="34"/>
  <c r="N52" i="34"/>
  <c r="N54" i="34" s="1"/>
  <c r="K36" i="51"/>
  <c r="O132" i="32"/>
  <c r="O134" i="32"/>
  <c r="S117" i="47"/>
  <c r="N66" i="34"/>
  <c r="N68" i="34" s="1"/>
  <c r="K43" i="51"/>
  <c r="N120" i="46"/>
  <c r="N158" i="46" s="1"/>
  <c r="O25" i="46" s="1"/>
  <c r="N133" i="42"/>
  <c r="N91" i="42"/>
  <c r="N117" i="46"/>
  <c r="N155" i="46" s="1"/>
  <c r="O22" i="46" s="1"/>
  <c r="O46" i="34"/>
  <c r="P112" i="47"/>
  <c r="Q92" i="47"/>
  <c r="P116" i="47"/>
  <c r="P107" i="47"/>
  <c r="P123" i="47"/>
  <c r="P120" i="47"/>
  <c r="P115" i="47"/>
  <c r="P119" i="47"/>
  <c r="P118" i="47"/>
  <c r="P122" i="47"/>
  <c r="P113" i="47"/>
  <c r="P111" i="47"/>
  <c r="P117" i="47"/>
  <c r="P106" i="45"/>
  <c r="P108" i="45" l="1"/>
  <c r="P108" i="47" s="1"/>
  <c r="P110" i="45"/>
  <c r="P110" i="47" s="1"/>
  <c r="S109" i="45"/>
  <c r="S109" i="47" s="1"/>
  <c r="Q108" i="45"/>
  <c r="Q108" i="47" s="1"/>
  <c r="S108" i="45"/>
  <c r="S108" i="47" s="1"/>
  <c r="S110" i="45"/>
  <c r="S110" i="47" s="1"/>
  <c r="P109" i="45"/>
  <c r="P109" i="47" s="1"/>
  <c r="T110" i="45"/>
  <c r="T110" i="47" s="1"/>
  <c r="T113" i="47"/>
  <c r="T105" i="47"/>
  <c r="Q123" i="47"/>
  <c r="T111" i="47"/>
  <c r="Q112" i="47"/>
  <c r="T107" i="47"/>
  <c r="R115" i="47"/>
  <c r="L33" i="51"/>
  <c r="N242" i="47"/>
  <c r="N244" i="47" s="1"/>
  <c r="O18" i="47"/>
  <c r="O39" i="47" s="1"/>
  <c r="O41" i="47" s="1"/>
  <c r="O74" i="42"/>
  <c r="O60" i="42"/>
  <c r="L68" i="51"/>
  <c r="K79" i="51"/>
  <c r="T122" i="47"/>
  <c r="T123" i="47"/>
  <c r="R113" i="47"/>
  <c r="R123" i="47"/>
  <c r="Q105" i="47"/>
  <c r="Q113" i="47"/>
  <c r="Q121" i="47"/>
  <c r="O88" i="42"/>
  <c r="L40" i="51"/>
  <c r="C50" i="51"/>
  <c r="N80" i="42"/>
  <c r="N82" i="42" s="1"/>
  <c r="N66" i="42"/>
  <c r="N68" i="42" s="1"/>
  <c r="C43" i="51"/>
  <c r="C64" i="51"/>
  <c r="N108" i="42"/>
  <c r="N110" i="42" s="1"/>
  <c r="N22" i="34"/>
  <c r="N40" i="34"/>
  <c r="C57" i="51"/>
  <c r="N94" i="42"/>
  <c r="N96" i="42" s="1"/>
  <c r="L81" i="51"/>
  <c r="K66" i="51"/>
  <c r="O18" i="33"/>
  <c r="N162" i="33"/>
  <c r="N164" i="33" s="1"/>
  <c r="O102" i="42"/>
  <c r="O158" i="42"/>
  <c r="L88" i="51"/>
  <c r="R107" i="47"/>
  <c r="R119" i="47"/>
  <c r="P105" i="47"/>
  <c r="Q120" i="47"/>
  <c r="T116" i="47"/>
  <c r="Q106" i="45"/>
  <c r="C77" i="51"/>
  <c r="N136" i="42"/>
  <c r="N138" i="42" s="1"/>
  <c r="O46" i="42"/>
  <c r="L54" i="51"/>
  <c r="L61" i="51"/>
  <c r="C91" i="51"/>
  <c r="N164" i="42"/>
  <c r="N166" i="42" s="1"/>
  <c r="T121" i="47"/>
  <c r="R120" i="47"/>
  <c r="T106" i="45"/>
  <c r="R121" i="47"/>
  <c r="R105" i="47"/>
  <c r="O130" i="42"/>
  <c r="C36" i="51"/>
  <c r="N52" i="42"/>
  <c r="N54" i="42" s="1"/>
  <c r="K93" i="51"/>
  <c r="O47" i="32"/>
  <c r="O39" i="32"/>
  <c r="O41" i="32" s="1"/>
  <c r="K52" i="51"/>
  <c r="K72" i="51"/>
  <c r="Q118" i="47"/>
  <c r="R122" i="47"/>
  <c r="Q119" i="47"/>
  <c r="Q116" i="47"/>
  <c r="R117" i="47"/>
  <c r="Q117" i="47"/>
  <c r="T115" i="47"/>
  <c r="R116" i="47"/>
  <c r="K45" i="51"/>
  <c r="N124" i="46"/>
  <c r="N126" i="46" s="1"/>
  <c r="N151" i="46"/>
  <c r="K86" i="51"/>
  <c r="R111" i="47"/>
  <c r="T119" i="47"/>
  <c r="T117" i="47"/>
  <c r="R118" i="47"/>
  <c r="Q107" i="47"/>
  <c r="Q115" i="47"/>
  <c r="T118" i="47"/>
  <c r="N19" i="42"/>
  <c r="C16" i="51" s="1"/>
  <c r="C29" i="51"/>
  <c r="N38" i="42"/>
  <c r="N150" i="42"/>
  <c r="N152" i="42" s="1"/>
  <c r="C84" i="51"/>
  <c r="O116" i="42"/>
  <c r="O86" i="46"/>
  <c r="O88" i="46" s="1"/>
  <c r="O164" i="45"/>
  <c r="O39" i="45"/>
  <c r="O41" i="45" s="1"/>
  <c r="L47" i="51"/>
  <c r="Q122" i="47"/>
  <c r="T112" i="47"/>
  <c r="Q111" i="47"/>
  <c r="S77" i="33"/>
  <c r="S63" i="34" s="1"/>
  <c r="P43" i="51" s="1"/>
  <c r="S75" i="33"/>
  <c r="S78" i="33"/>
  <c r="S77" i="34" s="1"/>
  <c r="P50" i="51" s="1"/>
  <c r="S82" i="33"/>
  <c r="S133" i="34" s="1"/>
  <c r="P77" i="51" s="1"/>
  <c r="S76" i="33"/>
  <c r="S49" i="34" s="1"/>
  <c r="P36" i="51" s="1"/>
  <c r="S79" i="33"/>
  <c r="S91" i="34" s="1"/>
  <c r="P57" i="51" s="1"/>
  <c r="S130" i="32"/>
  <c r="S132" i="32" s="1"/>
  <c r="S84" i="33"/>
  <c r="S161" i="34" s="1"/>
  <c r="P91" i="51" s="1"/>
  <c r="S105" i="47"/>
  <c r="S83" i="33"/>
  <c r="S147" i="34" s="1"/>
  <c r="P84" i="51" s="1"/>
  <c r="S81" i="33"/>
  <c r="S119" i="34" s="1"/>
  <c r="P71" i="51" s="1"/>
  <c r="S80" i="33"/>
  <c r="S105" i="34" s="1"/>
  <c r="P64" i="51" s="1"/>
  <c r="R106" i="45"/>
  <c r="R112" i="47"/>
  <c r="K38" i="51"/>
  <c r="K59" i="51"/>
  <c r="O144" i="42"/>
  <c r="N122" i="42"/>
  <c r="N124" i="42" s="1"/>
  <c r="C71" i="51"/>
  <c r="L74" i="51"/>
  <c r="K31" i="51"/>
  <c r="R92" i="47"/>
  <c r="T92" i="47"/>
  <c r="S92" i="47"/>
  <c r="S126" i="45" l="1"/>
  <c r="S128" i="45" s="1"/>
  <c r="P126" i="45"/>
  <c r="P128" i="45" s="1"/>
  <c r="R108" i="45"/>
  <c r="R108" i="47" s="1"/>
  <c r="R110" i="45"/>
  <c r="R110" i="47" s="1"/>
  <c r="Q110" i="45"/>
  <c r="Q110" i="47" s="1"/>
  <c r="R109" i="45"/>
  <c r="R109" i="47" s="1"/>
  <c r="T108" i="45"/>
  <c r="T108" i="47" s="1"/>
  <c r="T109" i="45"/>
  <c r="T109" i="47" s="1"/>
  <c r="Q109" i="45"/>
  <c r="Q80" i="33"/>
  <c r="Q105" i="34" s="1"/>
  <c r="N64" i="51" s="1"/>
  <c r="T130" i="32"/>
  <c r="T132" i="32" s="1"/>
  <c r="P121" i="47"/>
  <c r="P179" i="47" s="1"/>
  <c r="P237" i="47" s="1"/>
  <c r="Q34" i="47" s="1"/>
  <c r="P187" i="32"/>
  <c r="P247" i="32" s="1"/>
  <c r="Q34" i="32" s="1"/>
  <c r="C38" i="51"/>
  <c r="R81" i="33"/>
  <c r="R119" i="34" s="1"/>
  <c r="O71" i="51" s="1"/>
  <c r="P84" i="33"/>
  <c r="P161" i="34" s="1"/>
  <c r="M91" i="51" s="1"/>
  <c r="C45" i="51"/>
  <c r="Q78" i="33"/>
  <c r="Q77" i="34" s="1"/>
  <c r="N50" i="51" s="1"/>
  <c r="T76" i="33"/>
  <c r="T49" i="34" s="1"/>
  <c r="Q36" i="51" s="1"/>
  <c r="K131" i="51"/>
  <c r="K32" i="51"/>
  <c r="K102" i="51"/>
  <c r="O184" i="45"/>
  <c r="O186" i="45" s="1"/>
  <c r="N40" i="42"/>
  <c r="N22" i="42"/>
  <c r="K134" i="51"/>
  <c r="K105" i="51"/>
  <c r="K53" i="51"/>
  <c r="R84" i="33"/>
  <c r="R161" i="34" s="1"/>
  <c r="O91" i="51" s="1"/>
  <c r="P130" i="32"/>
  <c r="P132" i="32" s="1"/>
  <c r="D61" i="51"/>
  <c r="Q76" i="33"/>
  <c r="Q49" i="34" s="1"/>
  <c r="N36" i="51" s="1"/>
  <c r="D40" i="51"/>
  <c r="T77" i="33"/>
  <c r="T63" i="34" s="1"/>
  <c r="Q43" i="51" s="1"/>
  <c r="D81" i="51"/>
  <c r="R126" i="45"/>
  <c r="R128" i="45" s="1"/>
  <c r="C31" i="51"/>
  <c r="K46" i="51"/>
  <c r="K133" i="51"/>
  <c r="K104" i="51"/>
  <c r="D74" i="51"/>
  <c r="R78" i="33"/>
  <c r="R77" i="34" s="1"/>
  <c r="O50" i="51" s="1"/>
  <c r="P78" i="33"/>
  <c r="P77" i="34" s="1"/>
  <c r="M50" i="51" s="1"/>
  <c r="C59" i="51"/>
  <c r="Q79" i="33"/>
  <c r="Q91" i="34" s="1"/>
  <c r="N57" i="51" s="1"/>
  <c r="T84" i="33"/>
  <c r="T161" i="34" s="1"/>
  <c r="Q91" i="51" s="1"/>
  <c r="T79" i="33"/>
  <c r="T91" i="34" s="1"/>
  <c r="Q57" i="51" s="1"/>
  <c r="P106" i="47"/>
  <c r="R79" i="33"/>
  <c r="R91" i="34" s="1"/>
  <c r="O57" i="51" s="1"/>
  <c r="D33" i="51"/>
  <c r="P79" i="33"/>
  <c r="P91" i="34" s="1"/>
  <c r="M57" i="51" s="1"/>
  <c r="C52" i="51"/>
  <c r="Q82" i="33"/>
  <c r="Q133" i="34" s="1"/>
  <c r="N77" i="51" s="1"/>
  <c r="D47" i="51"/>
  <c r="T80" i="33"/>
  <c r="T105" i="34" s="1"/>
  <c r="Q64" i="51" s="1"/>
  <c r="T81" i="33"/>
  <c r="T119" i="34" s="1"/>
  <c r="Q71" i="51" s="1"/>
  <c r="M256" i="32"/>
  <c r="K135" i="51"/>
  <c r="K106" i="51"/>
  <c r="K60" i="51"/>
  <c r="O171" i="32"/>
  <c r="O46" i="33"/>
  <c r="O47" i="47"/>
  <c r="O37" i="33"/>
  <c r="O39" i="33"/>
  <c r="O43" i="33"/>
  <c r="O45" i="33"/>
  <c r="O44" i="33"/>
  <c r="O42" i="33"/>
  <c r="O68" i="32"/>
  <c r="O40" i="33"/>
  <c r="O38" i="33"/>
  <c r="O41" i="33"/>
  <c r="R83" i="33"/>
  <c r="R147" i="34" s="1"/>
  <c r="O84" i="51" s="1"/>
  <c r="C93" i="51"/>
  <c r="P83" i="33"/>
  <c r="P147" i="34" s="1"/>
  <c r="M84" i="51" s="1"/>
  <c r="P82" i="33"/>
  <c r="P133" i="34" s="1"/>
  <c r="M77" i="51" s="1"/>
  <c r="O32" i="34"/>
  <c r="O29" i="33"/>
  <c r="O31" i="33" s="1"/>
  <c r="N24" i="34"/>
  <c r="K18" i="51"/>
  <c r="Q77" i="33"/>
  <c r="Q63" i="34" s="1"/>
  <c r="N43" i="51" s="1"/>
  <c r="K80" i="51"/>
  <c r="K109" i="51"/>
  <c r="K137" i="51"/>
  <c r="T83" i="33"/>
  <c r="T147" i="34" s="1"/>
  <c r="Q84" i="51" s="1"/>
  <c r="C72" i="51"/>
  <c r="R76" i="33"/>
  <c r="R49" i="34" s="1"/>
  <c r="O36" i="51" s="1"/>
  <c r="R82" i="33"/>
  <c r="R133" i="34" s="1"/>
  <c r="O77" i="51" s="1"/>
  <c r="C79" i="51"/>
  <c r="P76" i="33"/>
  <c r="P49" i="34" s="1"/>
  <c r="M36" i="51" s="1"/>
  <c r="P80" i="33"/>
  <c r="P105" i="34" s="1"/>
  <c r="M64" i="51" s="1"/>
  <c r="Q81" i="33"/>
  <c r="Q119" i="34" s="1"/>
  <c r="N71" i="51" s="1"/>
  <c r="T82" i="33"/>
  <c r="T133" i="34" s="1"/>
  <c r="Q77" i="51" s="1"/>
  <c r="S35" i="34"/>
  <c r="S86" i="33"/>
  <c r="S88" i="33" s="1"/>
  <c r="D68" i="51"/>
  <c r="K87" i="51"/>
  <c r="K138" i="51"/>
  <c r="K110" i="51"/>
  <c r="K94" i="51"/>
  <c r="K111" i="51"/>
  <c r="K139" i="51"/>
  <c r="R130" i="32"/>
  <c r="R132" i="32" s="1"/>
  <c r="R75" i="33"/>
  <c r="P81" i="33"/>
  <c r="P119" i="34" s="1"/>
  <c r="M71" i="51" s="1"/>
  <c r="P75" i="33"/>
  <c r="K107" i="51"/>
  <c r="K67" i="51"/>
  <c r="K136" i="51"/>
  <c r="C66" i="51"/>
  <c r="Q75" i="33"/>
  <c r="Q130" i="32"/>
  <c r="Q132" i="32" s="1"/>
  <c r="T78" i="33"/>
  <c r="T77" i="34" s="1"/>
  <c r="Q50" i="51" s="1"/>
  <c r="S106" i="47"/>
  <c r="S75" i="46" s="1"/>
  <c r="K132" i="51"/>
  <c r="K103" i="51"/>
  <c r="K39" i="51"/>
  <c r="C86" i="51"/>
  <c r="O18" i="46"/>
  <c r="N162" i="46"/>
  <c r="N164" i="46" s="1"/>
  <c r="K108" i="51"/>
  <c r="K73" i="51"/>
  <c r="R77" i="33"/>
  <c r="R63" i="34" s="1"/>
  <c r="O43" i="51" s="1"/>
  <c r="R80" i="33"/>
  <c r="R105" i="34" s="1"/>
  <c r="O64" i="51" s="1"/>
  <c r="P77" i="33"/>
  <c r="P63" i="34" s="1"/>
  <c r="M43" i="51" s="1"/>
  <c r="D88" i="51"/>
  <c r="D54" i="51"/>
  <c r="Q83" i="33"/>
  <c r="Q147" i="34" s="1"/>
  <c r="N84" i="51" s="1"/>
  <c r="Q84" i="33"/>
  <c r="Q161" i="34" s="1"/>
  <c r="N91" i="51" s="1"/>
  <c r="T75" i="33"/>
  <c r="Q126" i="45" l="1"/>
  <c r="Q128" i="45" s="1"/>
  <c r="Q109" i="47"/>
  <c r="T126" i="45"/>
  <c r="T128" i="45" s="1"/>
  <c r="S81" i="46"/>
  <c r="S119" i="42" s="1"/>
  <c r="H71" i="51" s="1"/>
  <c r="S79" i="46"/>
  <c r="S91" i="42" s="1"/>
  <c r="H57" i="51" s="1"/>
  <c r="S77" i="46"/>
  <c r="S63" i="42" s="1"/>
  <c r="H43" i="51" s="1"/>
  <c r="S76" i="46"/>
  <c r="S49" i="42" s="1"/>
  <c r="H36" i="51" s="1"/>
  <c r="S83" i="46"/>
  <c r="S147" i="42" s="1"/>
  <c r="H84" i="51" s="1"/>
  <c r="P83" i="46"/>
  <c r="P147" i="42" s="1"/>
  <c r="E84" i="51" s="1"/>
  <c r="P81" i="46"/>
  <c r="P119" i="42" s="1"/>
  <c r="E71" i="51" s="1"/>
  <c r="P80" i="46"/>
  <c r="P105" i="42" s="1"/>
  <c r="E64" i="51" s="1"/>
  <c r="P82" i="46"/>
  <c r="P133" i="42" s="1"/>
  <c r="E77" i="51" s="1"/>
  <c r="P76" i="46"/>
  <c r="P49" i="42" s="1"/>
  <c r="E36" i="51" s="1"/>
  <c r="P79" i="46"/>
  <c r="P91" i="42" s="1"/>
  <c r="E57" i="51" s="1"/>
  <c r="P126" i="47"/>
  <c r="P128" i="47" s="1"/>
  <c r="P84" i="46"/>
  <c r="P161" i="42" s="1"/>
  <c r="E91" i="51" s="1"/>
  <c r="P75" i="46"/>
  <c r="P35" i="42" s="1"/>
  <c r="P78" i="46"/>
  <c r="P77" i="42" s="1"/>
  <c r="E50" i="51" s="1"/>
  <c r="P77" i="46"/>
  <c r="P63" i="42" s="1"/>
  <c r="E43" i="51" s="1"/>
  <c r="S80" i="46"/>
  <c r="S105" i="42" s="1"/>
  <c r="H64" i="51" s="1"/>
  <c r="S78" i="46"/>
  <c r="S77" i="42" s="1"/>
  <c r="H50" i="51" s="1"/>
  <c r="Q106" i="47"/>
  <c r="Q77" i="46" s="1"/>
  <c r="Q63" i="42" s="1"/>
  <c r="F43" i="51" s="1"/>
  <c r="S126" i="47"/>
  <c r="S128" i="47" s="1"/>
  <c r="A128" i="45"/>
  <c r="T106" i="47"/>
  <c r="O103" i="34"/>
  <c r="O118" i="33"/>
  <c r="O192" i="32"/>
  <c r="O194" i="32" s="1"/>
  <c r="C53" i="51"/>
  <c r="C134" i="51"/>
  <c r="C105" i="51"/>
  <c r="T86" i="33"/>
  <c r="T88" i="33" s="1"/>
  <c r="T35" i="34"/>
  <c r="O131" i="34"/>
  <c r="O120" i="33"/>
  <c r="S19" i="34"/>
  <c r="P16" i="51" s="1"/>
  <c r="P29" i="51"/>
  <c r="C111" i="51"/>
  <c r="C139" i="51"/>
  <c r="C94" i="51"/>
  <c r="O145" i="34"/>
  <c r="O121" i="33"/>
  <c r="C135" i="51"/>
  <c r="C106" i="51"/>
  <c r="C60" i="51"/>
  <c r="P35" i="34"/>
  <c r="P86" i="33"/>
  <c r="P88" i="33" s="1"/>
  <c r="K19" i="51"/>
  <c r="O117" i="34"/>
  <c r="O119" i="33"/>
  <c r="C102" i="51"/>
  <c r="C32" i="51"/>
  <c r="C131" i="51"/>
  <c r="O32" i="42"/>
  <c r="O29" i="46"/>
  <c r="O31" i="46" s="1"/>
  <c r="S82" i="46"/>
  <c r="S133" i="42" s="1"/>
  <c r="H77" i="51" s="1"/>
  <c r="O89" i="34"/>
  <c r="O117" i="33"/>
  <c r="O61" i="34"/>
  <c r="O115" i="33"/>
  <c r="R106" i="47"/>
  <c r="C104" i="51"/>
  <c r="C133" i="51"/>
  <c r="C46" i="51"/>
  <c r="C39" i="51"/>
  <c r="C103" i="51"/>
  <c r="C132" i="51"/>
  <c r="Q35" i="34"/>
  <c r="Q86" i="33"/>
  <c r="Q88" i="33" s="1"/>
  <c r="C73" i="51"/>
  <c r="C108" i="51"/>
  <c r="O47" i="34"/>
  <c r="O114" i="33"/>
  <c r="O113" i="33"/>
  <c r="O48" i="33"/>
  <c r="O50" i="33" s="1"/>
  <c r="O33" i="34"/>
  <c r="C18" i="51"/>
  <c r="N24" i="42"/>
  <c r="Q63" i="32"/>
  <c r="Q63" i="47" s="1"/>
  <c r="Q179" i="47" s="1"/>
  <c r="Q237" i="47" s="1"/>
  <c r="R34" i="47" s="1"/>
  <c r="C110" i="51"/>
  <c r="C87" i="51"/>
  <c r="C138" i="51"/>
  <c r="S35" i="42"/>
  <c r="L26" i="51"/>
  <c r="O16" i="34"/>
  <c r="L13" i="51" s="1"/>
  <c r="O75" i="34"/>
  <c r="O116" i="33"/>
  <c r="O163" i="47"/>
  <c r="O43" i="46"/>
  <c r="O38" i="46"/>
  <c r="O68" i="47"/>
  <c r="O70" i="47" s="1"/>
  <c r="O46" i="46"/>
  <c r="O44" i="46"/>
  <c r="O41" i="46"/>
  <c r="O39" i="46"/>
  <c r="O42" i="46"/>
  <c r="O40" i="46"/>
  <c r="O37" i="46"/>
  <c r="O113" i="46" s="1"/>
  <c r="O45" i="46"/>
  <c r="A132" i="32"/>
  <c r="Q82" i="46"/>
  <c r="Q133" i="42" s="1"/>
  <c r="F77" i="51" s="1"/>
  <c r="S84" i="46"/>
  <c r="S161" i="42" s="1"/>
  <c r="H91" i="51" s="1"/>
  <c r="C67" i="51"/>
  <c r="C136" i="51"/>
  <c r="C107" i="51"/>
  <c r="R86" i="33"/>
  <c r="R88" i="33" s="1"/>
  <c r="R35" i="34"/>
  <c r="C80" i="51"/>
  <c r="C109" i="51"/>
  <c r="C137" i="51"/>
  <c r="O70" i="32"/>
  <c r="O72" i="32"/>
  <c r="O159" i="34"/>
  <c r="O122" i="33"/>
  <c r="P134" i="32"/>
  <c r="Q78" i="46" l="1"/>
  <c r="Q77" i="42" s="1"/>
  <c r="F50" i="51" s="1"/>
  <c r="Q81" i="46"/>
  <c r="Q119" i="42" s="1"/>
  <c r="F71" i="51" s="1"/>
  <c r="Q83" i="46"/>
  <c r="Q147" i="42" s="1"/>
  <c r="F84" i="51" s="1"/>
  <c r="Q80" i="46"/>
  <c r="Q105" i="42" s="1"/>
  <c r="F64" i="51" s="1"/>
  <c r="Q84" i="46"/>
  <c r="Q161" i="42" s="1"/>
  <c r="F91" i="51" s="1"/>
  <c r="P86" i="46"/>
  <c r="P88" i="46" s="1"/>
  <c r="Q76" i="46"/>
  <c r="Q49" i="42" s="1"/>
  <c r="F36" i="51" s="1"/>
  <c r="Q75" i="46"/>
  <c r="Q35" i="42" s="1"/>
  <c r="Q79" i="46"/>
  <c r="Q91" i="42" s="1"/>
  <c r="F57" i="51" s="1"/>
  <c r="Q126" i="47"/>
  <c r="Q128" i="47" s="1"/>
  <c r="O201" i="47"/>
  <c r="O230" i="47" s="1"/>
  <c r="P27" i="47" s="1"/>
  <c r="Q187" i="32"/>
  <c r="Q247" i="32" s="1"/>
  <c r="R34" i="32" s="1"/>
  <c r="R63" i="32" s="1"/>
  <c r="R63" i="47" s="1"/>
  <c r="R179" i="47" s="1"/>
  <c r="R237" i="47" s="1"/>
  <c r="S34" i="47" s="1"/>
  <c r="O61" i="42"/>
  <c r="O115" i="46"/>
  <c r="A88" i="33"/>
  <c r="O184" i="47"/>
  <c r="O186" i="47" s="1"/>
  <c r="L41" i="51"/>
  <c r="O89" i="42"/>
  <c r="O117" i="46"/>
  <c r="L48" i="51"/>
  <c r="L55" i="51"/>
  <c r="P19" i="34"/>
  <c r="M16" i="51" s="1"/>
  <c r="M29" i="51"/>
  <c r="Q29" i="51"/>
  <c r="T19" i="34"/>
  <c r="Q16" i="51" s="1"/>
  <c r="O195" i="45"/>
  <c r="O131" i="42"/>
  <c r="O120" i="46"/>
  <c r="O197" i="45"/>
  <c r="O159" i="42"/>
  <c r="O122" i="46"/>
  <c r="O17" i="34"/>
  <c r="L14" i="51" s="1"/>
  <c r="L27" i="51"/>
  <c r="Q19" i="34"/>
  <c r="N16" i="51" s="1"/>
  <c r="N29" i="51"/>
  <c r="L62" i="51"/>
  <c r="O145" i="42"/>
  <c r="O121" i="46"/>
  <c r="L82" i="51"/>
  <c r="T83" i="46"/>
  <c r="T147" i="42" s="1"/>
  <c r="I84" i="51" s="1"/>
  <c r="T81" i="46"/>
  <c r="T119" i="42" s="1"/>
  <c r="I71" i="51" s="1"/>
  <c r="T84" i="46"/>
  <c r="T161" i="42" s="1"/>
  <c r="I91" i="51" s="1"/>
  <c r="T82" i="46"/>
  <c r="T133" i="42" s="1"/>
  <c r="I77" i="51" s="1"/>
  <c r="T79" i="46"/>
  <c r="T91" i="42" s="1"/>
  <c r="I57" i="51" s="1"/>
  <c r="T77" i="46"/>
  <c r="T63" i="42" s="1"/>
  <c r="I43" i="51" s="1"/>
  <c r="T80" i="46"/>
  <c r="T105" i="42" s="1"/>
  <c r="I64" i="51" s="1"/>
  <c r="T126" i="47"/>
  <c r="T128" i="47" s="1"/>
  <c r="T78" i="46"/>
  <c r="T77" i="42" s="1"/>
  <c r="I50" i="51" s="1"/>
  <c r="T76" i="46"/>
  <c r="T49" i="42" s="1"/>
  <c r="I36" i="51" s="1"/>
  <c r="T75" i="46"/>
  <c r="O103" i="42"/>
  <c r="O118" i="46"/>
  <c r="L34" i="51"/>
  <c r="O196" i="45"/>
  <c r="R19" i="34"/>
  <c r="O16" i="51" s="1"/>
  <c r="O29" i="51"/>
  <c r="O33" i="42"/>
  <c r="O48" i="46"/>
  <c r="O50" i="46" s="1"/>
  <c r="O47" i="42"/>
  <c r="O114" i="46"/>
  <c r="S86" i="46"/>
  <c r="S88" i="46" s="1"/>
  <c r="O124" i="33"/>
  <c r="O126" i="33" s="1"/>
  <c r="E29" i="51"/>
  <c r="P19" i="42"/>
  <c r="E16" i="51" s="1"/>
  <c r="R84" i="46"/>
  <c r="R161" i="42" s="1"/>
  <c r="G91" i="51" s="1"/>
  <c r="R126" i="47"/>
  <c r="R128" i="47" s="1"/>
  <c r="R78" i="46"/>
  <c r="R77" i="42" s="1"/>
  <c r="G50" i="51" s="1"/>
  <c r="R75" i="46"/>
  <c r="R83" i="46"/>
  <c r="R147" i="42" s="1"/>
  <c r="G84" i="51" s="1"/>
  <c r="R76" i="46"/>
  <c r="R49" i="42" s="1"/>
  <c r="G36" i="51" s="1"/>
  <c r="R82" i="46"/>
  <c r="R133" i="42" s="1"/>
  <c r="G77" i="51" s="1"/>
  <c r="R79" i="46"/>
  <c r="R91" i="42" s="1"/>
  <c r="G57" i="51" s="1"/>
  <c r="R81" i="46"/>
  <c r="R119" i="42" s="1"/>
  <c r="G71" i="51" s="1"/>
  <c r="R77" i="46"/>
  <c r="R63" i="42" s="1"/>
  <c r="G43" i="51" s="1"/>
  <c r="R80" i="46"/>
  <c r="R105" i="42" s="1"/>
  <c r="G64" i="51" s="1"/>
  <c r="D26" i="51"/>
  <c r="O16" i="42"/>
  <c r="D13" i="51" s="1"/>
  <c r="L69" i="51"/>
  <c r="L89" i="51"/>
  <c r="O193" i="45"/>
  <c r="O75" i="42"/>
  <c r="O116" i="46"/>
  <c r="O117" i="42"/>
  <c r="O119" i="46"/>
  <c r="S19" i="42"/>
  <c r="H16" i="51" s="1"/>
  <c r="H29" i="51"/>
  <c r="C19" i="51"/>
  <c r="L75" i="51"/>
  <c r="O240" i="32" l="1"/>
  <c r="P27" i="32" s="1"/>
  <c r="Q86" i="46"/>
  <c r="Q88" i="46" s="1"/>
  <c r="A128" i="47"/>
  <c r="O193" i="47"/>
  <c r="O222" i="47" s="1"/>
  <c r="P19" i="47" s="1"/>
  <c r="O232" i="32"/>
  <c r="P19" i="32" s="1"/>
  <c r="O200" i="47"/>
  <c r="O229" i="47" s="1"/>
  <c r="P26" i="47" s="1"/>
  <c r="O239" i="32"/>
  <c r="P26" i="32" s="1"/>
  <c r="D82" i="51"/>
  <c r="F29" i="51"/>
  <c r="Q19" i="42"/>
  <c r="F16" i="51" s="1"/>
  <c r="D89" i="51"/>
  <c r="D34" i="51"/>
  <c r="O194" i="47"/>
  <c r="O223" i="47" s="1"/>
  <c r="P20" i="47" s="1"/>
  <c r="O233" i="32"/>
  <c r="P20" i="32" s="1"/>
  <c r="O250" i="32"/>
  <c r="P37" i="32" s="1"/>
  <c r="O211" i="47"/>
  <c r="O240" i="47" s="1"/>
  <c r="P37" i="47" s="1"/>
  <c r="D41" i="51"/>
  <c r="O137" i="33"/>
  <c r="O139" i="33"/>
  <c r="O136" i="33"/>
  <c r="O140" i="33"/>
  <c r="O132" i="33"/>
  <c r="O134" i="33"/>
  <c r="O192" i="47"/>
  <c r="O221" i="32"/>
  <c r="O223" i="32" s="1"/>
  <c r="A223" i="32" s="1"/>
  <c r="O141" i="33"/>
  <c r="O138" i="33"/>
  <c r="O135" i="33"/>
  <c r="O133" i="33"/>
  <c r="O231" i="32"/>
  <c r="D48" i="51"/>
  <c r="P56" i="32"/>
  <c r="P56" i="47" s="1"/>
  <c r="O204" i="47"/>
  <c r="O233" i="47" s="1"/>
  <c r="P30" i="47" s="1"/>
  <c r="O243" i="32"/>
  <c r="P30" i="32" s="1"/>
  <c r="O199" i="47"/>
  <c r="O228" i="47" s="1"/>
  <c r="P25" i="47" s="1"/>
  <c r="O238" i="32"/>
  <c r="P25" i="32" s="1"/>
  <c r="O206" i="47"/>
  <c r="O235" i="47" s="1"/>
  <c r="P32" i="47" s="1"/>
  <c r="O245" i="32"/>
  <c r="P32" i="32" s="1"/>
  <c r="R35" i="42"/>
  <c r="R86" i="46"/>
  <c r="R88" i="46" s="1"/>
  <c r="O225" i="45"/>
  <c r="P22" i="45" s="1"/>
  <c r="O235" i="32"/>
  <c r="P22" i="32" s="1"/>
  <c r="O209" i="47"/>
  <c r="O238" i="47" s="1"/>
  <c r="P35" i="47" s="1"/>
  <c r="O248" i="32"/>
  <c r="P35" i="32" s="1"/>
  <c r="D69" i="51"/>
  <c r="O226" i="45"/>
  <c r="P23" i="45" s="1"/>
  <c r="O236" i="32"/>
  <c r="P23" i="32" s="1"/>
  <c r="D75" i="51"/>
  <c r="D55" i="51"/>
  <c r="O17" i="42"/>
  <c r="D14" i="51" s="1"/>
  <c r="D27" i="51"/>
  <c r="D62" i="51"/>
  <c r="O202" i="47"/>
  <c r="O231" i="47" s="1"/>
  <c r="P28" i="47" s="1"/>
  <c r="O241" i="32"/>
  <c r="P28" i="32" s="1"/>
  <c r="O198" i="47"/>
  <c r="O227" i="47" s="1"/>
  <c r="P24" i="47" s="1"/>
  <c r="O237" i="32"/>
  <c r="P24" i="32" s="1"/>
  <c r="O207" i="47"/>
  <c r="O236" i="47" s="1"/>
  <c r="P33" i="47" s="1"/>
  <c r="O246" i="32"/>
  <c r="P33" i="32" s="1"/>
  <c r="O205" i="47"/>
  <c r="O234" i="47" s="1"/>
  <c r="P31" i="47" s="1"/>
  <c r="O244" i="32"/>
  <c r="P31" i="32" s="1"/>
  <c r="T35" i="42"/>
  <c r="T86" i="46"/>
  <c r="T88" i="46" s="1"/>
  <c r="O210" i="47"/>
  <c r="O239" i="47" s="1"/>
  <c r="P36" i="47" s="1"/>
  <c r="O249" i="32"/>
  <c r="P36" i="32" s="1"/>
  <c r="O224" i="45"/>
  <c r="P21" i="45" s="1"/>
  <c r="O234" i="32"/>
  <c r="P21" i="32" s="1"/>
  <c r="R134" i="32"/>
  <c r="Q134" i="32"/>
  <c r="N256" i="32"/>
  <c r="O203" i="47"/>
  <c r="O232" i="47" s="1"/>
  <c r="P29" i="47" s="1"/>
  <c r="O242" i="32"/>
  <c r="P29" i="32" s="1"/>
  <c r="R187" i="32"/>
  <c r="R247" i="32" s="1"/>
  <c r="S34" i="32" s="1"/>
  <c r="O124" i="46"/>
  <c r="O126" i="46" s="1"/>
  <c r="O225" i="32" l="1"/>
  <c r="A225" i="32" s="1"/>
  <c r="A88" i="46"/>
  <c r="O196" i="47"/>
  <c r="O225" i="47" s="1"/>
  <c r="P22" i="47" s="1"/>
  <c r="S63" i="32"/>
  <c r="S63" i="47" s="1"/>
  <c r="S179" i="47" s="1"/>
  <c r="S237" i="47" s="1"/>
  <c r="T34" i="47" s="1"/>
  <c r="O195" i="47"/>
  <c r="O224" i="47" s="1"/>
  <c r="P21" i="47" s="1"/>
  <c r="O49" i="34"/>
  <c r="O152" i="33"/>
  <c r="P19" i="33" s="1"/>
  <c r="O147" i="34"/>
  <c r="O159" i="33"/>
  <c r="P26" i="33" s="1"/>
  <c r="P66" i="32"/>
  <c r="P66" i="47" s="1"/>
  <c r="P60" i="32"/>
  <c r="P60" i="47" s="1"/>
  <c r="P51" i="32"/>
  <c r="P61" i="32"/>
  <c r="P61" i="47" s="1"/>
  <c r="O77" i="34"/>
  <c r="O154" i="33"/>
  <c r="P21" i="33" s="1"/>
  <c r="O91" i="34"/>
  <c r="O155" i="33"/>
  <c r="P22" i="33" s="1"/>
  <c r="P49" i="32"/>
  <c r="P49" i="47" s="1"/>
  <c r="P65" i="32"/>
  <c r="P65" i="47" s="1"/>
  <c r="O119" i="34"/>
  <c r="O157" i="33"/>
  <c r="P24" i="33" s="1"/>
  <c r="O133" i="34"/>
  <c r="O158" i="33"/>
  <c r="P25" i="33" s="1"/>
  <c r="P55" i="32"/>
  <c r="P55" i="47" s="1"/>
  <c r="P62" i="32"/>
  <c r="P62" i="47" s="1"/>
  <c r="O161" i="34"/>
  <c r="O160" i="33"/>
  <c r="P27" i="33" s="1"/>
  <c r="O105" i="34"/>
  <c r="O156" i="33"/>
  <c r="P23" i="33" s="1"/>
  <c r="P48" i="32"/>
  <c r="P48" i="45" s="1"/>
  <c r="P53" i="32"/>
  <c r="P53" i="47" s="1"/>
  <c r="G29" i="51"/>
  <c r="R19" i="42"/>
  <c r="G16" i="51" s="1"/>
  <c r="P54" i="32"/>
  <c r="P54" i="47" s="1"/>
  <c r="O221" i="47"/>
  <c r="P58" i="32"/>
  <c r="P58" i="47" s="1"/>
  <c r="T19" i="42"/>
  <c r="I16" i="51" s="1"/>
  <c r="I29" i="51"/>
  <c r="P52" i="32"/>
  <c r="O63" i="34"/>
  <c r="O153" i="33"/>
  <c r="P20" i="33" s="1"/>
  <c r="O213" i="45"/>
  <c r="O215" i="45" s="1"/>
  <c r="A215" i="45" s="1"/>
  <c r="O222" i="45"/>
  <c r="T134" i="32"/>
  <c r="S134" i="32"/>
  <c r="P50" i="32"/>
  <c r="P57" i="32"/>
  <c r="P57" i="47" s="1"/>
  <c r="O197" i="47"/>
  <c r="O226" i="47" s="1"/>
  <c r="P23" i="47" s="1"/>
  <c r="P64" i="32"/>
  <c r="P64" i="47" s="1"/>
  <c r="P59" i="32"/>
  <c r="P59" i="47" s="1"/>
  <c r="O252" i="32"/>
  <c r="O254" i="32" s="1"/>
  <c r="P18" i="32"/>
  <c r="O257" i="32"/>
  <c r="O143" i="33"/>
  <c r="O145" i="33" s="1"/>
  <c r="A145" i="33" s="1"/>
  <c r="O35" i="34"/>
  <c r="O151" i="33"/>
  <c r="R95" i="47"/>
  <c r="Q95" i="47"/>
  <c r="P95" i="47"/>
  <c r="P182" i="47" s="1"/>
  <c r="P240" i="47" s="1"/>
  <c r="Q37" i="47" s="1"/>
  <c r="S95" i="47"/>
  <c r="T95" i="47"/>
  <c r="P52" i="45" l="1"/>
  <c r="P52" i="47" s="1"/>
  <c r="P50" i="45"/>
  <c r="P50" i="47" s="1"/>
  <c r="P51" i="45"/>
  <c r="P51" i="47" s="1"/>
  <c r="O138" i="46"/>
  <c r="O119" i="42" s="1"/>
  <c r="A134" i="32"/>
  <c r="P39" i="32"/>
  <c r="P41" i="32" s="1"/>
  <c r="P47" i="32"/>
  <c r="O242" i="45"/>
  <c r="O244" i="45" s="1"/>
  <c r="P19" i="45"/>
  <c r="O136" i="46"/>
  <c r="L84" i="51"/>
  <c r="O150" i="34"/>
  <c r="O152" i="34" s="1"/>
  <c r="P18" i="47"/>
  <c r="O242" i="47"/>
  <c r="O135" i="46"/>
  <c r="P102" i="34"/>
  <c r="L36" i="51"/>
  <c r="O52" i="34"/>
  <c r="O54" i="34" s="1"/>
  <c r="P46" i="34"/>
  <c r="O256" i="32"/>
  <c r="O134" i="46"/>
  <c r="O137" i="46"/>
  <c r="P68" i="45"/>
  <c r="P70" i="45" s="1"/>
  <c r="L64" i="51"/>
  <c r="O108" i="34"/>
  <c r="O110" i="34" s="1"/>
  <c r="P130" i="34"/>
  <c r="P88" i="34"/>
  <c r="O162" i="33"/>
  <c r="O164" i="33" s="1"/>
  <c r="P18" i="33"/>
  <c r="O213" i="47"/>
  <c r="O215" i="47" s="1"/>
  <c r="A215" i="47" s="1"/>
  <c r="O140" i="46"/>
  <c r="P158" i="34"/>
  <c r="L77" i="51"/>
  <c r="O136" i="34"/>
  <c r="O138" i="34" s="1"/>
  <c r="L57" i="51"/>
  <c r="O94" i="34"/>
  <c r="O96" i="34" s="1"/>
  <c r="S187" i="32"/>
  <c r="S247" i="32" s="1"/>
  <c r="T34" i="32" s="1"/>
  <c r="O19" i="34"/>
  <c r="L16" i="51" s="1"/>
  <c r="L29" i="51"/>
  <c r="O38" i="34"/>
  <c r="O141" i="46"/>
  <c r="O132" i="46"/>
  <c r="L91" i="51"/>
  <c r="O164" i="34"/>
  <c r="O166" i="34" s="1"/>
  <c r="P116" i="34"/>
  <c r="P74" i="34"/>
  <c r="P190" i="32"/>
  <c r="P250" i="32" s="1"/>
  <c r="Q37" i="32" s="1"/>
  <c r="P60" i="34"/>
  <c r="O133" i="46"/>
  <c r="L71" i="51"/>
  <c r="O122" i="34"/>
  <c r="O124" i="34" s="1"/>
  <c r="L50" i="51"/>
  <c r="O80" i="34"/>
  <c r="O82" i="34" s="1"/>
  <c r="L43" i="51"/>
  <c r="O66" i="34"/>
  <c r="O68" i="34" s="1"/>
  <c r="O139" i="46"/>
  <c r="P144" i="34"/>
  <c r="Q85" i="47"/>
  <c r="R85" i="47"/>
  <c r="T85" i="47"/>
  <c r="S85" i="47"/>
  <c r="T77" i="45"/>
  <c r="R77" i="45"/>
  <c r="Q77" i="45"/>
  <c r="S77" i="45"/>
  <c r="Q78" i="47"/>
  <c r="R78" i="47"/>
  <c r="S78" i="47"/>
  <c r="T78" i="47"/>
  <c r="S81" i="45" l="1"/>
  <c r="S81" i="47" s="1"/>
  <c r="R79" i="45"/>
  <c r="R79" i="47" s="1"/>
  <c r="Q79" i="45"/>
  <c r="Q79" i="47" s="1"/>
  <c r="T79" i="45"/>
  <c r="T79" i="47" s="1"/>
  <c r="R81" i="45"/>
  <c r="R81" i="47" s="1"/>
  <c r="T81" i="45"/>
  <c r="T81" i="47" s="1"/>
  <c r="S79" i="45"/>
  <c r="S79" i="47" s="1"/>
  <c r="Q81" i="45"/>
  <c r="Q81" i="47" s="1"/>
  <c r="O157" i="46"/>
  <c r="P24" i="46" s="1"/>
  <c r="P116" i="42" s="1"/>
  <c r="P48" i="47"/>
  <c r="S77" i="47"/>
  <c r="O143" i="46"/>
  <c r="O145" i="46" s="1"/>
  <c r="A145" i="46" s="1"/>
  <c r="O35" i="42"/>
  <c r="O151" i="46"/>
  <c r="O147" i="42"/>
  <c r="O159" i="46"/>
  <c r="P26" i="46" s="1"/>
  <c r="L86" i="51"/>
  <c r="Q77" i="47"/>
  <c r="O161" i="42"/>
  <c r="O160" i="46"/>
  <c r="P27" i="46" s="1"/>
  <c r="T63" i="32"/>
  <c r="T63" i="47" s="1"/>
  <c r="T179" i="47" s="1"/>
  <c r="T237" i="47" s="1"/>
  <c r="M74" i="51"/>
  <c r="M61" i="51"/>
  <c r="M40" i="51"/>
  <c r="O22" i="34"/>
  <c r="O40" i="34"/>
  <c r="P32" i="34"/>
  <c r="P29" i="33"/>
  <c r="P31" i="33" s="1"/>
  <c r="O77" i="42"/>
  <c r="O154" i="46"/>
  <c r="P21" i="46" s="1"/>
  <c r="O91" i="42"/>
  <c r="O155" i="46"/>
  <c r="P22" i="46" s="1"/>
  <c r="L52" i="51"/>
  <c r="M47" i="51"/>
  <c r="L31" i="51"/>
  <c r="L59" i="51"/>
  <c r="L66" i="51"/>
  <c r="M33" i="51"/>
  <c r="O244" i="47"/>
  <c r="P39" i="45"/>
  <c r="P41" i="45" s="1"/>
  <c r="T77" i="47"/>
  <c r="P85" i="47"/>
  <c r="P172" i="47" s="1"/>
  <c r="P230" i="47" s="1"/>
  <c r="Q27" i="47" s="1"/>
  <c r="P180" i="32"/>
  <c r="P240" i="32" s="1"/>
  <c r="Q27" i="32" s="1"/>
  <c r="R77" i="47"/>
  <c r="M81" i="51"/>
  <c r="P39" i="47"/>
  <c r="P41" i="47" s="1"/>
  <c r="O133" i="42"/>
  <c r="O158" i="46"/>
  <c r="P25" i="46" s="1"/>
  <c r="L72" i="51"/>
  <c r="M68" i="51"/>
  <c r="L79" i="51"/>
  <c r="D71" i="51"/>
  <c r="O122" i="42"/>
  <c r="Q66" i="32"/>
  <c r="Q66" i="47" s="1"/>
  <c r="Q182" i="47" s="1"/>
  <c r="Q240" i="47" s="1"/>
  <c r="R37" i="47" s="1"/>
  <c r="O105" i="42"/>
  <c r="O156" i="46"/>
  <c r="P23" i="46" s="1"/>
  <c r="L45" i="51"/>
  <c r="O49" i="42"/>
  <c r="O152" i="46"/>
  <c r="P19" i="46" s="1"/>
  <c r="L93" i="51"/>
  <c r="M88" i="51"/>
  <c r="M54" i="51"/>
  <c r="O63" i="42"/>
  <c r="O153" i="46"/>
  <c r="P20" i="46" s="1"/>
  <c r="L38" i="51"/>
  <c r="P41" i="33"/>
  <c r="P42" i="33"/>
  <c r="P45" i="33"/>
  <c r="P38" i="33"/>
  <c r="P46" i="33"/>
  <c r="P68" i="32"/>
  <c r="P70" i="32" s="1"/>
  <c r="P47" i="47"/>
  <c r="P44" i="33"/>
  <c r="P43" i="33"/>
  <c r="P40" i="33"/>
  <c r="P37" i="33"/>
  <c r="P39" i="33"/>
  <c r="P79" i="45"/>
  <c r="P77" i="45"/>
  <c r="P81" i="45"/>
  <c r="O124" i="42" l="1"/>
  <c r="Q82" i="47"/>
  <c r="Q190" i="32"/>
  <c r="Q250" i="32" s="1"/>
  <c r="R37" i="32" s="1"/>
  <c r="R66" i="32" s="1"/>
  <c r="R66" i="47" s="1"/>
  <c r="R182" i="47" s="1"/>
  <c r="R240" i="47" s="1"/>
  <c r="S37" i="47" s="1"/>
  <c r="T187" i="32"/>
  <c r="T247" i="32" s="1"/>
  <c r="P77" i="47"/>
  <c r="P164" i="47" s="1"/>
  <c r="P222" i="47" s="1"/>
  <c r="Q19" i="47" s="1"/>
  <c r="P172" i="32"/>
  <c r="P232" i="32" s="1"/>
  <c r="Q19" i="32" s="1"/>
  <c r="P78" i="47"/>
  <c r="P165" i="47" s="1"/>
  <c r="P223" i="47" s="1"/>
  <c r="Q20" i="47" s="1"/>
  <c r="P173" i="32"/>
  <c r="P233" i="32" s="1"/>
  <c r="Q20" i="32" s="1"/>
  <c r="P33" i="34"/>
  <c r="P48" i="33"/>
  <c r="P50" i="33" s="1"/>
  <c r="P145" i="34"/>
  <c r="L107" i="51"/>
  <c r="L67" i="51"/>
  <c r="L136" i="51"/>
  <c r="L105" i="51"/>
  <c r="L134" i="51"/>
  <c r="L53" i="51"/>
  <c r="M26" i="51"/>
  <c r="P16" i="34"/>
  <c r="M13" i="51" s="1"/>
  <c r="P117" i="34"/>
  <c r="P89" i="34"/>
  <c r="D64" i="51"/>
  <c r="O108" i="42"/>
  <c r="O110" i="42" s="1"/>
  <c r="E68" i="51"/>
  <c r="L135" i="51"/>
  <c r="L60" i="51"/>
  <c r="L106" i="51"/>
  <c r="P88" i="42"/>
  <c r="O24" i="34"/>
  <c r="L18" i="51"/>
  <c r="D84" i="51"/>
  <c r="O150" i="42"/>
  <c r="O152" i="42" s="1"/>
  <c r="P75" i="34"/>
  <c r="S82" i="47"/>
  <c r="R82" i="47"/>
  <c r="P131" i="34"/>
  <c r="L132" i="51"/>
  <c r="L103" i="51"/>
  <c r="L39" i="51"/>
  <c r="L94" i="51"/>
  <c r="L139" i="51"/>
  <c r="L111" i="51"/>
  <c r="L73" i="51"/>
  <c r="L108" i="51"/>
  <c r="D57" i="51"/>
  <c r="O94" i="42"/>
  <c r="O96" i="42" s="1"/>
  <c r="P158" i="42"/>
  <c r="O162" i="46"/>
  <c r="O164" i="46" s="1"/>
  <c r="P18" i="46"/>
  <c r="P44" i="46"/>
  <c r="P131" i="42" s="1"/>
  <c r="E75" i="51" s="1"/>
  <c r="P37" i="46"/>
  <c r="P39" i="46"/>
  <c r="P61" i="42" s="1"/>
  <c r="E41" i="51" s="1"/>
  <c r="P46" i="46"/>
  <c r="P159" i="42" s="1"/>
  <c r="E89" i="51" s="1"/>
  <c r="P41" i="46"/>
  <c r="P89" i="42" s="1"/>
  <c r="E55" i="51" s="1"/>
  <c r="P38" i="46"/>
  <c r="P47" i="42" s="1"/>
  <c r="E34" i="51" s="1"/>
  <c r="P45" i="46"/>
  <c r="P145" i="42" s="1"/>
  <c r="E82" i="51" s="1"/>
  <c r="P40" i="46"/>
  <c r="P75" i="42" s="1"/>
  <c r="E48" i="51" s="1"/>
  <c r="P43" i="46"/>
  <c r="P68" i="47"/>
  <c r="P70" i="47" s="1"/>
  <c r="P42" i="46"/>
  <c r="P103" i="42" s="1"/>
  <c r="E62" i="51" s="1"/>
  <c r="L131" i="51"/>
  <c r="L32" i="51"/>
  <c r="L102" i="51"/>
  <c r="P74" i="42"/>
  <c r="D91" i="51"/>
  <c r="O164" i="42"/>
  <c r="O166" i="42" s="1"/>
  <c r="D29" i="51"/>
  <c r="O19" i="42"/>
  <c r="D16" i="51" s="1"/>
  <c r="O38" i="42"/>
  <c r="P60" i="42"/>
  <c r="P46" i="42"/>
  <c r="P130" i="42"/>
  <c r="D50" i="51"/>
  <c r="O80" i="42"/>
  <c r="O82" i="42" s="1"/>
  <c r="P102" i="42"/>
  <c r="P144" i="42"/>
  <c r="P166" i="45"/>
  <c r="P224" i="45" s="1"/>
  <c r="Q21" i="45" s="1"/>
  <c r="P174" i="32"/>
  <c r="P234" i="32" s="1"/>
  <c r="Q21" i="32" s="1"/>
  <c r="P159" i="34"/>
  <c r="D43" i="51"/>
  <c r="O66" i="42"/>
  <c r="O68" i="42" s="1"/>
  <c r="D36" i="51"/>
  <c r="O52" i="42"/>
  <c r="O54" i="42" s="1"/>
  <c r="D72" i="51"/>
  <c r="D77" i="51"/>
  <c r="O136" i="42"/>
  <c r="O138" i="42" s="1"/>
  <c r="P103" i="34"/>
  <c r="P168" i="45"/>
  <c r="P226" i="45" s="1"/>
  <c r="Q23" i="45" s="1"/>
  <c r="P176" i="32"/>
  <c r="P236" i="32" s="1"/>
  <c r="Q23" i="32" s="1"/>
  <c r="T82" i="47"/>
  <c r="P61" i="34"/>
  <c r="P47" i="34"/>
  <c r="L133" i="51"/>
  <c r="L46" i="51"/>
  <c r="L104" i="51"/>
  <c r="L80" i="51"/>
  <c r="L137" i="51"/>
  <c r="L109" i="51"/>
  <c r="Q56" i="32"/>
  <c r="Q56" i="47" s="1"/>
  <c r="Q172" i="47" s="1"/>
  <c r="Q230" i="47" s="1"/>
  <c r="R27" i="47" s="1"/>
  <c r="L138" i="51"/>
  <c r="L110" i="51"/>
  <c r="L87" i="51"/>
  <c r="P80" i="45"/>
  <c r="P72" i="32"/>
  <c r="T80" i="45" l="1"/>
  <c r="T80" i="47" s="1"/>
  <c r="R80" i="45"/>
  <c r="R80" i="47" s="1"/>
  <c r="S80" i="45"/>
  <c r="S80" i="47" s="1"/>
  <c r="Q80" i="45"/>
  <c r="Q80" i="47" s="1"/>
  <c r="R190" i="32"/>
  <c r="R250" i="32" s="1"/>
  <c r="S37" i="32" s="1"/>
  <c r="S66" i="32" s="1"/>
  <c r="S66" i="47" s="1"/>
  <c r="S182" i="47" s="1"/>
  <c r="S240" i="47" s="1"/>
  <c r="T37" i="47" s="1"/>
  <c r="P81" i="47"/>
  <c r="P168" i="47" s="1"/>
  <c r="P226" i="47" s="1"/>
  <c r="Q23" i="47" s="1"/>
  <c r="M82" i="51"/>
  <c r="D79" i="51"/>
  <c r="M89" i="51"/>
  <c r="D52" i="51"/>
  <c r="O22" i="42"/>
  <c r="O40" i="42"/>
  <c r="E47" i="51"/>
  <c r="P117" i="42"/>
  <c r="M55" i="51"/>
  <c r="P164" i="45"/>
  <c r="Q180" i="32"/>
  <c r="Q240" i="32" s="1"/>
  <c r="R27" i="32" s="1"/>
  <c r="P79" i="47"/>
  <c r="P166" i="47" s="1"/>
  <c r="P224" i="47" s="1"/>
  <c r="Q21" i="47" s="1"/>
  <c r="D31" i="51"/>
  <c r="M75" i="51"/>
  <c r="E54" i="51"/>
  <c r="M69" i="51"/>
  <c r="D108" i="51"/>
  <c r="D73" i="51"/>
  <c r="E74" i="51"/>
  <c r="P17" i="34"/>
  <c r="M14" i="51" s="1"/>
  <c r="M27" i="51"/>
  <c r="M34" i="51"/>
  <c r="D38" i="51"/>
  <c r="E81" i="51"/>
  <c r="D93" i="51"/>
  <c r="E88" i="51"/>
  <c r="M48" i="51"/>
  <c r="D66" i="51"/>
  <c r="Q49" i="32"/>
  <c r="Q49" i="47" s="1"/>
  <c r="Q165" i="47" s="1"/>
  <c r="Q223" i="47" s="1"/>
  <c r="R20" i="47" s="1"/>
  <c r="P32" i="42"/>
  <c r="P29" i="46"/>
  <c r="P31" i="46" s="1"/>
  <c r="Q52" i="32"/>
  <c r="E33" i="51"/>
  <c r="Q50" i="32"/>
  <c r="M41" i="51"/>
  <c r="D45" i="51"/>
  <c r="E61" i="51"/>
  <c r="D59" i="51"/>
  <c r="D86" i="51"/>
  <c r="T97" i="45"/>
  <c r="T99" i="45" s="1"/>
  <c r="Q48" i="32"/>
  <c r="P167" i="45"/>
  <c r="P225" i="45" s="1"/>
  <c r="Q22" i="45" s="1"/>
  <c r="P175" i="32"/>
  <c r="P235" i="32" s="1"/>
  <c r="Q22" i="32" s="1"/>
  <c r="Q51" i="32" s="1"/>
  <c r="Q51" i="45" s="1"/>
  <c r="M62" i="51"/>
  <c r="P82" i="47"/>
  <c r="P169" i="47" s="1"/>
  <c r="P227" i="47" s="1"/>
  <c r="Q24" i="47" s="1"/>
  <c r="P177" i="32"/>
  <c r="P237" i="32" s="1"/>
  <c r="Q24" i="32" s="1"/>
  <c r="E40" i="51"/>
  <c r="P33" i="42"/>
  <c r="P48" i="46"/>
  <c r="P50" i="46" s="1"/>
  <c r="L19" i="51"/>
  <c r="Q97" i="45" l="1"/>
  <c r="Q99" i="45" s="1"/>
  <c r="S97" i="45"/>
  <c r="S99" i="45" s="1"/>
  <c r="R97" i="45"/>
  <c r="R99" i="45" s="1"/>
  <c r="Q52" i="45"/>
  <c r="Q168" i="45" s="1"/>
  <c r="Q226" i="45" s="1"/>
  <c r="R23" i="45" s="1"/>
  <c r="Q172" i="32"/>
  <c r="Q232" i="32" s="1"/>
  <c r="R19" i="32" s="1"/>
  <c r="R48" i="32" s="1"/>
  <c r="R48" i="45" s="1"/>
  <c r="Q48" i="45"/>
  <c r="Q50" i="45"/>
  <c r="Q166" i="45" s="1"/>
  <c r="Q224" i="45" s="1"/>
  <c r="R21" i="45" s="1"/>
  <c r="S190" i="32"/>
  <c r="S250" i="32" s="1"/>
  <c r="T37" i="32" s="1"/>
  <c r="T66" i="32" s="1"/>
  <c r="T66" i="47" s="1"/>
  <c r="T182" i="47" s="1"/>
  <c r="T240" i="47" s="1"/>
  <c r="Q174" i="32"/>
  <c r="Q234" i="32" s="1"/>
  <c r="R21" i="32" s="1"/>
  <c r="R50" i="32" s="1"/>
  <c r="P97" i="45"/>
  <c r="P99" i="45" s="1"/>
  <c r="P17" i="42"/>
  <c r="E14" i="51" s="1"/>
  <c r="E27" i="51"/>
  <c r="D132" i="51"/>
  <c r="D103" i="51"/>
  <c r="D39" i="51"/>
  <c r="P222" i="45"/>
  <c r="P184" i="45"/>
  <c r="P186" i="45" s="1"/>
  <c r="D137" i="51"/>
  <c r="D80" i="51"/>
  <c r="D109" i="51"/>
  <c r="D106" i="51"/>
  <c r="D60" i="51"/>
  <c r="D135" i="51"/>
  <c r="P80" i="47"/>
  <c r="P167" i="47" s="1"/>
  <c r="P225" i="47" s="1"/>
  <c r="Q22" i="47" s="1"/>
  <c r="D102" i="51"/>
  <c r="D32" i="51"/>
  <c r="D131" i="51"/>
  <c r="P16" i="42"/>
  <c r="E13" i="51" s="1"/>
  <c r="E26" i="51"/>
  <c r="O24" i="42"/>
  <c r="D18" i="51"/>
  <c r="Q173" i="32"/>
  <c r="Q233" i="32" s="1"/>
  <c r="R20" i="32" s="1"/>
  <c r="D139" i="51"/>
  <c r="D94" i="51"/>
  <c r="D111" i="51"/>
  <c r="D134" i="51"/>
  <c r="D105" i="51"/>
  <c r="D53" i="51"/>
  <c r="Q53" i="32"/>
  <c r="Q53" i="47" s="1"/>
  <c r="Q169" i="47" s="1"/>
  <c r="Q227" i="47" s="1"/>
  <c r="R24" i="47" s="1"/>
  <c r="D133" i="51"/>
  <c r="D104" i="51"/>
  <c r="D46" i="51"/>
  <c r="D136" i="51"/>
  <c r="D107" i="51"/>
  <c r="D67" i="51"/>
  <c r="R56" i="32"/>
  <c r="R56" i="47" s="1"/>
  <c r="R172" i="47" s="1"/>
  <c r="R230" i="47" s="1"/>
  <c r="S27" i="47" s="1"/>
  <c r="Q175" i="32"/>
  <c r="Q235" i="32" s="1"/>
  <c r="R22" i="32" s="1"/>
  <c r="Q167" i="45"/>
  <c r="Q225" i="45" s="1"/>
  <c r="R22" i="45" s="1"/>
  <c r="D138" i="51"/>
  <c r="D110" i="51"/>
  <c r="D87" i="51"/>
  <c r="Q176" i="32"/>
  <c r="Q236" i="32" s="1"/>
  <c r="R23" i="32" s="1"/>
  <c r="E69" i="51"/>
  <c r="A99" i="45" l="1"/>
  <c r="Q52" i="47"/>
  <c r="Q168" i="47" s="1"/>
  <c r="Q226" i="47" s="1"/>
  <c r="R23" i="47" s="1"/>
  <c r="R174" i="32"/>
  <c r="R234" i="32" s="1"/>
  <c r="S21" i="32" s="1"/>
  <c r="S50" i="32" s="1"/>
  <c r="R50" i="45"/>
  <c r="R166" i="45" s="1"/>
  <c r="R224" i="45" s="1"/>
  <c r="S21" i="45" s="1"/>
  <c r="Q50" i="47"/>
  <c r="Q166" i="47" s="1"/>
  <c r="Q224" i="47" s="1"/>
  <c r="R21" i="47" s="1"/>
  <c r="Q68" i="45"/>
  <c r="Q70" i="45" s="1"/>
  <c r="Q51" i="47"/>
  <c r="Q167" i="47" s="1"/>
  <c r="Q225" i="47" s="1"/>
  <c r="R22" i="47" s="1"/>
  <c r="Q48" i="47"/>
  <c r="Q164" i="47" s="1"/>
  <c r="Q222" i="47" s="1"/>
  <c r="R19" i="47" s="1"/>
  <c r="T190" i="32"/>
  <c r="T250" i="32" s="1"/>
  <c r="R172" i="32"/>
  <c r="R232" i="32" s="1"/>
  <c r="S19" i="32" s="1"/>
  <c r="S48" i="32" s="1"/>
  <c r="S48" i="45" s="1"/>
  <c r="R180" i="32"/>
  <c r="R240" i="32" s="1"/>
  <c r="S27" i="32" s="1"/>
  <c r="Q177" i="32"/>
  <c r="Q237" i="32" s="1"/>
  <c r="R24" i="32" s="1"/>
  <c r="R52" i="32"/>
  <c r="D19" i="51"/>
  <c r="Q19" i="45"/>
  <c r="P242" i="45"/>
  <c r="P244" i="45" s="1"/>
  <c r="R49" i="32"/>
  <c r="R49" i="47" s="1"/>
  <c r="R165" i="47" s="1"/>
  <c r="R223" i="47" s="1"/>
  <c r="S20" i="47" s="1"/>
  <c r="R51" i="32"/>
  <c r="R48" i="47"/>
  <c r="R164" i="47" l="1"/>
  <c r="R222" i="47" s="1"/>
  <c r="S19" i="47" s="1"/>
  <c r="S50" i="45"/>
  <c r="S50" i="47" s="1"/>
  <c r="R51" i="45"/>
  <c r="R167" i="45" s="1"/>
  <c r="R225" i="45" s="1"/>
  <c r="S22" i="45" s="1"/>
  <c r="R52" i="45"/>
  <c r="R168" i="45" s="1"/>
  <c r="R226" i="45" s="1"/>
  <c r="S23" i="45" s="1"/>
  <c r="S166" i="45"/>
  <c r="S224" i="45" s="1"/>
  <c r="T21" i="45" s="1"/>
  <c r="R176" i="32"/>
  <c r="R236" i="32" s="1"/>
  <c r="S23" i="32" s="1"/>
  <c r="S52" i="32" s="1"/>
  <c r="R175" i="32"/>
  <c r="R235" i="32" s="1"/>
  <c r="S22" i="32" s="1"/>
  <c r="S51" i="32" s="1"/>
  <c r="R50" i="47"/>
  <c r="R166" i="47" s="1"/>
  <c r="R224" i="47" s="1"/>
  <c r="S21" i="47" s="1"/>
  <c r="S174" i="32"/>
  <c r="S234" i="32" s="1"/>
  <c r="T21" i="32" s="1"/>
  <c r="T50" i="32" s="1"/>
  <c r="S172" i="32"/>
  <c r="S232" i="32" s="1"/>
  <c r="T19" i="32" s="1"/>
  <c r="T48" i="32" s="1"/>
  <c r="T48" i="45" s="1"/>
  <c r="S48" i="47"/>
  <c r="S164" i="47" s="1"/>
  <c r="S222" i="47" s="1"/>
  <c r="T19" i="47" s="1"/>
  <c r="Q164" i="45"/>
  <c r="Q39" i="45"/>
  <c r="Q41" i="45" s="1"/>
  <c r="R53" i="32"/>
  <c r="R53" i="47" s="1"/>
  <c r="R169" i="47" s="1"/>
  <c r="R227" i="47" s="1"/>
  <c r="S24" i="47" s="1"/>
  <c r="S56" i="32"/>
  <c r="S56" i="47" s="1"/>
  <c r="S172" i="47" s="1"/>
  <c r="S230" i="47" s="1"/>
  <c r="T27" i="47" s="1"/>
  <c r="R173" i="32"/>
  <c r="R233" i="32" s="1"/>
  <c r="S20" i="32" s="1"/>
  <c r="R68" i="45" l="1"/>
  <c r="R70" i="45" s="1"/>
  <c r="R51" i="47"/>
  <c r="R167" i="47" s="1"/>
  <c r="R225" i="47" s="1"/>
  <c r="S22" i="47" s="1"/>
  <c r="S52" i="45"/>
  <c r="S52" i="47" s="1"/>
  <c r="R52" i="47"/>
  <c r="R168" i="47" s="1"/>
  <c r="R226" i="47" s="1"/>
  <c r="S23" i="47" s="1"/>
  <c r="T174" i="32"/>
  <c r="T234" i="32" s="1"/>
  <c r="T50" i="45"/>
  <c r="T50" i="47" s="1"/>
  <c r="S166" i="47"/>
  <c r="S224" i="47" s="1"/>
  <c r="T21" i="47" s="1"/>
  <c r="S51" i="45"/>
  <c r="S51" i="47" s="1"/>
  <c r="S167" i="47" s="1"/>
  <c r="S225" i="47" s="1"/>
  <c r="T22" i="47" s="1"/>
  <c r="S175" i="32"/>
  <c r="S235" i="32" s="1"/>
  <c r="T22" i="32" s="1"/>
  <c r="T51" i="32" s="1"/>
  <c r="R86" i="47"/>
  <c r="S86" i="47"/>
  <c r="S180" i="32"/>
  <c r="S240" i="32" s="1"/>
  <c r="T27" i="32" s="1"/>
  <c r="T56" i="32" s="1"/>
  <c r="T56" i="47" s="1"/>
  <c r="T172" i="47" s="1"/>
  <c r="T230" i="47" s="1"/>
  <c r="Q86" i="47"/>
  <c r="T172" i="32"/>
  <c r="T232" i="32" s="1"/>
  <c r="R177" i="32"/>
  <c r="R237" i="32" s="1"/>
  <c r="S24" i="32" s="1"/>
  <c r="S53" i="32" s="1"/>
  <c r="S53" i="47" s="1"/>
  <c r="S169" i="47" s="1"/>
  <c r="S227" i="47" s="1"/>
  <c r="T24" i="47" s="1"/>
  <c r="T86" i="47"/>
  <c r="Q222" i="45"/>
  <c r="Q184" i="45"/>
  <c r="Q186" i="45" s="1"/>
  <c r="S49" i="32"/>
  <c r="S49" i="47" s="1"/>
  <c r="S165" i="47" s="1"/>
  <c r="S223" i="47" s="1"/>
  <c r="T20" i="47" s="1"/>
  <c r="S176" i="32"/>
  <c r="S236" i="32" s="1"/>
  <c r="T23" i="32" s="1"/>
  <c r="T48" i="47"/>
  <c r="T164" i="47" s="1"/>
  <c r="T222" i="47" s="1"/>
  <c r="T93" i="47"/>
  <c r="Q93" i="47"/>
  <c r="S93" i="47"/>
  <c r="R93" i="47"/>
  <c r="S68" i="45" l="1"/>
  <c r="S70" i="45" s="1"/>
  <c r="S168" i="45"/>
  <c r="S226" i="45" s="1"/>
  <c r="T23" i="45" s="1"/>
  <c r="T166" i="47"/>
  <c r="T224" i="47" s="1"/>
  <c r="S168" i="47"/>
  <c r="S226" i="47" s="1"/>
  <c r="T23" i="47" s="1"/>
  <c r="S167" i="45"/>
  <c r="S225" i="45" s="1"/>
  <c r="T22" i="45" s="1"/>
  <c r="T51" i="45"/>
  <c r="T51" i="47" s="1"/>
  <c r="T167" i="47" s="1"/>
  <c r="T225" i="47" s="1"/>
  <c r="S173" i="32"/>
  <c r="S233" i="32" s="1"/>
  <c r="T20" i="32" s="1"/>
  <c r="T49" i="32" s="1"/>
  <c r="T49" i="47" s="1"/>
  <c r="T165" i="47" s="1"/>
  <c r="T223" i="47" s="1"/>
  <c r="T175" i="32"/>
  <c r="T235" i="32" s="1"/>
  <c r="S177" i="32"/>
  <c r="S237" i="32" s="1"/>
  <c r="T24" i="32" s="1"/>
  <c r="T53" i="32" s="1"/>
  <c r="T53" i="47" s="1"/>
  <c r="T169" i="47" s="1"/>
  <c r="T227" i="47" s="1"/>
  <c r="R19" i="45"/>
  <c r="Q242" i="45"/>
  <c r="Q244" i="45" s="1"/>
  <c r="T180" i="32"/>
  <c r="T240" i="32" s="1"/>
  <c r="T52" i="32"/>
  <c r="T166" i="45"/>
  <c r="T224" i="45" s="1"/>
  <c r="P86" i="47"/>
  <c r="P173" i="47" s="1"/>
  <c r="P231" i="47" s="1"/>
  <c r="Q28" i="47" s="1"/>
  <c r="P181" i="32"/>
  <c r="P241" i="32" s="1"/>
  <c r="Q28" i="32" s="1"/>
  <c r="P93" i="47"/>
  <c r="P180" i="47" s="1"/>
  <c r="P238" i="47" s="1"/>
  <c r="Q35" i="47" s="1"/>
  <c r="P188" i="32"/>
  <c r="P248" i="32" s="1"/>
  <c r="Q35" i="32" s="1"/>
  <c r="T167" i="45" l="1"/>
  <c r="T225" i="45" s="1"/>
  <c r="T52" i="45"/>
  <c r="T52" i="47" s="1"/>
  <c r="T168" i="47" s="1"/>
  <c r="T226" i="47" s="1"/>
  <c r="T68" i="45"/>
  <c r="T70" i="45" s="1"/>
  <c r="A70" i="45" s="1"/>
  <c r="T173" i="32"/>
  <c r="T233" i="32" s="1"/>
  <c r="T176" i="32"/>
  <c r="T236" i="32" s="1"/>
  <c r="T177" i="32"/>
  <c r="T237" i="32" s="1"/>
  <c r="Q64" i="32"/>
  <c r="Q64" i="47" s="1"/>
  <c r="Q180" i="47" s="1"/>
  <c r="Q238" i="47" s="1"/>
  <c r="R35" i="47" s="1"/>
  <c r="T168" i="45"/>
  <c r="T226" i="45" s="1"/>
  <c r="Q57" i="32"/>
  <c r="Q57" i="47" s="1"/>
  <c r="Q173" i="47" s="1"/>
  <c r="Q231" i="47" s="1"/>
  <c r="R28" i="47" s="1"/>
  <c r="R164" i="45"/>
  <c r="R39" i="45"/>
  <c r="R41" i="45" s="1"/>
  <c r="Q181" i="32" l="1"/>
  <c r="Q241" i="32" s="1"/>
  <c r="R28" i="32" s="1"/>
  <c r="R57" i="32" s="1"/>
  <c r="R57" i="47" s="1"/>
  <c r="R173" i="47" s="1"/>
  <c r="R231" i="47" s="1"/>
  <c r="S28" i="47" s="1"/>
  <c r="R222" i="45"/>
  <c r="R184" i="45"/>
  <c r="R186" i="45" s="1"/>
  <c r="T76" i="47"/>
  <c r="R76" i="47"/>
  <c r="P76" i="47"/>
  <c r="P171" i="32"/>
  <c r="S76" i="47"/>
  <c r="Q188" i="32"/>
  <c r="Q248" i="32" s="1"/>
  <c r="R35" i="32" s="1"/>
  <c r="Q76" i="47"/>
  <c r="R181" i="32" l="1"/>
  <c r="R241" i="32" s="1"/>
  <c r="S28" i="32" s="1"/>
  <c r="S57" i="32" s="1"/>
  <c r="S57" i="47" s="1"/>
  <c r="S173" i="47" s="1"/>
  <c r="S231" i="47" s="1"/>
  <c r="T28" i="47" s="1"/>
  <c r="R64" i="32"/>
  <c r="R64" i="47" s="1"/>
  <c r="R180" i="47" s="1"/>
  <c r="R238" i="47" s="1"/>
  <c r="S35" i="47" s="1"/>
  <c r="P163" i="47"/>
  <c r="P231" i="32"/>
  <c r="R242" i="45"/>
  <c r="R244" i="45" s="1"/>
  <c r="S19" i="45"/>
  <c r="S181" i="32" l="1"/>
  <c r="S241" i="32" s="1"/>
  <c r="T28" i="32" s="1"/>
  <c r="T57" i="32" s="1"/>
  <c r="T57" i="47" s="1"/>
  <c r="T173" i="47" s="1"/>
  <c r="T231" i="47" s="1"/>
  <c r="R188" i="32"/>
  <c r="R248" i="32" s="1"/>
  <c r="S35" i="32" s="1"/>
  <c r="S64" i="32" s="1"/>
  <c r="S64" i="47" s="1"/>
  <c r="S180" i="47" s="1"/>
  <c r="S238" i="47" s="1"/>
  <c r="T35" i="47" s="1"/>
  <c r="S164" i="45"/>
  <c r="S39" i="45"/>
  <c r="S41" i="45" s="1"/>
  <c r="P221" i="47"/>
  <c r="Q18" i="32"/>
  <c r="S188" i="32" l="1"/>
  <c r="S248" i="32" s="1"/>
  <c r="T35" i="32" s="1"/>
  <c r="T181" i="32"/>
  <c r="T241" i="32" s="1"/>
  <c r="Q47" i="32"/>
  <c r="T64" i="32"/>
  <c r="T64" i="47" s="1"/>
  <c r="T180" i="47" s="1"/>
  <c r="T238" i="47" s="1"/>
  <c r="Q18" i="47"/>
  <c r="S222" i="45"/>
  <c r="S184" i="45"/>
  <c r="S186" i="45" s="1"/>
  <c r="T188" i="32" l="1"/>
  <c r="T248" i="32" s="1"/>
  <c r="T19" i="45"/>
  <c r="S242" i="45"/>
  <c r="S244" i="45" s="1"/>
  <c r="Q171" i="32"/>
  <c r="Q47" i="47"/>
  <c r="Q231" i="32" l="1"/>
  <c r="Q163" i="47"/>
  <c r="T164" i="45"/>
  <c r="T39" i="45"/>
  <c r="T41" i="45" s="1"/>
  <c r="A41" i="45" s="1"/>
  <c r="T222" i="45" l="1"/>
  <c r="T242" i="45" s="1"/>
  <c r="T244" i="45" s="1"/>
  <c r="A244" i="45" s="1"/>
  <c r="T184" i="45"/>
  <c r="T186" i="45" s="1"/>
  <c r="A186" i="45" s="1"/>
  <c r="Q221" i="47"/>
  <c r="R18" i="32"/>
  <c r="A1" i="45" l="1"/>
  <c r="H23" i="25" s="1"/>
  <c r="R47" i="32"/>
  <c r="R171" i="32" s="1"/>
  <c r="R18" i="47"/>
  <c r="R231" i="32" l="1"/>
  <c r="R47" i="47"/>
  <c r="R163" i="47" l="1"/>
  <c r="S18" i="32"/>
  <c r="S47" i="32" l="1"/>
  <c r="S171" i="32" s="1"/>
  <c r="R221" i="47"/>
  <c r="S18" i="47" l="1"/>
  <c r="S231" i="32"/>
  <c r="S47" i="47"/>
  <c r="T18" i="32" l="1"/>
  <c r="S163" i="47"/>
  <c r="T47" i="32" l="1"/>
  <c r="T171" i="32" s="1"/>
  <c r="S221" i="47"/>
  <c r="T18" i="47" l="1"/>
  <c r="T231" i="32"/>
  <c r="T47" i="47"/>
  <c r="T163" i="47" l="1"/>
  <c r="T221" i="47" l="1"/>
  <c r="T90" i="47" l="1"/>
  <c r="R90" i="47"/>
  <c r="Q90" i="47"/>
  <c r="S90" i="47"/>
  <c r="P83" i="47"/>
  <c r="P178" i="32"/>
  <c r="R83" i="47"/>
  <c r="S83" i="47"/>
  <c r="Q83" i="47"/>
  <c r="T83" i="47"/>
  <c r="P90" i="47" l="1"/>
  <c r="P177" i="47" s="1"/>
  <c r="P235" i="47" s="1"/>
  <c r="Q32" i="47" s="1"/>
  <c r="P185" i="32"/>
  <c r="P245" i="32" s="1"/>
  <c r="Q32" i="32" s="1"/>
  <c r="P238" i="32"/>
  <c r="P170" i="47"/>
  <c r="Q25" i="32" l="1"/>
  <c r="Q61" i="32"/>
  <c r="Q61" i="47" s="1"/>
  <c r="Q177" i="47" s="1"/>
  <c r="Q235" i="47" s="1"/>
  <c r="R32" i="47" s="1"/>
  <c r="P228" i="47"/>
  <c r="Q185" i="32" l="1"/>
  <c r="Q245" i="32" s="1"/>
  <c r="R32" i="32" s="1"/>
  <c r="Q25" i="47"/>
  <c r="Q54" i="32"/>
  <c r="Q178" i="32" s="1"/>
  <c r="T88" i="47"/>
  <c r="Q88" i="47"/>
  <c r="R88" i="47"/>
  <c r="S88" i="47"/>
  <c r="Q54" i="47" l="1"/>
  <c r="Q170" i="47" s="1"/>
  <c r="Q238" i="32"/>
  <c r="R61" i="32"/>
  <c r="R61" i="47" s="1"/>
  <c r="R177" i="47" s="1"/>
  <c r="R235" i="47" s="1"/>
  <c r="S32" i="47" s="1"/>
  <c r="R185" i="32" l="1"/>
  <c r="R245" i="32" s="1"/>
  <c r="S32" i="32" s="1"/>
  <c r="Q228" i="47"/>
  <c r="Q89" i="47"/>
  <c r="R25" i="32"/>
  <c r="T89" i="47"/>
  <c r="S89" i="47"/>
  <c r="R89" i="47"/>
  <c r="S61" i="32"/>
  <c r="S61" i="47" s="1"/>
  <c r="S177" i="47" s="1"/>
  <c r="S235" i="47" s="1"/>
  <c r="T32" i="47" s="1"/>
  <c r="P88" i="47"/>
  <c r="P175" i="47" s="1"/>
  <c r="P233" i="47" s="1"/>
  <c r="Q30" i="47" s="1"/>
  <c r="P183" i="32"/>
  <c r="P243" i="32" s="1"/>
  <c r="Q30" i="32" s="1"/>
  <c r="T87" i="47"/>
  <c r="Q87" i="47"/>
  <c r="S87" i="47"/>
  <c r="R87" i="47"/>
  <c r="S185" i="32" l="1"/>
  <c r="S245" i="32" s="1"/>
  <c r="T32" i="32" s="1"/>
  <c r="Q59" i="32"/>
  <c r="Q59" i="47" s="1"/>
  <c r="Q175" i="47" s="1"/>
  <c r="Q233" i="47" s="1"/>
  <c r="R30" i="47" s="1"/>
  <c r="T61" i="32"/>
  <c r="T61" i="47" s="1"/>
  <c r="T177" i="47" s="1"/>
  <c r="T235" i="47" s="1"/>
  <c r="P89" i="47"/>
  <c r="P176" i="47" s="1"/>
  <c r="P234" i="47" s="1"/>
  <c r="Q31" i="47" s="1"/>
  <c r="P184" i="32"/>
  <c r="P244" i="32" s="1"/>
  <c r="Q31" i="32" s="1"/>
  <c r="R54" i="32"/>
  <c r="R25" i="47"/>
  <c r="T185" i="32" l="1"/>
  <c r="T245" i="32" s="1"/>
  <c r="Q183" i="32"/>
  <c r="Q243" i="32" s="1"/>
  <c r="R30" i="32" s="1"/>
  <c r="R54" i="47"/>
  <c r="R170" i="47" s="1"/>
  <c r="Q60" i="32"/>
  <c r="Q60" i="47" s="1"/>
  <c r="Q176" i="47" s="1"/>
  <c r="Q234" i="47" s="1"/>
  <c r="R31" i="47" s="1"/>
  <c r="P87" i="47"/>
  <c r="P174" i="47" s="1"/>
  <c r="P232" i="47" s="1"/>
  <c r="Q29" i="47" s="1"/>
  <c r="P182" i="32"/>
  <c r="P242" i="32" s="1"/>
  <c r="Q29" i="32" s="1"/>
  <c r="R59" i="32"/>
  <c r="R59" i="47" s="1"/>
  <c r="R175" i="47" s="1"/>
  <c r="R233" i="47" s="1"/>
  <c r="S30" i="47" s="1"/>
  <c r="R178" i="32"/>
  <c r="Q184" i="32" l="1"/>
  <c r="Q244" i="32" s="1"/>
  <c r="R31" i="32" s="1"/>
  <c r="R183" i="32"/>
  <c r="R243" i="32" s="1"/>
  <c r="S30" i="32" s="1"/>
  <c r="S59" i="32" s="1"/>
  <c r="S59" i="47" s="1"/>
  <c r="S175" i="47" s="1"/>
  <c r="S233" i="47" s="1"/>
  <c r="T30" i="47" s="1"/>
  <c r="R60" i="32"/>
  <c r="R60" i="47" s="1"/>
  <c r="R176" i="47" s="1"/>
  <c r="R234" i="47" s="1"/>
  <c r="S31" i="47" s="1"/>
  <c r="R228" i="47"/>
  <c r="Q84" i="47"/>
  <c r="T84" i="47"/>
  <c r="R238" i="32"/>
  <c r="S84" i="47"/>
  <c r="Q58" i="32"/>
  <c r="Q58" i="47" s="1"/>
  <c r="Q174" i="47" s="1"/>
  <c r="Q232" i="47" s="1"/>
  <c r="R29" i="47" s="1"/>
  <c r="P84" i="47"/>
  <c r="P179" i="32"/>
  <c r="R84" i="47"/>
  <c r="Q182" i="32" l="1"/>
  <c r="Q242" i="32" s="1"/>
  <c r="R29" i="32" s="1"/>
  <c r="R184" i="32"/>
  <c r="R244" i="32" s="1"/>
  <c r="S31" i="32" s="1"/>
  <c r="S25" i="32"/>
  <c r="R58" i="32"/>
  <c r="R58" i="47" s="1"/>
  <c r="R174" i="47" s="1"/>
  <c r="R232" i="47" s="1"/>
  <c r="S29" i="47" s="1"/>
  <c r="P239" i="32"/>
  <c r="S25" i="47"/>
  <c r="S183" i="32"/>
  <c r="S243" i="32" s="1"/>
  <c r="T30" i="32" s="1"/>
  <c r="S60" i="32"/>
  <c r="S60" i="47" s="1"/>
  <c r="S176" i="47" s="1"/>
  <c r="S234" i="47" s="1"/>
  <c r="T31" i="47" s="1"/>
  <c r="P171" i="47"/>
  <c r="S184" i="32" l="1"/>
  <c r="S244" i="32" s="1"/>
  <c r="T31" i="32" s="1"/>
  <c r="T60" i="32" s="1"/>
  <c r="T60" i="47" s="1"/>
  <c r="T176" i="47" s="1"/>
  <c r="T234" i="47" s="1"/>
  <c r="Q26" i="32"/>
  <c r="R182" i="32"/>
  <c r="R242" i="32" s="1"/>
  <c r="S29" i="32" s="1"/>
  <c r="T59" i="32"/>
  <c r="T59" i="47" s="1"/>
  <c r="T175" i="47" s="1"/>
  <c r="T233" i="47" s="1"/>
  <c r="P229" i="47"/>
  <c r="S54" i="32"/>
  <c r="S178" i="32" s="1"/>
  <c r="T183" i="32" l="1"/>
  <c r="T243" i="32" s="1"/>
  <c r="T184" i="32"/>
  <c r="T244" i="32" s="1"/>
  <c r="Q26" i="47"/>
  <c r="S58" i="32"/>
  <c r="S58" i="47" s="1"/>
  <c r="S174" i="47" s="1"/>
  <c r="S232" i="47" s="1"/>
  <c r="T29" i="47" s="1"/>
  <c r="S238" i="32"/>
  <c r="S54" i="47"/>
  <c r="Q55" i="32"/>
  <c r="Q179" i="32" s="1"/>
  <c r="R94" i="47"/>
  <c r="S94" i="47"/>
  <c r="Q94" i="47"/>
  <c r="T94" i="47"/>
  <c r="S182" i="32" l="1"/>
  <c r="S242" i="32" s="1"/>
  <c r="T29" i="32" s="1"/>
  <c r="T58" i="32" s="1"/>
  <c r="T58" i="47" s="1"/>
  <c r="T174" i="47" s="1"/>
  <c r="T232" i="47" s="1"/>
  <c r="S170" i="47"/>
  <c r="Q239" i="32"/>
  <c r="Q55" i="47"/>
  <c r="T25" i="32"/>
  <c r="P91" i="47" l="1"/>
  <c r="T182" i="32"/>
  <c r="T242" i="32" s="1"/>
  <c r="S228" i="47"/>
  <c r="P94" i="47"/>
  <c r="P181" i="47" s="1"/>
  <c r="P239" i="47" s="1"/>
  <c r="Q36" i="47" s="1"/>
  <c r="P189" i="32"/>
  <c r="P249" i="32" s="1"/>
  <c r="Q36" i="32" s="1"/>
  <c r="R26" i="32"/>
  <c r="T54" i="32"/>
  <c r="T178" i="32" s="1"/>
  <c r="Q171" i="47"/>
  <c r="P65" i="33" l="1"/>
  <c r="P160" i="34" s="1"/>
  <c r="P99" i="32"/>
  <c r="P101" i="32" s="1"/>
  <c r="P59" i="33"/>
  <c r="P56" i="33"/>
  <c r="P34" i="34" s="1"/>
  <c r="P62" i="33"/>
  <c r="P119" i="33" s="1"/>
  <c r="P157" i="33" s="1"/>
  <c r="Q24" i="33" s="1"/>
  <c r="P63" i="33"/>
  <c r="P132" i="34" s="1"/>
  <c r="P186" i="32"/>
  <c r="P246" i="32" s="1"/>
  <c r="P60" i="33"/>
  <c r="P61" i="33"/>
  <c r="P118" i="33" s="1"/>
  <c r="P156" i="33" s="1"/>
  <c r="Q23" i="33" s="1"/>
  <c r="P64" i="33"/>
  <c r="P146" i="34" s="1"/>
  <c r="P57" i="33"/>
  <c r="P48" i="34" s="1"/>
  <c r="P58" i="33"/>
  <c r="Q229" i="47"/>
  <c r="Q91" i="47"/>
  <c r="Q63" i="33"/>
  <c r="Q132" i="34" s="1"/>
  <c r="N76" i="51" s="1"/>
  <c r="Q56" i="33"/>
  <c r="Q99" i="32"/>
  <c r="Q101" i="32" s="1"/>
  <c r="Q62" i="33"/>
  <c r="Q118" i="34" s="1"/>
  <c r="N70" i="51" s="1"/>
  <c r="Q60" i="33"/>
  <c r="Q90" i="34" s="1"/>
  <c r="N56" i="51" s="1"/>
  <c r="Q58" i="33"/>
  <c r="Q62" i="34" s="1"/>
  <c r="N42" i="51" s="1"/>
  <c r="Q64" i="33"/>
  <c r="Q146" i="34" s="1"/>
  <c r="N83" i="51" s="1"/>
  <c r="Q57" i="33"/>
  <c r="Q48" i="34" s="1"/>
  <c r="N35" i="51" s="1"/>
  <c r="Q61" i="33"/>
  <c r="Q104" i="34" s="1"/>
  <c r="N63" i="51" s="1"/>
  <c r="Q65" i="33"/>
  <c r="Q160" i="34" s="1"/>
  <c r="N90" i="51" s="1"/>
  <c r="Q59" i="33"/>
  <c r="Q76" i="34" s="1"/>
  <c r="N49" i="51" s="1"/>
  <c r="T238" i="32"/>
  <c r="T54" i="47"/>
  <c r="T91" i="47"/>
  <c r="T58" i="33"/>
  <c r="T62" i="34" s="1"/>
  <c r="Q42" i="51" s="1"/>
  <c r="T60" i="33"/>
  <c r="T90" i="34" s="1"/>
  <c r="Q56" i="51" s="1"/>
  <c r="T64" i="33"/>
  <c r="T146" i="34" s="1"/>
  <c r="Q83" i="51" s="1"/>
  <c r="T62" i="33"/>
  <c r="T118" i="34" s="1"/>
  <c r="Q70" i="51" s="1"/>
  <c r="T61" i="33"/>
  <c r="T104" i="34" s="1"/>
  <c r="Q63" i="51" s="1"/>
  <c r="T57" i="33"/>
  <c r="T48" i="34" s="1"/>
  <c r="Q35" i="51" s="1"/>
  <c r="T63" i="33"/>
  <c r="T132" i="34" s="1"/>
  <c r="Q76" i="51" s="1"/>
  <c r="T65" i="33"/>
  <c r="T160" i="34" s="1"/>
  <c r="Q90" i="51" s="1"/>
  <c r="T99" i="32"/>
  <c r="T101" i="32" s="1"/>
  <c r="T59" i="33"/>
  <c r="T76" i="34" s="1"/>
  <c r="Q49" i="51" s="1"/>
  <c r="T56" i="33"/>
  <c r="T25" i="47"/>
  <c r="P76" i="34"/>
  <c r="P116" i="33"/>
  <c r="P154" i="33" s="1"/>
  <c r="Q21" i="33" s="1"/>
  <c r="P90" i="34"/>
  <c r="P117" i="33"/>
  <c r="P155" i="33" s="1"/>
  <c r="Q22" i="33" s="1"/>
  <c r="P178" i="47"/>
  <c r="P60" i="46"/>
  <c r="P56" i="46"/>
  <c r="P63" i="46"/>
  <c r="P57" i="46"/>
  <c r="P62" i="46"/>
  <c r="P64" i="46"/>
  <c r="P59" i="46"/>
  <c r="P65" i="46"/>
  <c r="P58" i="46"/>
  <c r="P61" i="46"/>
  <c r="P97" i="47"/>
  <c r="P99" i="47" s="1"/>
  <c r="R55" i="32"/>
  <c r="R179" i="32" s="1"/>
  <c r="R91" i="47"/>
  <c r="R63" i="33"/>
  <c r="R132" i="34" s="1"/>
  <c r="O76" i="51" s="1"/>
  <c r="R58" i="33"/>
  <c r="R62" i="34" s="1"/>
  <c r="O42" i="51" s="1"/>
  <c r="R99" i="32"/>
  <c r="R101" i="32" s="1"/>
  <c r="R56" i="33"/>
  <c r="R61" i="33"/>
  <c r="R104" i="34" s="1"/>
  <c r="O63" i="51" s="1"/>
  <c r="R62" i="33"/>
  <c r="R118" i="34" s="1"/>
  <c r="O70" i="51" s="1"/>
  <c r="R57" i="33"/>
  <c r="R48" i="34" s="1"/>
  <c r="O35" i="51" s="1"/>
  <c r="R65" i="33"/>
  <c r="R160" i="34" s="1"/>
  <c r="O90" i="51" s="1"/>
  <c r="R64" i="33"/>
  <c r="R146" i="34" s="1"/>
  <c r="O83" i="51" s="1"/>
  <c r="R59" i="33"/>
  <c r="R76" i="34" s="1"/>
  <c r="O49" i="51" s="1"/>
  <c r="R60" i="33"/>
  <c r="R90" i="34" s="1"/>
  <c r="O56" i="51" s="1"/>
  <c r="Q65" i="32"/>
  <c r="Q65" i="47" s="1"/>
  <c r="Q181" i="47" s="1"/>
  <c r="Q239" i="47" s="1"/>
  <c r="R36" i="47" s="1"/>
  <c r="P121" i="33" l="1"/>
  <c r="P159" i="33" s="1"/>
  <c r="Q26" i="33" s="1"/>
  <c r="Q144" i="34" s="1"/>
  <c r="P118" i="34"/>
  <c r="P114" i="33"/>
  <c r="P152" i="33" s="1"/>
  <c r="Q19" i="33" s="1"/>
  <c r="Q46" i="34" s="1"/>
  <c r="P122" i="33"/>
  <c r="P160" i="33" s="1"/>
  <c r="Q27" i="33" s="1"/>
  <c r="P104" i="34"/>
  <c r="P108" i="34" s="1"/>
  <c r="P110" i="34" s="1"/>
  <c r="P67" i="33"/>
  <c r="P69" i="33" s="1"/>
  <c r="P113" i="33"/>
  <c r="P151" i="33" s="1"/>
  <c r="T103" i="32"/>
  <c r="P103" i="32"/>
  <c r="P192" i="32"/>
  <c r="P194" i="32" s="1"/>
  <c r="P115" i="33"/>
  <c r="P153" i="33" s="1"/>
  <c r="Q20" i="33" s="1"/>
  <c r="Q60" i="34" s="1"/>
  <c r="P62" i="34"/>
  <c r="P66" i="34" s="1"/>
  <c r="P120" i="33"/>
  <c r="P158" i="33" s="1"/>
  <c r="Q25" i="33" s="1"/>
  <c r="Q130" i="34" s="1"/>
  <c r="R103" i="32"/>
  <c r="Q103" i="32"/>
  <c r="Q116" i="34"/>
  <c r="Q102" i="34"/>
  <c r="P146" i="42"/>
  <c r="P121" i="46"/>
  <c r="P159" i="46" s="1"/>
  <c r="Q26" i="46" s="1"/>
  <c r="M49" i="51"/>
  <c r="P80" i="34"/>
  <c r="P82" i="34" s="1"/>
  <c r="Q158" i="34"/>
  <c r="Q34" i="34"/>
  <c r="Q67" i="33"/>
  <c r="Q69" i="33" s="1"/>
  <c r="R34" i="34"/>
  <c r="R67" i="33"/>
  <c r="R69" i="33" s="1"/>
  <c r="R239" i="32"/>
  <c r="P118" i="42"/>
  <c r="P119" i="46"/>
  <c r="P157" i="46" s="1"/>
  <c r="Q24" i="46" s="1"/>
  <c r="M28" i="51"/>
  <c r="P38" i="34"/>
  <c r="M90" i="51"/>
  <c r="P164" i="34"/>
  <c r="Q33" i="32"/>
  <c r="P252" i="32"/>
  <c r="P254" i="32" s="1"/>
  <c r="P257" i="32"/>
  <c r="P76" i="42"/>
  <c r="P116" i="46"/>
  <c r="P154" i="46" s="1"/>
  <c r="Q21" i="46" s="1"/>
  <c r="R55" i="47"/>
  <c r="P48" i="42"/>
  <c r="P114" i="46"/>
  <c r="P152" i="46" s="1"/>
  <c r="Q19" i="46" s="1"/>
  <c r="T67" i="33"/>
  <c r="T69" i="33" s="1"/>
  <c r="T34" i="34"/>
  <c r="Q65" i="46"/>
  <c r="Q160" i="42" s="1"/>
  <c r="F90" i="51" s="1"/>
  <c r="Q58" i="46"/>
  <c r="Q62" i="42" s="1"/>
  <c r="F42" i="51" s="1"/>
  <c r="Q61" i="46"/>
  <c r="Q104" i="42" s="1"/>
  <c r="F63" i="51" s="1"/>
  <c r="Q60" i="46"/>
  <c r="Q90" i="42" s="1"/>
  <c r="F56" i="51" s="1"/>
  <c r="Q97" i="47"/>
  <c r="Q99" i="47" s="1"/>
  <c r="Q63" i="46"/>
  <c r="Q132" i="42" s="1"/>
  <c r="F76" i="51" s="1"/>
  <c r="Q59" i="46"/>
  <c r="Q76" i="42" s="1"/>
  <c r="F49" i="51" s="1"/>
  <c r="Q57" i="46"/>
  <c r="Q48" i="42" s="1"/>
  <c r="F35" i="51" s="1"/>
  <c r="Q62" i="46"/>
  <c r="Q118" i="42" s="1"/>
  <c r="F70" i="51" s="1"/>
  <c r="Q56" i="46"/>
  <c r="Q64" i="46"/>
  <c r="Q146" i="42" s="1"/>
  <c r="F83" i="51" s="1"/>
  <c r="P132" i="42"/>
  <c r="P120" i="46"/>
  <c r="P158" i="46" s="1"/>
  <c r="Q25" i="46" s="1"/>
  <c r="Q88" i="34"/>
  <c r="M83" i="51"/>
  <c r="P150" i="34"/>
  <c r="M35" i="51"/>
  <c r="P52" i="34"/>
  <c r="P236" i="47"/>
  <c r="P184" i="47"/>
  <c r="P186" i="47" s="1"/>
  <c r="Q74" i="34"/>
  <c r="M76" i="51"/>
  <c r="P136" i="34"/>
  <c r="P104" i="42"/>
  <c r="P118" i="46"/>
  <c r="P156" i="46" s="1"/>
  <c r="Q23" i="46" s="1"/>
  <c r="P34" i="42"/>
  <c r="P67" i="46"/>
  <c r="P69" i="46" s="1"/>
  <c r="P113" i="46"/>
  <c r="M56" i="51"/>
  <c r="P94" i="34"/>
  <c r="P96" i="34" s="1"/>
  <c r="R26" i="47"/>
  <c r="P160" i="42"/>
  <c r="P122" i="46"/>
  <c r="P160" i="46" s="1"/>
  <c r="Q27" i="46" s="1"/>
  <c r="M70" i="51"/>
  <c r="P122" i="34"/>
  <c r="P124" i="34" s="1"/>
  <c r="Q189" i="32"/>
  <c r="Q249" i="32" s="1"/>
  <c r="R36" i="32" s="1"/>
  <c r="R58" i="46"/>
  <c r="R62" i="42" s="1"/>
  <c r="G42" i="51" s="1"/>
  <c r="R64" i="46"/>
  <c r="R146" i="42" s="1"/>
  <c r="G83" i="51" s="1"/>
  <c r="R63" i="46"/>
  <c r="R132" i="42" s="1"/>
  <c r="G76" i="51" s="1"/>
  <c r="R62" i="46"/>
  <c r="R118" i="42" s="1"/>
  <c r="G70" i="51" s="1"/>
  <c r="R65" i="46"/>
  <c r="R160" i="42" s="1"/>
  <c r="G90" i="51" s="1"/>
  <c r="R61" i="46"/>
  <c r="R104" i="42" s="1"/>
  <c r="G63" i="51" s="1"/>
  <c r="R60" i="46"/>
  <c r="R90" i="42" s="1"/>
  <c r="G56" i="51" s="1"/>
  <c r="R56" i="46"/>
  <c r="R59" i="46"/>
  <c r="R76" i="42" s="1"/>
  <c r="G49" i="51" s="1"/>
  <c r="R57" i="46"/>
  <c r="R48" i="42" s="1"/>
  <c r="G35" i="51" s="1"/>
  <c r="R97" i="47"/>
  <c r="R99" i="47" s="1"/>
  <c r="P62" i="42"/>
  <c r="P115" i="46"/>
  <c r="P153" i="46" s="1"/>
  <c r="Q20" i="46" s="1"/>
  <c r="P90" i="42"/>
  <c r="P117" i="46"/>
  <c r="P155" i="46" s="1"/>
  <c r="Q22" i="46" s="1"/>
  <c r="T170" i="47"/>
  <c r="T59" i="46"/>
  <c r="T76" i="42" s="1"/>
  <c r="I49" i="51" s="1"/>
  <c r="T57" i="46"/>
  <c r="T48" i="42" s="1"/>
  <c r="I35" i="51" s="1"/>
  <c r="T63" i="46"/>
  <c r="T132" i="42" s="1"/>
  <c r="I76" i="51" s="1"/>
  <c r="T64" i="46"/>
  <c r="T146" i="42" s="1"/>
  <c r="I83" i="51" s="1"/>
  <c r="T56" i="46"/>
  <c r="T60" i="46"/>
  <c r="T90" i="42" s="1"/>
  <c r="I56" i="51" s="1"/>
  <c r="T58" i="46"/>
  <c r="T62" i="42" s="1"/>
  <c r="I42" i="51" s="1"/>
  <c r="T97" i="47"/>
  <c r="T99" i="47" s="1"/>
  <c r="T65" i="46"/>
  <c r="T160" i="42" s="1"/>
  <c r="I90" i="51" s="1"/>
  <c r="T62" i="46"/>
  <c r="T118" i="42" s="1"/>
  <c r="I70" i="51" s="1"/>
  <c r="T61" i="46"/>
  <c r="T104" i="42" s="1"/>
  <c r="I63" i="51" s="1"/>
  <c r="P152" i="34" l="1"/>
  <c r="P68" i="34"/>
  <c r="P54" i="34"/>
  <c r="P18" i="34"/>
  <c r="M15" i="51" s="1"/>
  <c r="P166" i="34"/>
  <c r="M63" i="51"/>
  <c r="P138" i="34"/>
  <c r="P124" i="33"/>
  <c r="P126" i="33" s="1"/>
  <c r="M42" i="51"/>
  <c r="S56" i="33"/>
  <c r="S64" i="33"/>
  <c r="S146" i="34" s="1"/>
  <c r="P83" i="51" s="1"/>
  <c r="S58" i="33"/>
  <c r="S62" i="34" s="1"/>
  <c r="P42" i="51" s="1"/>
  <c r="S57" i="33"/>
  <c r="S48" i="34" s="1"/>
  <c r="P35" i="51" s="1"/>
  <c r="S62" i="33"/>
  <c r="S118" i="34" s="1"/>
  <c r="P70" i="51" s="1"/>
  <c r="S61" i="33"/>
  <c r="S104" i="34" s="1"/>
  <c r="P63" i="51" s="1"/>
  <c r="S99" i="32"/>
  <c r="S101" i="32" s="1"/>
  <c r="A101" i="32" s="1"/>
  <c r="S60" i="33"/>
  <c r="S90" i="34" s="1"/>
  <c r="P56" i="51" s="1"/>
  <c r="S91" i="47"/>
  <c r="S59" i="33"/>
  <c r="S76" i="34" s="1"/>
  <c r="P49" i="51" s="1"/>
  <c r="S63" i="33"/>
  <c r="S132" i="34" s="1"/>
  <c r="P76" i="51" s="1"/>
  <c r="S65" i="33"/>
  <c r="S160" i="34" s="1"/>
  <c r="P90" i="51" s="1"/>
  <c r="Q74" i="42"/>
  <c r="M52" i="51"/>
  <c r="Q158" i="42"/>
  <c r="E42" i="51"/>
  <c r="P66" i="42"/>
  <c r="P68" i="42" s="1"/>
  <c r="E90" i="51"/>
  <c r="P164" i="42"/>
  <c r="P166" i="42" s="1"/>
  <c r="Q102" i="42"/>
  <c r="N47" i="51"/>
  <c r="Q46" i="42"/>
  <c r="S26" i="32"/>
  <c r="N28" i="51"/>
  <c r="Q18" i="34"/>
  <c r="N15" i="51" s="1"/>
  <c r="Q144" i="42"/>
  <c r="E63" i="51"/>
  <c r="P108" i="42"/>
  <c r="P110" i="42" s="1"/>
  <c r="N54" i="51"/>
  <c r="N33" i="51"/>
  <c r="E35" i="51"/>
  <c r="P52" i="42"/>
  <c r="P54" i="42" s="1"/>
  <c r="M93" i="51"/>
  <c r="E83" i="51"/>
  <c r="P150" i="42"/>
  <c r="P152" i="42" s="1"/>
  <c r="M72" i="51"/>
  <c r="Q60" i="42"/>
  <c r="M86" i="51"/>
  <c r="R171" i="47"/>
  <c r="Q33" i="47"/>
  <c r="P242" i="47"/>
  <c r="P244" i="47" s="1"/>
  <c r="Q130" i="42"/>
  <c r="Q62" i="32"/>
  <c r="Q39" i="32"/>
  <c r="Q41" i="32" s="1"/>
  <c r="P22" i="34"/>
  <c r="P40" i="34"/>
  <c r="R18" i="34"/>
  <c r="O15" i="51" s="1"/>
  <c r="O28" i="51"/>
  <c r="N40" i="51"/>
  <c r="E70" i="51"/>
  <c r="P122" i="42"/>
  <c r="P124" i="42" s="1"/>
  <c r="P18" i="42"/>
  <c r="E15" i="51" s="1"/>
  <c r="E28" i="51"/>
  <c r="P38" i="42"/>
  <c r="M79" i="51"/>
  <c r="E76" i="51"/>
  <c r="P136" i="42"/>
  <c r="P138" i="42" s="1"/>
  <c r="N61" i="51"/>
  <c r="E56" i="51"/>
  <c r="P94" i="42"/>
  <c r="P96" i="42" s="1"/>
  <c r="P162" i="33"/>
  <c r="P164" i="33" s="1"/>
  <c r="Q18" i="33"/>
  <c r="T228" i="47"/>
  <c r="R34" i="42"/>
  <c r="R67" i="46"/>
  <c r="R69" i="46" s="1"/>
  <c r="R65" i="32"/>
  <c r="R65" i="47" s="1"/>
  <c r="R181" i="47" s="1"/>
  <c r="R239" i="47" s="1"/>
  <c r="S36" i="47" s="1"/>
  <c r="M59" i="51"/>
  <c r="T18" i="34"/>
  <c r="Q15" i="51" s="1"/>
  <c r="Q28" i="51"/>
  <c r="M31" i="51"/>
  <c r="N88" i="51"/>
  <c r="T34" i="42"/>
  <c r="T67" i="46"/>
  <c r="T69" i="46" s="1"/>
  <c r="Q67" i="46"/>
  <c r="Q69" i="46" s="1"/>
  <c r="Q34" i="42"/>
  <c r="N81" i="51"/>
  <c r="E49" i="51"/>
  <c r="P80" i="42"/>
  <c r="P82" i="42" s="1"/>
  <c r="Q88" i="42"/>
  <c r="P151" i="46"/>
  <c r="P124" i="46"/>
  <c r="P126" i="46" s="1"/>
  <c r="N74" i="51"/>
  <c r="M38" i="51"/>
  <c r="Q116" i="42"/>
  <c r="N68" i="51"/>
  <c r="P256" i="32"/>
  <c r="M66" i="51" l="1"/>
  <c r="M45" i="51"/>
  <c r="M104" i="51" s="1"/>
  <c r="R189" i="32"/>
  <c r="R249" i="32" s="1"/>
  <c r="S36" i="32" s="1"/>
  <c r="S103" i="32"/>
  <c r="A103" i="32" s="1"/>
  <c r="S97" i="47"/>
  <c r="S99" i="47" s="1"/>
  <c r="A99" i="47" s="1"/>
  <c r="S60" i="46"/>
  <c r="S90" i="42" s="1"/>
  <c r="H56" i="51" s="1"/>
  <c r="S63" i="46"/>
  <c r="S132" i="42" s="1"/>
  <c r="H76" i="51" s="1"/>
  <c r="S57" i="46"/>
  <c r="S48" i="42" s="1"/>
  <c r="H35" i="51" s="1"/>
  <c r="S62" i="46"/>
  <c r="S118" i="42" s="1"/>
  <c r="H70" i="51" s="1"/>
  <c r="S64" i="46"/>
  <c r="S146" i="42" s="1"/>
  <c r="H83" i="51" s="1"/>
  <c r="S59" i="46"/>
  <c r="S76" i="42" s="1"/>
  <c r="H49" i="51" s="1"/>
  <c r="S58" i="46"/>
  <c r="S62" i="42" s="1"/>
  <c r="H42" i="51" s="1"/>
  <c r="S56" i="46"/>
  <c r="S61" i="46"/>
  <c r="S104" i="42" s="1"/>
  <c r="H63" i="51" s="1"/>
  <c r="S65" i="46"/>
  <c r="S160" i="42" s="1"/>
  <c r="H90" i="51" s="1"/>
  <c r="S34" i="34"/>
  <c r="S67" i="33"/>
  <c r="S69" i="33" s="1"/>
  <c r="A69" i="33" s="1"/>
  <c r="T18" i="42"/>
  <c r="I15" i="51" s="1"/>
  <c r="I28" i="51"/>
  <c r="G28" i="51"/>
  <c r="R18" i="42"/>
  <c r="G15" i="51" s="1"/>
  <c r="E45" i="51"/>
  <c r="E38" i="51"/>
  <c r="M46" i="51"/>
  <c r="M133" i="51"/>
  <c r="M137" i="51"/>
  <c r="M80" i="51"/>
  <c r="M109" i="51"/>
  <c r="Q62" i="47"/>
  <c r="Q178" i="47" s="1"/>
  <c r="Q40" i="33"/>
  <c r="Q39" i="33"/>
  <c r="Q42" i="33"/>
  <c r="Q46" i="33"/>
  <c r="Q68" i="32"/>
  <c r="Q70" i="32" s="1"/>
  <c r="Q45" i="33"/>
  <c r="Q37" i="33"/>
  <c r="Q113" i="33" s="1"/>
  <c r="Q44" i="33"/>
  <c r="Q43" i="33"/>
  <c r="Q41" i="33"/>
  <c r="Q38" i="33"/>
  <c r="E66" i="51"/>
  <c r="F33" i="51"/>
  <c r="M103" i="51"/>
  <c r="M39" i="51"/>
  <c r="M132" i="51"/>
  <c r="F40" i="51"/>
  <c r="E52" i="51"/>
  <c r="E31" i="51"/>
  <c r="M108" i="51"/>
  <c r="M73" i="51"/>
  <c r="F88" i="51"/>
  <c r="M136" i="51"/>
  <c r="M107" i="51"/>
  <c r="M67" i="51"/>
  <c r="M106" i="51"/>
  <c r="M60" i="51"/>
  <c r="M135" i="51"/>
  <c r="Q39" i="47"/>
  <c r="Q41" i="47" s="1"/>
  <c r="M134" i="51"/>
  <c r="M53" i="51"/>
  <c r="M105" i="51"/>
  <c r="E59" i="51"/>
  <c r="F81" i="51"/>
  <c r="P24" i="34"/>
  <c r="M18" i="51"/>
  <c r="F61" i="51"/>
  <c r="F54" i="51"/>
  <c r="F68" i="51"/>
  <c r="Q18" i="42"/>
  <c r="F15" i="51" s="1"/>
  <c r="F28" i="51"/>
  <c r="M131" i="51"/>
  <c r="M102" i="51"/>
  <c r="M32" i="51"/>
  <c r="S65" i="32"/>
  <c r="S65" i="47" s="1"/>
  <c r="S181" i="47" s="1"/>
  <c r="S239" i="47" s="1"/>
  <c r="T36" i="47" s="1"/>
  <c r="Q32" i="34"/>
  <c r="Q29" i="33"/>
  <c r="Q31" i="33" s="1"/>
  <c r="E72" i="51"/>
  <c r="R229" i="47"/>
  <c r="E86" i="51"/>
  <c r="P22" i="42"/>
  <c r="P40" i="42"/>
  <c r="F74" i="51"/>
  <c r="Q18" i="46"/>
  <c r="P162" i="46"/>
  <c r="P164" i="46" s="1"/>
  <c r="E79" i="51"/>
  <c r="Q186" i="32"/>
  <c r="M138" i="51"/>
  <c r="M87" i="51"/>
  <c r="M110" i="51"/>
  <c r="M139" i="51"/>
  <c r="M111" i="51"/>
  <c r="M94" i="51"/>
  <c r="S55" i="32"/>
  <c r="S179" i="32" s="1"/>
  <c r="E93" i="51"/>
  <c r="F47" i="51"/>
  <c r="Q72" i="32"/>
  <c r="P28" i="51" l="1"/>
  <c r="S18" i="34"/>
  <c r="P15" i="51" s="1"/>
  <c r="S67" i="46"/>
  <c r="S69" i="46" s="1"/>
  <c r="A69" i="46" s="1"/>
  <c r="S34" i="42"/>
  <c r="Q236" i="47"/>
  <c r="Q184" i="47"/>
  <c r="Q186" i="47" s="1"/>
  <c r="S55" i="47"/>
  <c r="Q131" i="34"/>
  <c r="Q120" i="33"/>
  <c r="Q158" i="33" s="1"/>
  <c r="R25" i="33" s="1"/>
  <c r="Q151" i="33"/>
  <c r="M19" i="51"/>
  <c r="E106" i="51"/>
  <c r="E60" i="51"/>
  <c r="E135" i="51"/>
  <c r="Q48" i="33"/>
  <c r="Q50" i="33" s="1"/>
  <c r="Q33" i="34"/>
  <c r="Q38" i="34" s="1"/>
  <c r="E133" i="51"/>
  <c r="E46" i="51"/>
  <c r="E104" i="51"/>
  <c r="P24" i="42"/>
  <c r="E18" i="51"/>
  <c r="E105" i="51"/>
  <c r="E134" i="51"/>
  <c r="E53" i="51"/>
  <c r="Q38" i="46"/>
  <c r="Q40" i="46"/>
  <c r="Q68" i="47"/>
  <c r="Q70" i="47" s="1"/>
  <c r="Q44" i="46"/>
  <c r="Q39" i="46"/>
  <c r="Q42" i="46"/>
  <c r="Q45" i="46"/>
  <c r="Q37" i="46"/>
  <c r="Q41" i="46"/>
  <c r="Q43" i="46"/>
  <c r="Q46" i="46"/>
  <c r="E32" i="51"/>
  <c r="E131" i="51"/>
  <c r="E102" i="51"/>
  <c r="Q145" i="34"/>
  <c r="Q121" i="33"/>
  <c r="Q159" i="33" s="1"/>
  <c r="R26" i="33" s="1"/>
  <c r="Q75" i="34"/>
  <c r="Q116" i="33"/>
  <c r="Q154" i="33" s="1"/>
  <c r="R21" i="33" s="1"/>
  <c r="E109" i="51"/>
  <c r="E137" i="51"/>
  <c r="E80" i="51"/>
  <c r="E138" i="51"/>
  <c r="E87" i="51"/>
  <c r="E110" i="51"/>
  <c r="Q16" i="34"/>
  <c r="N13" i="51" s="1"/>
  <c r="N26" i="51"/>
  <c r="E136" i="51"/>
  <c r="E107" i="51"/>
  <c r="E67" i="51"/>
  <c r="E73" i="51"/>
  <c r="E108" i="51"/>
  <c r="E94" i="51"/>
  <c r="E139" i="51"/>
  <c r="E111" i="51"/>
  <c r="Q32" i="42"/>
  <c r="Q29" i="46"/>
  <c r="Q31" i="46" s="1"/>
  <c r="S189" i="32"/>
  <c r="S249" i="32" s="1"/>
  <c r="T36" i="32" s="1"/>
  <c r="Q159" i="34"/>
  <c r="Q122" i="33"/>
  <c r="Q160" i="33" s="1"/>
  <c r="R27" i="33" s="1"/>
  <c r="S239" i="32"/>
  <c r="Q117" i="34"/>
  <c r="Q119" i="33"/>
  <c r="Q157" i="33" s="1"/>
  <c r="R24" i="33" s="1"/>
  <c r="Q47" i="34"/>
  <c r="Q114" i="33"/>
  <c r="Q152" i="33" s="1"/>
  <c r="R19" i="33" s="1"/>
  <c r="Q103" i="34"/>
  <c r="Q118" i="33"/>
  <c r="Q156" i="33" s="1"/>
  <c r="R23" i="33" s="1"/>
  <c r="Q246" i="32"/>
  <c r="Q192" i="32"/>
  <c r="Q194" i="32" s="1"/>
  <c r="E132" i="51"/>
  <c r="E39" i="51"/>
  <c r="E103" i="51"/>
  <c r="S26" i="47"/>
  <c r="Q89" i="34"/>
  <c r="Q117" i="33"/>
  <c r="Q155" i="33" s="1"/>
  <c r="R22" i="33" s="1"/>
  <c r="Q61" i="34"/>
  <c r="Q115" i="33"/>
  <c r="Q153" i="33" s="1"/>
  <c r="R20" i="33" s="1"/>
  <c r="S18" i="42" l="1"/>
  <c r="H15" i="51" s="1"/>
  <c r="H28" i="51"/>
  <c r="R60" i="34"/>
  <c r="Q75" i="42"/>
  <c r="Q116" i="46"/>
  <c r="Q154" i="46" s="1"/>
  <c r="R21" i="46" s="1"/>
  <c r="N75" i="51"/>
  <c r="Q136" i="34"/>
  <c r="Q138" i="34" s="1"/>
  <c r="N41" i="51"/>
  <c r="Q66" i="34"/>
  <c r="Q68" i="34" s="1"/>
  <c r="R46" i="34"/>
  <c r="R158" i="34"/>
  <c r="N48" i="51"/>
  <c r="Q80" i="34"/>
  <c r="Q82" i="34" s="1"/>
  <c r="Q89" i="42"/>
  <c r="Q117" i="46"/>
  <c r="Q155" i="46" s="1"/>
  <c r="R22" i="46" s="1"/>
  <c r="Q47" i="42"/>
  <c r="Q114" i="46"/>
  <c r="Q152" i="46" s="1"/>
  <c r="R19" i="46" s="1"/>
  <c r="E19" i="51"/>
  <c r="R88" i="34"/>
  <c r="N34" i="51"/>
  <c r="Q52" i="34"/>
  <c r="Q54" i="34" s="1"/>
  <c r="N89" i="51"/>
  <c r="Q164" i="34"/>
  <c r="Q166" i="34" s="1"/>
  <c r="R144" i="34"/>
  <c r="Q113" i="46"/>
  <c r="Q33" i="42"/>
  <c r="Q38" i="42" s="1"/>
  <c r="Q48" i="46"/>
  <c r="Q50" i="46" s="1"/>
  <c r="Q159" i="42"/>
  <c r="Q122" i="46"/>
  <c r="Q160" i="46" s="1"/>
  <c r="R27" i="46" s="1"/>
  <c r="T26" i="32"/>
  <c r="N55" i="51"/>
  <c r="Q94" i="34"/>
  <c r="Q96" i="34" s="1"/>
  <c r="Q40" i="34"/>
  <c r="N82" i="51"/>
  <c r="Q150" i="34"/>
  <c r="Q152" i="34" s="1"/>
  <c r="Q145" i="42"/>
  <c r="Q121" i="46"/>
  <c r="Q159" i="46" s="1"/>
  <c r="R26" i="46" s="1"/>
  <c r="S171" i="47"/>
  <c r="F26" i="51"/>
  <c r="Q16" i="42"/>
  <c r="F13" i="51" s="1"/>
  <c r="R130" i="34"/>
  <c r="R74" i="34"/>
  <c r="Q103" i="42"/>
  <c r="Q118" i="46"/>
  <c r="Q156" i="46" s="1"/>
  <c r="R23" i="46" s="1"/>
  <c r="R102" i="34"/>
  <c r="Q117" i="42"/>
  <c r="Q119" i="46"/>
  <c r="Q157" i="46" s="1"/>
  <c r="R24" i="46" s="1"/>
  <c r="R116" i="34"/>
  <c r="T65" i="32"/>
  <c r="T65" i="47" s="1"/>
  <c r="T181" i="47" s="1"/>
  <c r="T239" i="47" s="1"/>
  <c r="Q61" i="42"/>
  <c r="Q115" i="46"/>
  <c r="Q153" i="46" s="1"/>
  <c r="R20" i="46" s="1"/>
  <c r="Q162" i="33"/>
  <c r="R18" i="33"/>
  <c r="N62" i="51"/>
  <c r="Q108" i="34"/>
  <c r="Q110" i="34" s="1"/>
  <c r="R33" i="32"/>
  <c r="Q252" i="32"/>
  <c r="Q254" i="32" s="1"/>
  <c r="Q257" i="32"/>
  <c r="N69" i="51"/>
  <c r="Q122" i="34"/>
  <c r="Q124" i="34" s="1"/>
  <c r="Q131" i="42"/>
  <c r="Q120" i="46"/>
  <c r="Q158" i="46" s="1"/>
  <c r="R25" i="46" s="1"/>
  <c r="Q17" i="34"/>
  <c r="N14" i="51" s="1"/>
  <c r="N27" i="51"/>
  <c r="Q124" i="33"/>
  <c r="Q126" i="33" s="1"/>
  <c r="R33" i="47"/>
  <c r="R39" i="47" s="1"/>
  <c r="R41" i="47" s="1"/>
  <c r="Q242" i="47"/>
  <c r="Q244" i="47" s="1"/>
  <c r="T189" i="32" l="1"/>
  <c r="T249" i="32" s="1"/>
  <c r="S229" i="47"/>
  <c r="R62" i="32"/>
  <c r="R186" i="32" s="1"/>
  <c r="R39" i="32"/>
  <c r="R41" i="32" s="1"/>
  <c r="F82" i="51"/>
  <c r="Q150" i="42"/>
  <c r="Q152" i="42" s="1"/>
  <c r="F27" i="51"/>
  <c r="Q17" i="42"/>
  <c r="F14" i="51" s="1"/>
  <c r="F41" i="51"/>
  <c r="Q66" i="42"/>
  <c r="Q68" i="42" s="1"/>
  <c r="N45" i="51"/>
  <c r="O74" i="51"/>
  <c r="Q151" i="46"/>
  <c r="Q40" i="42" s="1"/>
  <c r="Q124" i="46"/>
  <c r="Q126" i="46" s="1"/>
  <c r="O54" i="51"/>
  <c r="N52" i="51"/>
  <c r="N79" i="51"/>
  <c r="F89" i="51"/>
  <c r="Q164" i="42"/>
  <c r="Q166" i="42" s="1"/>
  <c r="R130" i="42"/>
  <c r="N66" i="51"/>
  <c r="O68" i="51"/>
  <c r="R102" i="42"/>
  <c r="N86" i="51"/>
  <c r="R74" i="42"/>
  <c r="R88" i="42"/>
  <c r="F75" i="51"/>
  <c r="Q136" i="42"/>
  <c r="Q138" i="42" s="1"/>
  <c r="R29" i="33"/>
  <c r="R32" i="34"/>
  <c r="R116" i="42"/>
  <c r="F62" i="51"/>
  <c r="Q108" i="42"/>
  <c r="Q110" i="42" s="1"/>
  <c r="T55" i="32"/>
  <c r="O81" i="51"/>
  <c r="O88" i="51"/>
  <c r="F48" i="51"/>
  <c r="Q80" i="42"/>
  <c r="Q82" i="42" s="1"/>
  <c r="O61" i="51"/>
  <c r="N59" i="51"/>
  <c r="O47" i="51"/>
  <c r="N38" i="51"/>
  <c r="Q164" i="33"/>
  <c r="F69" i="51"/>
  <c r="Q122" i="42"/>
  <c r="Q124" i="42" s="1"/>
  <c r="Q22" i="34"/>
  <c r="Q256" i="32"/>
  <c r="R46" i="42"/>
  <c r="R144" i="42"/>
  <c r="F55" i="51"/>
  <c r="Q94" i="42"/>
  <c r="Q96" i="42" s="1"/>
  <c r="N72" i="51"/>
  <c r="R60" i="42"/>
  <c r="N31" i="51"/>
  <c r="R158" i="42"/>
  <c r="N93" i="51"/>
  <c r="F34" i="51"/>
  <c r="Q52" i="42"/>
  <c r="Q54" i="42" s="1"/>
  <c r="O33" i="51"/>
  <c r="O40" i="51"/>
  <c r="F31" i="51" l="1"/>
  <c r="F38" i="51"/>
  <c r="G40" i="51"/>
  <c r="G33" i="51"/>
  <c r="N39" i="51"/>
  <c r="N103" i="51"/>
  <c r="N132" i="51"/>
  <c r="R31" i="33"/>
  <c r="N53" i="51"/>
  <c r="N134" i="51"/>
  <c r="N105" i="51"/>
  <c r="N104" i="51"/>
  <c r="N46" i="51"/>
  <c r="N133" i="51"/>
  <c r="Q22" i="42"/>
  <c r="F52" i="51"/>
  <c r="F66" i="51"/>
  <c r="F45" i="51"/>
  <c r="R246" i="32"/>
  <c r="R192" i="32"/>
  <c r="R194" i="32" s="1"/>
  <c r="F59" i="51"/>
  <c r="F32" i="51"/>
  <c r="F102" i="51"/>
  <c r="F131" i="51"/>
  <c r="N135" i="51"/>
  <c r="N106" i="51"/>
  <c r="N60" i="51"/>
  <c r="G54" i="51"/>
  <c r="G61" i="51"/>
  <c r="R62" i="47"/>
  <c r="R42" i="33"/>
  <c r="R68" i="32"/>
  <c r="R44" i="33"/>
  <c r="R39" i="33"/>
  <c r="R40" i="33"/>
  <c r="R41" i="33"/>
  <c r="R45" i="33"/>
  <c r="R43" i="33"/>
  <c r="R38" i="33"/>
  <c r="R46" i="33"/>
  <c r="R37" i="33"/>
  <c r="N73" i="51"/>
  <c r="N108" i="51"/>
  <c r="T179" i="32"/>
  <c r="T55" i="47"/>
  <c r="F79" i="51"/>
  <c r="G88" i="51"/>
  <c r="G68" i="51"/>
  <c r="F93" i="51"/>
  <c r="Q162" i="46"/>
  <c r="Q164" i="46" s="1"/>
  <c r="R18" i="46"/>
  <c r="F86" i="51"/>
  <c r="Q24" i="34"/>
  <c r="N18" i="51"/>
  <c r="N102" i="51"/>
  <c r="N32" i="51"/>
  <c r="N131" i="51"/>
  <c r="G81" i="51"/>
  <c r="F72" i="51"/>
  <c r="G47" i="51"/>
  <c r="N80" i="51"/>
  <c r="N137" i="51"/>
  <c r="N109" i="51"/>
  <c r="N139" i="51"/>
  <c r="N111" i="51"/>
  <c r="N94" i="51"/>
  <c r="G74" i="51"/>
  <c r="R16" i="34"/>
  <c r="O13" i="51" s="1"/>
  <c r="O26" i="51"/>
  <c r="N87" i="51"/>
  <c r="N138" i="51"/>
  <c r="N110" i="51"/>
  <c r="N136" i="51"/>
  <c r="N107" i="51"/>
  <c r="N67" i="51"/>
  <c r="T26" i="47"/>
  <c r="R159" i="34" l="1"/>
  <c r="R122" i="33"/>
  <c r="R160" i="33" s="1"/>
  <c r="S27" i="33" s="1"/>
  <c r="R117" i="34"/>
  <c r="R119" i="33"/>
  <c r="R157" i="33" s="1"/>
  <c r="S24" i="33" s="1"/>
  <c r="R178" i="47"/>
  <c r="R46" i="46"/>
  <c r="R44" i="46"/>
  <c r="R42" i="46"/>
  <c r="R39" i="46"/>
  <c r="R37" i="46"/>
  <c r="R113" i="46" s="1"/>
  <c r="R43" i="46"/>
  <c r="R68" i="47"/>
  <c r="R70" i="47" s="1"/>
  <c r="R40" i="46"/>
  <c r="R41" i="46"/>
  <c r="R38" i="46"/>
  <c r="R45" i="46"/>
  <c r="R70" i="32"/>
  <c r="R72" i="32"/>
  <c r="S33" i="32"/>
  <c r="R257" i="32"/>
  <c r="R252" i="32"/>
  <c r="R29" i="46"/>
  <c r="R31" i="46" s="1"/>
  <c r="R32" i="42"/>
  <c r="F139" i="51"/>
  <c r="F111" i="51"/>
  <c r="F94" i="51"/>
  <c r="T171" i="47"/>
  <c r="R145" i="34"/>
  <c r="R121" i="33"/>
  <c r="R159" i="33" s="1"/>
  <c r="S26" i="33" s="1"/>
  <c r="F46" i="51"/>
  <c r="F104" i="51"/>
  <c r="F133" i="51"/>
  <c r="N19" i="51"/>
  <c r="T239" i="32"/>
  <c r="R89" i="34"/>
  <c r="R117" i="33"/>
  <c r="R155" i="33" s="1"/>
  <c r="S22" i="33" s="1"/>
  <c r="F18" i="51"/>
  <c r="Q24" i="42"/>
  <c r="R47" i="34"/>
  <c r="R114" i="33"/>
  <c r="R152" i="33" s="1"/>
  <c r="S19" i="33" s="1"/>
  <c r="F108" i="51"/>
  <c r="F73" i="51"/>
  <c r="F80" i="51"/>
  <c r="F109" i="51"/>
  <c r="F137" i="51"/>
  <c r="R75" i="34"/>
  <c r="R116" i="33"/>
  <c r="R154" i="33" s="1"/>
  <c r="S21" i="33" s="1"/>
  <c r="F135" i="51"/>
  <c r="F106" i="51"/>
  <c r="F60" i="51"/>
  <c r="F67" i="51"/>
  <c r="F107" i="51"/>
  <c r="F136" i="51"/>
  <c r="R103" i="34"/>
  <c r="R118" i="33"/>
  <c r="R156" i="33" s="1"/>
  <c r="S23" i="33" s="1"/>
  <c r="F110" i="51"/>
  <c r="F138" i="51"/>
  <c r="F87" i="51"/>
  <c r="R61" i="34"/>
  <c r="R115" i="33"/>
  <c r="R153" i="33" s="1"/>
  <c r="S20" i="33" s="1"/>
  <c r="F132" i="51"/>
  <c r="F39" i="51"/>
  <c r="F103" i="51"/>
  <c r="R48" i="33"/>
  <c r="R50" i="33" s="1"/>
  <c r="R33" i="34"/>
  <c r="R113" i="33"/>
  <c r="R131" i="34"/>
  <c r="R120" i="33"/>
  <c r="R158" i="33" s="1"/>
  <c r="S25" i="33" s="1"/>
  <c r="F134" i="51"/>
  <c r="F53" i="51"/>
  <c r="F105" i="51"/>
  <c r="R254" i="32" l="1"/>
  <c r="R256" i="32"/>
  <c r="R75" i="42"/>
  <c r="R116" i="46"/>
  <c r="R154" i="46" s="1"/>
  <c r="S21" i="46" s="1"/>
  <c r="R236" i="47"/>
  <c r="R184" i="47"/>
  <c r="R186" i="47" s="1"/>
  <c r="F19" i="51"/>
  <c r="S116" i="34"/>
  <c r="O62" i="51"/>
  <c r="R108" i="34"/>
  <c r="R110" i="34" s="1"/>
  <c r="R159" i="42"/>
  <c r="R122" i="46"/>
  <c r="R160" i="46" s="1"/>
  <c r="S27" i="46" s="1"/>
  <c r="S144" i="34"/>
  <c r="O69" i="51"/>
  <c r="R122" i="34"/>
  <c r="R124" i="34" s="1"/>
  <c r="S130" i="34"/>
  <c r="O82" i="51"/>
  <c r="R150" i="34"/>
  <c r="R152" i="34" s="1"/>
  <c r="R151" i="46"/>
  <c r="R33" i="42"/>
  <c r="R38" i="42" s="1"/>
  <c r="R48" i="46"/>
  <c r="R50" i="46" s="1"/>
  <c r="O75" i="51"/>
  <c r="R136" i="34"/>
  <c r="R138" i="34" s="1"/>
  <c r="S88" i="34"/>
  <c r="G26" i="51"/>
  <c r="R16" i="42"/>
  <c r="G13" i="51" s="1"/>
  <c r="R61" i="42"/>
  <c r="R115" i="46"/>
  <c r="R153" i="46" s="1"/>
  <c r="S20" i="46" s="1"/>
  <c r="O34" i="51"/>
  <c r="R52" i="34"/>
  <c r="R54" i="34" s="1"/>
  <c r="T229" i="47"/>
  <c r="R117" i="42"/>
  <c r="R119" i="46"/>
  <c r="R157" i="46" s="1"/>
  <c r="S24" i="46" s="1"/>
  <c r="R151" i="33"/>
  <c r="R124" i="33"/>
  <c r="R126" i="33" s="1"/>
  <c r="S60" i="34"/>
  <c r="S74" i="34"/>
  <c r="O55" i="51"/>
  <c r="R94" i="34"/>
  <c r="R96" i="34" s="1"/>
  <c r="R145" i="42"/>
  <c r="R121" i="46"/>
  <c r="R159" i="46" s="1"/>
  <c r="S26" i="46" s="1"/>
  <c r="R103" i="42"/>
  <c r="R118" i="46"/>
  <c r="R156" i="46" s="1"/>
  <c r="S23" i="46" s="1"/>
  <c r="S158" i="34"/>
  <c r="R89" i="42"/>
  <c r="R117" i="46"/>
  <c r="R155" i="46" s="1"/>
  <c r="S22" i="46" s="1"/>
  <c r="S62" i="32"/>
  <c r="S186" i="32" s="1"/>
  <c r="S39" i="32"/>
  <c r="S41" i="32" s="1"/>
  <c r="O27" i="51"/>
  <c r="R17" i="34"/>
  <c r="O14" i="51" s="1"/>
  <c r="R38" i="34"/>
  <c r="O41" i="51"/>
  <c r="R66" i="34"/>
  <c r="R68" i="34" s="1"/>
  <c r="S102" i="34"/>
  <c r="O48" i="51"/>
  <c r="R80" i="34"/>
  <c r="R82" i="34" s="1"/>
  <c r="S46" i="34"/>
  <c r="R47" i="42"/>
  <c r="R114" i="46"/>
  <c r="R152" i="46" s="1"/>
  <c r="S19" i="46" s="1"/>
  <c r="R131" i="42"/>
  <c r="R120" i="46"/>
  <c r="R158" i="46" s="1"/>
  <c r="S25" i="46" s="1"/>
  <c r="O89" i="51"/>
  <c r="R164" i="34"/>
  <c r="R166" i="34" s="1"/>
  <c r="G62" i="51" l="1"/>
  <c r="R108" i="42"/>
  <c r="R110" i="42" s="1"/>
  <c r="R162" i="46"/>
  <c r="S18" i="46"/>
  <c r="S130" i="42"/>
  <c r="S144" i="42"/>
  <c r="R124" i="46"/>
  <c r="R126" i="46" s="1"/>
  <c r="P81" i="51"/>
  <c r="G75" i="51"/>
  <c r="R136" i="42"/>
  <c r="R138" i="42" s="1"/>
  <c r="P61" i="51"/>
  <c r="S62" i="47"/>
  <c r="S45" i="33"/>
  <c r="S39" i="33"/>
  <c r="S40" i="33"/>
  <c r="S68" i="32"/>
  <c r="S46" i="33"/>
  <c r="S38" i="33"/>
  <c r="S43" i="33"/>
  <c r="S41" i="33"/>
  <c r="S37" i="33"/>
  <c r="S42" i="33"/>
  <c r="S44" i="33"/>
  <c r="G82" i="51"/>
  <c r="R150" i="42"/>
  <c r="R152" i="42" s="1"/>
  <c r="P40" i="51"/>
  <c r="S158" i="42"/>
  <c r="S33" i="47"/>
  <c r="R242" i="47"/>
  <c r="R244" i="47" s="1"/>
  <c r="G34" i="51"/>
  <c r="R52" i="42"/>
  <c r="R54" i="42" s="1"/>
  <c r="O45" i="51"/>
  <c r="G55" i="51"/>
  <c r="R94" i="42"/>
  <c r="R96" i="42" s="1"/>
  <c r="O59" i="51"/>
  <c r="R162" i="33"/>
  <c r="R164" i="33" s="1"/>
  <c r="S18" i="33"/>
  <c r="O38" i="51"/>
  <c r="S74" i="42"/>
  <c r="O52" i="51"/>
  <c r="S46" i="42"/>
  <c r="P54" i="51"/>
  <c r="G89" i="51"/>
  <c r="R164" i="42"/>
  <c r="R166" i="42" s="1"/>
  <c r="R22" i="34"/>
  <c r="R40" i="34"/>
  <c r="S116" i="42"/>
  <c r="S60" i="42"/>
  <c r="O79" i="51"/>
  <c r="P74" i="51"/>
  <c r="O66" i="51"/>
  <c r="G48" i="51"/>
  <c r="R80" i="42"/>
  <c r="R82" i="42" s="1"/>
  <c r="O93" i="51"/>
  <c r="S246" i="32"/>
  <c r="S192" i="32"/>
  <c r="S194" i="32" s="1"/>
  <c r="P33" i="51"/>
  <c r="P88" i="51"/>
  <c r="P47" i="51"/>
  <c r="G69" i="51"/>
  <c r="R122" i="42"/>
  <c r="R124" i="42" s="1"/>
  <c r="G41" i="51"/>
  <c r="R66" i="42"/>
  <c r="R68" i="42" s="1"/>
  <c r="S88" i="42"/>
  <c r="O86" i="51"/>
  <c r="O31" i="51"/>
  <c r="S102" i="42"/>
  <c r="R40" i="42"/>
  <c r="R17" i="42"/>
  <c r="G14" i="51" s="1"/>
  <c r="G27" i="51"/>
  <c r="O72" i="51"/>
  <c r="P68" i="51"/>
  <c r="R22" i="42" l="1"/>
  <c r="R24" i="42" s="1"/>
  <c r="S47" i="34"/>
  <c r="S114" i="33"/>
  <c r="S152" i="33" s="1"/>
  <c r="T19" i="33" s="1"/>
  <c r="S159" i="34"/>
  <c r="S122" i="33"/>
  <c r="S160" i="33" s="1"/>
  <c r="T27" i="33" s="1"/>
  <c r="G38" i="51"/>
  <c r="S75" i="34"/>
  <c r="S116" i="33"/>
  <c r="S154" i="33" s="1"/>
  <c r="T21" i="33" s="1"/>
  <c r="G72" i="51"/>
  <c r="T33" i="32"/>
  <c r="S257" i="32"/>
  <c r="S252" i="32"/>
  <c r="O18" i="51"/>
  <c r="R24" i="34"/>
  <c r="S178" i="47"/>
  <c r="S39" i="47"/>
  <c r="S41" i="47" s="1"/>
  <c r="S103" i="34"/>
  <c r="S118" i="33"/>
  <c r="S156" i="33" s="1"/>
  <c r="T23" i="33" s="1"/>
  <c r="S61" i="34"/>
  <c r="S115" i="33"/>
  <c r="S153" i="33" s="1"/>
  <c r="T20" i="33" s="1"/>
  <c r="S29" i="46"/>
  <c r="S32" i="42"/>
  <c r="H54" i="51"/>
  <c r="O136" i="51"/>
  <c r="O107" i="51"/>
  <c r="O67" i="51"/>
  <c r="S29" i="33"/>
  <c r="S31" i="33" s="1"/>
  <c r="S32" i="34"/>
  <c r="S113" i="33"/>
  <c r="S70" i="32"/>
  <c r="S72" i="32"/>
  <c r="O134" i="51"/>
  <c r="O105" i="51"/>
  <c r="O53" i="51"/>
  <c r="O135" i="51"/>
  <c r="O106" i="51"/>
  <c r="O60" i="51"/>
  <c r="O138" i="51"/>
  <c r="O87" i="51"/>
  <c r="O110" i="51"/>
  <c r="O139" i="51"/>
  <c r="O111" i="51"/>
  <c r="O94" i="51"/>
  <c r="O109" i="51"/>
  <c r="O80" i="51"/>
  <c r="O137" i="51"/>
  <c r="S48" i="33"/>
  <c r="S50" i="33" s="1"/>
  <c r="S33" i="34"/>
  <c r="S145" i="34"/>
  <c r="S121" i="33"/>
  <c r="S159" i="33" s="1"/>
  <c r="T26" i="33" s="1"/>
  <c r="R164" i="46"/>
  <c r="G52" i="51"/>
  <c r="H33" i="51"/>
  <c r="G79" i="51"/>
  <c r="O102" i="51"/>
  <c r="O32" i="51"/>
  <c r="O131" i="51"/>
  <c r="H74" i="51"/>
  <c r="G93" i="51"/>
  <c r="H47" i="51"/>
  <c r="G59" i="51"/>
  <c r="H88" i="51"/>
  <c r="S89" i="34"/>
  <c r="S117" i="33"/>
  <c r="S155" i="33" s="1"/>
  <c r="T22" i="33" s="1"/>
  <c r="S37" i="46"/>
  <c r="S42" i="46"/>
  <c r="S39" i="46"/>
  <c r="S68" i="47"/>
  <c r="S70" i="47" s="1"/>
  <c r="S38" i="46"/>
  <c r="S44" i="46"/>
  <c r="S43" i="46"/>
  <c r="S46" i="46"/>
  <c r="S45" i="46"/>
  <c r="S41" i="46"/>
  <c r="S40" i="46"/>
  <c r="H40" i="51"/>
  <c r="H81" i="51"/>
  <c r="H61" i="51"/>
  <c r="G45" i="51"/>
  <c r="H68" i="51"/>
  <c r="G86" i="51"/>
  <c r="O108" i="51"/>
  <c r="O73" i="51"/>
  <c r="S131" i="34"/>
  <c r="S120" i="33"/>
  <c r="S158" i="33" s="1"/>
  <c r="T25" i="33" s="1"/>
  <c r="O103" i="51"/>
  <c r="O132" i="51"/>
  <c r="O39" i="51"/>
  <c r="O104" i="51"/>
  <c r="O46" i="51"/>
  <c r="O133" i="51"/>
  <c r="S117" i="34"/>
  <c r="S119" i="33"/>
  <c r="S157" i="33" s="1"/>
  <c r="T24" i="33" s="1"/>
  <c r="G31" i="51"/>
  <c r="G66" i="51"/>
  <c r="G18" i="51" l="1"/>
  <c r="S31" i="46"/>
  <c r="P55" i="51"/>
  <c r="S94" i="34"/>
  <c r="S96" i="34" s="1"/>
  <c r="S151" i="33"/>
  <c r="S124" i="33"/>
  <c r="S126" i="33" s="1"/>
  <c r="S131" i="42"/>
  <c r="S120" i="46"/>
  <c r="S158" i="46" s="1"/>
  <c r="T25" i="46" s="1"/>
  <c r="P26" i="51"/>
  <c r="S16" i="34"/>
  <c r="P13" i="51" s="1"/>
  <c r="S38" i="34"/>
  <c r="P62" i="51"/>
  <c r="S108" i="34"/>
  <c r="S110" i="34" s="1"/>
  <c r="T116" i="34"/>
  <c r="T130" i="34"/>
  <c r="G46" i="51"/>
  <c r="G133" i="51"/>
  <c r="G104" i="51"/>
  <c r="S47" i="42"/>
  <c r="S114" i="46"/>
  <c r="S152" i="46" s="1"/>
  <c r="T19" i="46" s="1"/>
  <c r="S16" i="42"/>
  <c r="H13" i="51" s="1"/>
  <c r="H26" i="51"/>
  <c r="T62" i="32"/>
  <c r="T186" i="32" s="1"/>
  <c r="T39" i="32"/>
  <c r="T41" i="32" s="1"/>
  <c r="A41" i="32" s="1"/>
  <c r="S254" i="32"/>
  <c r="S256" i="32"/>
  <c r="G135" i="51"/>
  <c r="G60" i="51"/>
  <c r="G106" i="51"/>
  <c r="G108" i="51"/>
  <c r="G73" i="51"/>
  <c r="S75" i="42"/>
  <c r="S116" i="46"/>
  <c r="S154" i="46" s="1"/>
  <c r="T21" i="46" s="1"/>
  <c r="S61" i="42"/>
  <c r="S115" i="46"/>
  <c r="S153" i="46" s="1"/>
  <c r="T20" i="46" s="1"/>
  <c r="T158" i="34"/>
  <c r="G134" i="51"/>
  <c r="G105" i="51"/>
  <c r="G53" i="51"/>
  <c r="T102" i="34"/>
  <c r="P69" i="51"/>
  <c r="S122" i="34"/>
  <c r="S124" i="34" s="1"/>
  <c r="P75" i="51"/>
  <c r="S136" i="34"/>
  <c r="S138" i="34" s="1"/>
  <c r="S236" i="47"/>
  <c r="S184" i="47"/>
  <c r="S186" i="47" s="1"/>
  <c r="S89" i="42"/>
  <c r="S117" i="46"/>
  <c r="S155" i="46" s="1"/>
  <c r="T22" i="46" s="1"/>
  <c r="S103" i="42"/>
  <c r="S118" i="46"/>
  <c r="S156" i="46" s="1"/>
  <c r="T23" i="46" s="1"/>
  <c r="T144" i="34"/>
  <c r="O19" i="51"/>
  <c r="P89" i="51"/>
  <c r="S164" i="34"/>
  <c r="S166" i="34" s="1"/>
  <c r="G87" i="51"/>
  <c r="G138" i="51"/>
  <c r="G110" i="51"/>
  <c r="S145" i="42"/>
  <c r="S121" i="46"/>
  <c r="S159" i="46" s="1"/>
  <c r="T26" i="46" s="1"/>
  <c r="S113" i="46"/>
  <c r="S33" i="42"/>
  <c r="S38" i="42" s="1"/>
  <c r="S48" i="46"/>
  <c r="S50" i="46" s="1"/>
  <c r="P82" i="51"/>
  <c r="S150" i="34"/>
  <c r="S152" i="34" s="1"/>
  <c r="T60" i="34"/>
  <c r="T74" i="34"/>
  <c r="T46" i="34"/>
  <c r="S117" i="42"/>
  <c r="S119" i="46"/>
  <c r="S157" i="46" s="1"/>
  <c r="T24" i="46" s="1"/>
  <c r="G137" i="51"/>
  <c r="G80" i="51"/>
  <c r="G109" i="51"/>
  <c r="G103" i="51"/>
  <c r="G132" i="51"/>
  <c r="G39" i="51"/>
  <c r="G131" i="51"/>
  <c r="G102" i="51"/>
  <c r="G32" i="51"/>
  <c r="G107" i="51"/>
  <c r="G67" i="51"/>
  <c r="G136" i="51"/>
  <c r="S159" i="42"/>
  <c r="S122" i="46"/>
  <c r="S160" i="46" s="1"/>
  <c r="T27" i="46" s="1"/>
  <c r="T88" i="34"/>
  <c r="G94" i="51"/>
  <c r="G111" i="51"/>
  <c r="G139" i="51"/>
  <c r="P27" i="51"/>
  <c r="S17" i="34"/>
  <c r="P14" i="51" s="1"/>
  <c r="P41" i="51"/>
  <c r="S66" i="34"/>
  <c r="S68" i="34" s="1"/>
  <c r="P48" i="51"/>
  <c r="S80" i="34"/>
  <c r="S82" i="34" s="1"/>
  <c r="P34" i="51"/>
  <c r="S52" i="34"/>
  <c r="S54" i="34" s="1"/>
  <c r="G19" i="51" l="1"/>
  <c r="T246" i="32"/>
  <c r="T192" i="32"/>
  <c r="T194" i="32" s="1"/>
  <c r="A194" i="32" s="1"/>
  <c r="P72" i="51"/>
  <c r="P31" i="51"/>
  <c r="H69" i="51"/>
  <c r="S122" i="42"/>
  <c r="S124" i="42" s="1"/>
  <c r="P86" i="51"/>
  <c r="Q81" i="51"/>
  <c r="T33" i="47"/>
  <c r="T39" i="47" s="1"/>
  <c r="T41" i="47" s="1"/>
  <c r="A41" i="47" s="1"/>
  <c r="S242" i="47"/>
  <c r="S244" i="47" s="1"/>
  <c r="Q61" i="51"/>
  <c r="T60" i="42"/>
  <c r="H34" i="51"/>
  <c r="S52" i="42"/>
  <c r="S54" i="42" s="1"/>
  <c r="T130" i="42"/>
  <c r="P38" i="51"/>
  <c r="T46" i="42"/>
  <c r="P52" i="51"/>
  <c r="H75" i="51"/>
  <c r="S136" i="42"/>
  <c r="S138" i="42" s="1"/>
  <c r="Q54" i="51"/>
  <c r="Q33" i="51"/>
  <c r="H62" i="51"/>
  <c r="S108" i="42"/>
  <c r="S110" i="42" s="1"/>
  <c r="T74" i="42"/>
  <c r="P66" i="51"/>
  <c r="Q40" i="51"/>
  <c r="T116" i="42"/>
  <c r="H82" i="51"/>
  <c r="S150" i="42"/>
  <c r="S152" i="42" s="1"/>
  <c r="Q68" i="51"/>
  <c r="T102" i="42"/>
  <c r="H41" i="51"/>
  <c r="S66" i="42"/>
  <c r="S68" i="42" s="1"/>
  <c r="T62" i="47"/>
  <c r="T45" i="33"/>
  <c r="T40" i="33"/>
  <c r="T38" i="33"/>
  <c r="T42" i="33"/>
  <c r="T37" i="33"/>
  <c r="T44" i="33"/>
  <c r="T39" i="33"/>
  <c r="T68" i="32"/>
  <c r="T46" i="33"/>
  <c r="T43" i="33"/>
  <c r="T41" i="33"/>
  <c r="P45" i="51"/>
  <c r="T158" i="42"/>
  <c r="T88" i="42"/>
  <c r="H48" i="51"/>
  <c r="S80" i="42"/>
  <c r="S82" i="42" s="1"/>
  <c r="T18" i="33"/>
  <c r="S162" i="33"/>
  <c r="S164" i="33" s="1"/>
  <c r="T144" i="42"/>
  <c r="H55" i="51"/>
  <c r="S94" i="42"/>
  <c r="S96" i="42" s="1"/>
  <c r="P79" i="51"/>
  <c r="H89" i="51"/>
  <c r="S164" i="42"/>
  <c r="S166" i="42" s="1"/>
  <c r="Q47" i="51"/>
  <c r="S17" i="42"/>
  <c r="H14" i="51" s="1"/>
  <c r="H27" i="51"/>
  <c r="P93" i="51"/>
  <c r="S151" i="46"/>
  <c r="S40" i="42" s="1"/>
  <c r="S124" i="46"/>
  <c r="S126" i="46" s="1"/>
  <c r="Q88" i="51"/>
  <c r="Q74" i="51"/>
  <c r="S40" i="34"/>
  <c r="S22" i="34"/>
  <c r="P59" i="51"/>
  <c r="S24" i="34" l="1"/>
  <c r="P18" i="51"/>
  <c r="T61" i="34"/>
  <c r="T115" i="33"/>
  <c r="T153" i="33" s="1"/>
  <c r="P134" i="51"/>
  <c r="P105" i="51"/>
  <c r="P53" i="51"/>
  <c r="T257" i="32"/>
  <c r="T252" i="32"/>
  <c r="P139" i="51"/>
  <c r="P94" i="51"/>
  <c r="P111" i="51"/>
  <c r="T29" i="33"/>
  <c r="T31" i="33" s="1"/>
  <c r="A31" i="33" s="1"/>
  <c r="T32" i="34"/>
  <c r="T113" i="33"/>
  <c r="I88" i="51"/>
  <c r="T131" i="34"/>
  <c r="T120" i="33"/>
  <c r="T158" i="33" s="1"/>
  <c r="H45" i="51"/>
  <c r="I68" i="51"/>
  <c r="H66" i="51"/>
  <c r="P32" i="51"/>
  <c r="P102" i="51"/>
  <c r="P131" i="51"/>
  <c r="P137" i="51"/>
  <c r="P80" i="51"/>
  <c r="P109" i="51"/>
  <c r="H31" i="51"/>
  <c r="T103" i="34"/>
  <c r="T118" i="33"/>
  <c r="T156" i="33" s="1"/>
  <c r="I61" i="51"/>
  <c r="I33" i="51"/>
  <c r="H38" i="51"/>
  <c r="P108" i="51"/>
  <c r="P73" i="51"/>
  <c r="T33" i="34"/>
  <c r="T48" i="33"/>
  <c r="T50" i="33" s="1"/>
  <c r="A50" i="33" s="1"/>
  <c r="T89" i="34"/>
  <c r="T117" i="33"/>
  <c r="T155" i="33" s="1"/>
  <c r="T47" i="34"/>
  <c r="T114" i="33"/>
  <c r="T152" i="33" s="1"/>
  <c r="P67" i="51"/>
  <c r="P136" i="51"/>
  <c r="P107" i="51"/>
  <c r="P39" i="51"/>
  <c r="P132" i="51"/>
  <c r="P103" i="51"/>
  <c r="P138" i="51"/>
  <c r="P110" i="51"/>
  <c r="P87" i="51"/>
  <c r="H59" i="51"/>
  <c r="H52" i="51"/>
  <c r="T117" i="34"/>
  <c r="T119" i="33"/>
  <c r="T157" i="33" s="1"/>
  <c r="T75" i="34"/>
  <c r="T116" i="33"/>
  <c r="T154" i="33" s="1"/>
  <c r="I40" i="51"/>
  <c r="P46" i="51"/>
  <c r="P133" i="51"/>
  <c r="P104" i="51"/>
  <c r="P106" i="51"/>
  <c r="P60" i="51"/>
  <c r="P135" i="51"/>
  <c r="T159" i="34"/>
  <c r="T122" i="33"/>
  <c r="T160" i="33" s="1"/>
  <c r="T145" i="34"/>
  <c r="T121" i="33"/>
  <c r="T159" i="33" s="1"/>
  <c r="S22" i="42"/>
  <c r="H93" i="51"/>
  <c r="S162" i="46"/>
  <c r="S164" i="46" s="1"/>
  <c r="T18" i="46"/>
  <c r="I81" i="51"/>
  <c r="I54" i="51"/>
  <c r="T70" i="32"/>
  <c r="A70" i="32" s="1"/>
  <c r="T72" i="32"/>
  <c r="A72" i="32" s="1"/>
  <c r="T178" i="47"/>
  <c r="T45" i="46"/>
  <c r="T37" i="46"/>
  <c r="T46" i="46"/>
  <c r="T68" i="47"/>
  <c r="T70" i="47" s="1"/>
  <c r="A70" i="47" s="1"/>
  <c r="T41" i="46"/>
  <c r="T43" i="46"/>
  <c r="T42" i="46"/>
  <c r="T38" i="46"/>
  <c r="T44" i="46"/>
  <c r="T39" i="46"/>
  <c r="T40" i="46"/>
  <c r="H86" i="51"/>
  <c r="I47" i="51"/>
  <c r="H79" i="51"/>
  <c r="I74" i="51"/>
  <c r="H72" i="51"/>
  <c r="T61" i="42" l="1"/>
  <c r="T115" i="46"/>
  <c r="T153" i="46" s="1"/>
  <c r="T145" i="42"/>
  <c r="T121" i="46"/>
  <c r="T159" i="46" s="1"/>
  <c r="Q62" i="51"/>
  <c r="T108" i="34"/>
  <c r="T110" i="34" s="1"/>
  <c r="A110" i="34" s="1"/>
  <c r="H108" i="51"/>
  <c r="H73" i="51"/>
  <c r="T103" i="42"/>
  <c r="T118" i="46"/>
  <c r="T156" i="46" s="1"/>
  <c r="H111" i="51"/>
  <c r="H94" i="51"/>
  <c r="H139" i="51"/>
  <c r="T75" i="42"/>
  <c r="T116" i="46"/>
  <c r="T154" i="46" s="1"/>
  <c r="Q82" i="51"/>
  <c r="T150" i="34"/>
  <c r="T152" i="34" s="1"/>
  <c r="A152" i="34" s="1"/>
  <c r="H135" i="51"/>
  <c r="H60" i="51"/>
  <c r="H106" i="51"/>
  <c r="Q55" i="51"/>
  <c r="T94" i="34"/>
  <c r="T96" i="34" s="1"/>
  <c r="A96" i="34" s="1"/>
  <c r="T131" i="42"/>
  <c r="T120" i="46"/>
  <c r="T158" i="46" s="1"/>
  <c r="T29" i="46"/>
  <c r="T31" i="46" s="1"/>
  <c r="A31" i="46" s="1"/>
  <c r="T32" i="42"/>
  <c r="T113" i="46"/>
  <c r="Q89" i="51"/>
  <c r="T164" i="34"/>
  <c r="T166" i="34" s="1"/>
  <c r="A166" i="34" s="1"/>
  <c r="T47" i="42"/>
  <c r="T114" i="46"/>
  <c r="T152" i="46" s="1"/>
  <c r="T117" i="42"/>
  <c r="T119" i="46"/>
  <c r="T157" i="46" s="1"/>
  <c r="Q69" i="51"/>
  <c r="T122" i="34"/>
  <c r="T124" i="34" s="1"/>
  <c r="A124" i="34" s="1"/>
  <c r="T89" i="42"/>
  <c r="T117" i="46"/>
  <c r="T155" i="46" s="1"/>
  <c r="H53" i="51"/>
  <c r="H105" i="51"/>
  <c r="H134" i="51"/>
  <c r="Q34" i="51"/>
  <c r="T52" i="34"/>
  <c r="T54" i="34" s="1"/>
  <c r="A54" i="34" s="1"/>
  <c r="Q75" i="51"/>
  <c r="T136" i="34"/>
  <c r="T138" i="34" s="1"/>
  <c r="A138" i="34" s="1"/>
  <c r="P19" i="51"/>
  <c r="T159" i="42"/>
  <c r="T122" i="46"/>
  <c r="T160" i="46" s="1"/>
  <c r="T48" i="46"/>
  <c r="T50" i="46" s="1"/>
  <c r="A50" i="46" s="1"/>
  <c r="T33" i="42"/>
  <c r="T124" i="33"/>
  <c r="T126" i="33" s="1"/>
  <c r="A126" i="33" s="1"/>
  <c r="T151" i="33"/>
  <c r="T162" i="33" s="1"/>
  <c r="T164" i="33" s="1"/>
  <c r="A164" i="33" s="1"/>
  <c r="H109" i="51"/>
  <c r="H80" i="51"/>
  <c r="H137" i="51"/>
  <c r="T38" i="34"/>
  <c r="Q27" i="51"/>
  <c r="T17" i="34"/>
  <c r="Q14" i="51" s="1"/>
  <c r="Q26" i="51"/>
  <c r="T16" i="34"/>
  <c r="Q13" i="51" s="1"/>
  <c r="T236" i="47"/>
  <c r="T242" i="47" s="1"/>
  <c r="T244" i="47" s="1"/>
  <c r="A244" i="47" s="1"/>
  <c r="T184" i="47"/>
  <c r="T186" i="47" s="1"/>
  <c r="A186" i="47" s="1"/>
  <c r="Q48" i="51"/>
  <c r="T80" i="34"/>
  <c r="T82" i="34" s="1"/>
  <c r="A82" i="34" s="1"/>
  <c r="H131" i="51"/>
  <c r="H32" i="51"/>
  <c r="H102" i="51"/>
  <c r="H104" i="51"/>
  <c r="H133" i="51"/>
  <c r="H46" i="51"/>
  <c r="Q41" i="51"/>
  <c r="T66" i="34"/>
  <c r="T68" i="34" s="1"/>
  <c r="A68" i="34" s="1"/>
  <c r="H87" i="51"/>
  <c r="H138" i="51"/>
  <c r="H110" i="51"/>
  <c r="S24" i="42"/>
  <c r="H18" i="51"/>
  <c r="H132" i="51"/>
  <c r="H103" i="51"/>
  <c r="H39" i="51"/>
  <c r="H67" i="51"/>
  <c r="H136" i="51"/>
  <c r="H107" i="51"/>
  <c r="T254" i="32"/>
  <c r="A254" i="32" s="1"/>
  <c r="T256" i="32"/>
  <c r="A256" i="32" s="1"/>
  <c r="A1" i="32" l="1"/>
  <c r="H17" i="25" s="1"/>
  <c r="A1" i="33"/>
  <c r="H26" i="25" s="1"/>
  <c r="I69" i="51"/>
  <c r="T122" i="42"/>
  <c r="T124" i="42" s="1"/>
  <c r="A124" i="42" s="1"/>
  <c r="T16" i="42"/>
  <c r="I13" i="51" s="1"/>
  <c r="I26" i="51"/>
  <c r="T38" i="42"/>
  <c r="Q52" i="51"/>
  <c r="I89" i="51"/>
  <c r="T164" i="42"/>
  <c r="T166" i="42" s="1"/>
  <c r="A166" i="42" s="1"/>
  <c r="I62" i="51"/>
  <c r="T108" i="42"/>
  <c r="T110" i="42" s="1"/>
  <c r="A110" i="42" s="1"/>
  <c r="A1" i="47"/>
  <c r="H24" i="25" s="1"/>
  <c r="I75" i="51"/>
  <c r="T136" i="42"/>
  <c r="T138" i="42" s="1"/>
  <c r="A138" i="42" s="1"/>
  <c r="I82" i="51"/>
  <c r="T150" i="42"/>
  <c r="T152" i="42" s="1"/>
  <c r="A152" i="42" s="1"/>
  <c r="I55" i="51"/>
  <c r="T94" i="42"/>
  <c r="T96" i="42" s="1"/>
  <c r="A96" i="42" s="1"/>
  <c r="I48" i="51"/>
  <c r="T80" i="42"/>
  <c r="T82" i="42" s="1"/>
  <c r="A82" i="42" s="1"/>
  <c r="T40" i="34"/>
  <c r="A40" i="34" s="1"/>
  <c r="T22" i="34"/>
  <c r="T17" i="42"/>
  <c r="I14" i="51" s="1"/>
  <c r="I27" i="51"/>
  <c r="I34" i="51"/>
  <c r="T52" i="42"/>
  <c r="T54" i="42" s="1"/>
  <c r="A54" i="42" s="1"/>
  <c r="Q86" i="51"/>
  <c r="Q59" i="51"/>
  <c r="I41" i="51"/>
  <c r="T66" i="42"/>
  <c r="T68" i="42" s="1"/>
  <c r="A68" i="42" s="1"/>
  <c r="H19" i="51"/>
  <c r="Q72" i="51"/>
  <c r="Q93" i="51"/>
  <c r="Q45" i="51"/>
  <c r="Q31" i="51"/>
  <c r="Q79" i="51"/>
  <c r="Q38" i="51"/>
  <c r="T151" i="46"/>
  <c r="T162" i="46" s="1"/>
  <c r="T164" i="46" s="1"/>
  <c r="A164" i="46" s="1"/>
  <c r="T124" i="46"/>
  <c r="T126" i="46" s="1"/>
  <c r="A126" i="46" s="1"/>
  <c r="Q66" i="51"/>
  <c r="A1" i="46" l="1"/>
  <c r="H25" i="25" s="1"/>
  <c r="Q67" i="51"/>
  <c r="Q107" i="51"/>
  <c r="Q136" i="51"/>
  <c r="Q73" i="51"/>
  <c r="Q108" i="51"/>
  <c r="Q87" i="51"/>
  <c r="Q110" i="51"/>
  <c r="Q138" i="51"/>
  <c r="I86" i="51"/>
  <c r="Q53" i="51"/>
  <c r="Q105" i="51"/>
  <c r="Q134" i="51"/>
  <c r="Q32" i="51"/>
  <c r="Q131" i="51"/>
  <c r="Q102" i="51"/>
  <c r="I38" i="51"/>
  <c r="I52" i="51"/>
  <c r="Q39" i="51"/>
  <c r="Q103" i="51"/>
  <c r="Q132" i="51"/>
  <c r="Q80" i="51"/>
  <c r="Q137" i="51"/>
  <c r="Q109" i="51"/>
  <c r="I93" i="51"/>
  <c r="I79" i="51"/>
  <c r="I45" i="51"/>
  <c r="I59" i="51"/>
  <c r="I66" i="51"/>
  <c r="T22" i="42"/>
  <c r="T40" i="42"/>
  <c r="A40" i="42" s="1"/>
  <c r="Q104" i="51"/>
  <c r="Q46" i="51"/>
  <c r="Q133" i="51"/>
  <c r="I31" i="51"/>
  <c r="Q94" i="51"/>
  <c r="Q111" i="51"/>
  <c r="Q139" i="51"/>
  <c r="Q60" i="51"/>
  <c r="Q135" i="51"/>
  <c r="Q106" i="51"/>
  <c r="Q18" i="51"/>
  <c r="T24" i="34"/>
  <c r="A24" i="34" s="1"/>
  <c r="A1" i="34" s="1"/>
  <c r="H28" i="25" s="1"/>
  <c r="I72" i="51"/>
  <c r="T24" i="42" l="1"/>
  <c r="A24" i="42" s="1"/>
  <c r="A1" i="42" s="1"/>
  <c r="H30" i="25" s="1"/>
  <c r="I18" i="51"/>
  <c r="I80" i="51"/>
  <c r="A80" i="51" s="1"/>
  <c r="I137" i="51"/>
  <c r="I109" i="51"/>
  <c r="I108" i="51"/>
  <c r="I73" i="51"/>
  <c r="A73" i="51" s="1"/>
  <c r="I102" i="51"/>
  <c r="I131" i="51"/>
  <c r="I32" i="51"/>
  <c r="A32" i="51" s="1"/>
  <c r="I107" i="51"/>
  <c r="I136" i="51"/>
  <c r="I67" i="51"/>
  <c r="A67" i="51" s="1"/>
  <c r="I94" i="51"/>
  <c r="I111" i="51"/>
  <c r="I139" i="51"/>
  <c r="I53" i="51"/>
  <c r="A53" i="51" s="1"/>
  <c r="I105" i="51"/>
  <c r="I134" i="51"/>
  <c r="Q19" i="51"/>
  <c r="I135" i="51"/>
  <c r="I60" i="51"/>
  <c r="A60" i="51" s="1"/>
  <c r="I106" i="51"/>
  <c r="I103" i="51"/>
  <c r="I132" i="51"/>
  <c r="I39" i="51"/>
  <c r="A39" i="51" s="1"/>
  <c r="I133" i="51"/>
  <c r="I46" i="51"/>
  <c r="A46" i="51" s="1"/>
  <c r="I104" i="51"/>
  <c r="I87" i="51"/>
  <c r="A87" i="51" s="1"/>
  <c r="I110" i="51"/>
  <c r="I138" i="51"/>
  <c r="I19" i="51" l="1"/>
  <c r="A19" i="51" s="1"/>
  <c r="A6" i="51" s="1"/>
  <c r="H31" i="25" s="1"/>
  <c r="H33" i="25" s="1"/>
  <c r="H8" i="25" s="1"/>
  <c r="H10" i="25" s="1"/>
  <c r="B2" i="31" l="1"/>
  <c r="B2" i="47"/>
  <c r="B2" i="43"/>
  <c r="B2" i="50"/>
  <c r="B2" i="37"/>
  <c r="B2" i="42"/>
  <c r="B2" i="44"/>
  <c r="B2" i="32"/>
  <c r="B2" i="49"/>
  <c r="B2" i="38"/>
  <c r="B2" i="25"/>
  <c r="B2" i="45"/>
  <c r="B2" i="4"/>
  <c r="B2" i="39"/>
  <c r="B2" i="28"/>
  <c r="B2" i="33"/>
  <c r="B2" i="46"/>
  <c r="B2"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 Grace-Webb</author>
  </authors>
  <commentList>
    <comment ref="F12" authorId="0" shapeId="0" xr:uid="{D1858BEE-5579-48CF-8BD8-68FB8161F669}">
      <text>
        <r>
          <rPr>
            <b/>
            <sz val="9"/>
            <color indexed="81"/>
            <rFont val="Tahoma"/>
            <family val="2"/>
          </rPr>
          <t>Power and Water Corporation:</t>
        </r>
        <r>
          <rPr>
            <sz val="9"/>
            <color indexed="81"/>
            <rFont val="Tahoma"/>
            <family val="2"/>
          </rPr>
          <t xml:space="preserve">
Values are hardcoded to avoid circularity.  The are sourced from row 52 below.</t>
        </r>
      </text>
    </comment>
    <comment ref="I13" authorId="0" shapeId="0" xr:uid="{5AE48320-BE56-4DF6-8DC9-9BB97A98F538}">
      <text>
        <r>
          <rPr>
            <b/>
            <sz val="9"/>
            <color indexed="81"/>
            <rFont val="Tahoma"/>
            <family val="2"/>
          </rPr>
          <t>Power and Water Corporation:</t>
        </r>
        <r>
          <rPr>
            <sz val="9"/>
            <color indexed="81"/>
            <rFont val="Tahoma"/>
            <family val="2"/>
          </rPr>
          <t xml:space="preserve">
Values are hardcoded to avoid circularity.  The are sourced from row 53 below.</t>
        </r>
      </text>
    </comment>
    <comment ref="F14" authorId="0" shapeId="0" xr:uid="{A93E8242-D723-4BB8-8C24-AB5319EEAA51}">
      <text>
        <r>
          <rPr>
            <b/>
            <sz val="9"/>
            <color indexed="81"/>
            <rFont val="Tahoma"/>
            <family val="2"/>
          </rPr>
          <t>Power and Water Corporation:</t>
        </r>
        <r>
          <rPr>
            <sz val="9"/>
            <color indexed="81"/>
            <rFont val="Tahoma"/>
            <family val="2"/>
          </rPr>
          <t xml:space="preserve">
Values are hardcoded to avoid circularity.  The are sourced from row 52 below.</t>
        </r>
      </text>
    </comment>
  </commentList>
</comments>
</file>

<file path=xl/sharedStrings.xml><?xml version="1.0" encoding="utf-8"?>
<sst xmlns="http://schemas.openxmlformats.org/spreadsheetml/2006/main" count="1424" uniqueCount="461">
  <si>
    <t>General Model Constant</t>
  </si>
  <si>
    <t>Name</t>
  </si>
  <si>
    <t>Mths_In_Mth</t>
  </si>
  <si>
    <t>Mths_In_Qtr</t>
  </si>
  <si>
    <t>Mths_In_Yr</t>
  </si>
  <si>
    <t>Heading 1</t>
  </si>
  <si>
    <t>Ok</t>
  </si>
  <si>
    <t>Error</t>
  </si>
  <si>
    <t>Half</t>
  </si>
  <si>
    <t>Yes</t>
  </si>
  <si>
    <t>No</t>
  </si>
  <si>
    <t>Yes_No</t>
  </si>
  <si>
    <t>Days_In_Wk</t>
  </si>
  <si>
    <t>Calculations</t>
  </si>
  <si>
    <t>Assumptions</t>
  </si>
  <si>
    <t>Checks</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</si>
  <si>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</si>
  <si>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</si>
  <si>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</si>
  <si>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</si>
  <si>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</si>
  <si>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</si>
  <si>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</si>
  <si>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</si>
  <si>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</si>
  <si>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Purpose of the Model:</t>
  </si>
  <si>
    <t>End</t>
  </si>
  <si>
    <t>Qtrs_In_Yr</t>
  </si>
  <si>
    <t>N/A</t>
  </si>
  <si>
    <t>NA</t>
  </si>
  <si>
    <t>Model Legend:</t>
  </si>
  <si>
    <t>Cells where inputs or outputs are not applicable</t>
  </si>
  <si>
    <t>Cells containing a drop down list for users to select inputs</t>
  </si>
  <si>
    <t>Cells containing a hyperlink to another part of the workbook</t>
  </si>
  <si>
    <t>Cells representing there is an error in the nominated area of the workbook</t>
  </si>
  <si>
    <t>Cells representing there are no errors in the nominated area of the workbook</t>
  </si>
  <si>
    <t>Cells containing a link from external workbooks</t>
  </si>
  <si>
    <t>Drop Down</t>
  </si>
  <si>
    <t>Hyperlink</t>
  </si>
  <si>
    <t>Days_In_Yr</t>
  </si>
  <si>
    <t>Client Lookups</t>
  </si>
  <si>
    <t>Table of Contents</t>
  </si>
  <si>
    <t>Inputs</t>
  </si>
  <si>
    <t>Outputs</t>
  </si>
  <si>
    <t>Appendix</t>
  </si>
  <si>
    <t>Go to Cover Sheet</t>
  </si>
  <si>
    <t>Base Year</t>
  </si>
  <si>
    <t>Year</t>
  </si>
  <si>
    <t>Actual</t>
  </si>
  <si>
    <t>Forecast</t>
  </si>
  <si>
    <t>Source</t>
  </si>
  <si>
    <t>Unit</t>
  </si>
  <si>
    <t>Basis</t>
  </si>
  <si>
    <t>Timing</t>
  </si>
  <si>
    <t>Real $2018</t>
  </si>
  <si>
    <t>Nominal</t>
  </si>
  <si>
    <t>Real$2018</t>
  </si>
  <si>
    <t>LU_Basis</t>
  </si>
  <si>
    <t>Units</t>
  </si>
  <si>
    <t>Percent</t>
  </si>
  <si>
    <t>Dollars</t>
  </si>
  <si>
    <t>Factor</t>
  </si>
  <si>
    <t>$Millions</t>
  </si>
  <si>
    <t>$000's</t>
  </si>
  <si>
    <t>Millions</t>
  </si>
  <si>
    <t>Thousands</t>
  </si>
  <si>
    <t>LU_Units</t>
  </si>
  <si>
    <t>Start year</t>
  </si>
  <si>
    <t>Mid year</t>
  </si>
  <si>
    <t>End year</t>
  </si>
  <si>
    <t>LU_Timing</t>
  </si>
  <si>
    <t>LU_Timing_Value</t>
  </si>
  <si>
    <t>Service Classification</t>
  </si>
  <si>
    <t>Standard control services</t>
  </si>
  <si>
    <t>Alternative control services</t>
  </si>
  <si>
    <t>Negotiated services</t>
  </si>
  <si>
    <t>Unregulated services</t>
  </si>
  <si>
    <t>Advanced metering infrastructure</t>
  </si>
  <si>
    <t>LU_Service_Long</t>
  </si>
  <si>
    <t>LU_Service_Short</t>
  </si>
  <si>
    <t>SCS</t>
  </si>
  <si>
    <t>ACS</t>
  </si>
  <si>
    <t>NEG</t>
  </si>
  <si>
    <t>UNR</t>
  </si>
  <si>
    <t>AMI</t>
  </si>
  <si>
    <t>Metering</t>
  </si>
  <si>
    <t>Distribution Substations</t>
  </si>
  <si>
    <t>IT and Communications</t>
  </si>
  <si>
    <t>Motor Vehicles</t>
  </si>
  <si>
    <t>Category Heading</t>
  </si>
  <si>
    <t>Total</t>
  </si>
  <si>
    <t>Calculated</t>
  </si>
  <si>
    <t>Not Applicable</t>
  </si>
  <si>
    <t>Number</t>
  </si>
  <si>
    <t>Check</t>
  </si>
  <si>
    <t>AER / RIN Lookups</t>
  </si>
  <si>
    <t>Km</t>
  </si>
  <si>
    <t>Kilometres</t>
  </si>
  <si>
    <t>Disclaimer:</t>
  </si>
  <si>
    <t>This model is confidential information of, and is owned by, Power and Water Corporation ABN 15 947 352 360 (PWC).  It may not be disclosed to, or used or relied on by, any person without the consent of PWC.
PWC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PWC will not be liable to any person for any loss or damage of any kind arising out of or in any way connected with the use of this model (including negligence).   The references to PWC in this disclaimer includes their respective directors, officers, employees, contractors, advisers or agents.</t>
  </si>
  <si>
    <t>System Capex</t>
  </si>
  <si>
    <t>Substations</t>
  </si>
  <si>
    <t>Distribution Lines</t>
  </si>
  <si>
    <t>Transmission Lines</t>
  </si>
  <si>
    <t>LV Services</t>
  </si>
  <si>
    <t>Distribution Switchgear</t>
  </si>
  <si>
    <t>Protection</t>
  </si>
  <si>
    <t>SCADA</t>
  </si>
  <si>
    <t>Communications</t>
  </si>
  <si>
    <t>Non System Capex</t>
  </si>
  <si>
    <t>Land and Easements</t>
  </si>
  <si>
    <t>Property</t>
  </si>
  <si>
    <t>Plant and Equipment</t>
  </si>
  <si>
    <t>ACS Metering</t>
  </si>
  <si>
    <t>Street Lights</t>
  </si>
  <si>
    <t>Zone substations and transformers</t>
  </si>
  <si>
    <t>Overhead network assets less than 33kV</t>
  </si>
  <si>
    <t>Underground network assets less than 33kV</t>
  </si>
  <si>
    <t>Distribution substations and transformers</t>
  </si>
  <si>
    <t>Overhead network assets 33kV and above</t>
  </si>
  <si>
    <t>Underground network assets 33kV and above</t>
  </si>
  <si>
    <t>Easements</t>
  </si>
  <si>
    <t>Meters</t>
  </si>
  <si>
    <t>“Other” asset items with short lives</t>
  </si>
  <si>
    <t>“Other” asset items with long lives</t>
  </si>
  <si>
    <t>Inflation</t>
  </si>
  <si>
    <t>Disposals</t>
  </si>
  <si>
    <t>Closing Balance</t>
  </si>
  <si>
    <t>RAB Asset Classes</t>
  </si>
  <si>
    <t>LU_RAB_Assets</t>
  </si>
  <si>
    <t>EB RIN Asset Classes</t>
  </si>
  <si>
    <t>LU_EB_RIN_Assets</t>
  </si>
  <si>
    <t>Outputs - SCS EB RIN</t>
  </si>
  <si>
    <t>Calc_EB_SCS</t>
  </si>
  <si>
    <t>Calc_EB_ACS</t>
  </si>
  <si>
    <t>Outputs - Network Services EB RIN</t>
  </si>
  <si>
    <t>Electronic Meters</t>
  </si>
  <si>
    <t>Metering Communications</t>
  </si>
  <si>
    <t>Metering - Non-Network IT &amp; Communications</t>
  </si>
  <si>
    <t>Metering - Non-Network Other</t>
  </si>
  <si>
    <t>Metering - Dedicated CTs and VTs</t>
  </si>
  <si>
    <t>Standard Life</t>
  </si>
  <si>
    <t>Threshold for Other Assets with Short Lives (Years)</t>
  </si>
  <si>
    <t>Mechanical meters - General</t>
  </si>
  <si>
    <t>Adjustments</t>
  </si>
  <si>
    <t>Net Connection Related Capex</t>
  </si>
  <si>
    <t>Net Distribution Related Capex</t>
  </si>
  <si>
    <t>Calc_EB_NS</t>
  </si>
  <si>
    <t>RAB by Asset Category - Based on SCS less Connections RAB</t>
  </si>
  <si>
    <t>RAB Asset Class</t>
  </si>
  <si>
    <t>RAB Asset Category</t>
  </si>
  <si>
    <t>Closing Balances</t>
  </si>
  <si>
    <t>Input_RAB_SCS</t>
  </si>
  <si>
    <t>MVA</t>
  </si>
  <si>
    <t>Note: As per definition in Appendix F</t>
  </si>
  <si>
    <t>Check - Calculation</t>
  </si>
  <si>
    <t>Check - Source</t>
  </si>
  <si>
    <t>Equity Raising Costs</t>
  </si>
  <si>
    <t>Various</t>
  </si>
  <si>
    <t>Utility Commission Categories</t>
  </si>
  <si>
    <t>UC_RAB_Class</t>
  </si>
  <si>
    <t>Proposed_RAB_Class</t>
  </si>
  <si>
    <t>Building</t>
  </si>
  <si>
    <t>Civil Works</t>
  </si>
  <si>
    <t>Land &amp; Easements</t>
  </si>
  <si>
    <t>Plant &amp; Equipment</t>
  </si>
  <si>
    <t>Office Equipment</t>
  </si>
  <si>
    <t>Small Plant &amp; Equipment</t>
  </si>
  <si>
    <t>Transformer (66kV &amp; Above)</t>
  </si>
  <si>
    <t>Switchgear</t>
  </si>
  <si>
    <t>Switchyard</t>
  </si>
  <si>
    <t>Distribution Substation</t>
  </si>
  <si>
    <t>LV Reticulation - Overhead</t>
  </si>
  <si>
    <t>LV Reticulation - Underground</t>
  </si>
  <si>
    <t>HV Reticulation - Overhead</t>
  </si>
  <si>
    <t>HV Reticulation - Underground</t>
  </si>
  <si>
    <t>Streetlights</t>
  </si>
  <si>
    <t>Other</t>
  </si>
  <si>
    <t>Transmission terminal station</t>
  </si>
  <si>
    <t>Zone substations</t>
  </si>
  <si>
    <t>Transmission lines</t>
  </si>
  <si>
    <t>Distribution mains</t>
  </si>
  <si>
    <t>Distribution substations</t>
  </si>
  <si>
    <t>Land and easements</t>
  </si>
  <si>
    <t>Secondary systems - Control, communications &amp; Protection</t>
  </si>
  <si>
    <t>Non-System Capex</t>
  </si>
  <si>
    <t>Non-network—IT and Communications Capex</t>
  </si>
  <si>
    <t>Non-network—Motor Vehicles Capex</t>
  </si>
  <si>
    <t>Non-network—Property Capex</t>
  </si>
  <si>
    <t>Non-network—Plant &amp; Equipment Capex</t>
  </si>
  <si>
    <t>Non-network—Other capex</t>
  </si>
  <si>
    <t>CA RIN - 2.1.1</t>
  </si>
  <si>
    <t>CA RIN - 2.1.7</t>
  </si>
  <si>
    <t>EB RIN - 3.5.1</t>
  </si>
  <si>
    <t>Calculation - Estimated Depreciated Replacement Cost</t>
  </si>
  <si>
    <t>Replacement Unit Cost (Dollars)</t>
  </si>
  <si>
    <t>Physical Asset (Km/MVA)</t>
  </si>
  <si>
    <t>Remaining Life (Years)</t>
  </si>
  <si>
    <t>Standard Life (Years)</t>
  </si>
  <si>
    <t>Depreciated Replacement Cost ($/km/MVA)</t>
  </si>
  <si>
    <t>Transmission Line - % share of DRC</t>
  </si>
  <si>
    <t>Distribution Line - % share of DRC</t>
  </si>
  <si>
    <t>Physical Asset (Km)</t>
  </si>
  <si>
    <t>Physical Asset (MVA)</t>
  </si>
  <si>
    <t>Years</t>
  </si>
  <si>
    <t>EB RIN - 3.3.4</t>
  </si>
  <si>
    <t>Item - Based on RY17</t>
  </si>
  <si>
    <t>Net Capex - Distribution Lines</t>
  </si>
  <si>
    <t>Net Capex - Distribution Substations</t>
  </si>
  <si>
    <t>Capex for asset classes which contain connections</t>
  </si>
  <si>
    <t>Weighted average unit rate replacement costs ($/km/MVA)</t>
  </si>
  <si>
    <t>Disposals (including half year of WACC, where relevant)</t>
  </si>
  <si>
    <t>REGULATORY REPORTING STATEMENT</t>
  </si>
  <si>
    <t>3.3 ASSETS</t>
  </si>
  <si>
    <r>
      <t xml:space="preserve">There are </t>
    </r>
    <r>
      <rPr>
        <b/>
        <sz val="11"/>
        <color rgb="FFFF0000"/>
        <rFont val="Calibri"/>
        <family val="2"/>
        <scheme val="minor"/>
      </rPr>
      <t>FOUR</t>
    </r>
    <r>
      <rPr>
        <sz val="11"/>
        <rFont val="Calibri"/>
        <family val="2"/>
        <scheme val="minor"/>
      </rPr>
      <t xml:space="preserve"> tables on this worksheet. Both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in each have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</si>
  <si>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3.3.1 - REGULATORY ASSET BASE VALUES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</si>
  <si>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</si>
  <si>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</si>
  <si>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</si>
  <si>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</si>
  <si>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</si>
  <si>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</si>
  <si>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</si>
  <si>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</si>
  <si>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</si>
  <si>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</si>
  <si>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</si>
  <si>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</si>
  <si>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</si>
  <si>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</si>
  <si>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</si>
  <si>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</si>
  <si>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</si>
  <si>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</si>
  <si>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</si>
  <si>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</si>
  <si>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</si>
  <si>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</si>
  <si>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</si>
  <si>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</si>
  <si>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</si>
  <si>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</si>
  <si>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</si>
  <si>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</si>
  <si>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</si>
  <si>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</si>
  <si>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</si>
  <si>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</si>
  <si>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</si>
  <si>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</si>
  <si>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</si>
  <si>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</si>
  <si>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</si>
  <si>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</si>
  <si>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</si>
  <si>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</si>
  <si>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</si>
  <si>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</si>
  <si>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</si>
  <si>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</si>
  <si>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</si>
  <si>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</si>
  <si>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</si>
  <si>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</si>
  <si>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</si>
  <si>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</si>
  <si>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</si>
  <si>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</si>
  <si>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</si>
  <si>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</si>
  <si>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</si>
  <si>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</si>
  <si>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</si>
  <si>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</si>
  <si>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</si>
  <si>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</si>
  <si>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</si>
  <si>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</si>
  <si>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</si>
  <si>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</si>
  <si>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</si>
  <si>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</si>
  <si>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</si>
  <si>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</si>
  <si>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</si>
  <si>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</si>
  <si>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</si>
  <si>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</si>
  <si>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</si>
  <si>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</si>
  <si>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</si>
  <si>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</si>
  <si>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</si>
  <si>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</si>
  <si>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</si>
  <si>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</si>
  <si>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</si>
  <si>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</si>
  <si>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</si>
  <si>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</si>
  <si>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distribution assets (wires and poles)</t>
  </si>
  <si>
    <t>DRAB1202</t>
  </si>
  <si>
    <t>Underground distribution assets (cables, ducts etc)</t>
  </si>
  <si>
    <t>DRAB1203</t>
  </si>
  <si>
    <t>Distribution substations including transformers</t>
  </si>
  <si>
    <t>DRAB1204</t>
  </si>
  <si>
    <t>Overhead assets 33kV and above (wires and towers / poles etc)</t>
  </si>
  <si>
    <t>DRAB1205</t>
  </si>
  <si>
    <t>Underground assets 33kV and above (cables, ducts etc)</t>
  </si>
  <si>
    <t>DRAB1206</t>
  </si>
  <si>
    <t>DRAB1207</t>
  </si>
  <si>
    <t xml:space="preserve">Easements </t>
  </si>
  <si>
    <t>DRAB1208</t>
  </si>
  <si>
    <t>DRAB1209</t>
  </si>
  <si>
    <t>Other assets with long lives</t>
  </si>
  <si>
    <t>DRAB1210</t>
  </si>
  <si>
    <t>Other assets with short lives</t>
  </si>
  <si>
    <t>DRAB13</t>
  </si>
  <si>
    <t xml:space="preserve">Value of Capital Contributions or Contributed Assets </t>
  </si>
  <si>
    <t>3.3.4 - ASSET LIVES</t>
  </si>
  <si>
    <t>ESTIMATED SERVICE LIFE OF NEW ASSETS</t>
  </si>
  <si>
    <t>DRAB1401</t>
  </si>
  <si>
    <t>Overhead network assets less than 33kV (wires and poles)</t>
  </si>
  <si>
    <t>DRAB1402</t>
  </si>
  <si>
    <t>Underground network assets less than 33kV (cables)</t>
  </si>
  <si>
    <t>DRAB1403</t>
  </si>
  <si>
    <t>DRAB1404</t>
  </si>
  <si>
    <t xml:space="preserve">Overhead network assets 33kV and above (wires and towers / poles etc) </t>
  </si>
  <si>
    <t>DRAB1405</t>
  </si>
  <si>
    <t>Underground network assets 33kV and above(cables, ducts etc)</t>
  </si>
  <si>
    <t>DRAB1406</t>
  </si>
  <si>
    <t>DRAB1407</t>
  </si>
  <si>
    <t>DRAB1408</t>
  </si>
  <si>
    <t>“Other” assets with long lives</t>
  </si>
  <si>
    <t>DRAB1409</t>
  </si>
  <si>
    <t>“Other” assets with short lives</t>
  </si>
  <si>
    <t>ESTIMATED RESIDUAL SERVICE LIFE</t>
  </si>
  <si>
    <t>DRAB1501</t>
  </si>
  <si>
    <t>DRAB1502</t>
  </si>
  <si>
    <t>DRAB1503</t>
  </si>
  <si>
    <t>DRAB1504</t>
  </si>
  <si>
    <t>DRAB1505</t>
  </si>
  <si>
    <t>Underground network assets 33kV and above (cables, ducts etc)</t>
  </si>
  <si>
    <t>DRAB1506</t>
  </si>
  <si>
    <t>DRAB1507</t>
  </si>
  <si>
    <t>DRAB1508</t>
  </si>
  <si>
    <t>DRAB1509</t>
  </si>
  <si>
    <t>Net Capex - Distribution Switchgear</t>
  </si>
  <si>
    <t>Power and Water</t>
  </si>
  <si>
    <t>ACS Metering RAB asset classes to EB categories</t>
  </si>
  <si>
    <t>SCS RAB asset classes to EB categories</t>
  </si>
  <si>
    <t>The purpose of this model is to apply the AER's "Standard Approach" to disaggregate PWCs RAB into economic benchmarking categories</t>
  </si>
  <si>
    <t>Net Capex - LV Services</t>
  </si>
  <si>
    <t>CPI Input</t>
  </si>
  <si>
    <t>ABS/RBA</t>
  </si>
  <si>
    <t>Item</t>
  </si>
  <si>
    <t>PWC</t>
  </si>
  <si>
    <t>Note: The 'Actual additions (recognised in RAB)' line item includes net capex and any end of regulatory period adjustments</t>
  </si>
  <si>
    <t>Property Leases</t>
  </si>
  <si>
    <t>Fleet Leases</t>
  </si>
  <si>
    <t>Fleet leases</t>
  </si>
  <si>
    <t>Gross Capex (excl. Gifted Assets)</t>
  </si>
  <si>
    <t>Real 2024 to Nominal</t>
  </si>
  <si>
    <t>Real 2019 to Nominal - Lagged</t>
  </si>
  <si>
    <t>Buildings</t>
  </si>
  <si>
    <t>in-house software</t>
  </si>
  <si>
    <t>RFM</t>
  </si>
  <si>
    <t>RY19-RY22</t>
  </si>
  <si>
    <t>Connection Capex Model</t>
  </si>
  <si>
    <r>
      <rPr>
        <b/>
        <sz val="10"/>
        <color theme="1"/>
        <rFont val="Helvetica"/>
      </rPr>
      <t>Note</t>
    </r>
    <r>
      <rPr>
        <sz val="10"/>
        <color theme="1"/>
        <rFont val="Helvetica"/>
        <family val="2"/>
      </rPr>
      <t>: The inflation rates used for RY19 to RY29 are based on inputs used in the RFM and PTRM models.</t>
    </r>
  </si>
  <si>
    <t>ECONOMIC BENCHMARKING 2022-23 to 2028-29</t>
  </si>
  <si>
    <t>2028-29</t>
  </si>
  <si>
    <t>2027-28</t>
  </si>
  <si>
    <t>2026-27</t>
  </si>
  <si>
    <t>2025-26</t>
  </si>
  <si>
    <t>2024-25</t>
  </si>
  <si>
    <t>2023-24</t>
  </si>
  <si>
    <t>2022-23</t>
  </si>
  <si>
    <t>Forecast ($0's, real June 2024)</t>
  </si>
  <si>
    <t>Network Services</t>
  </si>
  <si>
    <t>Standard Control Services</t>
  </si>
  <si>
    <t>Alternative Control Services</t>
  </si>
  <si>
    <t>Community Batteries</t>
  </si>
  <si>
    <t>RY17</t>
  </si>
  <si>
    <t>Note: These values should remain as RY17 values to ensure consistency with the methodology applied to previous RINs</t>
  </si>
  <si>
    <t>Power and Water Corporation (PWC) - RAB Allocation - EB RIN</t>
  </si>
  <si>
    <t>◄ Capital contributions for connections category only</t>
  </si>
  <si>
    <r>
      <rPr>
        <i/>
        <sz val="10"/>
        <color theme="4"/>
        <rFont val="Helvetica"/>
      </rPr>
      <t>Less</t>
    </r>
    <r>
      <rPr>
        <sz val="10"/>
        <color theme="4"/>
        <rFont val="Helvetica"/>
        <family val="2"/>
      </rPr>
      <t xml:space="preserve"> Capital Contributions</t>
    </r>
  </si>
  <si>
    <r>
      <rPr>
        <i/>
        <sz val="10"/>
        <color theme="4"/>
        <rFont val="Helvetica"/>
      </rPr>
      <t>Less</t>
    </r>
    <r>
      <rPr>
        <sz val="10"/>
        <color theme="4"/>
        <rFont val="Helvetica"/>
      </rPr>
      <t xml:space="preserve"> Generator Connections</t>
    </r>
  </si>
  <si>
    <r>
      <rPr>
        <i/>
        <sz val="10"/>
        <color theme="4"/>
        <rFont val="Helvetica"/>
      </rPr>
      <t>Add</t>
    </r>
    <r>
      <rPr>
        <sz val="10"/>
        <color theme="4"/>
        <rFont val="Helvetica"/>
        <family val="2"/>
      </rPr>
      <t xml:space="preserve"> Gifted Assets</t>
    </r>
  </si>
  <si>
    <t>Total errors</t>
  </si>
  <si>
    <t>Error checks</t>
  </si>
  <si>
    <t>Model checks</t>
  </si>
  <si>
    <t>Error message</t>
  </si>
  <si>
    <t>Alert message</t>
  </si>
  <si>
    <t>Model message</t>
  </si>
  <si>
    <t>Model title message</t>
  </si>
  <si>
    <t>CPI assumptions and associated indexes</t>
  </si>
  <si>
    <t>CPI assumptions</t>
  </si>
  <si>
    <t>Category heading</t>
  </si>
  <si>
    <t>CPI indexation calculations</t>
  </si>
  <si>
    <t>RAB asset class</t>
  </si>
  <si>
    <t>Opening balance</t>
  </si>
  <si>
    <t>RAB by asset category</t>
  </si>
  <si>
    <t>Input - SCS RAB by asset category</t>
  </si>
  <si>
    <t>RAB net additions (gross capex less capital contributions, including half year of WACC, where relevant)</t>
  </si>
  <si>
    <t>Interim closing balance</t>
  </si>
  <si>
    <t>Adjustments - [Note these are mapped into 'Actual additions (recognised in RAB)' within the RAB template as there is no adjustment line]</t>
  </si>
  <si>
    <t>Alert - Negative Balance</t>
  </si>
  <si>
    <t>Inflation profiles</t>
  </si>
  <si>
    <t>Input_Inflation</t>
  </si>
  <si>
    <t>Input - Capital contributions</t>
  </si>
  <si>
    <t>Capital contributions</t>
  </si>
  <si>
    <t>Input - ACS Metering RAB by asset category</t>
  </si>
  <si>
    <t>Final closing balance</t>
  </si>
  <si>
    <t>Input - Proportion of connection gross capital expenditure</t>
  </si>
  <si>
    <t>Gross capex by purpose</t>
  </si>
  <si>
    <t>Output - Network Services calculation</t>
  </si>
  <si>
    <t>Proportion of connection capex</t>
  </si>
  <si>
    <t>Connection related capex</t>
  </si>
  <si>
    <r>
      <rPr>
        <b/>
        <sz val="10"/>
        <color theme="4"/>
        <rFont val="Helvetica"/>
      </rPr>
      <t>Note</t>
    </r>
    <r>
      <rPr>
        <sz val="10"/>
        <color theme="4"/>
        <rFont val="Helvetica"/>
        <family val="2"/>
      </rPr>
      <t>: Distribution lines, LV Services, Distribution substations and Distribution Switchgear are the four RAB asset classes in the RFM and PTRM models where capital contributions are recorded.</t>
    </r>
  </si>
  <si>
    <t>Input - Standard lives</t>
  </si>
  <si>
    <t>Historical standard lives</t>
  </si>
  <si>
    <t>EB RIN</t>
  </si>
  <si>
    <t>Input - Standard lives - SCS</t>
  </si>
  <si>
    <t>Input - Standard lives - Network Services</t>
  </si>
  <si>
    <t>Input - Standard lives - Alternative Control Services</t>
  </si>
  <si>
    <t>Input - Estimated Depreciated Replacement Cost (DRC)</t>
  </si>
  <si>
    <t>Primary inputs</t>
  </si>
  <si>
    <t>Circuit length</t>
  </si>
  <si>
    <t>Circuit capacity (MVA)</t>
  </si>
  <si>
    <t>Remaining life</t>
  </si>
  <si>
    <t>Standard life</t>
  </si>
  <si>
    <t>Calculation - Allocation from RAB asset classes to EB categories</t>
  </si>
  <si>
    <t>Summary of allocations</t>
  </si>
  <si>
    <t>Detailed allocations</t>
  </si>
  <si>
    <t>Calculation - Estimated connection RAB by asset category</t>
  </si>
  <si>
    <t>RAB by asset category - Proxy for connections RAB</t>
  </si>
  <si>
    <t>RAB additions</t>
  </si>
  <si>
    <t>Closing balance</t>
  </si>
  <si>
    <t>Calculation - Estimated Network Services RAB by asset category</t>
  </si>
  <si>
    <t>Calculation - Network Services RAB by EB RIN category</t>
  </si>
  <si>
    <t>RAB by EB RIN category</t>
  </si>
  <si>
    <t>EB RIN categories</t>
  </si>
  <si>
    <t>Calculation - SCS RAB by EB RIN category</t>
  </si>
  <si>
    <t>Calculation - ACS RAB by EB RIN category</t>
  </si>
  <si>
    <t>Summary - Total asset base</t>
  </si>
  <si>
    <t>Outputs - ACS (ACS Metering) EB RIN</t>
  </si>
  <si>
    <t>Estimate</t>
  </si>
  <si>
    <t>Model lookups</t>
  </si>
  <si>
    <t>Model settings</t>
  </si>
  <si>
    <t>Periodicity inputs</t>
  </si>
  <si>
    <t>Time series headings</t>
  </si>
  <si>
    <t>Period start date</t>
  </si>
  <si>
    <t>Model start date</t>
  </si>
  <si>
    <t>Base year</t>
  </si>
  <si>
    <t>Period end date</t>
  </si>
  <si>
    <t>Period counter</t>
  </si>
  <si>
    <t>Period type</t>
  </si>
  <si>
    <t>Regulatory year</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</si>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</sst>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quot;$&quot;#,##0.0_);\(&quot;$&quot;#,##0.0\);_(&quot;-&quot;_)"/>
    <numFmt numFmtId="172" formatCode="0.0"/>
    <numFmt numFmtId="173" formatCode="[Red]\●;[Red]\●;[Color10]\●"/>
    <numFmt numFmtId="174" formatCode="[Green]\●;[Red]\●;[Color16]\●"/>
    <numFmt numFmtId="175" formatCode="_(#,##0.000_);\(#,##0.000\);_(&quot;-&quot;_)"/>
    <numFmt numFmtId="176" formatCode="_-* #,##0_-;[Red]\(#,##0\)_-;_-* &quot;-&quot;??_-;_-@_-"/>
    <numFmt numFmtId="177" formatCode="#,##0.000_ ;[Red]\-#,##0.000\ "/>
    <numFmt numFmtId="178" formatCode="_(* #,##0.00_);_(* \(#,##0.00\);_(* &quot;-&quot;??_);_(@_)"/>
    <numFmt numFmtId="179" formatCode="_-* #,##0_-;\-* #,##0_-;_-* &quot;-&quot;??_-;_-@_-"/>
    <numFmt numFmtId="180" formatCode="_-* #,##0.0_-;[Red]\(#,##0.0\)_-;_-* &quot;-&quot;??_-;_-@_-"/>
    <numFmt numFmtId="181" formatCode="_(#,##0.00%_);\(#,##0.00%\);_(&quot;-&quot;_)"/>
    <numFmt numFmtId="182" formatCode="_(#,##0.0000_);\(#,##0.0000\);_(&quot;-&quot;_)"/>
  </numFmts>
  <fonts count="96" x14ac:knownFonts="1">
    <font>
      <sz val="8"/>
      <color rgb="FFFF0066"/>
      <name val="Helvetica"/>
      <family val="2"/>
    </font>
    <font>
      <sz val="11"/>
      <color theme="1"/>
      <name val="Calibri"/>
      <family val="2"/>
      <scheme val="minor"/>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sz val="8"/>
      <color theme="4"/>
      <name val="Helvetica"/>
      <family val="2"/>
    </font>
    <font>
      <sz val="7"/>
      <color theme="4"/>
      <name val="Helvetica"/>
      <family val="2"/>
    </font>
    <font>
      <b/>
      <sz val="15"/>
      <color theme="4"/>
      <name val="Helvetica"/>
      <family val="2"/>
    </font>
    <font>
      <i/>
      <sz val="8"/>
      <color theme="6" tint="0.39994506668294322"/>
      <name val="Helvetica"/>
      <family val="2"/>
    </font>
    <font>
      <b/>
      <sz val="10"/>
      <color theme="1"/>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b/>
      <sz val="11"/>
      <color theme="4"/>
      <name val="Helvetica"/>
      <family val="2"/>
    </font>
    <font>
      <b/>
      <sz val="12"/>
      <color theme="0"/>
      <name val="Helvetica"/>
      <family val="2"/>
    </font>
    <font>
      <sz val="10"/>
      <name val="Helvetica"/>
      <family val="2"/>
    </font>
    <font>
      <b/>
      <sz val="10"/>
      <color theme="1"/>
      <name val="Helvetica"/>
    </font>
    <font>
      <b/>
      <sz val="10"/>
      <name val="Helvetica"/>
      <family val="2"/>
    </font>
    <font>
      <b/>
      <i/>
      <sz val="10"/>
      <color theme="4"/>
      <name val="Helvetica"/>
    </font>
    <font>
      <sz val="8"/>
      <name val="Helvetica"/>
      <family val="2"/>
    </font>
    <font>
      <sz val="8"/>
      <color rgb="FFFF0066"/>
      <name val="Helvetica"/>
      <family val="2"/>
    </font>
    <font>
      <sz val="10"/>
      <color theme="1"/>
      <name val="Helvetica"/>
      <family val="2"/>
    </font>
    <font>
      <sz val="8"/>
      <name val="Helvetica"/>
      <family val="2"/>
    </font>
    <font>
      <b/>
      <sz val="15"/>
      <color theme="4"/>
      <name val="Helvetica"/>
      <family val="2"/>
    </font>
    <font>
      <sz val="8"/>
      <color rgb="FFFF0066"/>
      <name val="Helvetica"/>
      <family val="2"/>
    </font>
    <font>
      <i/>
      <sz val="8"/>
      <color rgb="FF92D050"/>
      <name val="Helvetica"/>
      <family val="2"/>
    </font>
    <font>
      <u/>
      <sz val="8"/>
      <color theme="10"/>
      <name val="Helvetica"/>
      <family val="2"/>
    </font>
    <font>
      <b/>
      <sz val="10"/>
      <color theme="1"/>
      <name val="Helvetica"/>
      <family val="2"/>
    </font>
    <font>
      <sz val="10"/>
      <color theme="1"/>
      <name val="Helvetica"/>
      <family val="2"/>
    </font>
    <font>
      <b/>
      <sz val="10"/>
      <name val="Helvetica"/>
      <family val="2"/>
    </font>
    <font>
      <b/>
      <sz val="12"/>
      <color theme="0"/>
      <name val="Helvetica"/>
      <family val="2"/>
    </font>
    <font>
      <b/>
      <sz val="11"/>
      <color theme="4"/>
      <name val="Helvetica"/>
      <family val="2"/>
    </font>
    <font>
      <sz val="10"/>
      <color theme="4"/>
      <name val="Helvetica"/>
      <family val="2"/>
    </font>
    <font>
      <b/>
      <sz val="10"/>
      <color theme="1"/>
      <name val="Helvetica"/>
    </font>
    <font>
      <sz val="10"/>
      <name val="Arial"/>
      <family val="2"/>
    </font>
    <font>
      <i/>
      <sz val="8"/>
      <name val="Arial"/>
      <family val="2"/>
    </font>
    <font>
      <sz val="9"/>
      <color indexed="81"/>
      <name val="Tahoma"/>
      <family val="2"/>
    </font>
    <font>
      <b/>
      <sz val="9"/>
      <color indexed="81"/>
      <name val="Tahoma"/>
      <family val="2"/>
    </font>
    <font>
      <b/>
      <sz val="8"/>
      <color rgb="FFFF0066"/>
      <name val="Helvetica"/>
    </font>
    <font>
      <b/>
      <sz val="10"/>
      <name val="Helvetica"/>
    </font>
    <font>
      <sz val="11"/>
      <color theme="0"/>
      <name val="Calibri"/>
      <family val="2"/>
      <scheme val="minor"/>
    </font>
    <font>
      <b/>
      <sz val="16"/>
      <color indexed="9"/>
      <name val="Arial"/>
      <family val="2"/>
    </font>
    <font>
      <b/>
      <sz val="16"/>
      <color rgb="FFFFFFFF"/>
      <name val="Arial"/>
      <family val="2"/>
    </font>
    <font>
      <sz val="11"/>
      <name val="Calibri"/>
      <family val="2"/>
      <scheme val="minor"/>
    </font>
    <font>
      <b/>
      <sz val="11"/>
      <color rgb="FFFF0000"/>
      <name val="Calibri"/>
      <family val="2"/>
      <scheme val="minor"/>
    </font>
    <font>
      <i/>
      <sz val="11"/>
      <name val="Calibri"/>
      <family val="2"/>
      <scheme val="minor"/>
    </font>
    <font>
      <b/>
      <sz val="14"/>
      <color theme="0"/>
      <name val="Calibri"/>
      <family val="2"/>
      <scheme val="minor"/>
    </font>
    <font>
      <b/>
      <sz val="11"/>
      <color indexed="8"/>
      <name val="Calibri"/>
      <family val="2"/>
    </font>
    <font>
      <b/>
      <sz val="16"/>
      <color indexed="8"/>
      <name val="Calibri"/>
      <family val="2"/>
    </font>
    <font>
      <b/>
      <sz val="16"/>
      <color theme="1"/>
      <name val="Calibri"/>
      <family val="2"/>
      <scheme val="minor"/>
    </font>
    <font>
      <sz val="11"/>
      <color indexed="8"/>
      <name val="Calibri"/>
      <family val="2"/>
    </font>
    <font>
      <b/>
      <sz val="12"/>
      <color indexed="8"/>
      <name val="Calibri"/>
      <family val="2"/>
    </font>
    <font>
      <sz val="8"/>
      <name val="Helvetica"/>
      <family val="2"/>
    </font>
    <font>
      <b/>
      <sz val="15"/>
      <color theme="4"/>
      <name val="Helvetica"/>
      <family val="2"/>
    </font>
    <font>
      <sz val="8"/>
      <color rgb="FFFF0066"/>
      <name val="Helvetica"/>
      <family val="2"/>
    </font>
    <font>
      <i/>
      <sz val="8"/>
      <color rgb="FF92D050"/>
      <name val="Helvetica"/>
      <family val="2"/>
    </font>
    <font>
      <u/>
      <sz val="8"/>
      <color theme="10"/>
      <name val="Helvetica"/>
      <family val="2"/>
    </font>
    <font>
      <b/>
      <sz val="10"/>
      <color theme="1"/>
      <name val="Helvetica"/>
      <family val="2"/>
    </font>
    <font>
      <sz val="10"/>
      <color theme="1"/>
      <name val="Helvetica"/>
      <family val="2"/>
    </font>
    <font>
      <b/>
      <sz val="10"/>
      <name val="Helvetica"/>
      <family val="2"/>
    </font>
    <font>
      <b/>
      <sz val="12"/>
      <color theme="0"/>
      <name val="Helvetica"/>
      <family val="2"/>
    </font>
    <font>
      <b/>
      <sz val="11"/>
      <color theme="4"/>
      <name val="Helvetica"/>
      <family val="2"/>
    </font>
    <font>
      <b/>
      <sz val="10"/>
      <color theme="1"/>
      <name val="Helvetica"/>
    </font>
    <font>
      <sz val="10"/>
      <color theme="4"/>
      <name val="Helvetica"/>
      <family val="2"/>
    </font>
    <font>
      <sz val="8"/>
      <color rgb="FFFF0066"/>
      <name val="Helvetica"/>
      <family val="2"/>
    </font>
    <font>
      <b/>
      <sz val="15"/>
      <color theme="4"/>
      <name val="Helvetica"/>
      <family val="2"/>
    </font>
    <font>
      <b/>
      <sz val="10"/>
      <color theme="4"/>
      <name val="Helvetica"/>
      <family val="2"/>
    </font>
    <font>
      <sz val="10"/>
      <color theme="4"/>
      <name val="Helvetica"/>
      <family val="2"/>
    </font>
    <font>
      <b/>
      <sz val="10"/>
      <name val="Helvetica"/>
      <family val="2"/>
    </font>
    <font>
      <b/>
      <sz val="8"/>
      <color theme="0"/>
      <name val="Helvetica"/>
      <family val="2"/>
    </font>
    <font>
      <b/>
      <sz val="8"/>
      <color theme="4"/>
      <name val="Helvetica"/>
      <family val="2"/>
    </font>
    <font>
      <sz val="8"/>
      <name val="Helvetica"/>
      <family val="2"/>
    </font>
    <font>
      <u/>
      <sz val="8"/>
      <color theme="10"/>
      <name val="Helvetica"/>
      <family val="2"/>
    </font>
    <font>
      <b/>
      <sz val="10"/>
      <color theme="4"/>
      <name val="Helvetica"/>
    </font>
    <font>
      <sz val="10"/>
      <color theme="4"/>
      <name val="Helvetica"/>
    </font>
    <font>
      <sz val="10"/>
      <color theme="1"/>
      <name val="Helvetica"/>
    </font>
    <font>
      <b/>
      <i/>
      <sz val="11"/>
      <color rgb="FFFF0000"/>
      <name val="Calibri"/>
      <family val="2"/>
    </font>
    <font>
      <i/>
      <sz val="10"/>
      <color theme="4"/>
      <name val="Helvetica"/>
    </font>
  </fonts>
  <fills count="30">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
      <patternFill patternType="solid">
        <fgColor indexed="9"/>
        <bgColor indexed="64"/>
      </patternFill>
    </fill>
    <fill>
      <patternFill patternType="solid">
        <fgColor theme="0"/>
        <bgColor indexed="64"/>
      </patternFill>
    </fill>
    <fill>
      <patternFill patternType="solid">
        <fgColor indexed="8"/>
        <bgColor indexed="64"/>
      </patternFill>
    </fill>
    <fill>
      <patternFill patternType="solid">
        <fgColor theme="1"/>
        <bgColor indexed="64"/>
      </patternFill>
    </fill>
    <fill>
      <patternFill patternType="solid">
        <fgColor rgb="FF808080"/>
        <bgColor rgb="FF000000"/>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6" tint="0.399975585192419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auto="1"/>
      </left>
      <right style="dotted">
        <color auto="1"/>
      </right>
      <top/>
      <bottom/>
      <diagonal/>
    </border>
    <border>
      <left style="dotted">
        <color auto="1"/>
      </left>
      <right/>
      <top/>
      <bottom style="thin">
        <color auto="1"/>
      </bottom>
      <diagonal/>
    </border>
    <border>
      <left/>
      <right style="dotted">
        <color auto="1"/>
      </right>
      <top/>
      <bottom style="thin">
        <color auto="1"/>
      </bottom>
      <diagonal/>
    </border>
    <border>
      <left style="dotted">
        <color auto="1"/>
      </left>
      <right/>
      <top/>
      <bottom/>
      <diagonal/>
    </border>
    <border>
      <left/>
      <right style="dotted">
        <color auto="1"/>
      </right>
      <top/>
      <bottom/>
      <diagonal/>
    </border>
    <border>
      <left style="dotted">
        <color auto="1"/>
      </left>
      <right style="thin">
        <color theme="0"/>
      </right>
      <top style="thin">
        <color theme="0"/>
      </top>
      <bottom style="thin">
        <color theme="0"/>
      </bottom>
      <diagonal/>
    </border>
    <border>
      <left style="thin">
        <color theme="0"/>
      </left>
      <right style="dotted">
        <color auto="1"/>
      </right>
      <top style="thin">
        <color theme="0"/>
      </top>
      <bottom style="thin">
        <color theme="0"/>
      </bottom>
      <diagonal/>
    </border>
    <border>
      <left style="dotted">
        <color auto="1"/>
      </left>
      <right/>
      <top style="thin">
        <color auto="1"/>
      </top>
      <bottom/>
      <diagonal/>
    </border>
    <border>
      <left/>
      <right style="dotted">
        <color auto="1"/>
      </right>
      <top style="thin">
        <color auto="1"/>
      </top>
      <bottom/>
      <diagonal/>
    </border>
    <border>
      <left style="dotted">
        <color auto="1"/>
      </left>
      <right/>
      <top style="thin">
        <color theme="0"/>
      </top>
      <bottom style="thin">
        <color theme="0"/>
      </bottom>
      <diagonal/>
    </border>
    <border>
      <left/>
      <right style="dotted">
        <color auto="1"/>
      </right>
      <top style="thin">
        <color theme="0"/>
      </top>
      <bottom style="thin">
        <color theme="0"/>
      </bottom>
      <diagonal/>
    </border>
    <border>
      <left style="dotted">
        <color auto="1"/>
      </left>
      <right style="dotted">
        <color auto="1"/>
      </right>
      <top/>
      <bottom style="thin">
        <color auto="1"/>
      </bottom>
      <diagonal/>
    </border>
    <border>
      <left style="dotted">
        <color auto="1"/>
      </left>
      <right style="dotted">
        <color auto="1"/>
      </right>
      <top style="thin">
        <color auto="1"/>
      </top>
      <bottom/>
      <diagonal/>
    </border>
    <border>
      <left style="thin">
        <color theme="0"/>
      </left>
      <right/>
      <top style="thin">
        <color theme="0"/>
      </top>
      <bottom style="thin">
        <color theme="0"/>
      </bottom>
      <diagonal/>
    </border>
    <border>
      <left style="dotted">
        <color auto="1"/>
      </left>
      <right style="dotted">
        <color auto="1"/>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auto="1"/>
      </left>
      <right style="thin">
        <color indexed="64"/>
      </right>
      <top style="medium">
        <color auto="1"/>
      </top>
      <bottom style="thin">
        <color theme="0" tint="-0.34998626667073579"/>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medium">
        <color auto="1"/>
      </left>
      <right style="thin">
        <color auto="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style="medium">
        <color auto="1"/>
      </left>
      <right style="medium">
        <color indexed="64"/>
      </right>
      <top style="thin">
        <color theme="0" tint="-0.34998626667073579"/>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style="thin">
        <color theme="0" tint="-0.24994659260841701"/>
      </left>
      <right style="thin">
        <color indexed="64"/>
      </right>
      <top style="medium">
        <color auto="1"/>
      </top>
      <bottom style="medium">
        <color indexed="64"/>
      </bottom>
      <diagonal/>
    </border>
    <border>
      <left style="thin">
        <color theme="0" tint="-0.24994659260841701"/>
      </left>
      <right/>
      <top style="medium">
        <color auto="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medium">
        <color auto="1"/>
      </left>
      <right/>
      <top style="medium">
        <color auto="1"/>
      </top>
      <bottom style="medium">
        <color auto="1"/>
      </bottom>
      <diagonal/>
    </border>
    <border>
      <left/>
      <right/>
      <top/>
      <bottom style="medium">
        <color auto="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dotted">
        <color auto="1"/>
      </left>
      <right style="thin">
        <color theme="0"/>
      </right>
      <top style="dotted">
        <color auto="1"/>
      </top>
      <bottom style="dotted">
        <color auto="1"/>
      </bottom>
      <diagonal/>
    </border>
    <border>
      <left style="thin">
        <color theme="0"/>
      </left>
      <right style="dotted">
        <color auto="1"/>
      </right>
      <top style="dotted">
        <color auto="1"/>
      </top>
      <bottom style="dotted">
        <color auto="1"/>
      </bottom>
      <diagonal/>
    </border>
    <border>
      <left style="dotted">
        <color theme="1"/>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tint="-0.24994659260841701"/>
      </left>
      <right/>
      <top/>
      <bottom style="thin">
        <color theme="0" tint="-0.24994659260841701"/>
      </bottom>
      <diagonal/>
    </border>
  </borders>
  <cellStyleXfs count="65">
    <xf numFmtId="0" fontId="0" fillId="0" borderId="0"/>
    <xf numFmtId="168" fontId="3" fillId="0" borderId="0" applyFill="0" applyBorder="0" applyProtection="0">
      <alignment vertical="center"/>
    </xf>
    <xf numFmtId="0" fontId="7" fillId="0" borderId="0" applyNumberFormat="0" applyFill="0" applyBorder="0" applyAlignment="0" applyProtection="0"/>
    <xf numFmtId="0" fontId="32" fillId="11" borderId="0" applyBorder="0">
      <alignment horizontal="left" vertical="center"/>
    </xf>
    <xf numFmtId="0" fontId="2" fillId="3" borderId="0" applyProtection="0">
      <alignment vertical="center"/>
    </xf>
    <xf numFmtId="0" fontId="4" fillId="0" borderId="0" applyFill="0" applyProtection="0">
      <alignment vertical="center"/>
    </xf>
    <xf numFmtId="0" fontId="3" fillId="0" borderId="0" applyFill="0" applyBorder="0" applyProtection="0">
      <alignment vertical="center"/>
    </xf>
    <xf numFmtId="0" fontId="5" fillId="0" borderId="5" applyNumberFormat="0" applyFill="0" applyAlignment="0" applyProtection="0"/>
    <xf numFmtId="0" fontId="28" fillId="12" borderId="4">
      <alignment horizontal="left" vertical="center"/>
      <protection locked="0"/>
    </xf>
    <xf numFmtId="164" fontId="27" fillId="0" borderId="0" applyFill="0" applyBorder="0">
      <alignment horizontal="center" vertical="center"/>
    </xf>
    <xf numFmtId="164" fontId="28" fillId="2" borderId="4">
      <alignment horizontal="center" vertical="center"/>
      <protection locked="0"/>
    </xf>
    <xf numFmtId="170" fontId="27" fillId="0" borderId="0" applyFill="0" applyBorder="0">
      <alignment horizontal="center" vertical="center"/>
    </xf>
    <xf numFmtId="170" fontId="28" fillId="12" borderId="4">
      <alignment horizontal="center" vertical="center"/>
      <protection locked="0"/>
    </xf>
    <xf numFmtId="165" fontId="27" fillId="0" borderId="0" applyFill="0" applyBorder="0">
      <alignment horizontal="right" vertical="center"/>
    </xf>
    <xf numFmtId="165" fontId="28" fillId="12" borderId="4">
      <alignment horizontal="right" vertical="center"/>
      <protection locked="0"/>
    </xf>
    <xf numFmtId="167" fontId="27" fillId="0" borderId="0" applyFill="0" applyBorder="0">
      <alignment horizontal="right" vertical="center"/>
    </xf>
    <xf numFmtId="167" fontId="28" fillId="12" borderId="4">
      <alignment horizontal="right" vertical="center"/>
      <protection locked="0"/>
    </xf>
    <xf numFmtId="166" fontId="27" fillId="0" borderId="0" applyFill="0" applyBorder="0">
      <alignment horizontal="right" vertical="center"/>
    </xf>
    <xf numFmtId="166" fontId="28" fillId="12" borderId="4">
      <alignment horizontal="right" vertical="center"/>
      <protection locked="0"/>
    </xf>
    <xf numFmtId="168" fontId="28" fillId="12" borderId="4">
      <alignment horizontal="right" vertical="center"/>
      <protection locked="0"/>
    </xf>
    <xf numFmtId="0" fontId="24" fillId="0" borderId="0" applyFill="0" applyBorder="0">
      <alignment horizontal="left" vertical="center"/>
    </xf>
    <xf numFmtId="0" fontId="8"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11" fillId="7" borderId="6" applyNumberFormat="0" applyAlignment="0" applyProtection="0"/>
    <xf numFmtId="0" fontId="12" fillId="8" borderId="7" applyNumberFormat="0" applyAlignment="0" applyProtection="0"/>
    <xf numFmtId="0" fontId="13" fillId="8" borderId="6" applyNumberFormat="0" applyAlignment="0" applyProtection="0"/>
    <xf numFmtId="0" fontId="14" fillId="0" borderId="8" applyNumberFormat="0" applyFill="0" applyAlignment="0" applyProtection="0"/>
    <xf numFmtId="0" fontId="15" fillId="9" borderId="9" applyNumberFormat="0" applyAlignment="0" applyProtection="0"/>
    <xf numFmtId="0" fontId="16" fillId="0" borderId="0" applyNumberFormat="0" applyFill="0" applyBorder="0" applyAlignment="0" applyProtection="0"/>
    <xf numFmtId="0" fontId="3" fillId="10" borderId="10" applyNumberFormat="0" applyFont="0" applyAlignment="0" applyProtection="0"/>
    <xf numFmtId="0" fontId="17" fillId="0" borderId="0" applyNumberFormat="0" applyFill="0" applyBorder="0" applyAlignment="0" applyProtection="0"/>
    <xf numFmtId="0" fontId="18" fillId="0" borderId="0" applyNumberFormat="0" applyFill="0" applyBorder="0">
      <alignment horizontal="left" vertical="center"/>
    </xf>
    <xf numFmtId="0" fontId="19" fillId="0" borderId="0" applyFill="0" applyBorder="0">
      <alignment vertical="center"/>
    </xf>
    <xf numFmtId="0" fontId="29" fillId="0" borderId="0" applyFill="0" applyBorder="0">
      <alignment horizontal="left" vertical="center"/>
    </xf>
    <xf numFmtId="0" fontId="35" fillId="0" borderId="0" applyFill="0" applyBorder="0">
      <alignment horizontal="left" vertical="center"/>
    </xf>
    <xf numFmtId="0" fontId="28" fillId="0" borderId="0" applyFill="0" applyBorder="0">
      <alignment horizontal="left" vertical="center"/>
    </xf>
    <xf numFmtId="0" fontId="27" fillId="0" borderId="0" applyFill="0" applyBorder="0">
      <alignment vertical="center"/>
    </xf>
    <xf numFmtId="0" fontId="31" fillId="15" borderId="0" applyBorder="0">
      <alignment horizontal="left" vertical="center"/>
    </xf>
    <xf numFmtId="0" fontId="30" fillId="15" borderId="0" applyBorder="0">
      <alignment horizontal="left" vertical="center"/>
    </xf>
    <xf numFmtId="171" fontId="27" fillId="0" borderId="0" applyFill="0" applyBorder="0">
      <alignment horizontal="right" vertical="center"/>
    </xf>
    <xf numFmtId="0" fontId="23" fillId="0" borderId="0">
      <alignment horizontal="right" vertical="center"/>
    </xf>
    <xf numFmtId="0" fontId="21" fillId="13" borderId="0">
      <alignment horizontal="left" indent="3"/>
    </xf>
    <xf numFmtId="0" fontId="21" fillId="14" borderId="0">
      <alignment horizontal="left" indent="3"/>
    </xf>
    <xf numFmtId="173" fontId="6" fillId="0" borderId="0">
      <alignment horizontal="center" vertical="center"/>
    </xf>
    <xf numFmtId="174" fontId="22" fillId="12" borderId="4">
      <alignment horizontal="center" vertical="center"/>
      <protection locked="0"/>
    </xf>
    <xf numFmtId="174" fontId="6" fillId="0" borderId="0"/>
    <xf numFmtId="165" fontId="28" fillId="0" borderId="0" applyFill="0" applyBorder="0">
      <alignment horizontal="right" vertical="center"/>
    </xf>
    <xf numFmtId="170" fontId="28" fillId="0" borderId="0" applyFill="0" applyBorder="0">
      <alignment horizontal="center" vertical="center"/>
    </xf>
    <xf numFmtId="171" fontId="28" fillId="0" borderId="0" applyFill="0" applyBorder="0">
      <alignment horizontal="right" vertical="center"/>
    </xf>
    <xf numFmtId="166" fontId="28" fillId="0" borderId="0" applyFill="0" applyBorder="0">
      <alignment horizontal="right" vertical="center"/>
    </xf>
    <xf numFmtId="167" fontId="28" fillId="0" borderId="0" applyFill="0" applyBorder="0">
      <alignment horizontal="right" vertical="center"/>
    </xf>
    <xf numFmtId="164" fontId="28" fillId="0" borderId="0" applyFill="0" applyBorder="0">
      <alignment horizontal="center" vertical="center"/>
    </xf>
    <xf numFmtId="0" fontId="28" fillId="16" borderId="4">
      <alignment horizontal="center" vertical="center"/>
      <protection locked="0"/>
    </xf>
    <xf numFmtId="0" fontId="6" fillId="17" borderId="0"/>
    <xf numFmtId="165" fontId="33" fillId="3" borderId="4">
      <alignment horizontal="right" vertical="center"/>
      <protection locked="0"/>
    </xf>
    <xf numFmtId="0" fontId="52" fillId="0" borderId="0"/>
    <xf numFmtId="0" fontId="1" fillId="0" borderId="0"/>
    <xf numFmtId="0" fontId="60" fillId="22" borderId="0">
      <alignment horizontal="left" vertical="center"/>
      <protection locked="0"/>
    </xf>
    <xf numFmtId="0" fontId="52" fillId="0" borderId="0"/>
    <xf numFmtId="0" fontId="15" fillId="21" borderId="0">
      <alignment vertical="center"/>
      <protection locked="0"/>
    </xf>
    <xf numFmtId="176" fontId="61" fillId="26" borderId="42" applyBorder="0">
      <alignment horizontal="right"/>
      <protection locked="0"/>
    </xf>
    <xf numFmtId="176" fontId="5" fillId="27" borderId="51" applyBorder="0"/>
    <xf numFmtId="178" fontId="1" fillId="0" borderId="0" applyFont="0" applyFill="0" applyBorder="0" applyAlignment="0" applyProtection="0"/>
    <xf numFmtId="180" fontId="61" fillId="26" borderId="42" applyBorder="0">
      <alignment horizontal="right"/>
      <protection locked="0"/>
    </xf>
  </cellStyleXfs>
  <cellXfs count="333">
    <xf numFmtId="0" fontId="0" fillId="0" borderId="0" xfId="0"/>
    <xf numFmtId="0" fontId="0" fillId="0" borderId="0" xfId="0" applyAlignment="1">
      <alignment horizontal="left"/>
    </xf>
    <xf numFmtId="0" fontId="32" fillId="11" borderId="0" xfId="3">
      <alignment horizontal="left" vertical="center"/>
    </xf>
    <xf numFmtId="0" fontId="24" fillId="0" borderId="0" xfId="20">
      <alignment horizontal="left" vertical="center"/>
    </xf>
    <xf numFmtId="0" fontId="29" fillId="0" borderId="0" xfId="34">
      <alignment horizontal="left" vertical="center"/>
    </xf>
    <xf numFmtId="0" fontId="35" fillId="0" borderId="0" xfId="35" applyFill="1">
      <alignment horizontal="left" vertical="center"/>
    </xf>
    <xf numFmtId="0" fontId="28" fillId="0" borderId="0" xfId="36">
      <alignment horizontal="left" vertical="center"/>
    </xf>
    <xf numFmtId="0" fontId="27" fillId="0" borderId="0" xfId="37">
      <alignment vertical="center"/>
    </xf>
    <xf numFmtId="0" fontId="31" fillId="15" borderId="0" xfId="38">
      <alignment horizontal="left" vertical="center"/>
    </xf>
    <xf numFmtId="0" fontId="29" fillId="0" borderId="0" xfId="34" applyFill="1">
      <alignment horizontal="left" vertical="center"/>
    </xf>
    <xf numFmtId="0" fontId="27" fillId="0" borderId="0" xfId="37" applyFill="1">
      <alignment vertical="center"/>
    </xf>
    <xf numFmtId="0" fontId="28" fillId="0" borderId="0" xfId="36" applyFill="1">
      <alignment horizontal="left" vertical="center"/>
    </xf>
    <xf numFmtId="0" fontId="28" fillId="0" borderId="1" xfId="36" applyBorder="1" applyAlignment="1">
      <alignment horizontal="center" vertical="center"/>
    </xf>
    <xf numFmtId="0" fontId="20" fillId="0" borderId="0" xfId="37" applyFont="1" applyFill="1">
      <alignment vertical="center"/>
    </xf>
    <xf numFmtId="0" fontId="28" fillId="0" borderId="0" xfId="36" applyAlignment="1">
      <alignment horizontal="right" vertical="center"/>
    </xf>
    <xf numFmtId="0" fontId="29" fillId="0" borderId="0" xfId="34" applyAlignment="1">
      <alignment horizontal="center" vertical="center"/>
    </xf>
    <xf numFmtId="0" fontId="0" fillId="0" borderId="0" xfId="0" applyAlignment="1">
      <alignment horizontal="center"/>
    </xf>
    <xf numFmtId="0" fontId="28" fillId="0" borderId="0" xfId="36" applyAlignment="1">
      <alignment horizontal="center" vertical="center"/>
    </xf>
    <xf numFmtId="4" fontId="0" fillId="0" borderId="0" xfId="0" applyNumberFormat="1"/>
    <xf numFmtId="172" fontId="0" fillId="0" borderId="0" xfId="0" applyNumberFormat="1"/>
    <xf numFmtId="0" fontId="28" fillId="12" borderId="4" xfId="8">
      <alignment horizontal="left" vertical="center"/>
      <protection locked="0"/>
    </xf>
    <xf numFmtId="0" fontId="25" fillId="0" borderId="0" xfId="37" applyFont="1" applyFill="1">
      <alignment vertical="center"/>
    </xf>
    <xf numFmtId="0" fontId="28" fillId="0" borderId="0" xfId="36" applyAlignment="1">
      <alignment horizontal="left" vertical="center" indent="1"/>
    </xf>
    <xf numFmtId="169" fontId="27" fillId="0" borderId="0" xfId="13" applyNumberFormat="1">
      <alignment horizontal="right" vertical="center"/>
    </xf>
    <xf numFmtId="173" fontId="6" fillId="0" borderId="0" xfId="44" applyAlignment="1">
      <alignment horizontal="center"/>
    </xf>
    <xf numFmtId="173" fontId="6" fillId="0" borderId="3" xfId="44" applyBorder="1" applyAlignment="1">
      <alignment horizontal="center"/>
    </xf>
    <xf numFmtId="0" fontId="27" fillId="0" borderId="3" xfId="37" applyBorder="1">
      <alignment vertical="center"/>
    </xf>
    <xf numFmtId="0" fontId="26" fillId="0" borderId="0" xfId="3" applyFont="1" applyFill="1">
      <alignment horizontal="left" vertical="center"/>
    </xf>
    <xf numFmtId="0" fontId="18" fillId="0" borderId="0" xfId="32">
      <alignment horizontal="left" vertical="center"/>
    </xf>
    <xf numFmtId="0" fontId="6" fillId="17" borderId="0" xfId="54"/>
    <xf numFmtId="0" fontId="18" fillId="0" borderId="0" xfId="32" applyFill="1">
      <alignment horizontal="left" vertical="center"/>
    </xf>
    <xf numFmtId="170" fontId="28" fillId="0" borderId="1" xfId="48" applyBorder="1">
      <alignment horizontal="center" vertical="center"/>
    </xf>
    <xf numFmtId="170" fontId="27" fillId="0" borderId="0" xfId="11" applyAlignment="1">
      <alignment horizontal="right" vertical="center"/>
    </xf>
    <xf numFmtId="0" fontId="35" fillId="0" borderId="0" xfId="35" applyAlignment="1">
      <alignment horizontal="right" vertical="center"/>
    </xf>
    <xf numFmtId="0" fontId="35" fillId="0" borderId="0" xfId="35" applyAlignment="1">
      <alignment horizontal="center" vertical="center"/>
    </xf>
    <xf numFmtId="170" fontId="27" fillId="0" borderId="0" xfId="11">
      <alignment horizontal="center" vertical="center"/>
    </xf>
    <xf numFmtId="169" fontId="27" fillId="0" borderId="0" xfId="13" applyNumberFormat="1" applyAlignment="1">
      <alignment horizontal="center" vertical="center"/>
    </xf>
    <xf numFmtId="0" fontId="27" fillId="0" borderId="0" xfId="37" applyAlignment="1">
      <alignment horizontal="center" vertical="center"/>
    </xf>
    <xf numFmtId="0" fontId="35" fillId="0" borderId="2" xfId="35" applyBorder="1" applyAlignment="1">
      <alignment horizontal="center" vertical="center"/>
    </xf>
    <xf numFmtId="165" fontId="34" fillId="0" borderId="3" xfId="13" applyFont="1" applyFill="1" applyBorder="1" applyAlignment="1">
      <alignment horizontal="center" vertical="center"/>
    </xf>
    <xf numFmtId="0" fontId="35" fillId="0" borderId="3" xfId="35" applyFill="1" applyBorder="1" applyAlignment="1">
      <alignment horizontal="center" vertical="center"/>
    </xf>
    <xf numFmtId="0" fontId="28" fillId="0" borderId="0" xfId="36" applyFill="1" applyAlignment="1">
      <alignment horizontal="center" vertical="center"/>
    </xf>
    <xf numFmtId="173" fontId="6" fillId="0" borderId="0" xfId="44">
      <alignment horizontal="center" vertical="center"/>
    </xf>
    <xf numFmtId="0" fontId="35" fillId="0" borderId="2" xfId="35" applyBorder="1">
      <alignment horizontal="left" vertical="center"/>
    </xf>
    <xf numFmtId="0" fontId="35" fillId="0" borderId="3" xfId="35" applyFill="1" applyBorder="1">
      <alignment horizontal="left" vertical="center"/>
    </xf>
    <xf numFmtId="0" fontId="27" fillId="0" borderId="0" xfId="37" applyFill="1" applyAlignment="1">
      <alignment horizontal="center" vertical="center"/>
    </xf>
    <xf numFmtId="0" fontId="35" fillId="0" borderId="18" xfId="35" applyBorder="1" applyAlignment="1">
      <alignment horizontal="center" vertical="center"/>
    </xf>
    <xf numFmtId="0" fontId="35" fillId="0" borderId="19" xfId="35" applyBorder="1" applyAlignment="1">
      <alignment horizontal="center" vertical="center"/>
    </xf>
    <xf numFmtId="0" fontId="0" fillId="0" borderId="20" xfId="0" applyBorder="1"/>
    <xf numFmtId="0" fontId="0" fillId="0" borderId="21" xfId="0" applyBorder="1"/>
    <xf numFmtId="165" fontId="28" fillId="12" borderId="22" xfId="14" applyBorder="1" applyAlignment="1">
      <alignment horizontal="center" vertical="center"/>
      <protection locked="0"/>
    </xf>
    <xf numFmtId="165" fontId="28" fillId="12" borderId="4" xfId="14" applyAlignment="1">
      <alignment horizontal="center" vertical="center"/>
      <protection locked="0"/>
    </xf>
    <xf numFmtId="165" fontId="28" fillId="12" borderId="23" xfId="14" applyBorder="1" applyAlignment="1">
      <alignment horizontal="center" vertical="center"/>
      <protection locked="0"/>
    </xf>
    <xf numFmtId="165" fontId="34" fillId="0" borderId="24" xfId="13" applyFont="1" applyFill="1" applyBorder="1" applyAlignment="1">
      <alignment horizontal="center" vertical="center"/>
    </xf>
    <xf numFmtId="165" fontId="34" fillId="0" borderId="25" xfId="13" applyFont="1" applyFill="1" applyBorder="1" applyAlignment="1">
      <alignment horizontal="center" vertical="center"/>
    </xf>
    <xf numFmtId="165" fontId="28" fillId="12" borderId="27" xfId="14" applyBorder="1" applyAlignment="1">
      <alignment horizontal="center" vertical="center"/>
      <protection locked="0"/>
    </xf>
    <xf numFmtId="165" fontId="27" fillId="0" borderId="20" xfId="13" applyFill="1" applyBorder="1" applyAlignment="1">
      <alignment horizontal="center" vertical="center"/>
    </xf>
    <xf numFmtId="165" fontId="27" fillId="0" borderId="0" xfId="13" applyFill="1" applyBorder="1" applyAlignment="1">
      <alignment horizontal="center" vertical="center"/>
    </xf>
    <xf numFmtId="165" fontId="27" fillId="0" borderId="21" xfId="13" applyFill="1" applyBorder="1" applyAlignment="1">
      <alignment horizontal="center" vertical="center"/>
    </xf>
    <xf numFmtId="0" fontId="35" fillId="0" borderId="0" xfId="35" applyFill="1" applyAlignment="1">
      <alignment horizontal="center" vertical="center" wrapText="1"/>
    </xf>
    <xf numFmtId="165" fontId="27" fillId="0" borderId="17" xfId="13" applyFill="1" applyBorder="1" applyAlignment="1">
      <alignment horizontal="center" vertical="center"/>
    </xf>
    <xf numFmtId="167" fontId="27" fillId="0" borderId="0" xfId="15" applyAlignment="1">
      <alignment horizontal="center" vertical="center"/>
    </xf>
    <xf numFmtId="167" fontId="27" fillId="0" borderId="0" xfId="15" applyFill="1" applyAlignment="1">
      <alignment horizontal="center" vertical="center"/>
    </xf>
    <xf numFmtId="167" fontId="28" fillId="12" borderId="4" xfId="16" applyAlignment="1">
      <alignment horizontal="center" vertical="center"/>
      <protection locked="0"/>
    </xf>
    <xf numFmtId="167" fontId="27" fillId="0" borderId="1" xfId="15" applyFill="1" applyBorder="1" applyAlignment="1">
      <alignment horizontal="center" vertical="center"/>
    </xf>
    <xf numFmtId="0" fontId="29" fillId="0" borderId="0" xfId="34" applyFill="1" applyAlignment="1">
      <alignment horizontal="left"/>
    </xf>
    <xf numFmtId="173" fontId="37" fillId="0" borderId="0" xfId="44" applyFont="1">
      <alignment horizontal="center" vertical="center"/>
    </xf>
    <xf numFmtId="0" fontId="39" fillId="0" borderId="0" xfId="37" applyFont="1" applyFill="1">
      <alignment vertical="center"/>
    </xf>
    <xf numFmtId="0" fontId="38" fillId="0" borderId="0" xfId="0" applyFont="1"/>
    <xf numFmtId="173" fontId="37" fillId="0" borderId="20" xfId="44" applyFont="1" applyBorder="1">
      <alignment horizontal="center" vertical="center"/>
    </xf>
    <xf numFmtId="173" fontId="37" fillId="0" borderId="21" xfId="44" applyFont="1" applyBorder="1">
      <alignment horizontal="center" vertical="center"/>
    </xf>
    <xf numFmtId="173" fontId="37" fillId="0" borderId="17" xfId="44" applyFont="1" applyBorder="1">
      <alignment horizontal="center" vertical="center"/>
    </xf>
    <xf numFmtId="0" fontId="35" fillId="0" borderId="28" xfId="35" applyBorder="1" applyAlignment="1">
      <alignment horizontal="center" vertical="center"/>
    </xf>
    <xf numFmtId="0" fontId="0" fillId="0" borderId="17" xfId="0" applyBorder="1"/>
    <xf numFmtId="165" fontId="34" fillId="0" borderId="29" xfId="13" applyFont="1" applyFill="1" applyBorder="1" applyAlignment="1">
      <alignment horizontal="center" vertical="center"/>
    </xf>
    <xf numFmtId="165" fontId="28" fillId="12" borderId="31" xfId="14" applyBorder="1" applyAlignment="1">
      <alignment horizontal="center" vertical="center"/>
      <protection locked="0"/>
    </xf>
    <xf numFmtId="173" fontId="40" fillId="0" borderId="0" xfId="44" applyFont="1">
      <alignment horizontal="center" vertical="center"/>
    </xf>
    <xf numFmtId="0" fontId="42" fillId="0" borderId="0" xfId="0" applyFont="1"/>
    <xf numFmtId="0" fontId="43" fillId="0" borderId="0" xfId="37" applyFont="1" applyFill="1">
      <alignment vertical="center"/>
    </xf>
    <xf numFmtId="0" fontId="44" fillId="0" borderId="0" xfId="32" applyFont="1" applyFill="1">
      <alignment horizontal="left" vertical="center"/>
    </xf>
    <xf numFmtId="0" fontId="44" fillId="0" borderId="0" xfId="32" applyFont="1">
      <alignment horizontal="left" vertical="center"/>
    </xf>
    <xf numFmtId="0" fontId="45" fillId="0" borderId="0" xfId="3" applyFont="1" applyFill="1">
      <alignment horizontal="left" vertical="center"/>
    </xf>
    <xf numFmtId="0" fontId="46" fillId="0" borderId="0" xfId="37" applyFont="1" applyFill="1">
      <alignment vertical="center"/>
    </xf>
    <xf numFmtId="170" fontId="46" fillId="0" borderId="0" xfId="11" applyFont="1">
      <alignment horizontal="center" vertical="center"/>
    </xf>
    <xf numFmtId="169" fontId="46" fillId="0" borderId="0" xfId="13" applyNumberFormat="1" applyFont="1" applyAlignment="1">
      <alignment horizontal="center" vertical="center"/>
    </xf>
    <xf numFmtId="0" fontId="46" fillId="0" borderId="0" xfId="37" applyFont="1" applyAlignment="1">
      <alignment horizontal="center" vertical="center"/>
    </xf>
    <xf numFmtId="0" fontId="47" fillId="0" borderId="0" xfId="35" applyFont="1" applyFill="1">
      <alignment horizontal="left" vertical="center"/>
    </xf>
    <xf numFmtId="0" fontId="47" fillId="0" borderId="0" xfId="35" applyFont="1" applyAlignment="1">
      <alignment horizontal="center" vertical="center"/>
    </xf>
    <xf numFmtId="0" fontId="48" fillId="11" borderId="0" xfId="3" applyFont="1">
      <alignment horizontal="left" vertical="center"/>
    </xf>
    <xf numFmtId="0" fontId="49" fillId="15" borderId="0" xfId="38" applyFont="1">
      <alignment horizontal="left" vertical="center"/>
    </xf>
    <xf numFmtId="0" fontId="47" fillId="0" borderId="2" xfId="35" applyFont="1" applyBorder="1">
      <alignment horizontal="left" vertical="center"/>
    </xf>
    <xf numFmtId="0" fontId="47" fillId="0" borderId="2" xfId="35" applyFont="1" applyBorder="1" applyAlignment="1">
      <alignment horizontal="center" vertical="center"/>
    </xf>
    <xf numFmtId="0" fontId="47" fillId="0" borderId="18" xfId="35" applyFont="1" applyBorder="1" applyAlignment="1">
      <alignment horizontal="center" vertical="center"/>
    </xf>
    <xf numFmtId="0" fontId="47" fillId="0" borderId="19" xfId="35" applyFont="1" applyBorder="1" applyAlignment="1">
      <alignment horizontal="center" vertical="center"/>
    </xf>
    <xf numFmtId="0" fontId="42" fillId="0" borderId="20" xfId="0" applyFont="1" applyBorder="1"/>
    <xf numFmtId="0" fontId="42" fillId="0" borderId="17" xfId="0" applyFont="1" applyBorder="1"/>
    <xf numFmtId="0" fontId="42" fillId="0" borderId="21" xfId="0" applyFont="1" applyBorder="1"/>
    <xf numFmtId="0" fontId="46" fillId="0" borderId="0" xfId="37" applyFont="1" applyFill="1" applyAlignment="1">
      <alignment horizontal="center" vertical="center"/>
    </xf>
    <xf numFmtId="165" fontId="50" fillId="12" borderId="26" xfId="14" applyFont="1" applyBorder="1" applyAlignment="1">
      <alignment horizontal="center" vertical="center"/>
      <protection locked="0"/>
    </xf>
    <xf numFmtId="165" fontId="46" fillId="0" borderId="0" xfId="13" applyFont="1" applyFill="1" applyBorder="1" applyAlignment="1">
      <alignment horizontal="center" vertical="center"/>
    </xf>
    <xf numFmtId="165" fontId="46" fillId="0" borderId="20" xfId="13" applyFont="1" applyFill="1" applyBorder="1" applyAlignment="1">
      <alignment horizontal="center" vertical="center"/>
    </xf>
    <xf numFmtId="165" fontId="46" fillId="0" borderId="21" xfId="13" applyFont="1" applyFill="1" applyBorder="1" applyAlignment="1">
      <alignment horizontal="center" vertical="center"/>
    </xf>
    <xf numFmtId="0" fontId="47" fillId="0" borderId="3" xfId="35" applyFont="1" applyFill="1" applyBorder="1">
      <alignment horizontal="left" vertical="center"/>
    </xf>
    <xf numFmtId="0" fontId="47" fillId="0" borderId="3" xfId="35" applyFont="1" applyFill="1" applyBorder="1" applyAlignment="1">
      <alignment horizontal="center" vertical="center"/>
    </xf>
    <xf numFmtId="165" fontId="51" fillId="0" borderId="24" xfId="13" applyFont="1" applyFill="1" applyBorder="1" applyAlignment="1">
      <alignment horizontal="center" vertical="center"/>
    </xf>
    <xf numFmtId="165" fontId="51" fillId="0" borderId="3" xfId="13" applyFont="1" applyFill="1" applyBorder="1" applyAlignment="1">
      <alignment horizontal="center" vertical="center"/>
    </xf>
    <xf numFmtId="165" fontId="51" fillId="0" borderId="29" xfId="13" applyFont="1" applyFill="1" applyBorder="1" applyAlignment="1">
      <alignment horizontal="center" vertical="center"/>
    </xf>
    <xf numFmtId="165" fontId="51" fillId="0" borderId="25" xfId="13" applyFont="1" applyFill="1" applyBorder="1" applyAlignment="1">
      <alignment horizontal="center" vertical="center"/>
    </xf>
    <xf numFmtId="165" fontId="50" fillId="12" borderId="4" xfId="14" applyFont="1" applyAlignment="1">
      <alignment horizontal="center" vertical="center"/>
      <protection locked="0"/>
    </xf>
    <xf numFmtId="165" fontId="50" fillId="12" borderId="31" xfId="14" applyFont="1" applyBorder="1" applyAlignment="1">
      <alignment horizontal="center" vertical="center"/>
      <protection locked="0"/>
    </xf>
    <xf numFmtId="165" fontId="50" fillId="12" borderId="22" xfId="14" applyFont="1" applyBorder="1" applyAlignment="1">
      <alignment horizontal="center" vertical="center"/>
      <protection locked="0"/>
    </xf>
    <xf numFmtId="165" fontId="50" fillId="12" borderId="23" xfId="14" applyFont="1" applyBorder="1" applyAlignment="1">
      <alignment horizontal="center" vertical="center"/>
      <protection locked="0"/>
    </xf>
    <xf numFmtId="173" fontId="40" fillId="0" borderId="17" xfId="44" applyFont="1" applyBorder="1">
      <alignment horizontal="center" vertical="center"/>
    </xf>
    <xf numFmtId="173" fontId="40" fillId="0" borderId="20" xfId="44" applyFont="1" applyBorder="1">
      <alignment horizontal="center" vertical="center"/>
    </xf>
    <xf numFmtId="173" fontId="40" fillId="0" borderId="21" xfId="44" applyFont="1" applyBorder="1">
      <alignment horizontal="center" vertical="center"/>
    </xf>
    <xf numFmtId="0" fontId="28" fillId="16" borderId="1" xfId="53" applyBorder="1">
      <alignment horizontal="center" vertical="center"/>
      <protection locked="0"/>
    </xf>
    <xf numFmtId="0" fontId="35" fillId="0" borderId="0" xfId="35" applyFill="1" applyAlignment="1">
      <alignment horizontal="left" vertical="center" wrapText="1"/>
    </xf>
    <xf numFmtId="0" fontId="35" fillId="0" borderId="20" xfId="35" applyFill="1" applyBorder="1" applyAlignment="1">
      <alignment horizontal="center" vertical="center" wrapText="1"/>
    </xf>
    <xf numFmtId="0" fontId="35" fillId="0" borderId="0" xfId="35" applyFill="1" applyBorder="1" applyAlignment="1">
      <alignment horizontal="center" vertical="center" wrapText="1"/>
    </xf>
    <xf numFmtId="0" fontId="35" fillId="0" borderId="21" xfId="35" applyFill="1" applyBorder="1" applyAlignment="1">
      <alignment horizontal="center" vertical="center" wrapText="1"/>
    </xf>
    <xf numFmtId="0" fontId="27" fillId="0" borderId="0" xfId="37" applyFill="1" applyBorder="1">
      <alignment vertical="center"/>
    </xf>
    <xf numFmtId="167" fontId="27" fillId="0" borderId="20" xfId="15" applyBorder="1" applyAlignment="1">
      <alignment horizontal="center" vertical="center"/>
    </xf>
    <xf numFmtId="167" fontId="27" fillId="0" borderId="0" xfId="15" applyBorder="1" applyAlignment="1">
      <alignment horizontal="center" vertical="center"/>
    </xf>
    <xf numFmtId="167" fontId="27" fillId="0" borderId="21" xfId="15" applyBorder="1" applyAlignment="1">
      <alignment horizontal="center" vertical="center"/>
    </xf>
    <xf numFmtId="0" fontId="27" fillId="0" borderId="0" xfId="37" applyFill="1" applyAlignment="1">
      <alignment horizontal="left" vertical="center" indent="1"/>
    </xf>
    <xf numFmtId="0" fontId="53" fillId="18" borderId="0" xfId="56" quotePrefix="1" applyFont="1" applyFill="1" applyAlignment="1">
      <alignment horizontal="right"/>
    </xf>
    <xf numFmtId="0" fontId="56" fillId="0" borderId="0" xfId="0" applyFont="1"/>
    <xf numFmtId="0" fontId="57" fillId="0" borderId="0" xfId="35" applyFont="1" applyFill="1" applyAlignment="1">
      <alignment horizontal="center" vertical="center" wrapText="1"/>
    </xf>
    <xf numFmtId="0" fontId="58" fillId="19" borderId="0" xfId="57" applyFont="1" applyFill="1" applyAlignment="1" applyProtection="1">
      <alignment horizontal="right" indent="1"/>
      <protection locked="0"/>
    </xf>
    <xf numFmtId="0" fontId="59" fillId="20" borderId="0" xfId="57" applyFont="1" applyFill="1" applyAlignment="1">
      <alignment vertical="center"/>
    </xf>
    <xf numFmtId="0" fontId="1" fillId="21" borderId="0" xfId="57" applyFill="1"/>
    <xf numFmtId="0" fontId="1" fillId="19" borderId="0" xfId="57" applyFill="1"/>
    <xf numFmtId="0" fontId="1" fillId="0" borderId="0" xfId="57"/>
    <xf numFmtId="0" fontId="59" fillId="20" borderId="0" xfId="57" applyFont="1" applyFill="1" applyAlignment="1">
      <alignment horizontal="left" vertical="center"/>
    </xf>
    <xf numFmtId="0" fontId="59" fillId="21" borderId="0" xfId="57" applyFont="1" applyFill="1" applyAlignment="1">
      <alignment horizontal="left" vertical="center" wrapText="1"/>
    </xf>
    <xf numFmtId="0" fontId="60" fillId="22" borderId="0" xfId="58">
      <alignment horizontal="left" vertical="center"/>
      <protection locked="0"/>
    </xf>
    <xf numFmtId="0" fontId="61" fillId="23" borderId="1" xfId="59" applyFont="1" applyFill="1" applyBorder="1" applyAlignment="1">
      <alignment vertical="center" wrapText="1"/>
    </xf>
    <xf numFmtId="0" fontId="58" fillId="19" borderId="0" xfId="57" applyFont="1" applyFill="1" applyAlignment="1">
      <alignment horizontal="right" indent="1"/>
    </xf>
    <xf numFmtId="0" fontId="64" fillId="21" borderId="0" xfId="60" applyFont="1">
      <alignment vertical="center"/>
      <protection locked="0"/>
    </xf>
    <xf numFmtId="0" fontId="65" fillId="19" borderId="0" xfId="57" applyFont="1" applyFill="1"/>
    <xf numFmtId="0" fontId="67" fillId="0" borderId="0" xfId="57" applyFont="1"/>
    <xf numFmtId="0" fontId="67" fillId="19" borderId="0" xfId="57" applyFont="1" applyFill="1"/>
    <xf numFmtId="0" fontId="1" fillId="19" borderId="0" xfId="57" applyFill="1" applyAlignment="1">
      <alignment vertical="center"/>
    </xf>
    <xf numFmtId="0" fontId="1" fillId="0" borderId="0" xfId="57" applyAlignment="1">
      <alignment vertical="center"/>
    </xf>
    <xf numFmtId="0" fontId="15" fillId="19" borderId="0" xfId="57" applyFont="1" applyFill="1" applyAlignment="1">
      <alignment horizontal="right" indent="1"/>
    </xf>
    <xf numFmtId="0" fontId="5" fillId="24" borderId="36" xfId="57" applyFont="1" applyFill="1" applyBorder="1" applyAlignment="1">
      <alignment horizontal="center" vertical="center"/>
    </xf>
    <xf numFmtId="0" fontId="5" fillId="24" borderId="37" xfId="57" applyFont="1" applyFill="1" applyBorder="1" applyAlignment="1">
      <alignment horizontal="center" vertical="center"/>
    </xf>
    <xf numFmtId="0" fontId="5" fillId="24" borderId="38" xfId="57" applyFont="1" applyFill="1" applyBorder="1" applyAlignment="1">
      <alignment horizontal="center" vertical="center"/>
    </xf>
    <xf numFmtId="0" fontId="65" fillId="25" borderId="39" xfId="57" applyFont="1" applyFill="1" applyBorder="1" applyAlignment="1">
      <alignment horizontal="left" vertical="center" wrapText="1"/>
    </xf>
    <xf numFmtId="0" fontId="65" fillId="25" borderId="40" xfId="57" applyFont="1" applyFill="1" applyBorder="1" applyAlignment="1">
      <alignment horizontal="left" vertical="center" wrapText="1"/>
    </xf>
    <xf numFmtId="0" fontId="1" fillId="19" borderId="0" xfId="57" applyFill="1" applyAlignment="1">
      <alignment horizontal="right" indent="1"/>
    </xf>
    <xf numFmtId="0" fontId="1" fillId="0" borderId="41" xfId="57" applyBorder="1" applyAlignment="1">
      <alignment horizontal="left" vertical="center" wrapText="1" indent="1"/>
    </xf>
    <xf numFmtId="176" fontId="61" fillId="26" borderId="43" xfId="61" applyBorder="1">
      <alignment horizontal="right"/>
      <protection locked="0"/>
    </xf>
    <xf numFmtId="176" fontId="61" fillId="26" borderId="44" xfId="61" applyBorder="1">
      <alignment horizontal="right"/>
      <protection locked="0"/>
    </xf>
    <xf numFmtId="176" fontId="61" fillId="26" borderId="45" xfId="61" applyBorder="1">
      <alignment horizontal="right"/>
      <protection locked="0"/>
    </xf>
    <xf numFmtId="0" fontId="1" fillId="0" borderId="46" xfId="57" applyBorder="1" applyAlignment="1">
      <alignment horizontal="left" vertical="center" wrapText="1" indent="2"/>
    </xf>
    <xf numFmtId="176" fontId="61" fillId="26" borderId="47" xfId="61" applyBorder="1">
      <alignment horizontal="right"/>
      <protection locked="0"/>
    </xf>
    <xf numFmtId="176" fontId="61" fillId="26" borderId="48" xfId="61" applyBorder="1">
      <alignment horizontal="right"/>
      <protection locked="0"/>
    </xf>
    <xf numFmtId="176" fontId="61" fillId="26" borderId="49" xfId="61" applyBorder="1">
      <alignment horizontal="right"/>
      <protection locked="0"/>
    </xf>
    <xf numFmtId="0" fontId="1" fillId="0" borderId="50" xfId="57" applyBorder="1" applyAlignment="1">
      <alignment horizontal="left" vertical="center" wrapText="1" indent="1"/>
    </xf>
    <xf numFmtId="176" fontId="5" fillId="27" borderId="37" xfId="62" applyBorder="1"/>
    <xf numFmtId="176" fontId="5" fillId="27" borderId="52" xfId="62" applyBorder="1"/>
    <xf numFmtId="176" fontId="5" fillId="27" borderId="53" xfId="62" applyBorder="1"/>
    <xf numFmtId="177" fontId="1" fillId="0" borderId="0" xfId="57" applyNumberFormat="1" applyAlignment="1">
      <alignment horizontal="center" vertical="center" wrapText="1"/>
    </xf>
    <xf numFmtId="0" fontId="1" fillId="19" borderId="54" xfId="57" applyFill="1" applyBorder="1"/>
    <xf numFmtId="0" fontId="65" fillId="25" borderId="55" xfId="57" applyFont="1" applyFill="1" applyBorder="1" applyAlignment="1">
      <alignment horizontal="left" vertical="center" wrapText="1"/>
    </xf>
    <xf numFmtId="179" fontId="0" fillId="0" borderId="0" xfId="63" applyNumberFormat="1" applyFont="1" applyFill="1" applyBorder="1"/>
    <xf numFmtId="176" fontId="61" fillId="28" borderId="43" xfId="61" applyFill="1" applyBorder="1">
      <alignment horizontal="right"/>
      <protection locked="0"/>
    </xf>
    <xf numFmtId="176" fontId="61" fillId="28" borderId="44" xfId="61" applyFill="1" applyBorder="1">
      <alignment horizontal="right"/>
      <protection locked="0"/>
    </xf>
    <xf numFmtId="176" fontId="61" fillId="28" borderId="45" xfId="61" applyFill="1" applyBorder="1">
      <alignment horizontal="right"/>
      <protection locked="0"/>
    </xf>
    <xf numFmtId="176" fontId="61" fillId="28" borderId="47" xfId="61" applyFill="1" applyBorder="1">
      <alignment horizontal="right"/>
      <protection locked="0"/>
    </xf>
    <xf numFmtId="176" fontId="61" fillId="28" borderId="48" xfId="61" applyFill="1" applyBorder="1">
      <alignment horizontal="right"/>
      <protection locked="0"/>
    </xf>
    <xf numFmtId="176" fontId="61" fillId="28" borderId="49" xfId="61" applyFill="1" applyBorder="1">
      <alignment horizontal="right"/>
      <protection locked="0"/>
    </xf>
    <xf numFmtId="176" fontId="61" fillId="26" borderId="59" xfId="61" applyBorder="1">
      <alignment horizontal="right"/>
      <protection locked="0"/>
    </xf>
    <xf numFmtId="176" fontId="61" fillId="26" borderId="60" xfId="61" applyBorder="1">
      <alignment horizontal="right"/>
      <protection locked="0"/>
    </xf>
    <xf numFmtId="0" fontId="1" fillId="0" borderId="46" xfId="57" applyBorder="1" applyAlignment="1">
      <alignment horizontal="left" vertical="center" wrapText="1" indent="1"/>
    </xf>
    <xf numFmtId="176" fontId="61" fillId="26" borderId="61" xfId="61" applyBorder="1">
      <alignment horizontal="right"/>
      <protection locked="0"/>
    </xf>
    <xf numFmtId="176" fontId="61" fillId="26" borderId="62" xfId="61" applyBorder="1">
      <alignment horizontal="right"/>
      <protection locked="0"/>
    </xf>
    <xf numFmtId="176" fontId="61" fillId="26" borderId="63" xfId="61" applyBorder="1">
      <alignment horizontal="right"/>
      <protection locked="0"/>
    </xf>
    <xf numFmtId="0" fontId="68" fillId="0" borderId="50" xfId="57" applyFont="1" applyBorder="1" applyAlignment="1">
      <alignment horizontal="left" vertical="center" wrapText="1" indent="1"/>
    </xf>
    <xf numFmtId="176" fontId="61" fillId="26" borderId="37" xfId="61" applyBorder="1">
      <alignment horizontal="right"/>
      <protection locked="0"/>
    </xf>
    <xf numFmtId="176" fontId="61" fillId="26" borderId="52" xfId="61" applyBorder="1">
      <alignment horizontal="right"/>
      <protection locked="0"/>
    </xf>
    <xf numFmtId="0" fontId="1" fillId="0" borderId="64" xfId="57" applyBorder="1"/>
    <xf numFmtId="176" fontId="61" fillId="26" borderId="53" xfId="61" applyBorder="1">
      <alignment horizontal="right"/>
      <protection locked="0"/>
    </xf>
    <xf numFmtId="0" fontId="1" fillId="19" borderId="64" xfId="57" applyFill="1" applyBorder="1"/>
    <xf numFmtId="177" fontId="0" fillId="19" borderId="0" xfId="63" applyNumberFormat="1" applyFont="1" applyFill="1" applyBorder="1"/>
    <xf numFmtId="0" fontId="69" fillId="25" borderId="65" xfId="57" applyFont="1" applyFill="1" applyBorder="1" applyAlignment="1">
      <alignment horizontal="left" vertical="center" wrapText="1" indent="1"/>
    </xf>
    <xf numFmtId="0" fontId="65" fillId="25" borderId="66" xfId="57" applyFont="1" applyFill="1" applyBorder="1" applyAlignment="1">
      <alignment horizontal="left" vertical="center" wrapText="1"/>
    </xf>
    <xf numFmtId="180" fontId="61" fillId="26" borderId="59" xfId="64" applyBorder="1">
      <alignment horizontal="right"/>
      <protection locked="0"/>
    </xf>
    <xf numFmtId="180" fontId="61" fillId="26" borderId="60" xfId="64" applyBorder="1">
      <alignment horizontal="right"/>
      <protection locked="0"/>
    </xf>
    <xf numFmtId="180" fontId="61" fillId="26" borderId="47" xfId="64" applyBorder="1">
      <alignment horizontal="right"/>
      <protection locked="0"/>
    </xf>
    <xf numFmtId="180" fontId="61" fillId="26" borderId="48" xfId="64" applyBorder="1">
      <alignment horizontal="right"/>
      <protection locked="0"/>
    </xf>
    <xf numFmtId="180" fontId="61" fillId="26" borderId="37" xfId="64" applyBorder="1">
      <alignment horizontal="right"/>
      <protection locked="0"/>
    </xf>
    <xf numFmtId="180" fontId="61" fillId="26" borderId="52" xfId="64" applyBorder="1">
      <alignment horizontal="right"/>
      <protection locked="0"/>
    </xf>
    <xf numFmtId="180" fontId="61" fillId="26" borderId="43" xfId="64" applyBorder="1">
      <alignment horizontal="right"/>
      <protection locked="0"/>
    </xf>
    <xf numFmtId="180" fontId="61" fillId="26" borderId="44" xfId="64" applyBorder="1">
      <alignment horizontal="right"/>
      <protection locked="0"/>
    </xf>
    <xf numFmtId="0" fontId="58" fillId="0" borderId="0" xfId="57" applyFont="1" applyAlignment="1">
      <alignment horizontal="right" indent="1"/>
    </xf>
    <xf numFmtId="173" fontId="6" fillId="0" borderId="20" xfId="44" applyBorder="1">
      <alignment horizontal="center" vertical="center"/>
    </xf>
    <xf numFmtId="173" fontId="6" fillId="0" borderId="21" xfId="44" applyBorder="1">
      <alignment horizontal="center" vertical="center"/>
    </xf>
    <xf numFmtId="173" fontId="70" fillId="0" borderId="0" xfId="44" applyFont="1">
      <alignment horizontal="center" vertical="center"/>
    </xf>
    <xf numFmtId="0" fontId="71" fillId="0" borderId="0" xfId="20" applyFont="1">
      <alignment horizontal="left" vertical="center"/>
    </xf>
    <xf numFmtId="0" fontId="72" fillId="0" borderId="0" xfId="0" applyFont="1"/>
    <xf numFmtId="0" fontId="73" fillId="0" borderId="0" xfId="37" applyFont="1" applyFill="1">
      <alignment vertical="center"/>
    </xf>
    <xf numFmtId="0" fontId="74" fillId="0" borderId="0" xfId="32" applyFont="1" applyFill="1">
      <alignment horizontal="left" vertical="center"/>
    </xf>
    <xf numFmtId="0" fontId="74" fillId="0" borderId="0" xfId="32" applyFont="1">
      <alignment horizontal="left" vertical="center"/>
    </xf>
    <xf numFmtId="0" fontId="75" fillId="0" borderId="0" xfId="3" applyFont="1" applyFill="1">
      <alignment horizontal="left" vertical="center"/>
    </xf>
    <xf numFmtId="0" fontId="76" fillId="0" borderId="0" xfId="37" applyFont="1" applyFill="1">
      <alignment vertical="center"/>
    </xf>
    <xf numFmtId="170" fontId="76" fillId="0" borderId="0" xfId="11" applyFont="1">
      <alignment horizontal="center" vertical="center"/>
    </xf>
    <xf numFmtId="169" fontId="76" fillId="0" borderId="0" xfId="13" applyNumberFormat="1" applyFont="1" applyAlignment="1">
      <alignment horizontal="center" vertical="center"/>
    </xf>
    <xf numFmtId="0" fontId="76" fillId="0" borderId="0" xfId="37" applyFont="1" applyAlignment="1">
      <alignment horizontal="center" vertical="center"/>
    </xf>
    <xf numFmtId="0" fontId="77" fillId="0" borderId="0" xfId="35" applyFont="1" applyFill="1">
      <alignment horizontal="left" vertical="center"/>
    </xf>
    <xf numFmtId="0" fontId="77" fillId="0" borderId="0" xfId="35" applyFont="1" applyAlignment="1">
      <alignment horizontal="center" vertical="center"/>
    </xf>
    <xf numFmtId="0" fontId="78" fillId="11" borderId="0" xfId="3" applyFont="1">
      <alignment horizontal="left" vertical="center"/>
    </xf>
    <xf numFmtId="0" fontId="79" fillId="15" borderId="0" xfId="38" applyFont="1">
      <alignment horizontal="left" vertical="center"/>
    </xf>
    <xf numFmtId="0" fontId="77" fillId="0" borderId="2" xfId="35" applyFont="1" applyBorder="1">
      <alignment horizontal="left" vertical="center"/>
    </xf>
    <xf numFmtId="0" fontId="77" fillId="0" borderId="2" xfId="35" applyFont="1" applyBorder="1" applyAlignment="1">
      <alignment horizontal="center" vertical="center"/>
    </xf>
    <xf numFmtId="0" fontId="76" fillId="0" borderId="0" xfId="37" applyFont="1" applyFill="1" applyAlignment="1">
      <alignment horizontal="center" vertical="center"/>
    </xf>
    <xf numFmtId="0" fontId="77" fillId="0" borderId="3" xfId="35" applyFont="1" applyFill="1" applyBorder="1">
      <alignment horizontal="left" vertical="center"/>
    </xf>
    <xf numFmtId="0" fontId="77" fillId="0" borderId="3" xfId="35" applyFont="1" applyFill="1" applyBorder="1" applyAlignment="1">
      <alignment horizontal="center" vertical="center"/>
    </xf>
    <xf numFmtId="165" fontId="80" fillId="0" borderId="3" xfId="13" applyFont="1" applyFill="1" applyBorder="1" applyAlignment="1">
      <alignment horizontal="center" vertical="center"/>
    </xf>
    <xf numFmtId="165" fontId="81" fillId="12" borderId="4" xfId="14" applyFont="1" applyAlignment="1">
      <alignment horizontal="center" vertical="center"/>
      <protection locked="0"/>
    </xf>
    <xf numFmtId="169" fontId="76" fillId="0" borderId="0" xfId="13" applyNumberFormat="1" applyFont="1" applyFill="1" applyBorder="1" applyAlignment="1">
      <alignment horizontal="center" vertical="center"/>
    </xf>
    <xf numFmtId="165" fontId="76" fillId="0" borderId="0" xfId="13" applyFont="1" applyFill="1" applyBorder="1" applyAlignment="1">
      <alignment horizontal="center" vertical="center"/>
    </xf>
    <xf numFmtId="0" fontId="82" fillId="0" borderId="0" xfId="0" applyFont="1"/>
    <xf numFmtId="0" fontId="83" fillId="0" borderId="0" xfId="20" applyFont="1">
      <alignment horizontal="left" vertical="center"/>
    </xf>
    <xf numFmtId="0" fontId="84" fillId="0" borderId="0" xfId="34" applyFont="1" applyFill="1" applyBorder="1" applyAlignment="1">
      <alignment vertical="center"/>
    </xf>
    <xf numFmtId="0" fontId="85" fillId="0" borderId="0" xfId="36" applyFont="1" applyFill="1" applyBorder="1">
      <alignment horizontal="left" vertical="center"/>
    </xf>
    <xf numFmtId="0" fontId="84" fillId="0" borderId="0" xfId="34" applyFont="1" applyFill="1">
      <alignment horizontal="left" vertical="center"/>
    </xf>
    <xf numFmtId="0" fontId="85" fillId="0" borderId="0" xfId="36" applyFont="1" applyFill="1">
      <alignment horizontal="left" vertical="center"/>
    </xf>
    <xf numFmtId="0" fontId="82" fillId="0" borderId="14" xfId="0" applyFont="1" applyBorder="1"/>
    <xf numFmtId="0" fontId="82" fillId="0" borderId="3" xfId="0" applyFont="1" applyBorder="1"/>
    <xf numFmtId="0" fontId="82" fillId="0" borderId="15" xfId="0" applyFont="1" applyBorder="1"/>
    <xf numFmtId="0" fontId="82" fillId="0" borderId="12" xfId="0" applyFont="1" applyBorder="1"/>
    <xf numFmtId="0" fontId="85" fillId="12" borderId="4" xfId="8" applyFont="1" applyAlignment="1">
      <alignment horizontal="center" vertical="center"/>
      <protection locked="0"/>
    </xf>
    <xf numFmtId="0" fontId="85" fillId="0" borderId="0" xfId="36" applyFont="1" applyBorder="1">
      <alignment horizontal="left" vertical="center"/>
    </xf>
    <xf numFmtId="0" fontId="82" fillId="0" borderId="11" xfId="0" applyFont="1" applyBorder="1"/>
    <xf numFmtId="0" fontId="85" fillId="16" borderId="4" xfId="53" applyFont="1">
      <alignment horizontal="center" vertical="center"/>
      <protection locked="0"/>
    </xf>
    <xf numFmtId="0" fontId="84" fillId="0" borderId="0" xfId="34" applyFont="1" applyBorder="1" applyAlignment="1">
      <alignment horizontal="center" vertical="center"/>
    </xf>
    <xf numFmtId="0" fontId="86" fillId="0" borderId="0" xfId="35" applyFont="1" applyBorder="1" applyAlignment="1">
      <alignment horizontal="center" vertical="center"/>
    </xf>
    <xf numFmtId="0" fontId="87" fillId="11" borderId="0" xfId="3" applyFont="1" applyBorder="1" applyAlignment="1">
      <alignment horizontal="center" vertical="center"/>
    </xf>
    <xf numFmtId="0" fontId="88" fillId="15" borderId="0" xfId="38" applyFont="1" applyBorder="1" applyAlignment="1">
      <alignment horizontal="center" vertical="center"/>
    </xf>
    <xf numFmtId="0" fontId="89" fillId="17" borderId="0" xfId="54" applyFont="1"/>
    <xf numFmtId="0" fontId="90" fillId="0" borderId="0" xfId="32" applyFont="1" applyAlignment="1">
      <alignment horizontal="center" vertical="center"/>
    </xf>
    <xf numFmtId="165" fontId="85" fillId="3" borderId="4" xfId="14" applyFont="1" applyFill="1">
      <alignment horizontal="right" vertical="center"/>
      <protection locked="0"/>
    </xf>
    <xf numFmtId="0" fontId="82" fillId="0" borderId="16" xfId="0" applyFont="1" applyBorder="1"/>
    <xf numFmtId="0" fontId="82" fillId="0" borderId="2" xfId="0" applyFont="1" applyBorder="1"/>
    <xf numFmtId="0" fontId="82" fillId="0" borderId="13" xfId="0" applyFont="1" applyBorder="1"/>
    <xf numFmtId="0" fontId="90" fillId="0" borderId="0" xfId="32" applyFont="1" applyBorder="1">
      <alignment horizontal="left" vertical="center"/>
    </xf>
    <xf numFmtId="0" fontId="92" fillId="0" borderId="0" xfId="36" applyFont="1" applyFill="1">
      <alignment horizontal="left" vertical="center"/>
    </xf>
    <xf numFmtId="0" fontId="27" fillId="17" borderId="0" xfId="37" applyFill="1" applyAlignment="1">
      <alignment horizontal="center" vertical="center"/>
    </xf>
    <xf numFmtId="167" fontId="28" fillId="12" borderId="67" xfId="16" applyBorder="1" applyAlignment="1">
      <alignment horizontal="center" vertical="center"/>
      <protection locked="0"/>
    </xf>
    <xf numFmtId="167" fontId="28" fillId="12" borderId="68" xfId="16" applyBorder="1" applyAlignment="1">
      <alignment horizontal="center" vertical="center"/>
      <protection locked="0"/>
    </xf>
    <xf numFmtId="167" fontId="28" fillId="12" borderId="69" xfId="16" applyBorder="1" applyAlignment="1">
      <alignment horizontal="center" vertical="center"/>
      <protection locked="0"/>
    </xf>
    <xf numFmtId="167" fontId="28" fillId="12" borderId="70" xfId="16" applyBorder="1" applyAlignment="1">
      <alignment horizontal="center" vertical="center"/>
      <protection locked="0"/>
    </xf>
    <xf numFmtId="167" fontId="28" fillId="12" borderId="71" xfId="16" applyBorder="1" applyAlignment="1">
      <alignment horizontal="center" vertical="center"/>
      <protection locked="0"/>
    </xf>
    <xf numFmtId="167" fontId="28" fillId="12" borderId="30" xfId="16" applyBorder="1" applyAlignment="1">
      <alignment horizontal="center" vertical="center"/>
      <protection locked="0"/>
    </xf>
    <xf numFmtId="173" fontId="6" fillId="0" borderId="0" xfId="44" applyAlignment="1">
      <alignment horizontal="right" vertical="center"/>
    </xf>
    <xf numFmtId="181" fontId="28" fillId="12" borderId="4" xfId="16" applyNumberFormat="1" applyAlignment="1">
      <alignment horizontal="center" vertical="center"/>
      <protection locked="0"/>
    </xf>
    <xf numFmtId="0" fontId="93" fillId="0" borderId="0" xfId="37" applyFont="1">
      <alignment vertical="center"/>
    </xf>
    <xf numFmtId="175" fontId="27" fillId="0" borderId="0" xfId="13" applyNumberFormat="1" applyFill="1" applyBorder="1" applyAlignment="1">
      <alignment horizontal="center" vertical="center"/>
    </xf>
    <xf numFmtId="175" fontId="27" fillId="0" borderId="21" xfId="13" applyNumberFormat="1" applyFill="1" applyBorder="1" applyAlignment="1">
      <alignment horizontal="center" vertical="center"/>
    </xf>
    <xf numFmtId="175" fontId="27" fillId="0" borderId="0" xfId="13" applyNumberFormat="1" applyFill="1" applyAlignment="1">
      <alignment horizontal="center" vertical="center"/>
    </xf>
    <xf numFmtId="175" fontId="27" fillId="0" borderId="20" xfId="13" applyNumberFormat="1" applyFill="1" applyBorder="1" applyAlignment="1">
      <alignment horizontal="center" vertical="center"/>
    </xf>
    <xf numFmtId="181" fontId="27" fillId="0" borderId="20" xfId="15" applyNumberFormat="1" applyFill="1" applyBorder="1" applyAlignment="1">
      <alignment horizontal="center" vertical="center"/>
    </xf>
    <xf numFmtId="181" fontId="27" fillId="0" borderId="0" xfId="15" applyNumberFormat="1" applyFill="1" applyBorder="1" applyAlignment="1">
      <alignment horizontal="center" vertical="center"/>
    </xf>
    <xf numFmtId="181" fontId="27" fillId="0" borderId="21" xfId="15" applyNumberFormat="1" applyFill="1" applyBorder="1" applyAlignment="1">
      <alignment horizontal="center" vertical="center"/>
    </xf>
    <xf numFmtId="43" fontId="42" fillId="0" borderId="20" xfId="0" applyNumberFormat="1" applyFont="1" applyBorder="1"/>
    <xf numFmtId="0" fontId="47" fillId="0" borderId="18" xfId="35" applyFont="1" applyFill="1" applyBorder="1" applyAlignment="1">
      <alignment horizontal="center" vertical="center"/>
    </xf>
    <xf numFmtId="0" fontId="47" fillId="0" borderId="2" xfId="35" applyFont="1" applyFill="1" applyBorder="1" applyAlignment="1">
      <alignment horizontal="center" vertical="center"/>
    </xf>
    <xf numFmtId="0" fontId="47" fillId="0" borderId="19" xfId="35" applyFont="1" applyFill="1" applyBorder="1" applyAlignment="1">
      <alignment horizontal="center" vertical="center"/>
    </xf>
    <xf numFmtId="182" fontId="46" fillId="0" borderId="0" xfId="13" applyNumberFormat="1" applyFont="1" applyFill="1" applyBorder="1" applyAlignment="1">
      <alignment horizontal="center" vertical="center"/>
    </xf>
    <xf numFmtId="0" fontId="35" fillId="0" borderId="18" xfId="35" applyFill="1" applyBorder="1" applyAlignment="1">
      <alignment horizontal="center" vertical="center"/>
    </xf>
    <xf numFmtId="0" fontId="35" fillId="0" borderId="2" xfId="35" applyFill="1" applyBorder="1" applyAlignment="1">
      <alignment horizontal="center" vertical="center"/>
    </xf>
    <xf numFmtId="0" fontId="35" fillId="0" borderId="19" xfId="35" applyFill="1" applyBorder="1" applyAlignment="1">
      <alignment horizontal="center" vertical="center"/>
    </xf>
    <xf numFmtId="0" fontId="47" fillId="0" borderId="28" xfId="35" applyFont="1" applyFill="1" applyBorder="1" applyAlignment="1">
      <alignment horizontal="center" vertical="center"/>
    </xf>
    <xf numFmtId="0" fontId="35" fillId="0" borderId="28" xfId="35" applyFill="1" applyBorder="1" applyAlignment="1">
      <alignment horizontal="center" vertical="center"/>
    </xf>
    <xf numFmtId="181" fontId="28" fillId="12" borderId="30" xfId="16" applyNumberFormat="1" applyBorder="1" applyAlignment="1">
      <alignment horizontal="center" vertical="center"/>
      <protection locked="0"/>
    </xf>
    <xf numFmtId="181" fontId="28" fillId="12" borderId="72" xfId="16" applyNumberFormat="1" applyBorder="1" applyAlignment="1">
      <alignment horizontal="center" vertical="center"/>
      <protection locked="0"/>
    </xf>
    <xf numFmtId="175" fontId="27" fillId="17" borderId="0" xfId="13" applyNumberFormat="1" applyFill="1" applyBorder="1" applyAlignment="1">
      <alignment horizontal="center" vertical="center"/>
    </xf>
    <xf numFmtId="175" fontId="28" fillId="12" borderId="4" xfId="14" applyNumberFormat="1" applyAlignment="1">
      <alignment horizontal="center" vertical="center"/>
      <protection locked="0"/>
    </xf>
    <xf numFmtId="43" fontId="42" fillId="0" borderId="0" xfId="0" applyNumberFormat="1" applyFont="1"/>
    <xf numFmtId="167" fontId="28" fillId="12" borderId="73" xfId="16" applyBorder="1" applyAlignment="1">
      <alignment horizontal="center" vertical="center"/>
      <protection locked="0"/>
    </xf>
    <xf numFmtId="165" fontId="28" fillId="12" borderId="67" xfId="14" applyBorder="1" applyAlignment="1">
      <alignment horizontal="center" vertical="center"/>
      <protection locked="0"/>
    </xf>
    <xf numFmtId="165" fontId="50" fillId="12" borderId="67" xfId="14" applyFont="1" applyBorder="1" applyAlignment="1">
      <alignment horizontal="center" vertical="center"/>
      <protection locked="0"/>
    </xf>
    <xf numFmtId="165" fontId="28" fillId="12" borderId="74" xfId="14" applyBorder="1" applyAlignment="1">
      <alignment horizontal="center" vertical="center"/>
      <protection locked="0"/>
    </xf>
    <xf numFmtId="0" fontId="94" fillId="0" borderId="0" xfId="57" applyFont="1" applyAlignment="1">
      <alignment horizontal="left" vertical="center"/>
    </xf>
    <xf numFmtId="0" fontId="41" fillId="0" borderId="0" xfId="20" applyFont="1" applyFill="1">
      <alignment horizontal="left" vertical="center"/>
    </xf>
    <xf numFmtId="0" fontId="24" fillId="0" borderId="0" xfId="20" applyFill="1">
      <alignment horizontal="left" vertical="center"/>
    </xf>
    <xf numFmtId="0" fontId="50" fillId="12" borderId="4" xfId="8" applyFont="1" applyAlignment="1">
      <alignment horizontal="center" vertical="center"/>
      <protection locked="0"/>
    </xf>
    <xf numFmtId="0" fontId="6" fillId="17" borderId="21" xfId="54" applyBorder="1"/>
    <xf numFmtId="0" fontId="6" fillId="17" borderId="20" xfId="54" applyBorder="1"/>
    <xf numFmtId="165" fontId="50" fillId="17" borderId="22" xfId="14" applyFont="1" applyFill="1" applyBorder="1" applyAlignment="1">
      <alignment horizontal="center" vertical="center"/>
      <protection locked="0"/>
    </xf>
    <xf numFmtId="165" fontId="50" fillId="17" borderId="4" xfId="14" applyFont="1" applyFill="1" applyAlignment="1">
      <alignment horizontal="center" vertical="center"/>
      <protection locked="0"/>
    </xf>
    <xf numFmtId="165" fontId="50" fillId="17" borderId="23" xfId="14" applyFont="1" applyFill="1" applyBorder="1" applyAlignment="1">
      <alignment horizontal="center" vertical="center"/>
      <protection locked="0"/>
    </xf>
    <xf numFmtId="165" fontId="50" fillId="17" borderId="31" xfId="14" applyFont="1" applyFill="1" applyBorder="1" applyAlignment="1">
      <alignment horizontal="center" vertical="center"/>
      <protection locked="0"/>
    </xf>
    <xf numFmtId="165" fontId="50" fillId="17" borderId="67" xfId="14" applyFont="1" applyFill="1" applyBorder="1" applyAlignment="1">
      <alignment horizontal="center" vertical="center"/>
      <protection locked="0"/>
    </xf>
    <xf numFmtId="165" fontId="28" fillId="17" borderId="31" xfId="14" applyFill="1" applyBorder="1" applyAlignment="1">
      <alignment horizontal="center" vertical="center"/>
      <protection locked="0"/>
    </xf>
    <xf numFmtId="0" fontId="47" fillId="0" borderId="28" xfId="35" applyFont="1" applyBorder="1" applyAlignment="1">
      <alignment horizontal="center" vertical="center"/>
    </xf>
    <xf numFmtId="165" fontId="28" fillId="17" borderId="22" xfId="14" applyFill="1" applyBorder="1" applyAlignment="1">
      <alignment horizontal="center" vertical="center"/>
      <protection locked="0"/>
    </xf>
    <xf numFmtId="165" fontId="28" fillId="17" borderId="4" xfId="14" applyFill="1" applyAlignment="1">
      <alignment horizontal="center" vertical="center"/>
      <protection locked="0"/>
    </xf>
    <xf numFmtId="165" fontId="28" fillId="17" borderId="23" xfId="14" applyFill="1" applyBorder="1" applyAlignment="1">
      <alignment horizontal="center" vertical="center"/>
      <protection locked="0"/>
    </xf>
    <xf numFmtId="165" fontId="81" fillId="17" borderId="4" xfId="14" applyFont="1" applyFill="1" applyAlignment="1">
      <alignment horizontal="center" vertical="center"/>
      <protection locked="0"/>
    </xf>
    <xf numFmtId="176" fontId="61" fillId="26" borderId="75" xfId="61" applyBorder="1">
      <alignment horizontal="right"/>
      <protection locked="0"/>
    </xf>
    <xf numFmtId="180" fontId="61" fillId="26" borderId="75" xfId="64" applyBorder="1">
      <alignment horizontal="right"/>
      <protection locked="0"/>
    </xf>
    <xf numFmtId="180" fontId="61" fillId="26" borderId="49" xfId="64" applyBorder="1">
      <alignment horizontal="right"/>
      <protection locked="0"/>
    </xf>
    <xf numFmtId="180" fontId="61" fillId="26" borderId="53" xfId="64" applyBorder="1">
      <alignment horizontal="right"/>
      <protection locked="0"/>
    </xf>
    <xf numFmtId="180" fontId="61" fillId="26" borderId="45" xfId="64" applyBorder="1">
      <alignment horizontal="right"/>
      <protection locked="0"/>
    </xf>
    <xf numFmtId="0" fontId="5" fillId="24" borderId="37" xfId="57" applyFont="1" applyFill="1" applyBorder="1" applyAlignment="1">
      <alignment horizontal="right" vertical="center"/>
    </xf>
    <xf numFmtId="0" fontId="5" fillId="29" borderId="38" xfId="57" applyFont="1" applyFill="1" applyBorder="1" applyAlignment="1">
      <alignment horizontal="right" vertical="center"/>
    </xf>
    <xf numFmtId="0" fontId="5" fillId="29" borderId="58" xfId="57" applyFont="1" applyFill="1" applyBorder="1" applyAlignment="1">
      <alignment horizontal="right" vertical="center"/>
    </xf>
    <xf numFmtId="0" fontId="5" fillId="29" borderId="57" xfId="57" applyFont="1" applyFill="1" applyBorder="1" applyAlignment="1">
      <alignment horizontal="right" vertical="center"/>
    </xf>
    <xf numFmtId="0" fontId="5" fillId="24" borderId="38" xfId="57" applyFont="1" applyFill="1" applyBorder="1" applyAlignment="1">
      <alignment horizontal="right" vertical="center"/>
    </xf>
    <xf numFmtId="0" fontId="5" fillId="24" borderId="58" xfId="57" applyFont="1" applyFill="1" applyBorder="1" applyAlignment="1">
      <alignment horizontal="right" vertical="center"/>
    </xf>
    <xf numFmtId="0" fontId="5" fillId="24" borderId="57" xfId="57" applyFont="1" applyFill="1" applyBorder="1" applyAlignment="1">
      <alignment horizontal="right" vertical="center"/>
    </xf>
    <xf numFmtId="0" fontId="66" fillId="24" borderId="32" xfId="57" applyFont="1" applyFill="1" applyBorder="1" applyAlignment="1" applyProtection="1">
      <alignment horizontal="centerContinuous" vertical="center" wrapText="1"/>
      <protection locked="0"/>
    </xf>
    <xf numFmtId="0" fontId="66" fillId="24" borderId="33" xfId="57" applyFont="1" applyFill="1" applyBorder="1" applyAlignment="1" applyProtection="1">
      <alignment horizontal="centerContinuous" vertical="center" wrapText="1"/>
      <protection locked="0"/>
    </xf>
    <xf numFmtId="0" fontId="5" fillId="24" borderId="34" xfId="57" applyFont="1" applyFill="1" applyBorder="1" applyAlignment="1">
      <alignment horizontal="centerContinuous" vertical="center" wrapText="1"/>
    </xf>
    <xf numFmtId="0" fontId="5" fillId="24" borderId="35" xfId="57" applyFont="1" applyFill="1" applyBorder="1" applyAlignment="1">
      <alignment horizontal="centerContinuous" vertical="center" wrapText="1"/>
    </xf>
    <xf numFmtId="169" fontId="50" fillId="12" borderId="4" xfId="14" applyNumberFormat="1" applyFont="1">
      <alignment horizontal="right" vertical="center"/>
      <protection locked="0"/>
    </xf>
    <xf numFmtId="165" fontId="28" fillId="0" borderId="0" xfId="47" applyFill="1" applyBorder="1" applyAlignment="1">
      <alignment horizontal="center" vertical="center"/>
    </xf>
    <xf numFmtId="0" fontId="6" fillId="0" borderId="0" xfId="0" applyFont="1"/>
    <xf numFmtId="0" fontId="92" fillId="12" borderId="4" xfId="8" applyFont="1">
      <alignment horizontal="left" vertical="center"/>
      <protection locked="0"/>
    </xf>
    <xf numFmtId="0" fontId="28" fillId="12" borderId="4" xfId="8" applyAlignment="1">
      <alignment horizontal="center" vertical="center"/>
      <protection locked="0"/>
    </xf>
    <xf numFmtId="165" fontId="28" fillId="17" borderId="0" xfId="47" applyFill="1" applyBorder="1" applyAlignment="1">
      <alignment horizontal="center" vertical="center"/>
    </xf>
    <xf numFmtId="0" fontId="85" fillId="0" borderId="0" xfId="36" applyFont="1" applyFill="1" applyAlignment="1">
      <alignment horizontal="left" vertical="center" wrapText="1"/>
    </xf>
    <xf numFmtId="0" fontId="36" fillId="0" borderId="0" xfId="34" applyFont="1" applyFill="1" applyAlignment="1">
      <alignment horizontal="right" vertical="center" textRotation="90"/>
    </xf>
    <xf numFmtId="0" fontId="0" fillId="0" borderId="0" xfId="0" applyAlignment="1">
      <alignment horizontal="right" textRotation="90"/>
    </xf>
    <xf numFmtId="0" fontId="36" fillId="0" borderId="0" xfId="34" applyFont="1" applyFill="1" applyAlignment="1">
      <alignment horizontal="right" vertical="center" textRotation="90" wrapText="1"/>
    </xf>
    <xf numFmtId="0" fontId="0" fillId="0" borderId="0" xfId="0" applyAlignment="1">
      <alignment horizontal="right" textRotation="90" wrapText="1"/>
    </xf>
    <xf numFmtId="177" fontId="5" fillId="29" borderId="32" xfId="57" applyNumberFormat="1" applyFont="1" applyFill="1" applyBorder="1" applyAlignment="1">
      <alignment horizontal="center" vertical="center" wrapText="1"/>
    </xf>
    <xf numFmtId="177" fontId="5" fillId="29" borderId="33" xfId="57" applyNumberFormat="1" applyFont="1" applyFill="1" applyBorder="1" applyAlignment="1">
      <alignment horizontal="center" vertical="center" wrapText="1"/>
    </xf>
    <xf numFmtId="177" fontId="5" fillId="29" borderId="3" xfId="57" applyNumberFormat="1" applyFont="1" applyFill="1" applyBorder="1" applyAlignment="1">
      <alignment horizontal="center" vertical="center" wrapText="1"/>
    </xf>
    <xf numFmtId="177" fontId="5" fillId="29" borderId="56" xfId="57" applyNumberFormat="1" applyFont="1" applyFill="1" applyBorder="1" applyAlignment="1">
      <alignment horizontal="center" vertical="center" wrapText="1"/>
    </xf>
  </cellXfs>
  <cellStyles count="65">
    <cellStyle name="Bad" xfId="22" builtinId="27" hidden="1"/>
    <cellStyle name="Calculation" xfId="26" builtinId="22" hidden="1"/>
    <cellStyle name="Check Cell" xfId="28" builtinId="23" hidden="1"/>
    <cellStyle name="Check RedRedGreen" xfId="44" xr:uid="{00000000-0005-0000-0000-000003000000}"/>
    <cellStyle name="Comma 2" xfId="63" xr:uid="{DCB90095-B6F4-4879-B58E-986025A501DB}"/>
    <cellStyle name="Currency" xfId="1" builtinId="4" hidden="1" customBuiltin="1"/>
    <cellStyle name="Currency" xfId="40" xr:uid="{00000000-0005-0000-0000-000005000000}"/>
    <cellStyle name="Currency Assumptions" xfId="19" xr:uid="{00000000-0005-0000-0000-000006000000}"/>
    <cellStyle name="Currency Input" xfId="49" xr:uid="{00000000-0005-0000-0000-000007000000}"/>
    <cellStyle name="Date" xfId="11" xr:uid="{00000000-0005-0000-0000-000008000000}"/>
    <cellStyle name="Date Assumptions" xfId="12" xr:uid="{00000000-0005-0000-0000-000009000000}"/>
    <cellStyle name="Date Input" xfId="48" xr:uid="{00000000-0005-0000-0000-00000A000000}"/>
    <cellStyle name="dms_NUM" xfId="61" xr:uid="{3127356D-8AC4-41B4-BCA2-40AF3CBDF7F1}"/>
    <cellStyle name="dms_NUM 2_1dp" xfId="64" xr:uid="{78D02678-0FE1-4A80-A3F1-0BC78D619AD5}"/>
    <cellStyle name="dms_NUM_grey" xfId="62" xr:uid="{07DB44F3-2F02-4311-AFA4-028D8C073B28}"/>
    <cellStyle name="Dropdown" xfId="53" xr:uid="{00000000-0005-0000-0000-00000B000000}"/>
    <cellStyle name="Explanatory Text" xfId="31" builtinId="53" hidden="1"/>
    <cellStyle name="External Link" xfId="55" xr:uid="{00000000-0005-0000-0000-00000D000000}"/>
    <cellStyle name="Good" xfId="21" builtinId="26" hidden="1"/>
    <cellStyle name="Heading 1" xfId="3" builtinId="16" customBuiltin="1"/>
    <cellStyle name="Heading 2" xfId="4" builtinId="17" hidden="1" customBuiltin="1"/>
    <cellStyle name="Heading 2 Input" xfId="38" xr:uid="{00000000-0005-0000-0000-000011000000}"/>
    <cellStyle name="Heading 2 Output" xfId="39" xr:uid="{00000000-0005-0000-0000-000012000000}"/>
    <cellStyle name="Heading 3" xfId="5" builtinId="18" hidden="1" customBuiltin="1"/>
    <cellStyle name="Heading 3 Input" xfId="34" xr:uid="{00000000-0005-0000-0000-000014000000}"/>
    <cellStyle name="Heading 3 Output" xfId="35" xr:uid="{00000000-0005-0000-0000-000015000000}"/>
    <cellStyle name="Heading 4" xfId="6" builtinId="19" hidden="1" customBuiltin="1"/>
    <cellStyle name="Heading 4 Assumptions" xfId="8" xr:uid="{00000000-0005-0000-0000-000017000000}"/>
    <cellStyle name="Heading 4 Input" xfId="36" xr:uid="{00000000-0005-0000-0000-000018000000}"/>
    <cellStyle name="Heading 4 Output" xfId="37" xr:uid="{00000000-0005-0000-0000-000019000000}"/>
    <cellStyle name="Hyperlink" xfId="32" builtinId="8" customBuiltin="1"/>
    <cellStyle name="Input" xfId="24" builtinId="20" hidden="1"/>
    <cellStyle name="Line Item Modifier" xfId="41" xr:uid="{00000000-0005-0000-0000-00001C000000}"/>
    <cellStyle name="Linked Cell" xfId="27" builtinId="24" hidden="1"/>
    <cellStyle name="Multiple" xfId="17" xr:uid="{00000000-0005-0000-0000-00001E000000}"/>
    <cellStyle name="Multiple Assumptions" xfId="18" xr:uid="{00000000-0005-0000-0000-00001F000000}"/>
    <cellStyle name="Multiple Input" xfId="50" xr:uid="{00000000-0005-0000-0000-000020000000}"/>
    <cellStyle name="Neutral" xfId="23" builtinId="28" hidden="1"/>
    <cellStyle name="Normal" xfId="0" builtinId="0" customBuiltin="1"/>
    <cellStyle name="Normal 2" xfId="56" xr:uid="{DC14BFD9-3B97-42BC-A9EE-704A44289EAA}"/>
    <cellStyle name="Normal 3" xfId="57" xr:uid="{4274726F-B120-4960-8736-20C16AD12ACC}"/>
    <cellStyle name="Normal 4" xfId="59" xr:uid="{CE221B14-ABDF-4E74-BCDA-B641776D7113}"/>
    <cellStyle name="Not Applicable" xfId="54" xr:uid="{00000000-0005-0000-0000-000023000000}"/>
    <cellStyle name="Note" xfId="30" builtinId="10" hidden="1"/>
    <cellStyle name="Number" xfId="13" xr:uid="{00000000-0005-0000-0000-000025000000}"/>
    <cellStyle name="Number Assumptions" xfId="14" xr:uid="{00000000-0005-0000-0000-000026000000}"/>
    <cellStyle name="Number Input" xfId="47" xr:uid="{00000000-0005-0000-0000-000027000000}"/>
    <cellStyle name="Output" xfId="25" builtinId="21" hidden="1"/>
    <cellStyle name="Percentage" xfId="15" xr:uid="{00000000-0005-0000-0000-000029000000}"/>
    <cellStyle name="Percentage Assumptions" xfId="16" xr:uid="{00000000-0005-0000-0000-00002A000000}"/>
    <cellStyle name="Percentage Input" xfId="51" xr:uid="{00000000-0005-0000-0000-00002B000000}"/>
    <cellStyle name="RIN_TB2" xfId="58" xr:uid="{D47E9B42-D92A-40A0-8542-F930BAD96410}"/>
    <cellStyle name="RIN_TB3" xfId="60" xr:uid="{2C00F12F-1358-43BD-85C4-CB7D12881C05}"/>
    <cellStyle name="Sheet Title Input" xfId="20" xr:uid="{00000000-0005-0000-0000-00002C000000}"/>
    <cellStyle name="Sheet Title Output" xfId="33" xr:uid="{00000000-0005-0000-0000-00002D000000}"/>
    <cellStyle name="Table Header 1" xfId="42" xr:uid="{00000000-0005-0000-0000-00002E000000}"/>
    <cellStyle name="Table Header 2" xfId="43" xr:uid="{00000000-0005-0000-0000-00002F000000}"/>
    <cellStyle name="Title" xfId="2" builtinId="15" hidden="1"/>
    <cellStyle name="Total" xfId="7" builtinId="25" hidden="1"/>
    <cellStyle name="Trigger Assumption GreenRedGrey" xfId="45" xr:uid="{00000000-0005-0000-0000-000032000000}"/>
    <cellStyle name="Trigger GreenRedGrey" xfId="46" xr:uid="{00000000-0005-0000-0000-000033000000}"/>
    <cellStyle name="Warning Text" xfId="29" builtinId="11" hidden="1"/>
    <cellStyle name="Year" xfId="9" xr:uid="{00000000-0005-0000-0000-000035000000}"/>
    <cellStyle name="Year Assumptions" xfId="10" xr:uid="{00000000-0005-0000-0000-000036000000}"/>
    <cellStyle name="Year Input" xfId="52" xr:uid="{00000000-0005-0000-0000-000037000000}"/>
  </cellStyles>
  <dxfs count="22">
    <dxf>
      <font>
        <b val="0"/>
        <i val="0"/>
        <color rgb="FF00B050"/>
      </font>
    </dxf>
    <dxf>
      <font>
        <b val="0"/>
        <i val="0"/>
        <color rgb="FF00B050"/>
      </font>
    </dxf>
    <dxf>
      <font>
        <b val="0"/>
        <i val="0"/>
        <color rgb="FF00B050"/>
      </font>
    </dxf>
    <dxf>
      <font>
        <b val="0"/>
        <i val="0"/>
        <color rgb="FF00B05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139C00"/>
      <color rgb="FF426286"/>
      <color rgb="FFFF0066"/>
      <color rgb="FFCC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76200</xdr:rowOff>
    </xdr:from>
    <xdr:to>
      <xdr:col>5</xdr:col>
      <xdr:colOff>369845</xdr:colOff>
      <xdr:row>8</xdr:row>
      <xdr:rowOff>102934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895350"/>
          <a:ext cx="1971950" cy="457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3%20Sustained%20interruptions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X33"/>
  <sheetViews>
    <sheetView showGridLines="0" tabSelected="1" zoomScaleNormal="100" workbookViewId="0"/>
  </sheetViews>
  <sheetFormatPr defaultColWidth="9.33203125" defaultRowHeight="10.199999999999999" x14ac:dyDescent="0.35"/>
  <cols>
    <col min="1" max="1" width="9.33203125" style="223"/>
    <col min="2" max="3" width="5.796875" style="223" customWidth="1"/>
    <col min="4" max="4" width="12.796875" style="223" customWidth="1"/>
    <col min="5" max="5" width="9.33203125" style="223"/>
    <col min="6" max="13" width="10.796875" style="223" customWidth="1"/>
    <col min="14" max="16384" width="9.33203125" style="223"/>
  </cols>
  <sheetData>
    <row r="1" spans="2:6" ht="11.25" customHeight="1" x14ac:dyDescent="0.35"/>
    <row r="2" spans="2:6" ht="11.25" customHeight="1" x14ac:dyDescent="0.35"/>
    <row r="3" spans="2:6" ht="18.899999999999999" x14ac:dyDescent="0.35">
      <c r="B3" s="224" t="s">
        <v>385</v>
      </c>
    </row>
    <row r="4" spans="2:6" ht="11.25" customHeight="1" x14ac:dyDescent="0.35"/>
    <row r="5" spans="2:6" ht="11.25" customHeight="1" x14ac:dyDescent="0.35"/>
    <row r="6" spans="2:6" ht="11.25" customHeight="1" x14ac:dyDescent="0.35"/>
    <row r="7" spans="2:6" ht="11.25" customHeight="1" x14ac:dyDescent="0.35"/>
    <row r="8" spans="2:6" ht="11.25" customHeight="1" x14ac:dyDescent="0.35"/>
    <row r="11" spans="2:6" ht="12.3" x14ac:dyDescent="0.35">
      <c r="C11" s="225" t="s">
        <v>24</v>
      </c>
      <c r="F11" s="226" t="s">
        <v>348</v>
      </c>
    </row>
    <row r="13" spans="2:6" ht="12.3" x14ac:dyDescent="0.35">
      <c r="C13" s="227" t="s">
        <v>25</v>
      </c>
    </row>
    <row r="14" spans="2:6" ht="12.3" x14ac:dyDescent="0.35">
      <c r="C14" s="228" t="s">
        <v>351</v>
      </c>
    </row>
    <row r="16" spans="2:6" ht="12.3" x14ac:dyDescent="0.35">
      <c r="C16" s="227" t="s">
        <v>30</v>
      </c>
    </row>
    <row r="18" spans="3:13" x14ac:dyDescent="0.35">
      <c r="C18" s="229"/>
      <c r="D18" s="230"/>
      <c r="E18" s="230"/>
      <c r="F18" s="230"/>
      <c r="G18" s="230"/>
      <c r="H18" s="230"/>
      <c r="I18" s="230"/>
      <c r="J18" s="230"/>
      <c r="K18" s="230"/>
      <c r="L18" s="230"/>
      <c r="M18" s="231"/>
    </row>
    <row r="19" spans="3:13" ht="12.3" x14ac:dyDescent="0.35">
      <c r="C19" s="232"/>
      <c r="D19" s="233" t="s">
        <v>14</v>
      </c>
      <c r="F19" s="234" t="s">
        <v>21</v>
      </c>
      <c r="M19" s="235"/>
    </row>
    <row r="20" spans="3:13" ht="12.3" x14ac:dyDescent="0.35">
      <c r="C20" s="232"/>
      <c r="D20" s="236" t="s">
        <v>37</v>
      </c>
      <c r="F20" s="234" t="s">
        <v>32</v>
      </c>
      <c r="M20" s="235"/>
    </row>
    <row r="21" spans="3:13" ht="12.3" x14ac:dyDescent="0.35">
      <c r="C21" s="232"/>
      <c r="D21" s="237" t="s">
        <v>16</v>
      </c>
      <c r="F21" s="234" t="s">
        <v>18</v>
      </c>
      <c r="M21" s="235"/>
    </row>
    <row r="22" spans="3:13" ht="12.3" x14ac:dyDescent="0.35">
      <c r="C22" s="232"/>
      <c r="D22" s="238" t="s">
        <v>17</v>
      </c>
      <c r="F22" s="234" t="s">
        <v>19</v>
      </c>
      <c r="M22" s="235"/>
    </row>
    <row r="23" spans="3:13" ht="12.3" x14ac:dyDescent="0.35">
      <c r="C23" s="232"/>
      <c r="D23" s="239" t="s">
        <v>5</v>
      </c>
      <c r="F23" s="234" t="s">
        <v>22</v>
      </c>
      <c r="M23" s="235"/>
    </row>
    <row r="24" spans="3:13" ht="12.3" x14ac:dyDescent="0.35">
      <c r="C24" s="232"/>
      <c r="D24" s="240" t="s">
        <v>20</v>
      </c>
      <c r="F24" s="234" t="s">
        <v>23</v>
      </c>
      <c r="M24" s="235"/>
    </row>
    <row r="25" spans="3:13" ht="12.3" x14ac:dyDescent="0.35">
      <c r="C25" s="232"/>
      <c r="D25" s="241"/>
      <c r="F25" s="234" t="s">
        <v>31</v>
      </c>
      <c r="M25" s="235"/>
    </row>
    <row r="26" spans="3:13" ht="12.3" x14ac:dyDescent="0.35">
      <c r="C26" s="232"/>
      <c r="D26" s="242" t="s">
        <v>38</v>
      </c>
      <c r="F26" s="234" t="s">
        <v>33</v>
      </c>
      <c r="M26" s="235"/>
    </row>
    <row r="27" spans="3:13" ht="12.3" x14ac:dyDescent="0.35">
      <c r="C27" s="232"/>
      <c r="D27" s="42">
        <v>1</v>
      </c>
      <c r="F27" s="234" t="s">
        <v>34</v>
      </c>
      <c r="M27" s="235"/>
    </row>
    <row r="28" spans="3:13" ht="12.3" x14ac:dyDescent="0.35">
      <c r="C28" s="232"/>
      <c r="D28" s="42">
        <v>0</v>
      </c>
      <c r="F28" s="234" t="s">
        <v>35</v>
      </c>
      <c r="M28" s="235"/>
    </row>
    <row r="29" spans="3:13" ht="12.3" x14ac:dyDescent="0.35">
      <c r="C29" s="232"/>
      <c r="D29" s="243"/>
      <c r="F29" s="234" t="s">
        <v>36</v>
      </c>
      <c r="M29" s="235"/>
    </row>
    <row r="30" spans="3:13" x14ac:dyDescent="0.35">
      <c r="C30" s="244"/>
      <c r="D30" s="245"/>
      <c r="E30" s="245"/>
      <c r="F30" s="245"/>
      <c r="G30" s="245"/>
      <c r="H30" s="245"/>
      <c r="I30" s="245"/>
      <c r="J30" s="245"/>
      <c r="K30" s="245"/>
      <c r="L30" s="245"/>
      <c r="M30" s="246"/>
    </row>
    <row r="32" spans="3:13" ht="12.3" x14ac:dyDescent="0.35">
      <c r="C32" s="227" t="s">
        <v>98</v>
      </c>
      <c r="D32" s="247"/>
    </row>
    <row r="33" spans="3:24" ht="84" customHeight="1" x14ac:dyDescent="0.35">
      <c r="C33" s="324" t="s">
        <v>99</v>
      </c>
      <c r="D33" s="324"/>
      <c r="E33" s="324"/>
      <c r="F33" s="324"/>
      <c r="G33" s="324"/>
      <c r="H33" s="324"/>
      <c r="I33" s="324"/>
      <c r="J33" s="324"/>
      <c r="K33" s="324"/>
      <c r="L33" s="324"/>
      <c r="M33" s="324"/>
      <c r="N33" s="324"/>
      <c r="O33" s="324"/>
      <c r="P33" s="324"/>
      <c r="Q33" s="324"/>
      <c r="R33" s="324"/>
      <c r="S33" s="324"/>
      <c r="T33" s="324"/>
      <c r="U33" s="324"/>
      <c r="V33" s="324"/>
      <c r="W33" s="324"/>
      <c r="X33" s="324"/>
    </row>
  </sheetData>
  <mergeCells count="1">
    <mergeCell ref="C33:X33"/>
  </mergeCells>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38"/>
  <sheetViews>
    <sheetView showGridLines="0" zoomScaleNormal="100" workbookViewId="0">
      <pane xSplit="1" ySplit="4" topLeftCell="B5" activePane="bottomRight" state="frozen"/>
      <selection activeCell="D44" sqref="D44"/>
      <selection pane="topRight" activeCell="D44" sqref="D44"/>
      <selection pane="bottomLeft" activeCell="D44" sqref="D44"/>
      <selection pane="bottomRight" activeCell="B5" sqref="B5"/>
    </sheetView>
  </sheetViews>
  <sheetFormatPr defaultColWidth="0" defaultRowHeight="10.199999999999999" x14ac:dyDescent="0.35"/>
  <cols>
    <col min="1" max="3" width="2.796875" customWidth="1"/>
    <col min="4" max="4" width="62" customWidth="1"/>
    <col min="5" max="6" width="10.796875" customWidth="1"/>
    <col min="7" max="15" width="10.796875" hidden="1" customWidth="1"/>
    <col min="16" max="16384" width="9.33203125" hidden="1"/>
  </cols>
  <sheetData>
    <row r="1" spans="2:5" ht="18.899999999999999" x14ac:dyDescent="0.35">
      <c r="B1" s="3" t="s">
        <v>41</v>
      </c>
    </row>
    <row r="2" spans="2:5" x14ac:dyDescent="0.35">
      <c r="B2" s="13" t="str">
        <f>Title_Msg</f>
        <v>No Errors Found</v>
      </c>
    </row>
    <row r="3" spans="2:5" ht="12.3" x14ac:dyDescent="0.35">
      <c r="B3" s="30" t="s">
        <v>45</v>
      </c>
      <c r="C3" s="30"/>
      <c r="D3" s="30"/>
      <c r="E3" s="11"/>
    </row>
    <row r="4" spans="2:5" ht="12.3" x14ac:dyDescent="0.35">
      <c r="B4" s="27" t="str">
        <f>Model_Name</f>
        <v>Power and Water Corporation (PWC) - RAB Allocation - EB RIN</v>
      </c>
    </row>
    <row r="6" spans="2:5" s="2" customFormat="1" ht="15" x14ac:dyDescent="0.35">
      <c r="B6" s="2" t="str">
        <f>B1</f>
        <v>Table of Contents</v>
      </c>
    </row>
    <row r="7" spans="2:5" ht="4.5" customHeight="1" x14ac:dyDescent="0.35"/>
    <row r="8" spans="2:5" s="8" customFormat="1" ht="14.1" x14ac:dyDescent="0.35">
      <c r="C8" s="8" t="s">
        <v>42</v>
      </c>
    </row>
    <row r="9" spans="2:5" ht="4.5" customHeight="1" x14ac:dyDescent="0.35"/>
    <row r="10" spans="2:5" ht="11.25" customHeight="1" x14ac:dyDescent="0.35">
      <c r="D10" s="30" t="str">
        <f>Input_Inflation!$B$1</f>
        <v>CPI assumptions and associated indexes</v>
      </c>
    </row>
    <row r="11" spans="2:5" ht="11.25" customHeight="1" x14ac:dyDescent="0.35">
      <c r="D11" s="30" t="str">
        <f>Input_RAB_SCS!$B$1</f>
        <v>Input - SCS RAB by asset category</v>
      </c>
    </row>
    <row r="12" spans="2:5" ht="11.25" customHeight="1" x14ac:dyDescent="0.35">
      <c r="D12" s="30" t="str">
        <f>Input_RAB_ACS!$B$1</f>
        <v>Input - ACS Metering RAB by asset category</v>
      </c>
    </row>
    <row r="13" spans="2:5" ht="11.25" customHeight="1" x14ac:dyDescent="0.35">
      <c r="D13" s="30" t="str">
        <f>Input_Connections!$B$1</f>
        <v>Input - Proportion of connection gross capital expenditure</v>
      </c>
    </row>
    <row r="14" spans="2:5" ht="11.25" customHeight="1" x14ac:dyDescent="0.35">
      <c r="D14" s="30" t="str">
        <f>Input_AssetLives!$B$1</f>
        <v>Input - Standard lives</v>
      </c>
    </row>
    <row r="15" spans="2:5" ht="11.25" customHeight="1" x14ac:dyDescent="0.35">
      <c r="D15" s="30" t="str">
        <f>Input_DRC!$B$1</f>
        <v>Input - Estimated Depreciated Replacement Cost (DRC)</v>
      </c>
    </row>
    <row r="16" spans="2:5" ht="4.5" customHeight="1" x14ac:dyDescent="0.35"/>
    <row r="17" spans="3:4" s="8" customFormat="1" ht="14.1" x14ac:dyDescent="0.35">
      <c r="C17" s="8" t="s">
        <v>13</v>
      </c>
    </row>
    <row r="18" spans="3:4" ht="4.5" customHeight="1" x14ac:dyDescent="0.35"/>
    <row r="19" spans="3:4" x14ac:dyDescent="0.35">
      <c r="D19" s="30" t="str">
        <f>Calc_Alloc!$B$1</f>
        <v>Calculation - Allocation from RAB asset classes to EB categories</v>
      </c>
    </row>
    <row r="20" spans="3:4" x14ac:dyDescent="0.35">
      <c r="D20" s="30" t="str">
        <f>Calc_RAB_Connection!$B$1</f>
        <v>Calculation - Estimated connection RAB by asset category</v>
      </c>
    </row>
    <row r="21" spans="3:4" x14ac:dyDescent="0.35">
      <c r="D21" s="30" t="str">
        <f>Calc_RAB_NS!$B$1</f>
        <v>Calculation - Estimated Network Services RAB by asset category</v>
      </c>
    </row>
    <row r="22" spans="3:4" x14ac:dyDescent="0.35">
      <c r="D22" s="30" t="str">
        <f>Calc_EB_NS!$B$1</f>
        <v>Calculation - Network Services RAB by EB RIN category</v>
      </c>
    </row>
    <row r="23" spans="3:4" x14ac:dyDescent="0.35">
      <c r="D23" s="30" t="str">
        <f>Calc_EB_SCS!$B$1</f>
        <v>Calculation - SCS RAB by EB RIN category</v>
      </c>
    </row>
    <row r="24" spans="3:4" x14ac:dyDescent="0.35">
      <c r="D24" s="30" t="str">
        <f>Calc_EB_ACS!$B$1</f>
        <v>Calculation - ACS RAB by EB RIN category</v>
      </c>
    </row>
    <row r="25" spans="3:4" ht="4.5" customHeight="1" x14ac:dyDescent="0.35"/>
    <row r="26" spans="3:4" s="8" customFormat="1" ht="14.1" x14ac:dyDescent="0.35">
      <c r="C26" s="8" t="s">
        <v>43</v>
      </c>
    </row>
    <row r="27" spans="3:4" ht="4.5" customHeight="1" x14ac:dyDescent="0.35"/>
    <row r="28" spans="3:4" x14ac:dyDescent="0.35">
      <c r="D28" s="30" t="str">
        <f>Output_EB_RIN_NS!$B$1</f>
        <v>Outputs - Network Services EB RIN</v>
      </c>
    </row>
    <row r="29" spans="3:4" x14ac:dyDescent="0.35">
      <c r="D29" s="30" t="str">
        <f>Output_EB_RIN_SCS!$B$1</f>
        <v>Outputs - SCS EB RIN</v>
      </c>
    </row>
    <row r="30" spans="3:4" x14ac:dyDescent="0.35">
      <c r="D30" s="30" t="str">
        <f>Output_EB_RIN_ACS!$B$1</f>
        <v>Outputs - ACS (ACS Metering) EB RIN</v>
      </c>
    </row>
    <row r="31" spans="3:4" x14ac:dyDescent="0.35">
      <c r="D31" s="30" t="str">
        <f>'3.3 Assets (RAB)_Fcst'!$B$3</f>
        <v>ECONOMIC BENCHMARKING 2022-23 to 2028-29</v>
      </c>
    </row>
    <row r="32" spans="3:4" ht="4.5" customHeight="1" x14ac:dyDescent="0.35"/>
    <row r="33" spans="2:4" s="8" customFormat="1" ht="14.1" x14ac:dyDescent="0.35">
      <c r="C33" s="8" t="s">
        <v>44</v>
      </c>
    </row>
    <row r="34" spans="2:4" ht="4.5" customHeight="1" x14ac:dyDescent="0.35"/>
    <row r="35" spans="2:4" x14ac:dyDescent="0.35">
      <c r="D35" s="30" t="str">
        <f>Lookup!B1</f>
        <v>Model lookups</v>
      </c>
    </row>
    <row r="36" spans="2:4" x14ac:dyDescent="0.35">
      <c r="D36" s="30" t="str">
        <f>Checks!B1</f>
        <v>Checks</v>
      </c>
    </row>
    <row r="37" spans="2:4" ht="4.5" customHeight="1" x14ac:dyDescent="0.35"/>
    <row r="38" spans="2:4" s="2" customFormat="1" ht="15" x14ac:dyDescent="0.35">
      <c r="B38" s="2" t="s">
        <v>26</v>
      </c>
    </row>
  </sheetData>
  <conditionalFormatting sqref="B2">
    <cfRule type="cellIs" dxfId="21" priority="1" operator="notEqual">
      <formula>"No Errors Found"</formula>
    </cfRule>
  </conditionalFormatting>
  <hyperlinks>
    <hyperlink ref="D35" location="Lookup!A1" display="Lookup!A1" xr:uid="{00000000-0004-0000-0100-000000000000}"/>
    <hyperlink ref="D36" location="Checks!A1" display="Checks!A1" xr:uid="{00000000-0004-0000-0100-000001000000}"/>
    <hyperlink ref="B3:D3" location="Cover!A1" display="Go to Cover Sheet" xr:uid="{00000000-0004-0000-0100-000002000000}"/>
    <hyperlink ref="D11" location="Input_RAB_SCS!A1" display="Input_RAB_SCS!A1" xr:uid="{00000000-0004-0000-0100-000003000000}"/>
    <hyperlink ref="D19" location="Calc_Alloc!A1" display="Calc_Alloc!A1" xr:uid="{00000000-0004-0000-0100-000004000000}"/>
    <hyperlink ref="D23" location="Calc_EB_SCS!A1" display="Calc_EB_SCS!A1" xr:uid="{00000000-0004-0000-0100-000005000000}"/>
    <hyperlink ref="D29" location="Output_EB_RIN_SCS!A1" display="Output_EB_RIN_SCS!A1" xr:uid="{00000000-0004-0000-0100-000006000000}"/>
    <hyperlink ref="D12" location="Input_RAB_ACS!A1" display="Input_RAB_ACS!A1" xr:uid="{00000000-0004-0000-0100-000007000000}"/>
    <hyperlink ref="D24" location="Calc_EB_SCS!A1" display="Calc_EB_SCS!A1" xr:uid="{00000000-0004-0000-0100-000009000000}"/>
    <hyperlink ref="D24" location="Calc_EB_ACS!A1" display="Calc_EB_ACS!A1" xr:uid="{00000000-0004-0000-0100-00000A000000}"/>
    <hyperlink ref="D30" location="Output_EB_RIN_SCS!A1" display="Output_EB_RIN_SCS!A1" xr:uid="{00000000-0004-0000-0100-00000C000000}"/>
    <hyperlink ref="D30" location="Output_EB_RIN_ACS!A1" display="Output_EB_RIN_ACS!A1" xr:uid="{00000000-0004-0000-0100-00000D000000}"/>
    <hyperlink ref="D28" location="Output_EB_RIN_NS!A1" display="Output_EB_RIN_NS!A1" xr:uid="{00000000-0004-0000-0100-00000E000000}"/>
    <hyperlink ref="D13" location="Input_Connections!A1" display="Input_Connections!A1" xr:uid="{00000000-0004-0000-0100-00000F000000}"/>
    <hyperlink ref="D20" location="Calc_RAB_Connection!A1" display="Calc_RAB_Connection!A1" xr:uid="{00000000-0004-0000-0100-000010000000}"/>
    <hyperlink ref="D21" location="Calc_RAB_NS!A1" display="Calc_RAB_NS!A1" xr:uid="{00000000-0004-0000-0100-000011000000}"/>
    <hyperlink ref="D22" location="Calc_EB_NS!A1" display="Calc_EB_NS!A1" xr:uid="{00000000-0004-0000-0100-000012000000}"/>
    <hyperlink ref="D15" location="Input_DRC!A1" display="Input_DRC!A1" xr:uid="{5EE3C304-C5E1-42A4-8201-E5F43E17D105}"/>
    <hyperlink ref="D14" location="Input_AssetLives!A1" display="Input_AssetLives!A1" xr:uid="{0C276D48-AB78-4D5C-A83A-AECFE8CBCC3F}"/>
    <hyperlink ref="D10" location="Input_Inflation!A1" display="Input_Inflation!A1" xr:uid="{F7A99214-8E0B-4B73-97FF-7CCA9912CFFB}"/>
    <hyperlink ref="D31" location="'3.3 Assets (RAB)_Fcst'!A1" display="'3.3 Assets (RAB)_Fcst'!A1" xr:uid="{A2C3252F-7658-4D40-85E2-CFE07ABEBE0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64F64-158E-42BC-8E65-3BDAE25D0D03}">
  <sheetPr codeName="Sheet4">
    <tabColor theme="4" tint="0.79998168889431442"/>
  </sheetPr>
  <dimension ref="A1:W31"/>
  <sheetViews>
    <sheetView showGridLines="0" zoomScaleNormal="100" workbookViewId="0">
      <pane xSplit="1" ySplit="10" topLeftCell="B11" activePane="bottomRight" state="frozen"/>
      <selection activeCell="D44" sqref="D44"/>
      <selection pane="topRight" activeCell="D44" sqref="D44"/>
      <selection pane="bottomLeft" activeCell="D44" sqref="D44"/>
      <selection pane="bottomRight" activeCell="B11" sqref="B11"/>
    </sheetView>
  </sheetViews>
  <sheetFormatPr defaultColWidth="9.33203125" defaultRowHeight="10.199999999999999" outlineLevelRow="1" x14ac:dyDescent="0.35"/>
  <cols>
    <col min="1" max="1" width="3.33203125" customWidth="1"/>
    <col min="2" max="3" width="2.796875" customWidth="1"/>
    <col min="4" max="4" width="37.46484375" customWidth="1"/>
    <col min="5" max="5" width="18" customWidth="1"/>
    <col min="6" max="6" width="9.1328125" customWidth="1"/>
    <col min="7" max="7" width="12" customWidth="1"/>
    <col min="8" max="8" width="10" customWidth="1"/>
    <col min="9" max="9" width="10.796875" customWidth="1"/>
    <col min="10" max="20" width="13.6640625" customWidth="1"/>
  </cols>
  <sheetData>
    <row r="1" spans="1:23" ht="18.899999999999999" x14ac:dyDescent="0.35">
      <c r="A1" s="42">
        <f>IF(SUM($A11:$A31)&gt;0,1,0)</f>
        <v>0</v>
      </c>
      <c r="B1" s="3" t="s">
        <v>397</v>
      </c>
    </row>
    <row r="2" spans="1:23" x14ac:dyDescent="0.35">
      <c r="B2" s="13" t="str">
        <f>Title_Msg</f>
        <v>No Errors Found</v>
      </c>
    </row>
    <row r="3" spans="1:23" x14ac:dyDescent="0.35">
      <c r="B3" s="30" t="str">
        <f>TOC!B1</f>
        <v>Table of Contents</v>
      </c>
      <c r="C3" s="28"/>
      <c r="D3" s="28"/>
      <c r="E3" s="28"/>
    </row>
    <row r="4" spans="1:23" ht="12.3" x14ac:dyDescent="0.35">
      <c r="B4" s="27" t="str">
        <f>Model_Name</f>
        <v>Power and Water Corporation (PWC) - RAB Allocation - EB RIN</v>
      </c>
    </row>
    <row r="5" spans="1:23" ht="12.3" hidden="1" outlineLevel="1" x14ac:dyDescent="0.35">
      <c r="B5" s="10"/>
      <c r="J5" s="35"/>
      <c r="K5" s="35"/>
      <c r="L5" s="35"/>
      <c r="M5" s="35"/>
    </row>
    <row r="6" spans="1:23" ht="12.3" hidden="1" outlineLevel="1" x14ac:dyDescent="0.35">
      <c r="B6" s="10"/>
      <c r="J6" s="35"/>
      <c r="K6" s="35"/>
      <c r="L6" s="35"/>
      <c r="M6" s="35"/>
    </row>
    <row r="7" spans="1:23" ht="12.3" hidden="1" outlineLevel="1" x14ac:dyDescent="0.35">
      <c r="B7" s="10"/>
      <c r="J7" s="36"/>
      <c r="K7" s="36"/>
      <c r="L7" s="36"/>
      <c r="M7" s="36"/>
    </row>
    <row r="8" spans="1:23" ht="12.3" hidden="1" outlineLevel="1" x14ac:dyDescent="0.35">
      <c r="B8" s="10"/>
      <c r="J8" s="37"/>
      <c r="K8" s="37"/>
      <c r="L8" s="37"/>
      <c r="M8" s="37"/>
    </row>
    <row r="9" spans="1:23" ht="12.3" hidden="1" outlineLevel="1" x14ac:dyDescent="0.35">
      <c r="B9" s="10"/>
      <c r="J9" s="37"/>
      <c r="K9" s="37"/>
      <c r="L9" s="37"/>
      <c r="M9" s="37"/>
    </row>
    <row r="10" spans="1:23" ht="12.3" collapsed="1" x14ac:dyDescent="0.35">
      <c r="B10" s="5" t="str">
        <f>Lookup!B20</f>
        <v>Regulatory year</v>
      </c>
      <c r="E10" s="34" t="str">
        <f>Lookup!E20</f>
        <v>Source</v>
      </c>
      <c r="F10" s="34" t="str">
        <f>Lookup!F20</f>
        <v>Unit</v>
      </c>
      <c r="G10" s="34" t="str">
        <f>Lookup!G20</f>
        <v>Basis</v>
      </c>
      <c r="H10" s="34" t="str">
        <f>Lookup!H20</f>
        <v>Timing</v>
      </c>
      <c r="I10" s="34"/>
      <c r="J10" s="34" t="str">
        <f>Lookup!R20</f>
        <v>RY19</v>
      </c>
      <c r="K10" s="34" t="str">
        <f>Lookup!S20</f>
        <v>RY20</v>
      </c>
      <c r="L10" s="34" t="str">
        <f>Lookup!T20</f>
        <v>RY21</v>
      </c>
      <c r="M10" s="34" t="str">
        <f>Lookup!U20</f>
        <v>RY22</v>
      </c>
      <c r="N10" s="34" t="str">
        <f>Lookup!V20</f>
        <v>RY23</v>
      </c>
      <c r="O10" s="34" t="str">
        <f>Lookup!W20</f>
        <v>RY24</v>
      </c>
      <c r="P10" s="34" t="str">
        <f>Lookup!X20</f>
        <v>RY25</v>
      </c>
      <c r="Q10" s="34" t="str">
        <f>Lookup!Y20</f>
        <v>RY26</v>
      </c>
      <c r="R10" s="34" t="str">
        <f>Lookup!Z20</f>
        <v>RY27</v>
      </c>
      <c r="S10" s="34" t="str">
        <f>Lookup!AA20</f>
        <v>RY28</v>
      </c>
      <c r="T10" s="34" t="str">
        <f>Lookup!AB20</f>
        <v>RY29</v>
      </c>
      <c r="U10" s="34"/>
      <c r="V10" s="34"/>
      <c r="W10" s="34"/>
    </row>
    <row r="12" spans="1:23" s="2" customFormat="1" ht="15" x14ac:dyDescent="0.35">
      <c r="B12" s="2" t="s">
        <v>398</v>
      </c>
    </row>
    <row r="13" spans="1:23" ht="4.5" customHeight="1" x14ac:dyDescent="0.35"/>
    <row r="14" spans="1:23" s="8" customFormat="1" ht="14.1" x14ac:dyDescent="0.35">
      <c r="C14" s="8" t="s">
        <v>14</v>
      </c>
    </row>
    <row r="15" spans="1:23" ht="11.25" customHeight="1" x14ac:dyDescent="0.35"/>
    <row r="16" spans="1:23" ht="12.3" x14ac:dyDescent="0.35">
      <c r="D16" s="43" t="s">
        <v>399</v>
      </c>
      <c r="E16" s="38" t="str">
        <f>Lookup!E$20</f>
        <v>Source</v>
      </c>
      <c r="F16" s="38" t="str">
        <f>Lookup!F$20</f>
        <v>Unit</v>
      </c>
      <c r="G16" s="38" t="str">
        <f>Lookup!G$20</f>
        <v>Basis</v>
      </c>
      <c r="H16" s="38" t="str">
        <f>Lookup!H$20</f>
        <v>Timing</v>
      </c>
      <c r="J16" s="46" t="str">
        <f>J$10</f>
        <v>RY19</v>
      </c>
      <c r="K16" s="38" t="str">
        <f>K$10</f>
        <v>RY20</v>
      </c>
      <c r="L16" s="38" t="str">
        <f>L$10</f>
        <v>RY21</v>
      </c>
      <c r="M16" s="38" t="str">
        <f t="shared" ref="M16:T16" si="0">M$10</f>
        <v>RY22</v>
      </c>
      <c r="N16" s="38" t="str">
        <f t="shared" si="0"/>
        <v>RY23</v>
      </c>
      <c r="O16" s="47" t="str">
        <f t="shared" si="0"/>
        <v>RY24</v>
      </c>
      <c r="P16" s="46" t="str">
        <f t="shared" si="0"/>
        <v>RY25</v>
      </c>
      <c r="Q16" s="38" t="str">
        <f t="shared" si="0"/>
        <v>RY26</v>
      </c>
      <c r="R16" s="38" t="str">
        <f t="shared" si="0"/>
        <v>RY27</v>
      </c>
      <c r="S16" s="38" t="str">
        <f t="shared" si="0"/>
        <v>RY28</v>
      </c>
      <c r="T16" s="38" t="str">
        <f t="shared" si="0"/>
        <v>RY29</v>
      </c>
    </row>
    <row r="17" spans="1:20" x14ac:dyDescent="0.35">
      <c r="J17" s="48"/>
      <c r="O17" s="49"/>
      <c r="P17" s="48"/>
    </row>
    <row r="18" spans="1:20" ht="12.3" x14ac:dyDescent="0.35">
      <c r="D18" s="7" t="s">
        <v>353</v>
      </c>
      <c r="E18" s="45" t="s">
        <v>354</v>
      </c>
      <c r="F18" s="37" t="str">
        <f>Percent</f>
        <v>Percent</v>
      </c>
      <c r="G18" s="37" t="str">
        <f>NA</f>
        <v>N/A</v>
      </c>
      <c r="H18" s="37" t="str">
        <f>NA</f>
        <v>N/A</v>
      </c>
      <c r="J18" s="277">
        <v>1.7841213202497874E-2</v>
      </c>
      <c r="K18" s="277">
        <v>1.8404907975460238E-2</v>
      </c>
      <c r="L18" s="257">
        <v>8.6058519793459354E-3</v>
      </c>
      <c r="M18" s="257">
        <v>3.4982935153583528E-2</v>
      </c>
      <c r="N18" s="257">
        <v>0.08</v>
      </c>
      <c r="O18" s="276">
        <v>4.7E-2</v>
      </c>
      <c r="P18" s="277">
        <v>2.9196400498682218E-2</v>
      </c>
      <c r="Q18" s="257">
        <v>2.9196400498682218E-2</v>
      </c>
      <c r="R18" s="257">
        <v>2.9196400498682218E-2</v>
      </c>
      <c r="S18" s="257">
        <v>2.9196400498682218E-2</v>
      </c>
      <c r="T18" s="276">
        <v>2.9196400498682218E-2</v>
      </c>
    </row>
    <row r="20" spans="1:20" ht="12.3" x14ac:dyDescent="0.35">
      <c r="D20" s="258" t="s">
        <v>369</v>
      </c>
      <c r="E20" s="45"/>
      <c r="F20" s="45"/>
      <c r="G20" s="45"/>
      <c r="H20" s="45"/>
      <c r="I20" s="45"/>
    </row>
    <row r="21" spans="1:20" ht="11.25" customHeight="1" x14ac:dyDescent="0.35"/>
    <row r="22" spans="1:20" s="8" customFormat="1" ht="14.1" x14ac:dyDescent="0.35">
      <c r="C22" s="8" t="s">
        <v>400</v>
      </c>
    </row>
    <row r="23" spans="1:20" ht="11.25" customHeight="1" x14ac:dyDescent="0.35"/>
    <row r="24" spans="1:20" ht="12.3" x14ac:dyDescent="0.35">
      <c r="D24" s="43" t="str">
        <f>D16</f>
        <v>Category heading</v>
      </c>
      <c r="E24" s="38" t="str">
        <f>Lookup!E$20</f>
        <v>Source</v>
      </c>
      <c r="F24" s="38" t="str">
        <f>Lookup!F$20</f>
        <v>Unit</v>
      </c>
      <c r="G24" s="38" t="str">
        <f>Lookup!G$20</f>
        <v>Basis</v>
      </c>
      <c r="H24" s="38" t="str">
        <f>Lookup!H$20</f>
        <v>Timing</v>
      </c>
      <c r="J24" s="72" t="str">
        <f t="shared" ref="J24:T24" si="1">J$10</f>
        <v>RY19</v>
      </c>
      <c r="K24" s="46" t="str">
        <f t="shared" si="1"/>
        <v>RY20</v>
      </c>
      <c r="L24" s="38" t="str">
        <f>L$10</f>
        <v>RY21</v>
      </c>
      <c r="M24" s="38" t="str">
        <f t="shared" si="1"/>
        <v>RY22</v>
      </c>
      <c r="N24" s="38" t="str">
        <f t="shared" si="1"/>
        <v>RY23</v>
      </c>
      <c r="O24" s="47" t="str">
        <f t="shared" si="1"/>
        <v>RY24</v>
      </c>
      <c r="P24" s="46" t="str">
        <f t="shared" si="1"/>
        <v>RY25</v>
      </c>
      <c r="Q24" s="38" t="str">
        <f t="shared" si="1"/>
        <v>RY26</v>
      </c>
      <c r="R24" s="38" t="str">
        <f t="shared" si="1"/>
        <v>RY27</v>
      </c>
      <c r="S24" s="38" t="str">
        <f t="shared" si="1"/>
        <v>RY28</v>
      </c>
      <c r="T24" s="38" t="str">
        <f t="shared" si="1"/>
        <v>RY29</v>
      </c>
    </row>
    <row r="25" spans="1:20" x14ac:dyDescent="0.35">
      <c r="J25" s="73"/>
      <c r="K25" s="48"/>
      <c r="O25" s="49"/>
      <c r="P25" s="48"/>
    </row>
    <row r="26" spans="1:20" ht="12.3" x14ac:dyDescent="0.35">
      <c r="D26" s="7" t="s">
        <v>363</v>
      </c>
      <c r="E26" s="45" t="s">
        <v>91</v>
      </c>
      <c r="F26" s="37" t="str">
        <f t="shared" ref="F26:F27" si="2">Factor</f>
        <v>Factor</v>
      </c>
      <c r="G26" s="37" t="str">
        <f t="shared" ref="G26:G27" si="3">NA</f>
        <v>N/A</v>
      </c>
      <c r="H26" s="37" t="str">
        <f>End_year</f>
        <v>End year</v>
      </c>
      <c r="J26" s="279">
        <v>1</v>
      </c>
      <c r="K26" s="262">
        <f>J26*(1+J$18)</f>
        <v>1.0178412132024979</v>
      </c>
      <c r="L26" s="259">
        <f t="shared" ref="L26:T26" si="4">K26*(1+K$18)</f>
        <v>1.0365744870651206</v>
      </c>
      <c r="M26" s="259">
        <f t="shared" si="4"/>
        <v>1.0454950936663694</v>
      </c>
      <c r="N26" s="259">
        <f t="shared" si="4"/>
        <v>1.0820695807314897</v>
      </c>
      <c r="O26" s="260">
        <f t="shared" si="4"/>
        <v>1.1686351471900089</v>
      </c>
      <c r="P26" s="261">
        <f t="shared" si="4"/>
        <v>1.2235609991079393</v>
      </c>
      <c r="Q26" s="261">
        <f t="shared" si="4"/>
        <v>1.2592845760724625</v>
      </c>
      <c r="R26" s="261">
        <f t="shared" si="4"/>
        <v>1.2960511528972873</v>
      </c>
      <c r="S26" s="261">
        <f t="shared" si="4"/>
        <v>1.3338911814240553</v>
      </c>
      <c r="T26" s="261">
        <f t="shared" si="4"/>
        <v>1.3728360025785724</v>
      </c>
    </row>
    <row r="27" spans="1:20" ht="12.3" x14ac:dyDescent="0.35">
      <c r="D27" s="7" t="s">
        <v>362</v>
      </c>
      <c r="E27" s="45" t="s">
        <v>91</v>
      </c>
      <c r="F27" s="37" t="str">
        <f t="shared" si="2"/>
        <v>Factor</v>
      </c>
      <c r="G27" s="37" t="str">
        <f t="shared" si="3"/>
        <v>N/A</v>
      </c>
      <c r="H27" s="37" t="str">
        <f>End_year</f>
        <v>End year</v>
      </c>
      <c r="J27" s="278"/>
      <c r="K27" s="278"/>
      <c r="L27" s="278"/>
      <c r="M27" s="278"/>
      <c r="N27" s="259">
        <f>O27/(1+O18)</f>
        <v>0.95510983763132762</v>
      </c>
      <c r="O27" s="279">
        <v>1</v>
      </c>
      <c r="P27" s="261">
        <f t="shared" ref="P27:T27" si="5">O27*(1+P$18)</f>
        <v>1.0291964004986822</v>
      </c>
      <c r="Q27" s="261">
        <f t="shared" si="5"/>
        <v>1.059245230799444</v>
      </c>
      <c r="R27" s="261">
        <f t="shared" si="5"/>
        <v>1.0901713787841836</v>
      </c>
      <c r="S27" s="261">
        <f t="shared" si="5"/>
        <v>1.1220004589713672</v>
      </c>
      <c r="T27" s="261">
        <f t="shared" si="5"/>
        <v>1.1547588337312005</v>
      </c>
    </row>
    <row r="29" spans="1:20" ht="11.25" customHeight="1" x14ac:dyDescent="0.35">
      <c r="A29" s="42">
        <f>IF(SUM($J29:$T29)&lt;&gt;0,1,0)</f>
        <v>0</v>
      </c>
      <c r="D29" s="10" t="s">
        <v>94</v>
      </c>
      <c r="J29" s="42">
        <f t="shared" ref="J29:T29" si="6">IF(ISERROR(SUM(J26:J27)),1,0)</f>
        <v>0</v>
      </c>
      <c r="K29" s="42">
        <f t="shared" si="6"/>
        <v>0</v>
      </c>
      <c r="L29" s="42">
        <f t="shared" si="6"/>
        <v>0</v>
      </c>
      <c r="M29" s="42">
        <f t="shared" si="6"/>
        <v>0</v>
      </c>
      <c r="N29" s="42">
        <f t="shared" si="6"/>
        <v>0</v>
      </c>
      <c r="O29" s="42">
        <f t="shared" si="6"/>
        <v>0</v>
      </c>
      <c r="P29" s="42">
        <f t="shared" si="6"/>
        <v>0</v>
      </c>
      <c r="Q29" s="42">
        <f t="shared" si="6"/>
        <v>0</v>
      </c>
      <c r="R29" s="42">
        <f t="shared" si="6"/>
        <v>0</v>
      </c>
      <c r="S29" s="42">
        <f t="shared" si="6"/>
        <v>0</v>
      </c>
      <c r="T29" s="42">
        <f t="shared" si="6"/>
        <v>0</v>
      </c>
    </row>
    <row r="30" spans="1:20" ht="11.25" customHeight="1" x14ac:dyDescent="0.35"/>
    <row r="31" spans="1:20" s="2" customFormat="1" ht="15" x14ac:dyDescent="0.35">
      <c r="B31" s="2" t="s">
        <v>26</v>
      </c>
    </row>
  </sheetData>
  <conditionalFormatting sqref="B2">
    <cfRule type="cellIs" dxfId="20" priority="1" operator="notEqual">
      <formula>"No Errors Found"</formula>
    </cfRule>
  </conditionalFormatting>
  <hyperlinks>
    <hyperlink ref="B3:E3" location="TOC!A1" display="TOC!A1" xr:uid="{08766B7E-C9B1-46B9-A306-016F64DA9DEA}"/>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4" tint="0.79998168889431442"/>
  </sheetPr>
  <dimension ref="A1:W271"/>
  <sheetViews>
    <sheetView showGridLines="0" zoomScaleNormal="100" workbookViewId="0">
      <pane xSplit="1" ySplit="10" topLeftCell="B11" activePane="bottomRight" state="frozen"/>
      <selection activeCell="D44" sqref="D44"/>
      <selection pane="topRight" activeCell="D44" sqref="D44"/>
      <selection pane="bottomLeft" activeCell="D44" sqref="D44"/>
      <selection pane="bottomRight" activeCell="B11" sqref="B11"/>
    </sheetView>
  </sheetViews>
  <sheetFormatPr defaultColWidth="9.33203125" defaultRowHeight="10.199999999999999" outlineLevelRow="1" x14ac:dyDescent="0.35"/>
  <cols>
    <col min="1" max="1" width="3.33203125" style="77" customWidth="1"/>
    <col min="2" max="3" width="2.796875" style="77" customWidth="1"/>
    <col min="4" max="4" width="47.46484375" style="77" customWidth="1"/>
    <col min="5" max="5" width="14.3984375" style="77" bestFit="1" customWidth="1"/>
    <col min="6" max="7" width="12.1328125" style="77" customWidth="1"/>
    <col min="8" max="8" width="12.1328125" customWidth="1"/>
    <col min="9" max="9" width="4.46484375" style="77" customWidth="1"/>
    <col min="10" max="20" width="12.796875" style="77" customWidth="1"/>
    <col min="21" max="21" width="4.33203125" style="77" customWidth="1"/>
    <col min="22" max="23" width="10.796875" style="77" customWidth="1"/>
    <col min="24" max="16384" width="9.33203125" style="77"/>
  </cols>
  <sheetData>
    <row r="1" spans="1:20" ht="18.899999999999999" x14ac:dyDescent="0.35">
      <c r="A1" s="76">
        <f>IF(SUM($A11:$A259)&gt;0,1,0)</f>
        <v>0</v>
      </c>
      <c r="B1" s="286" t="s">
        <v>404</v>
      </c>
    </row>
    <row r="2" spans="1:20" x14ac:dyDescent="0.35">
      <c r="B2" s="78" t="str">
        <f>Title_Msg</f>
        <v>No Errors Found</v>
      </c>
    </row>
    <row r="3" spans="1:20" x14ac:dyDescent="0.35">
      <c r="B3" s="79" t="str">
        <f>TOC!B1</f>
        <v>Table of Contents</v>
      </c>
      <c r="C3" s="80"/>
      <c r="D3" s="80"/>
      <c r="E3" s="80"/>
    </row>
    <row r="4" spans="1:20" ht="12.3" x14ac:dyDescent="0.35">
      <c r="B4" s="81" t="str">
        <f>Model_Name</f>
        <v>Power and Water Corporation (PWC) - RAB Allocation - EB RIN</v>
      </c>
    </row>
    <row r="5" spans="1:20" ht="12.3" hidden="1" outlineLevel="1" x14ac:dyDescent="0.35">
      <c r="B5" s="82" t="str">
        <f>Lookup!B15</f>
        <v>Period start date</v>
      </c>
      <c r="J5" s="83">
        <f>Lookup!R15</f>
        <v>43282</v>
      </c>
      <c r="K5" s="83">
        <f>Lookup!S15</f>
        <v>43647</v>
      </c>
      <c r="L5" s="83">
        <f>Lookup!T15</f>
        <v>44013</v>
      </c>
      <c r="M5" s="83">
        <f>Lookup!U15</f>
        <v>44378</v>
      </c>
      <c r="N5" s="83">
        <f>Lookup!V15</f>
        <v>44743</v>
      </c>
      <c r="O5" s="83">
        <f>Lookup!W15</f>
        <v>45108</v>
      </c>
      <c r="P5" s="83">
        <f>Lookup!X15</f>
        <v>45474</v>
      </c>
      <c r="Q5" s="83">
        <f>Lookup!Y15</f>
        <v>45839</v>
      </c>
      <c r="R5" s="83">
        <f>Lookup!Z15</f>
        <v>46204</v>
      </c>
      <c r="S5" s="83">
        <f>Lookup!AA15</f>
        <v>46569</v>
      </c>
      <c r="T5" s="83">
        <f>Lookup!AB15</f>
        <v>46935</v>
      </c>
    </row>
    <row r="6" spans="1:20" ht="12.3" hidden="1" outlineLevel="1" x14ac:dyDescent="0.35">
      <c r="B6" s="82" t="str">
        <f>Lookup!B16</f>
        <v>Period end date</v>
      </c>
      <c r="J6" s="83">
        <f>Lookup!R16</f>
        <v>43646</v>
      </c>
      <c r="K6" s="83">
        <f>Lookup!S16</f>
        <v>44012</v>
      </c>
      <c r="L6" s="83">
        <f>Lookup!T16</f>
        <v>44377</v>
      </c>
      <c r="M6" s="83">
        <f>Lookup!U16</f>
        <v>44742</v>
      </c>
      <c r="N6" s="83">
        <f>Lookup!V16</f>
        <v>45107</v>
      </c>
      <c r="O6" s="83">
        <f>Lookup!W16</f>
        <v>45473</v>
      </c>
      <c r="P6" s="83">
        <f>Lookup!X16</f>
        <v>45838</v>
      </c>
      <c r="Q6" s="83">
        <f>Lookup!Y16</f>
        <v>46203</v>
      </c>
      <c r="R6" s="83">
        <f>Lookup!Z16</f>
        <v>46568</v>
      </c>
      <c r="S6" s="83">
        <f>Lookup!AA16</f>
        <v>46934</v>
      </c>
      <c r="T6" s="83">
        <f>Lookup!AB16</f>
        <v>47299</v>
      </c>
    </row>
    <row r="7" spans="1:20" ht="12.3" hidden="1" outlineLevel="1" x14ac:dyDescent="0.35">
      <c r="B7" s="82" t="str">
        <f>Lookup!B17</f>
        <v>Period counter</v>
      </c>
      <c r="J7" s="84">
        <f>Lookup!R17</f>
        <v>9</v>
      </c>
      <c r="K7" s="84">
        <f>Lookup!S17</f>
        <v>10</v>
      </c>
      <c r="L7" s="84">
        <f>Lookup!T17</f>
        <v>11</v>
      </c>
      <c r="M7" s="84">
        <f>Lookup!U17</f>
        <v>12</v>
      </c>
      <c r="N7" s="84">
        <f>Lookup!V17</f>
        <v>13</v>
      </c>
      <c r="O7" s="84">
        <f>Lookup!W17</f>
        <v>14</v>
      </c>
      <c r="P7" s="84">
        <f>Lookup!X17</f>
        <v>15</v>
      </c>
      <c r="Q7" s="84">
        <f>Lookup!Y17</f>
        <v>16</v>
      </c>
      <c r="R7" s="84">
        <f>Lookup!Z17</f>
        <v>17</v>
      </c>
      <c r="S7" s="84">
        <f>Lookup!AA17</f>
        <v>18</v>
      </c>
      <c r="T7" s="84">
        <f>Lookup!AB17</f>
        <v>19</v>
      </c>
    </row>
    <row r="8" spans="1:20" ht="12.3" hidden="1" outlineLevel="1" x14ac:dyDescent="0.35">
      <c r="B8" s="82" t="str">
        <f>Lookup!B18</f>
        <v>Year</v>
      </c>
      <c r="J8" s="85">
        <f>Lookup!R18</f>
        <v>2019</v>
      </c>
      <c r="K8" s="85">
        <f>Lookup!S18</f>
        <v>2020</v>
      </c>
      <c r="L8" s="85">
        <f>Lookup!T18</f>
        <v>2021</v>
      </c>
      <c r="M8" s="85">
        <f>Lookup!U18</f>
        <v>2022</v>
      </c>
      <c r="N8" s="85">
        <f>Lookup!V18</f>
        <v>2023</v>
      </c>
      <c r="O8" s="85">
        <f>Lookup!W18</f>
        <v>2024</v>
      </c>
      <c r="P8" s="85">
        <f>Lookup!X18</f>
        <v>2025</v>
      </c>
      <c r="Q8" s="85">
        <f>Lookup!Y18</f>
        <v>2026</v>
      </c>
      <c r="R8" s="85">
        <f>Lookup!Z18</f>
        <v>2027</v>
      </c>
      <c r="S8" s="85">
        <f>Lookup!AA18</f>
        <v>2028</v>
      </c>
      <c r="T8" s="85">
        <f>Lookup!AB18</f>
        <v>2029</v>
      </c>
    </row>
    <row r="9" spans="1:20" ht="12.3" hidden="1" outlineLevel="1" x14ac:dyDescent="0.35">
      <c r="B9" s="82" t="str">
        <f>Lookup!B19</f>
        <v>Period type</v>
      </c>
      <c r="J9" s="85" t="str">
        <f>Lookup!R19</f>
        <v>Actual</v>
      </c>
      <c r="K9" s="85" t="str">
        <f>Lookup!S19</f>
        <v>Actual</v>
      </c>
      <c r="L9" s="85" t="str">
        <f>Lookup!T19</f>
        <v>Actual</v>
      </c>
      <c r="M9" s="85" t="str">
        <f>Lookup!U19</f>
        <v>Base Year</v>
      </c>
      <c r="N9" s="85" t="str">
        <f>Lookup!V19</f>
        <v>Estimate</v>
      </c>
      <c r="O9" s="85" t="str">
        <f>Lookup!W19</f>
        <v>Estimate</v>
      </c>
      <c r="P9" s="85" t="str">
        <f>Lookup!X19</f>
        <v>Forecast</v>
      </c>
      <c r="Q9" s="85" t="str">
        <f>Lookup!Y19</f>
        <v>Forecast</v>
      </c>
      <c r="R9" s="85" t="str">
        <f>Lookup!Z19</f>
        <v>Forecast</v>
      </c>
      <c r="S9" s="85" t="str">
        <f>Lookup!AA19</f>
        <v>Forecast</v>
      </c>
      <c r="T9" s="85" t="str">
        <f>Lookup!AB19</f>
        <v>Forecast</v>
      </c>
    </row>
    <row r="10" spans="1:20" ht="12.3" collapsed="1" x14ac:dyDescent="0.35">
      <c r="B10" s="86" t="str">
        <f>Lookup!B20</f>
        <v>Regulatory year</v>
      </c>
      <c r="E10" s="87" t="str">
        <f>Lookup!E20</f>
        <v>Source</v>
      </c>
      <c r="F10" s="87" t="str">
        <f>Lookup!F20</f>
        <v>Unit</v>
      </c>
      <c r="G10" s="87" t="str">
        <f>Lookup!G20</f>
        <v>Basis</v>
      </c>
      <c r="H10" s="34" t="str">
        <f>Lookup!H20</f>
        <v>Timing</v>
      </c>
      <c r="I10" s="87"/>
      <c r="J10" s="87" t="str">
        <f>Lookup!R20</f>
        <v>RY19</v>
      </c>
      <c r="K10" s="87" t="str">
        <f>Lookup!S20</f>
        <v>RY20</v>
      </c>
      <c r="L10" s="87" t="str">
        <f>Lookup!T20</f>
        <v>RY21</v>
      </c>
      <c r="M10" s="87" t="str">
        <f>Lookup!U20</f>
        <v>RY22</v>
      </c>
      <c r="N10" s="87" t="str">
        <f>Lookup!V20</f>
        <v>RY23</v>
      </c>
      <c r="O10" s="87" t="str">
        <f>Lookup!W20</f>
        <v>RY24</v>
      </c>
      <c r="P10" s="87" t="str">
        <f>Lookup!X20</f>
        <v>RY25</v>
      </c>
      <c r="Q10" s="87" t="str">
        <f>Lookup!Y20</f>
        <v>RY26</v>
      </c>
      <c r="R10" s="87" t="str">
        <f>Lookup!Z20</f>
        <v>RY27</v>
      </c>
      <c r="S10" s="87" t="str">
        <f>Lookup!AA20</f>
        <v>RY28</v>
      </c>
      <c r="T10" s="87" t="str">
        <f>Lookup!AB20</f>
        <v>RY29</v>
      </c>
    </row>
    <row r="12" spans="1:20" s="88" customFormat="1" ht="15" x14ac:dyDescent="0.35">
      <c r="B12" s="88" t="s">
        <v>403</v>
      </c>
      <c r="H12" s="2"/>
    </row>
    <row r="13" spans="1:20" ht="4.5" customHeight="1" x14ac:dyDescent="0.35"/>
    <row r="14" spans="1:20" s="89" customFormat="1" ht="14.1" x14ac:dyDescent="0.35">
      <c r="C14" s="89" t="s">
        <v>402</v>
      </c>
      <c r="H14" s="8"/>
    </row>
    <row r="15" spans="1:20" ht="11.25" customHeight="1" x14ac:dyDescent="0.35"/>
    <row r="16" spans="1:20" ht="12.3" x14ac:dyDescent="0.35">
      <c r="D16" s="90" t="s">
        <v>401</v>
      </c>
      <c r="E16" s="91" t="str">
        <f>Lookup!E$20</f>
        <v>Source</v>
      </c>
      <c r="F16" s="91" t="str">
        <f>Lookup!F$20</f>
        <v>Unit</v>
      </c>
      <c r="G16" s="91" t="str">
        <f>Lookup!G$20</f>
        <v>Basis</v>
      </c>
      <c r="H16" s="38" t="str">
        <f>Lookup!H$20</f>
        <v>Timing</v>
      </c>
      <c r="J16" s="274" t="str">
        <f t="shared" ref="J16:T16" si="0">J$10</f>
        <v>RY19</v>
      </c>
      <c r="K16" s="92" t="str">
        <f t="shared" si="0"/>
        <v>RY20</v>
      </c>
      <c r="L16" s="91" t="str">
        <f>L$10</f>
        <v>RY21</v>
      </c>
      <c r="M16" s="91" t="str">
        <f t="shared" si="0"/>
        <v>RY22</v>
      </c>
      <c r="N16" s="91" t="str">
        <f t="shared" si="0"/>
        <v>RY23</v>
      </c>
      <c r="O16" s="93" t="str">
        <f t="shared" si="0"/>
        <v>RY24</v>
      </c>
      <c r="P16" s="92" t="str">
        <f t="shared" si="0"/>
        <v>RY25</v>
      </c>
      <c r="Q16" s="91" t="str">
        <f>Q$10</f>
        <v>RY26</v>
      </c>
      <c r="R16" s="91" t="str">
        <f t="shared" si="0"/>
        <v>RY27</v>
      </c>
      <c r="S16" s="91" t="str">
        <f t="shared" si="0"/>
        <v>RY28</v>
      </c>
      <c r="T16" s="93" t="str">
        <f t="shared" si="0"/>
        <v>RY29</v>
      </c>
    </row>
    <row r="17" spans="4:23" x14ac:dyDescent="0.35">
      <c r="J17" s="95"/>
      <c r="K17" s="94"/>
      <c r="O17" s="96"/>
      <c r="P17" s="94"/>
      <c r="T17" s="96"/>
    </row>
    <row r="18" spans="4:23" ht="12.3" x14ac:dyDescent="0.35">
      <c r="D18" s="82" t="str">
        <f>Lookup!D71</f>
        <v>Substations</v>
      </c>
      <c r="E18" s="288" t="s">
        <v>366</v>
      </c>
      <c r="F18" s="97" t="str">
        <f t="shared" ref="F18:F37" si="1">Millions</f>
        <v>$Millions</v>
      </c>
      <c r="G18" s="97" t="str">
        <f t="shared" ref="G18:G37" si="2">Nominal</f>
        <v>Nominal</v>
      </c>
      <c r="H18" s="45" t="str">
        <f t="shared" ref="H18:H37" si="3">Start_year</f>
        <v>Start year</v>
      </c>
      <c r="J18" s="75">
        <v>302.05380459241434</v>
      </c>
      <c r="K18" s="99">
        <f t="shared" ref="K18:T18" si="4">J231</f>
        <v>268.56921362647154</v>
      </c>
      <c r="L18" s="99">
        <f t="shared" si="4"/>
        <v>273.91279026633384</v>
      </c>
      <c r="M18" s="99">
        <f t="shared" si="4"/>
        <v>269.77621313494836</v>
      </c>
      <c r="N18" s="99">
        <f t="shared" si="4"/>
        <v>271.0040939068233</v>
      </c>
      <c r="O18" s="101">
        <f t="shared" si="4"/>
        <v>285.24939154493137</v>
      </c>
      <c r="P18" s="100">
        <f t="shared" si="4"/>
        <v>295.46542520242537</v>
      </c>
      <c r="Q18" s="99">
        <f t="shared" si="4"/>
        <v>301.20458656271086</v>
      </c>
      <c r="R18" s="99">
        <f t="shared" si="4"/>
        <v>303.82385306222454</v>
      </c>
      <c r="S18" s="99">
        <f t="shared" si="4"/>
        <v>292.61022492292562</v>
      </c>
      <c r="T18" s="101">
        <f t="shared" si="4"/>
        <v>279.67713195694216</v>
      </c>
      <c r="W18" s="270"/>
    </row>
    <row r="19" spans="4:23" ht="12.3" x14ac:dyDescent="0.35">
      <c r="D19" s="82" t="str">
        <f>Lookup!D72</f>
        <v>Distribution Lines</v>
      </c>
      <c r="E19" s="97" t="str">
        <f>E18</f>
        <v>RFM</v>
      </c>
      <c r="F19" s="97" t="str">
        <f t="shared" si="1"/>
        <v>$Millions</v>
      </c>
      <c r="G19" s="97" t="str">
        <f t="shared" si="2"/>
        <v>Nominal</v>
      </c>
      <c r="H19" s="45" t="str">
        <f t="shared" si="3"/>
        <v>Start year</v>
      </c>
      <c r="J19" s="75">
        <v>243.17023733371346</v>
      </c>
      <c r="K19" s="99">
        <f t="shared" ref="K19:T19" si="5">J232</f>
        <v>241.97110211260576</v>
      </c>
      <c r="L19" s="99">
        <f t="shared" si="5"/>
        <v>246.68710684429169</v>
      </c>
      <c r="M19" s="99">
        <f t="shared" si="5"/>
        <v>250.02037543764951</v>
      </c>
      <c r="N19" s="99">
        <f t="shared" si="5"/>
        <v>268.12830042198436</v>
      </c>
      <c r="O19" s="101">
        <f t="shared" si="5"/>
        <v>307.46003927912983</v>
      </c>
      <c r="P19" s="100">
        <f t="shared" si="5"/>
        <v>334.97219676809812</v>
      </c>
      <c r="Q19" s="99">
        <f t="shared" si="5"/>
        <v>352.72642240492729</v>
      </c>
      <c r="R19" s="99">
        <f t="shared" si="5"/>
        <v>372.93965604481053</v>
      </c>
      <c r="S19" s="99">
        <f t="shared" si="5"/>
        <v>393.68910473988325</v>
      </c>
      <c r="T19" s="101">
        <f t="shared" si="5"/>
        <v>411.5682958534606</v>
      </c>
      <c r="W19" s="270"/>
    </row>
    <row r="20" spans="4:23" ht="12.3" x14ac:dyDescent="0.35">
      <c r="D20" s="82" t="str">
        <f>Lookup!D73</f>
        <v>Transmission Lines</v>
      </c>
      <c r="E20" s="97" t="str">
        <f t="shared" ref="E20:E37" si="6">E19</f>
        <v>RFM</v>
      </c>
      <c r="F20" s="97" t="str">
        <f t="shared" si="1"/>
        <v>$Millions</v>
      </c>
      <c r="G20" s="97" t="str">
        <f t="shared" si="2"/>
        <v>Nominal</v>
      </c>
      <c r="H20" s="45" t="str">
        <f t="shared" si="3"/>
        <v>Start year</v>
      </c>
      <c r="J20" s="75">
        <v>179.32496665981935</v>
      </c>
      <c r="K20" s="99">
        <f t="shared" ref="K20:T20" si="7">J233</f>
        <v>177.74572717022866</v>
      </c>
      <c r="L20" s="99">
        <f t="shared" si="7"/>
        <v>175.43506757109449</v>
      </c>
      <c r="M20" s="99">
        <f t="shared" si="7"/>
        <v>171.8898895972944</v>
      </c>
      <c r="N20" s="99">
        <f t="shared" si="7"/>
        <v>173.51494534151189</v>
      </c>
      <c r="O20" s="101">
        <f t="shared" si="7"/>
        <v>183.30335340718091</v>
      </c>
      <c r="P20" s="100">
        <f t="shared" si="7"/>
        <v>193.9635883151025</v>
      </c>
      <c r="Q20" s="99">
        <f t="shared" si="7"/>
        <v>194.96429976036262</v>
      </c>
      <c r="R20" s="99">
        <f t="shared" si="7"/>
        <v>199.68833826689925</v>
      </c>
      <c r="S20" s="99">
        <f t="shared" si="7"/>
        <v>199.78554739725411</v>
      </c>
      <c r="T20" s="101">
        <f t="shared" si="7"/>
        <v>198.55340436775612</v>
      </c>
      <c r="W20" s="270"/>
    </row>
    <row r="21" spans="4:23" ht="12.3" x14ac:dyDescent="0.35">
      <c r="D21" s="82" t="str">
        <f>Lookup!D74</f>
        <v>LV Services</v>
      </c>
      <c r="E21" s="97" t="str">
        <f t="shared" si="6"/>
        <v>RFM</v>
      </c>
      <c r="F21" s="97" t="str">
        <f t="shared" si="1"/>
        <v>$Millions</v>
      </c>
      <c r="G21" s="97" t="str">
        <f t="shared" si="2"/>
        <v>Nominal</v>
      </c>
      <c r="H21" s="45" t="str">
        <f t="shared" si="3"/>
        <v>Start year</v>
      </c>
      <c r="J21" s="75">
        <v>6.244698413013916</v>
      </c>
      <c r="K21" s="99">
        <f t="shared" ref="K21:T21" si="8">J234</f>
        <v>8.2983005915694505</v>
      </c>
      <c r="L21" s="99">
        <f t="shared" si="8"/>
        <v>8.9446488145072163</v>
      </c>
      <c r="M21" s="99">
        <f t="shared" si="8"/>
        <v>9.9343749748679464</v>
      </c>
      <c r="N21" s="99">
        <f t="shared" si="8"/>
        <v>12.272442983021641</v>
      </c>
      <c r="O21" s="101">
        <f t="shared" si="8"/>
        <v>14.545779628579101</v>
      </c>
      <c r="P21" s="100">
        <f t="shared" si="8"/>
        <v>16.689333315000248</v>
      </c>
      <c r="Q21" s="99">
        <f t="shared" si="8"/>
        <v>21.319976720847901</v>
      </c>
      <c r="R21" s="99">
        <f t="shared" si="8"/>
        <v>26.218532058189794</v>
      </c>
      <c r="S21" s="99">
        <f t="shared" si="8"/>
        <v>31.369733095997109</v>
      </c>
      <c r="T21" s="101">
        <f t="shared" si="8"/>
        <v>36.772882479649041</v>
      </c>
      <c r="W21" s="270"/>
    </row>
    <row r="22" spans="4:23" ht="12.3" x14ac:dyDescent="0.35">
      <c r="D22" s="82" t="str">
        <f>Lookup!D75</f>
        <v>Distribution Substations</v>
      </c>
      <c r="E22" s="97" t="str">
        <f t="shared" si="6"/>
        <v>RFM</v>
      </c>
      <c r="F22" s="97" t="str">
        <f t="shared" si="1"/>
        <v>$Millions</v>
      </c>
      <c r="G22" s="97" t="str">
        <f t="shared" si="2"/>
        <v>Nominal</v>
      </c>
      <c r="H22" s="45" t="str">
        <f t="shared" si="3"/>
        <v>Start year</v>
      </c>
      <c r="J22" s="75">
        <v>95.373849866866138</v>
      </c>
      <c r="K22" s="99">
        <f t="shared" ref="K22:T22" si="9">J235</f>
        <v>100.69127571191727</v>
      </c>
      <c r="L22" s="99">
        <f t="shared" si="9"/>
        <v>102.35072770488213</v>
      </c>
      <c r="M22" s="99">
        <f t="shared" si="9"/>
        <v>102.89474061545894</v>
      </c>
      <c r="N22" s="99">
        <f t="shared" si="9"/>
        <v>107.32108118798307</v>
      </c>
      <c r="O22" s="101">
        <f t="shared" si="9"/>
        <v>114.2498681140345</v>
      </c>
      <c r="P22" s="100">
        <f t="shared" si="9"/>
        <v>118.16558347378378</v>
      </c>
      <c r="Q22" s="99">
        <f t="shared" si="9"/>
        <v>120.7551181585178</v>
      </c>
      <c r="R22" s="99">
        <f t="shared" si="9"/>
        <v>123.49064073585251</v>
      </c>
      <c r="S22" s="99">
        <f t="shared" si="9"/>
        <v>126.35386219117487</v>
      </c>
      <c r="T22" s="101">
        <f t="shared" si="9"/>
        <v>129.34045774451144</v>
      </c>
      <c r="W22" s="270"/>
    </row>
    <row r="23" spans="4:23" ht="12.3" x14ac:dyDescent="0.35">
      <c r="D23" s="82" t="str">
        <f>Lookup!D76</f>
        <v>Distribution Switchgear</v>
      </c>
      <c r="E23" s="97" t="str">
        <f t="shared" si="6"/>
        <v>RFM</v>
      </c>
      <c r="F23" s="97" t="str">
        <f t="shared" si="1"/>
        <v>$Millions</v>
      </c>
      <c r="G23" s="97" t="str">
        <f t="shared" si="2"/>
        <v>Nominal</v>
      </c>
      <c r="H23" s="45" t="str">
        <f t="shared" si="3"/>
        <v>Start year</v>
      </c>
      <c r="J23" s="75">
        <v>33.724087181279067</v>
      </c>
      <c r="K23" s="99">
        <f t="shared" ref="K23:T23" si="10">J236</f>
        <v>41.127491404060144</v>
      </c>
      <c r="L23" s="99">
        <f t="shared" si="10"/>
        <v>42.410027186854585</v>
      </c>
      <c r="M23" s="99">
        <f t="shared" si="10"/>
        <v>44.242466238115142</v>
      </c>
      <c r="N23" s="99">
        <f t="shared" si="10"/>
        <v>46.829300397597045</v>
      </c>
      <c r="O23" s="101">
        <f t="shared" si="10"/>
        <v>52.930677428417169</v>
      </c>
      <c r="P23" s="100">
        <f t="shared" si="10"/>
        <v>55.951672225894441</v>
      </c>
      <c r="Q23" s="99">
        <f t="shared" si="10"/>
        <v>61.180266013784369</v>
      </c>
      <c r="R23" s="99">
        <f t="shared" si="10"/>
        <v>66.725176868560837</v>
      </c>
      <c r="S23" s="99">
        <f t="shared" si="10"/>
        <v>72.573555299551643</v>
      </c>
      <c r="T23" s="101">
        <f t="shared" si="10"/>
        <v>78.72781387975094</v>
      </c>
      <c r="W23" s="270"/>
    </row>
    <row r="24" spans="4:23" ht="12.3" x14ac:dyDescent="0.35">
      <c r="D24" s="82" t="str">
        <f>Lookup!D77</f>
        <v>Protection</v>
      </c>
      <c r="E24" s="97" t="str">
        <f t="shared" si="6"/>
        <v>RFM</v>
      </c>
      <c r="F24" s="97" t="str">
        <f t="shared" si="1"/>
        <v>$Millions</v>
      </c>
      <c r="G24" s="97" t="str">
        <f t="shared" si="2"/>
        <v>Nominal</v>
      </c>
      <c r="H24" s="45" t="str">
        <f t="shared" si="3"/>
        <v>Start year</v>
      </c>
      <c r="J24" s="75">
        <v>21.791533280848586</v>
      </c>
      <c r="K24" s="99">
        <f t="shared" ref="K24:T24" si="11">J237</f>
        <v>31.92549317981581</v>
      </c>
      <c r="L24" s="99">
        <f t="shared" si="11"/>
        <v>32.894895149212104</v>
      </c>
      <c r="M24" s="99">
        <f t="shared" si="11"/>
        <v>33.470157055147993</v>
      </c>
      <c r="N24" s="99">
        <f t="shared" si="11"/>
        <v>36.360791731901813</v>
      </c>
      <c r="O24" s="101">
        <f t="shared" si="11"/>
        <v>40.914084709069016</v>
      </c>
      <c r="P24" s="100">
        <f t="shared" si="11"/>
        <v>43.48495518621678</v>
      </c>
      <c r="Q24" s="99">
        <f t="shared" si="11"/>
        <v>52.609020173988803</v>
      </c>
      <c r="R24" s="99">
        <f t="shared" si="11"/>
        <v>57.233228178866732</v>
      </c>
      <c r="S24" s="99">
        <f t="shared" si="11"/>
        <v>60.805013666717443</v>
      </c>
      <c r="T24" s="101">
        <f t="shared" si="11"/>
        <v>63.930744071391409</v>
      </c>
      <c r="W24" s="270"/>
    </row>
    <row r="25" spans="4:23" ht="12.3" x14ac:dyDescent="0.35">
      <c r="D25" s="82" t="str">
        <f>Lookup!D78</f>
        <v>SCADA</v>
      </c>
      <c r="E25" s="97" t="str">
        <f t="shared" si="6"/>
        <v>RFM</v>
      </c>
      <c r="F25" s="97" t="str">
        <f t="shared" si="1"/>
        <v>$Millions</v>
      </c>
      <c r="G25" s="97" t="str">
        <f t="shared" si="2"/>
        <v>Nominal</v>
      </c>
      <c r="H25" s="45" t="str">
        <f t="shared" si="3"/>
        <v>Start year</v>
      </c>
      <c r="J25" s="75">
        <v>5.01799254659469</v>
      </c>
      <c r="K25" s="99">
        <f t="shared" ref="K25:T25" si="12">J238</f>
        <v>9.9354050643142084</v>
      </c>
      <c r="L25" s="99">
        <f t="shared" si="12"/>
        <v>11.175621128341014</v>
      </c>
      <c r="M25" s="99">
        <f t="shared" si="12"/>
        <v>12.029990879891887</v>
      </c>
      <c r="N25" s="99">
        <f t="shared" si="12"/>
        <v>13.354470727943674</v>
      </c>
      <c r="O25" s="101">
        <f t="shared" si="12"/>
        <v>19.312772506178618</v>
      </c>
      <c r="P25" s="100">
        <f t="shared" si="12"/>
        <v>25.81367243215551</v>
      </c>
      <c r="Q25" s="99">
        <f t="shared" si="12"/>
        <v>28.331707597221918</v>
      </c>
      <c r="R25" s="99">
        <f t="shared" si="12"/>
        <v>27.525585419683328</v>
      </c>
      <c r="S25" s="99">
        <f t="shared" si="12"/>
        <v>26.568240411665233</v>
      </c>
      <c r="T25" s="101">
        <f t="shared" si="12"/>
        <v>25.673673926752539</v>
      </c>
      <c r="W25" s="270"/>
    </row>
    <row r="26" spans="4:23" ht="12.3" x14ac:dyDescent="0.35">
      <c r="D26" s="82" t="str">
        <f>Lookup!D79</f>
        <v>Communications</v>
      </c>
      <c r="E26" s="97" t="str">
        <f t="shared" si="6"/>
        <v>RFM</v>
      </c>
      <c r="F26" s="97" t="str">
        <f t="shared" si="1"/>
        <v>$Millions</v>
      </c>
      <c r="G26" s="97" t="str">
        <f t="shared" si="2"/>
        <v>Nominal</v>
      </c>
      <c r="H26" s="45" t="str">
        <f t="shared" si="3"/>
        <v>Start year</v>
      </c>
      <c r="J26" s="75">
        <v>6.579813615013987</v>
      </c>
      <c r="K26" s="99">
        <f t="shared" ref="K26:T26" si="13">J239</f>
        <v>7.7411517978808018</v>
      </c>
      <c r="L26" s="99">
        <f t="shared" si="13"/>
        <v>9.4346802737152267</v>
      </c>
      <c r="M26" s="99">
        <f t="shared" si="13"/>
        <v>10.386563680303832</v>
      </c>
      <c r="N26" s="99">
        <f t="shared" si="13"/>
        <v>11.653475507999303</v>
      </c>
      <c r="O26" s="101">
        <f t="shared" si="13"/>
        <v>13.201677605624806</v>
      </c>
      <c r="P26" s="100">
        <f t="shared" si="13"/>
        <v>16.303865686779098</v>
      </c>
      <c r="Q26" s="99">
        <f t="shared" si="13"/>
        <v>20.816576487265387</v>
      </c>
      <c r="R26" s="99">
        <f t="shared" si="13"/>
        <v>24.596682548278661</v>
      </c>
      <c r="S26" s="99">
        <f t="shared" si="13"/>
        <v>28.659079628380734</v>
      </c>
      <c r="T26" s="101">
        <f t="shared" si="13"/>
        <v>30.296302420770299</v>
      </c>
      <c r="W26" s="270"/>
    </row>
    <row r="27" spans="4:23" ht="12.3" x14ac:dyDescent="0.35">
      <c r="D27" s="82" t="str">
        <f>Lookup!D80</f>
        <v>Land and Easements</v>
      </c>
      <c r="E27" s="97" t="str">
        <f t="shared" si="6"/>
        <v>RFM</v>
      </c>
      <c r="F27" s="97" t="str">
        <f t="shared" si="1"/>
        <v>$Millions</v>
      </c>
      <c r="G27" s="97" t="str">
        <f t="shared" si="2"/>
        <v>Nominal</v>
      </c>
      <c r="H27" s="45" t="str">
        <f t="shared" si="3"/>
        <v>Start year</v>
      </c>
      <c r="J27" s="75">
        <v>37.011647544048387</v>
      </c>
      <c r="K27" s="99">
        <f t="shared" ref="K27:T27" si="14">J240</f>
        <v>45.815760921706001</v>
      </c>
      <c r="L27" s="99">
        <f t="shared" si="14"/>
        <v>46.658995785295687</v>
      </c>
      <c r="M27" s="99">
        <f t="shared" si="14"/>
        <v>47.060536196528865</v>
      </c>
      <c r="N27" s="99">
        <f t="shared" si="14"/>
        <v>48.706851882584907</v>
      </c>
      <c r="O27" s="101">
        <f t="shared" si="14"/>
        <v>52.603400033191697</v>
      </c>
      <c r="P27" s="100">
        <f t="shared" si="14"/>
        <v>55.251388665969486</v>
      </c>
      <c r="Q27" s="99">
        <f t="shared" si="14"/>
        <v>56.864530337569484</v>
      </c>
      <c r="R27" s="99">
        <f t="shared" si="14"/>
        <v>58.524769939474631</v>
      </c>
      <c r="S27" s="99">
        <f t="shared" si="14"/>
        <v>60.23348256172077</v>
      </c>
      <c r="T27" s="101">
        <f t="shared" si="14"/>
        <v>61.992083442023159</v>
      </c>
      <c r="W27" s="270"/>
    </row>
    <row r="28" spans="4:23" ht="12.3" x14ac:dyDescent="0.35">
      <c r="D28" s="82" t="str">
        <f>Lookup!D81</f>
        <v>Property</v>
      </c>
      <c r="E28" s="97" t="str">
        <f t="shared" si="6"/>
        <v>RFM</v>
      </c>
      <c r="F28" s="97" t="str">
        <f t="shared" si="1"/>
        <v>$Millions</v>
      </c>
      <c r="G28" s="97" t="str">
        <f t="shared" si="2"/>
        <v>Nominal</v>
      </c>
      <c r="H28" s="45" t="str">
        <f t="shared" si="3"/>
        <v>Start year</v>
      </c>
      <c r="J28" s="75">
        <v>1.0467081281977193</v>
      </c>
      <c r="K28" s="99">
        <f t="shared" ref="K28:T28" si="15">J241</f>
        <v>10.88191046360506</v>
      </c>
      <c r="L28" s="99">
        <f t="shared" si="15"/>
        <v>10.941722982064954</v>
      </c>
      <c r="M28" s="99">
        <f t="shared" si="15"/>
        <v>10.815075257970452</v>
      </c>
      <c r="N28" s="99">
        <f t="shared" si="15"/>
        <v>10.731754174176267</v>
      </c>
      <c r="O28" s="101">
        <f t="shared" si="15"/>
        <v>13.471510378004057</v>
      </c>
      <c r="P28" s="100">
        <f t="shared" si="15"/>
        <v>19.217357870242282</v>
      </c>
      <c r="Q28" s="99">
        <f t="shared" si="15"/>
        <v>20.128088940048617</v>
      </c>
      <c r="R28" s="99">
        <f t="shared" si="15"/>
        <v>20.744314732811375</v>
      </c>
      <c r="S28" s="99">
        <f t="shared" si="15"/>
        <v>24.327708216477969</v>
      </c>
      <c r="T28" s="101">
        <f t="shared" si="15"/>
        <v>82.909375345955254</v>
      </c>
      <c r="W28" s="270"/>
    </row>
    <row r="29" spans="4:23" ht="12.3" x14ac:dyDescent="0.35">
      <c r="D29" s="82" t="str">
        <f>Lookup!D82</f>
        <v>IT and Communications</v>
      </c>
      <c r="E29" s="97" t="str">
        <f t="shared" si="6"/>
        <v>RFM</v>
      </c>
      <c r="F29" s="97" t="str">
        <f t="shared" si="1"/>
        <v>$Millions</v>
      </c>
      <c r="G29" s="97" t="str">
        <f t="shared" si="2"/>
        <v>Nominal</v>
      </c>
      <c r="H29" s="45" t="str">
        <f t="shared" si="3"/>
        <v>Start year</v>
      </c>
      <c r="J29" s="75">
        <v>6.8002093954879346</v>
      </c>
      <c r="K29" s="99">
        <f t="shared" ref="K29:T29" si="16">J242</f>
        <v>12.161977146964771</v>
      </c>
      <c r="L29" s="99">
        <f t="shared" si="16"/>
        <v>17.651763795502941</v>
      </c>
      <c r="M29" s="99">
        <f t="shared" si="16"/>
        <v>17.591454752257381</v>
      </c>
      <c r="N29" s="99">
        <f t="shared" si="16"/>
        <v>20.823444725561622</v>
      </c>
      <c r="O29" s="101">
        <f t="shared" si="16"/>
        <v>41.113045055941342</v>
      </c>
      <c r="P29" s="100">
        <f t="shared" si="16"/>
        <v>62.748134852115456</v>
      </c>
      <c r="Q29" s="99">
        <f t="shared" si="16"/>
        <v>78.497582342187997</v>
      </c>
      <c r="R29" s="99">
        <f t="shared" si="16"/>
        <v>101.05365713305562</v>
      </c>
      <c r="S29" s="99">
        <f t="shared" si="16"/>
        <v>117.41435246755303</v>
      </c>
      <c r="T29" s="101">
        <f t="shared" si="16"/>
        <v>128.29852441576458</v>
      </c>
      <c r="W29" s="270"/>
    </row>
    <row r="30" spans="4:23" ht="12.3" x14ac:dyDescent="0.35">
      <c r="D30" s="82" t="str">
        <f>Lookup!D83</f>
        <v>Motor Vehicles</v>
      </c>
      <c r="E30" s="97" t="str">
        <f t="shared" si="6"/>
        <v>RFM</v>
      </c>
      <c r="F30" s="97" t="str">
        <f t="shared" si="1"/>
        <v>$Millions</v>
      </c>
      <c r="G30" s="97" t="str">
        <f t="shared" si="2"/>
        <v>Nominal</v>
      </c>
      <c r="H30" s="45" t="str">
        <f t="shared" si="3"/>
        <v>Start year</v>
      </c>
      <c r="J30" s="75">
        <v>9.941310458789504E-2</v>
      </c>
      <c r="K30" s="99">
        <f t="shared" ref="K30:T30" si="17">J243</f>
        <v>0.31647852785402508</v>
      </c>
      <c r="L30" s="99">
        <f t="shared" si="17"/>
        <v>0.35493483755678068</v>
      </c>
      <c r="M30" s="99">
        <f t="shared" si="17"/>
        <v>0.82718418450465681</v>
      </c>
      <c r="N30" s="99">
        <f t="shared" si="17"/>
        <v>0.94294049211521414</v>
      </c>
      <c r="O30" s="101">
        <f t="shared" si="17"/>
        <v>0.98087939123707368</v>
      </c>
      <c r="P30" s="100">
        <f t="shared" si="17"/>
        <v>1.0317079533447089</v>
      </c>
      <c r="Q30" s="99">
        <f t="shared" si="17"/>
        <v>0.93760454651347402</v>
      </c>
      <c r="R30" s="99">
        <f t="shared" si="17"/>
        <v>0.84005949956203996</v>
      </c>
      <c r="S30" s="99">
        <f t="shared" si="17"/>
        <v>0.73601928203767897</v>
      </c>
      <c r="T30" s="101">
        <f t="shared" si="17"/>
        <v>0.62518777304274875</v>
      </c>
      <c r="W30" s="270"/>
    </row>
    <row r="31" spans="4:23" ht="12.3" x14ac:dyDescent="0.35">
      <c r="D31" s="82" t="str">
        <f>Lookup!D84</f>
        <v>Plant and Equipment</v>
      </c>
      <c r="E31" s="97" t="str">
        <f t="shared" si="6"/>
        <v>RFM</v>
      </c>
      <c r="F31" s="97" t="str">
        <f t="shared" si="1"/>
        <v>$Millions</v>
      </c>
      <c r="G31" s="97" t="str">
        <f t="shared" si="2"/>
        <v>Nominal</v>
      </c>
      <c r="H31" s="45" t="str">
        <f t="shared" si="3"/>
        <v>Start year</v>
      </c>
      <c r="J31" s="75">
        <v>5.8518719101508969</v>
      </c>
      <c r="K31" s="99">
        <f t="shared" ref="K31:T31" si="18">J244</f>
        <v>4.771443819404765</v>
      </c>
      <c r="L31" s="99">
        <f t="shared" si="18"/>
        <v>4.9340649284162454</v>
      </c>
      <c r="M31" s="99">
        <f t="shared" si="18"/>
        <v>5.9126158554742538</v>
      </c>
      <c r="N31" s="99">
        <f t="shared" si="18"/>
        <v>6.6567188597653857</v>
      </c>
      <c r="O31" s="101">
        <f t="shared" si="18"/>
        <v>7.4412741749276039</v>
      </c>
      <c r="P31" s="100">
        <f t="shared" si="18"/>
        <v>9.1909751884931286</v>
      </c>
      <c r="Q31" s="99">
        <f t="shared" si="18"/>
        <v>11.13152251469093</v>
      </c>
      <c r="R31" s="99">
        <f t="shared" si="18"/>
        <v>13.376348173575149</v>
      </c>
      <c r="S31" s="99">
        <f t="shared" si="18"/>
        <v>14.929838039437163</v>
      </c>
      <c r="T31" s="101">
        <f t="shared" si="18"/>
        <v>16.049569995561352</v>
      </c>
      <c r="W31" s="270"/>
    </row>
    <row r="32" spans="4:23" ht="12.3" x14ac:dyDescent="0.35">
      <c r="D32" s="82" t="str">
        <f>Lookup!D85</f>
        <v>Property Leases</v>
      </c>
      <c r="E32" s="97" t="str">
        <f t="shared" si="6"/>
        <v>RFM</v>
      </c>
      <c r="F32" s="97" t="str">
        <f t="shared" si="1"/>
        <v>$Millions</v>
      </c>
      <c r="G32" s="97" t="str">
        <f t="shared" si="2"/>
        <v>Nominal</v>
      </c>
      <c r="H32" s="45" t="str">
        <f t="shared" si="3"/>
        <v>Start year</v>
      </c>
      <c r="J32" s="75">
        <v>0</v>
      </c>
      <c r="K32" s="99">
        <f t="shared" ref="K32:K33" si="19">J245</f>
        <v>0</v>
      </c>
      <c r="L32" s="99">
        <f t="shared" ref="L32:L33" si="20">K245</f>
        <v>3.3387922007628603</v>
      </c>
      <c r="M32" s="99">
        <f t="shared" ref="M32:M33" si="21">L245</f>
        <v>3.8627975907626748</v>
      </c>
      <c r="N32" s="99">
        <f t="shared" ref="N32:N33" si="22">M245</f>
        <v>13.731488906029872</v>
      </c>
      <c r="O32" s="101">
        <f t="shared" ref="O32:O33" si="23">N245</f>
        <v>13.238996930133146</v>
      </c>
      <c r="P32" s="100">
        <f t="shared" ref="P32:P33" si="24">O245</f>
        <v>17.298299331913139</v>
      </c>
      <c r="Q32" s="99">
        <f t="shared" ref="Q32:Q33" si="25">P245</f>
        <v>16.520694616833413</v>
      </c>
      <c r="R32" s="99">
        <f t="shared" ref="R32:R33" si="26">Q245</f>
        <v>15.682937798495614</v>
      </c>
      <c r="S32" s="99">
        <f t="shared" ref="S32:S33" si="27">R245</f>
        <v>23.146153904387713</v>
      </c>
      <c r="T32" s="101">
        <f t="shared" ref="T32:T33" si="28">S245</f>
        <v>20.497471049633454</v>
      </c>
      <c r="W32" s="270"/>
    </row>
    <row r="33" spans="1:23" ht="12.3" x14ac:dyDescent="0.35">
      <c r="D33" s="82" t="str">
        <f>Lookup!D86</f>
        <v>Fleet Leases</v>
      </c>
      <c r="E33" s="97" t="str">
        <f t="shared" si="6"/>
        <v>RFM</v>
      </c>
      <c r="F33" s="97" t="str">
        <f t="shared" si="1"/>
        <v>$Millions</v>
      </c>
      <c r="G33" s="97" t="str">
        <f t="shared" si="2"/>
        <v>Nominal</v>
      </c>
      <c r="H33" s="45" t="str">
        <f t="shared" si="3"/>
        <v>Start year</v>
      </c>
      <c r="J33" s="75">
        <v>0</v>
      </c>
      <c r="K33" s="99">
        <f t="shared" si="19"/>
        <v>0</v>
      </c>
      <c r="L33" s="99">
        <f t="shared" si="20"/>
        <v>14.579348294461219</v>
      </c>
      <c r="M33" s="99">
        <f t="shared" si="21"/>
        <v>14.361771413842579</v>
      </c>
      <c r="N33" s="99">
        <f t="shared" si="22"/>
        <v>14.081624375972506</v>
      </c>
      <c r="O33" s="101">
        <f t="shared" si="23"/>
        <v>14.42989188615417</v>
      </c>
      <c r="P33" s="100">
        <f t="shared" si="24"/>
        <v>11.749555018192927</v>
      </c>
      <c r="Q33" s="99">
        <f t="shared" si="25"/>
        <v>9.9459864734262098</v>
      </c>
      <c r="R33" s="99">
        <f t="shared" si="26"/>
        <v>11.102913009663373</v>
      </c>
      <c r="S33" s="99">
        <f t="shared" si="27"/>
        <v>13.589116932742924</v>
      </c>
      <c r="T33" s="101">
        <f t="shared" si="28"/>
        <v>15.465777314729461</v>
      </c>
      <c r="W33" s="270"/>
    </row>
    <row r="34" spans="1:23" ht="12.3" x14ac:dyDescent="0.35">
      <c r="D34" s="82" t="str">
        <f>Lookup!D87</f>
        <v>Community Batteries</v>
      </c>
      <c r="E34" s="97" t="str">
        <f t="shared" si="6"/>
        <v>RFM</v>
      </c>
      <c r="F34" s="97" t="str">
        <f t="shared" si="1"/>
        <v>$Millions</v>
      </c>
      <c r="G34" s="97" t="str">
        <f t="shared" si="2"/>
        <v>Nominal</v>
      </c>
      <c r="H34" s="45" t="str">
        <f t="shared" si="3"/>
        <v>Start year</v>
      </c>
      <c r="J34" s="296"/>
      <c r="K34" s="99">
        <f t="shared" ref="K34:K35" si="29">J247</f>
        <v>0</v>
      </c>
      <c r="L34" s="99">
        <f t="shared" ref="L34:L35" si="30">K247</f>
        <v>0</v>
      </c>
      <c r="M34" s="99">
        <f t="shared" ref="M34:M35" si="31">L247</f>
        <v>0</v>
      </c>
      <c r="N34" s="99">
        <f t="shared" ref="N34:N35" si="32">M247</f>
        <v>0</v>
      </c>
      <c r="O34" s="101">
        <f t="shared" ref="O34:O35" si="33">N247</f>
        <v>0</v>
      </c>
      <c r="P34" s="100">
        <f t="shared" ref="P34:P35" si="34">O247</f>
        <v>0</v>
      </c>
      <c r="Q34" s="99">
        <f t="shared" ref="Q34:Q35" si="35">P247</f>
        <v>0</v>
      </c>
      <c r="R34" s="99">
        <f t="shared" ref="R34:R35" si="36">Q247</f>
        <v>0</v>
      </c>
      <c r="S34" s="99">
        <f t="shared" ref="S34:S35" si="37">R247</f>
        <v>0</v>
      </c>
      <c r="T34" s="101">
        <f t="shared" ref="T34:T35" si="38">S247</f>
        <v>0</v>
      </c>
      <c r="W34" s="270"/>
    </row>
    <row r="35" spans="1:23" ht="12.3" x14ac:dyDescent="0.35">
      <c r="D35" s="82" t="s">
        <v>364</v>
      </c>
      <c r="E35" s="97" t="str">
        <f t="shared" si="6"/>
        <v>RFM</v>
      </c>
      <c r="F35" s="97" t="str">
        <f t="shared" si="1"/>
        <v>$Millions</v>
      </c>
      <c r="G35" s="97" t="str">
        <f t="shared" si="2"/>
        <v>Nominal</v>
      </c>
      <c r="H35" s="45" t="str">
        <f t="shared" si="3"/>
        <v>Start year</v>
      </c>
      <c r="J35" s="75">
        <v>0</v>
      </c>
      <c r="K35" s="99">
        <f t="shared" si="29"/>
        <v>0</v>
      </c>
      <c r="L35" s="99">
        <f t="shared" si="30"/>
        <v>0.1639301154679205</v>
      </c>
      <c r="M35" s="99">
        <f t="shared" si="31"/>
        <v>0.85558784631163998</v>
      </c>
      <c r="N35" s="99">
        <f t="shared" si="32"/>
        <v>3.1432617912538889</v>
      </c>
      <c r="O35" s="101">
        <f t="shared" si="33"/>
        <v>3.3741733616611373</v>
      </c>
      <c r="P35" s="100">
        <f t="shared" si="34"/>
        <v>3.5063117665853714</v>
      </c>
      <c r="Q35" s="99">
        <f t="shared" si="35"/>
        <v>3.5128815251522116</v>
      </c>
      <c r="R35" s="99">
        <f t="shared" si="36"/>
        <v>3.5168460256784271</v>
      </c>
      <c r="S35" s="99">
        <f t="shared" si="37"/>
        <v>3.5180475395917097</v>
      </c>
      <c r="T35" s="101">
        <f t="shared" si="38"/>
        <v>3.5163213489062133</v>
      </c>
      <c r="W35" s="270"/>
    </row>
    <row r="36" spans="1:23" ht="12.3" x14ac:dyDescent="0.35">
      <c r="D36" s="82" t="s">
        <v>365</v>
      </c>
      <c r="E36" s="97" t="str">
        <f t="shared" si="6"/>
        <v>RFM</v>
      </c>
      <c r="F36" s="97" t="str">
        <f t="shared" si="1"/>
        <v>$Millions</v>
      </c>
      <c r="G36" s="97" t="str">
        <f t="shared" si="2"/>
        <v>Nominal</v>
      </c>
      <c r="H36" s="45" t="str">
        <f t="shared" si="3"/>
        <v>Start year</v>
      </c>
      <c r="J36" s="75">
        <v>0</v>
      </c>
      <c r="K36" s="99">
        <f t="shared" ref="K36:T36" si="39">J249</f>
        <v>0</v>
      </c>
      <c r="L36" s="99">
        <f t="shared" si="39"/>
        <v>0</v>
      </c>
      <c r="M36" s="99">
        <f t="shared" si="39"/>
        <v>-5.2086373898768877E-2</v>
      </c>
      <c r="N36" s="99">
        <f t="shared" si="39"/>
        <v>-0.29557866769059948</v>
      </c>
      <c r="O36" s="101">
        <f t="shared" si="39"/>
        <v>-0.63248449815904739</v>
      </c>
      <c r="P36" s="100">
        <f t="shared" si="39"/>
        <v>-1.2770162921904231</v>
      </c>
      <c r="Q36" s="99">
        <f t="shared" si="39"/>
        <v>0</v>
      </c>
      <c r="R36" s="99">
        <f t="shared" si="39"/>
        <v>0</v>
      </c>
      <c r="S36" s="99">
        <f t="shared" si="39"/>
        <v>0</v>
      </c>
      <c r="T36" s="101">
        <f t="shared" si="39"/>
        <v>0</v>
      </c>
      <c r="W36" s="270"/>
    </row>
    <row r="37" spans="1:23" ht="12.3" x14ac:dyDescent="0.35">
      <c r="D37" s="82" t="str">
        <f>Lookup!D90</f>
        <v>Equity Raising Costs</v>
      </c>
      <c r="E37" s="97" t="str">
        <f t="shared" si="6"/>
        <v>RFM</v>
      </c>
      <c r="F37" s="97" t="str">
        <f t="shared" si="1"/>
        <v>$Millions</v>
      </c>
      <c r="G37" s="97" t="str">
        <f t="shared" si="2"/>
        <v>Nominal</v>
      </c>
      <c r="H37" s="45" t="str">
        <f t="shared" si="3"/>
        <v>Start year</v>
      </c>
      <c r="J37" s="75">
        <v>0</v>
      </c>
      <c r="K37" s="99">
        <f t="shared" ref="K37:T37" si="40">J250</f>
        <v>0</v>
      </c>
      <c r="L37" s="99">
        <f t="shared" si="40"/>
        <v>0</v>
      </c>
      <c r="M37" s="99">
        <f t="shared" si="40"/>
        <v>0</v>
      </c>
      <c r="N37" s="99">
        <f t="shared" si="40"/>
        <v>0</v>
      </c>
      <c r="O37" s="101">
        <f t="shared" si="40"/>
        <v>0</v>
      </c>
      <c r="P37" s="100">
        <f t="shared" si="40"/>
        <v>0</v>
      </c>
      <c r="Q37" s="99">
        <f t="shared" si="40"/>
        <v>0</v>
      </c>
      <c r="R37" s="99">
        <f t="shared" si="40"/>
        <v>0</v>
      </c>
      <c r="S37" s="99">
        <f t="shared" si="40"/>
        <v>0</v>
      </c>
      <c r="T37" s="101">
        <f t="shared" si="40"/>
        <v>0</v>
      </c>
      <c r="W37" s="270"/>
    </row>
    <row r="38" spans="1:23" x14ac:dyDescent="0.35">
      <c r="J38" s="95"/>
      <c r="K38" s="94"/>
      <c r="O38" s="96"/>
      <c r="P38" s="94"/>
      <c r="T38" s="96"/>
    </row>
    <row r="39" spans="1:23" ht="12.3" x14ac:dyDescent="0.35">
      <c r="D39" s="102" t="str">
        <f>"Total "&amp;D16</f>
        <v>Total RAB asset class</v>
      </c>
      <c r="E39" s="103" t="s">
        <v>91</v>
      </c>
      <c r="F39" s="103" t="str">
        <f>F18</f>
        <v>$Millions</v>
      </c>
      <c r="G39" s="103" t="str">
        <f>G18</f>
        <v>Nominal</v>
      </c>
      <c r="H39" s="40" t="str">
        <f>H18</f>
        <v>Start year</v>
      </c>
      <c r="J39" s="106">
        <f t="shared" ref="J39:T39" si="41">SUM(J18:J37)</f>
        <v>944.09083357203644</v>
      </c>
      <c r="K39" s="104">
        <f t="shared" si="41"/>
        <v>961.95273153839821</v>
      </c>
      <c r="L39" s="105">
        <f t="shared" si="41"/>
        <v>1001.8691178787608</v>
      </c>
      <c r="M39" s="105">
        <f t="shared" si="41"/>
        <v>1005.8797083374318</v>
      </c>
      <c r="N39" s="105">
        <f t="shared" si="41"/>
        <v>1058.9614087465352</v>
      </c>
      <c r="O39" s="107">
        <f t="shared" si="41"/>
        <v>1177.1883309362365</v>
      </c>
      <c r="P39" s="104">
        <f t="shared" si="41"/>
        <v>1279.527006960122</v>
      </c>
      <c r="Q39" s="105">
        <f t="shared" si="41"/>
        <v>1351.4468651760494</v>
      </c>
      <c r="R39" s="105">
        <f t="shared" si="41"/>
        <v>1427.0835394956825</v>
      </c>
      <c r="S39" s="105">
        <f t="shared" si="41"/>
        <v>1490.3090802974991</v>
      </c>
      <c r="T39" s="107">
        <f t="shared" si="41"/>
        <v>1583.8950173866008</v>
      </c>
    </row>
    <row r="40" spans="1:23" ht="11.25" customHeight="1" x14ac:dyDescent="0.35">
      <c r="K40" s="280"/>
    </row>
    <row r="41" spans="1:23" ht="11.25" customHeight="1" x14ac:dyDescent="0.35">
      <c r="A41" s="76">
        <f>IF(SUM($J41:$T41)&lt;&gt;0,1,0)</f>
        <v>0</v>
      </c>
      <c r="D41" s="82" t="s">
        <v>94</v>
      </c>
      <c r="J41" s="76">
        <f t="shared" ref="J41:K41" si="42">IF(ISERROR(J39),1,0)</f>
        <v>0</v>
      </c>
      <c r="K41" s="76">
        <f t="shared" si="42"/>
        <v>0</v>
      </c>
      <c r="L41" s="76">
        <f>IF(ISERROR(L39),1,0)</f>
        <v>0</v>
      </c>
      <c r="M41" s="76">
        <f t="shared" ref="M41:P41" si="43">IF(ISERROR(M39),1,0)</f>
        <v>0</v>
      </c>
      <c r="N41" s="76">
        <f t="shared" si="43"/>
        <v>0</v>
      </c>
      <c r="O41" s="76">
        <f t="shared" si="43"/>
        <v>0</v>
      </c>
      <c r="P41" s="76">
        <f t="shared" si="43"/>
        <v>0</v>
      </c>
      <c r="Q41" s="76">
        <f>IF(ISERROR(Q39),1,0)</f>
        <v>0</v>
      </c>
      <c r="R41" s="76">
        <f t="shared" ref="R41:T41" si="44">IF(ISERROR(R39),1,0)</f>
        <v>0</v>
      </c>
      <c r="S41" s="76">
        <f t="shared" si="44"/>
        <v>0</v>
      </c>
      <c r="T41" s="76">
        <f t="shared" si="44"/>
        <v>0</v>
      </c>
    </row>
    <row r="42" spans="1:23" ht="11.25" customHeight="1" x14ac:dyDescent="0.35">
      <c r="N42" s="86"/>
      <c r="S42" s="86"/>
    </row>
    <row r="43" spans="1:23" s="89" customFormat="1" ht="14.1" x14ac:dyDescent="0.35">
      <c r="C43" s="89" t="s">
        <v>125</v>
      </c>
      <c r="H43" s="8"/>
    </row>
    <row r="44" spans="1:23" ht="11.25" customHeight="1" x14ac:dyDescent="0.35"/>
    <row r="45" spans="1:23" ht="12.3" x14ac:dyDescent="0.35">
      <c r="D45" s="90" t="str">
        <f>D$16</f>
        <v>RAB asset class</v>
      </c>
      <c r="E45" s="91" t="str">
        <f>Lookup!E$20</f>
        <v>Source</v>
      </c>
      <c r="F45" s="91" t="str">
        <f>Lookup!F$20</f>
        <v>Unit</v>
      </c>
      <c r="G45" s="91" t="str">
        <f>Lookup!G$20</f>
        <v>Basis</v>
      </c>
      <c r="H45" s="38" t="str">
        <f>Lookup!H$20</f>
        <v>Timing</v>
      </c>
      <c r="J45" s="92" t="str">
        <f t="shared" ref="J45:T45" si="45">J$10</f>
        <v>RY19</v>
      </c>
      <c r="K45" s="91" t="str">
        <f t="shared" si="45"/>
        <v>RY20</v>
      </c>
      <c r="L45" s="91" t="str">
        <f>L$10</f>
        <v>RY21</v>
      </c>
      <c r="M45" s="91" t="str">
        <f t="shared" si="45"/>
        <v>RY22</v>
      </c>
      <c r="N45" s="91" t="str">
        <f t="shared" si="45"/>
        <v>RY23</v>
      </c>
      <c r="O45" s="93" t="str">
        <f t="shared" si="45"/>
        <v>RY24</v>
      </c>
      <c r="P45" s="92" t="str">
        <f t="shared" si="45"/>
        <v>RY25</v>
      </c>
      <c r="Q45" s="91" t="str">
        <f>Q$10</f>
        <v>RY26</v>
      </c>
      <c r="R45" s="91" t="str">
        <f t="shared" si="45"/>
        <v>RY27</v>
      </c>
      <c r="S45" s="91" t="str">
        <f t="shared" si="45"/>
        <v>RY28</v>
      </c>
      <c r="T45" s="93" t="str">
        <f t="shared" si="45"/>
        <v>RY29</v>
      </c>
    </row>
    <row r="46" spans="1:23" x14ac:dyDescent="0.35">
      <c r="J46" s="266"/>
      <c r="O46" s="96"/>
      <c r="P46" s="94"/>
      <c r="T46" s="96"/>
    </row>
    <row r="47" spans="1:23" ht="12.3" x14ac:dyDescent="0.35">
      <c r="D47" s="82" t="str">
        <f t="shared" ref="D47:D65" si="46">D18</f>
        <v>Substations</v>
      </c>
      <c r="E47" s="97" t="s">
        <v>91</v>
      </c>
      <c r="F47" s="97" t="str">
        <f t="shared" ref="F47:F66" si="47">Millions</f>
        <v>$Millions</v>
      </c>
      <c r="G47" s="97" t="str">
        <f t="shared" ref="G47:G66" si="48">Nominal</f>
        <v>Nominal</v>
      </c>
      <c r="H47" s="45" t="str">
        <f t="shared" ref="H47:H66" si="49">End_year</f>
        <v>End year</v>
      </c>
      <c r="J47" s="100">
        <f t="shared" ref="J47:T47" si="50">J18*J$263</f>
        <v>5.3890063263588956</v>
      </c>
      <c r="K47" s="99">
        <f t="shared" si="50"/>
        <v>4.9429916618369303</v>
      </c>
      <c r="L47" s="99">
        <f t="shared" si="50"/>
        <v>2.3572529282816972</v>
      </c>
      <c r="M47" s="99">
        <f t="shared" si="50"/>
        <v>9.4375637700792279</v>
      </c>
      <c r="N47" s="99">
        <f t="shared" si="50"/>
        <v>21.680327512545865</v>
      </c>
      <c r="O47" s="101">
        <f t="shared" si="50"/>
        <v>13.406721402611774</v>
      </c>
      <c r="P47" s="100">
        <f t="shared" si="50"/>
        <v>8.6265268877234451</v>
      </c>
      <c r="Q47" s="99">
        <f t="shared" si="50"/>
        <v>8.7940897413249033</v>
      </c>
      <c r="R47" s="99">
        <f t="shared" si="50"/>
        <v>8.8705628950574855</v>
      </c>
      <c r="S47" s="99">
        <f t="shared" si="50"/>
        <v>8.5431653168592216</v>
      </c>
      <c r="T47" s="101">
        <f t="shared" si="50"/>
        <v>8.1655655549376789</v>
      </c>
    </row>
    <row r="48" spans="1:23" ht="12.3" x14ac:dyDescent="0.35">
      <c r="D48" s="82" t="str">
        <f t="shared" si="46"/>
        <v>Distribution Lines</v>
      </c>
      <c r="E48" s="97" t="str">
        <f>E47</f>
        <v>Calculated</v>
      </c>
      <c r="F48" s="97" t="str">
        <f t="shared" si="47"/>
        <v>$Millions</v>
      </c>
      <c r="G48" s="97" t="str">
        <f t="shared" si="48"/>
        <v>Nominal</v>
      </c>
      <c r="H48" s="45" t="str">
        <f t="shared" si="49"/>
        <v>End year</v>
      </c>
      <c r="J48" s="100">
        <f t="shared" ref="J48:T48" si="51">J19*J$263</f>
        <v>4.3384520487727904</v>
      </c>
      <c r="K48" s="99">
        <f t="shared" si="51"/>
        <v>4.4534558671032016</v>
      </c>
      <c r="L48" s="99">
        <f t="shared" si="51"/>
        <v>2.1229527267150701</v>
      </c>
      <c r="M48" s="99">
        <f t="shared" si="51"/>
        <v>8.7464465810099004</v>
      </c>
      <c r="N48" s="99">
        <f t="shared" si="51"/>
        <v>21.450264033758749</v>
      </c>
      <c r="O48" s="101">
        <f t="shared" si="51"/>
        <v>14.450621846119102</v>
      </c>
      <c r="P48" s="100">
        <f t="shared" si="51"/>
        <v>9.7799824127647774</v>
      </c>
      <c r="Q48" s="99">
        <f t="shared" si="51"/>
        <v>10.298341895001613</v>
      </c>
      <c r="R48" s="99">
        <f t="shared" si="51"/>
        <v>10.888495559725081</v>
      </c>
      <c r="S48" s="99">
        <f t="shared" si="51"/>
        <v>11.494304773953283</v>
      </c>
      <c r="T48" s="101">
        <f t="shared" si="51"/>
        <v>12.016312798297768</v>
      </c>
    </row>
    <row r="49" spans="4:20" ht="12.3" x14ac:dyDescent="0.35">
      <c r="D49" s="82" t="str">
        <f t="shared" si="46"/>
        <v>Transmission Lines</v>
      </c>
      <c r="E49" s="97" t="str">
        <f t="shared" ref="E49:E66" si="52">E48</f>
        <v>Calculated</v>
      </c>
      <c r="F49" s="97" t="str">
        <f t="shared" si="47"/>
        <v>$Millions</v>
      </c>
      <c r="G49" s="97" t="str">
        <f t="shared" si="48"/>
        <v>Nominal</v>
      </c>
      <c r="H49" s="45" t="str">
        <f t="shared" si="49"/>
        <v>End year</v>
      </c>
      <c r="J49" s="100">
        <f t="shared" ref="J49:T49" si="53">J20*J$263</f>
        <v>3.1993749627086601</v>
      </c>
      <c r="K49" s="99">
        <f t="shared" si="53"/>
        <v>3.2713937515993212</v>
      </c>
      <c r="L49" s="99">
        <f t="shared" si="53"/>
        <v>1.5097682235033913</v>
      </c>
      <c r="M49" s="99">
        <f t="shared" si="53"/>
        <v>6.0132128613387819</v>
      </c>
      <c r="N49" s="99">
        <f t="shared" si="53"/>
        <v>13.881195627320951</v>
      </c>
      <c r="O49" s="101">
        <f t="shared" si="53"/>
        <v>8.6152576101375029</v>
      </c>
      <c r="P49" s="100">
        <f t="shared" si="53"/>
        <v>5.6630386066092511</v>
      </c>
      <c r="Q49" s="99">
        <f t="shared" si="53"/>
        <v>5.6922557787486809</v>
      </c>
      <c r="R49" s="99">
        <f t="shared" si="53"/>
        <v>5.8301806989567204</v>
      </c>
      <c r="S49" s="99">
        <f t="shared" si="53"/>
        <v>5.8330188556586897</v>
      </c>
      <c r="T49" s="101">
        <f t="shared" si="53"/>
        <v>5.7970447142978063</v>
      </c>
    </row>
    <row r="50" spans="4:20" ht="12.3" x14ac:dyDescent="0.35">
      <c r="D50" s="82" t="str">
        <f t="shared" si="46"/>
        <v>LV Services</v>
      </c>
      <c r="E50" s="97" t="str">
        <f t="shared" si="52"/>
        <v>Calculated</v>
      </c>
      <c r="F50" s="97" t="str">
        <f t="shared" si="47"/>
        <v>$Millions</v>
      </c>
      <c r="G50" s="97" t="str">
        <f t="shared" si="48"/>
        <v>Nominal</v>
      </c>
      <c r="H50" s="45" t="str">
        <f t="shared" si="49"/>
        <v>End year</v>
      </c>
      <c r="J50" s="100">
        <f t="shared" ref="J50:T50" si="54">J21*J$263</f>
        <v>0.11141299577188141</v>
      </c>
      <c r="K50" s="99">
        <f t="shared" si="54"/>
        <v>0.152729458740543</v>
      </c>
      <c r="L50" s="99">
        <f t="shared" si="54"/>
        <v>7.6976323704881208E-2</v>
      </c>
      <c r="M50" s="99">
        <f t="shared" si="54"/>
        <v>0.34753359553718838</v>
      </c>
      <c r="N50" s="99">
        <f t="shared" si="54"/>
        <v>0.98179543864173124</v>
      </c>
      <c r="O50" s="101">
        <f t="shared" si="54"/>
        <v>0.68365164254321775</v>
      </c>
      <c r="P50" s="100">
        <f t="shared" si="54"/>
        <v>0.48726845952074699</v>
      </c>
      <c r="Q50" s="99">
        <f t="shared" si="54"/>
        <v>0.6224665789644569</v>
      </c>
      <c r="R50" s="99">
        <f t="shared" si="54"/>
        <v>0.76548676245844827</v>
      </c>
      <c r="S50" s="99">
        <f t="shared" si="54"/>
        <v>0.9158832910074981</v>
      </c>
      <c r="T50" s="101">
        <f t="shared" si="54"/>
        <v>1.0736358043668079</v>
      </c>
    </row>
    <row r="51" spans="4:20" ht="12.3" x14ac:dyDescent="0.35">
      <c r="D51" s="82" t="str">
        <f t="shared" si="46"/>
        <v>Distribution Substations</v>
      </c>
      <c r="E51" s="97" t="str">
        <f t="shared" si="52"/>
        <v>Calculated</v>
      </c>
      <c r="F51" s="97" t="str">
        <f t="shared" si="47"/>
        <v>$Millions</v>
      </c>
      <c r="G51" s="97" t="str">
        <f t="shared" si="48"/>
        <v>Nominal</v>
      </c>
      <c r="H51" s="45" t="str">
        <f t="shared" si="49"/>
        <v>End year</v>
      </c>
      <c r="J51" s="100">
        <f t="shared" ref="J51:T51" si="55">J22*J$263</f>
        <v>1.7015851894177823</v>
      </c>
      <c r="K51" s="99">
        <f t="shared" si="55"/>
        <v>1.853213663409532</v>
      </c>
      <c r="L51" s="99">
        <f t="shared" si="55"/>
        <v>0.88081521260655671</v>
      </c>
      <c r="M51" s="99">
        <f t="shared" si="55"/>
        <v>3.5995600385953974</v>
      </c>
      <c r="N51" s="99">
        <f t="shared" si="55"/>
        <v>8.5856864950386456</v>
      </c>
      <c r="O51" s="101">
        <f t="shared" si="55"/>
        <v>5.369743801359621</v>
      </c>
      <c r="P51" s="100">
        <f t="shared" si="55"/>
        <v>3.4500097002610559</v>
      </c>
      <c r="Q51" s="99">
        <f t="shared" si="55"/>
        <v>3.5256147920217793</v>
      </c>
      <c r="R51" s="99">
        <f t="shared" si="55"/>
        <v>3.605482204762831</v>
      </c>
      <c r="S51" s="99">
        <f t="shared" si="55"/>
        <v>3.6890779650888423</v>
      </c>
      <c r="T51" s="101">
        <f t="shared" si="55"/>
        <v>3.7762758049916401</v>
      </c>
    </row>
    <row r="52" spans="4:20" ht="12.3" x14ac:dyDescent="0.35">
      <c r="D52" s="82" t="str">
        <f t="shared" si="46"/>
        <v>Distribution Switchgear</v>
      </c>
      <c r="E52" s="97" t="str">
        <f t="shared" si="52"/>
        <v>Calculated</v>
      </c>
      <c r="F52" s="97" t="str">
        <f t="shared" si="47"/>
        <v>$Millions</v>
      </c>
      <c r="G52" s="97" t="str">
        <f t="shared" si="48"/>
        <v>Nominal</v>
      </c>
      <c r="H52" s="45" t="str">
        <f t="shared" si="49"/>
        <v>End year</v>
      </c>
      <c r="J52" s="100">
        <f t="shared" ref="J52:T52" si="56">J23*J$263</f>
        <v>0.6016786294608254</v>
      </c>
      <c r="K52" s="99">
        <f t="shared" si="56"/>
        <v>0.75694769455325894</v>
      </c>
      <c r="L52" s="99">
        <f t="shared" si="56"/>
        <v>0.36497441641010747</v>
      </c>
      <c r="M52" s="99">
        <f t="shared" si="56"/>
        <v>1.5477313274425906</v>
      </c>
      <c r="N52" s="99">
        <f t="shared" si="56"/>
        <v>3.7463440318077637</v>
      </c>
      <c r="O52" s="101">
        <f t="shared" si="56"/>
        <v>2.487741839135607</v>
      </c>
      <c r="P52" s="100">
        <f t="shared" si="56"/>
        <v>1.6335874308782086</v>
      </c>
      <c r="Q52" s="99">
        <f t="shared" si="56"/>
        <v>1.7862435491543647</v>
      </c>
      <c r="R52" s="99">
        <f t="shared" si="56"/>
        <v>1.9481349871999087</v>
      </c>
      <c r="S52" s="99">
        <f t="shared" si="56"/>
        <v>2.118886586138971</v>
      </c>
      <c r="T52" s="101">
        <f t="shared" si="56"/>
        <v>2.2985687844189213</v>
      </c>
    </row>
    <row r="53" spans="4:20" ht="12.3" x14ac:dyDescent="0.35">
      <c r="D53" s="82" t="str">
        <f t="shared" si="46"/>
        <v>Protection</v>
      </c>
      <c r="E53" s="97" t="str">
        <f t="shared" si="52"/>
        <v>Calculated</v>
      </c>
      <c r="F53" s="97" t="str">
        <f t="shared" si="47"/>
        <v>$Millions</v>
      </c>
      <c r="G53" s="97" t="str">
        <f t="shared" si="48"/>
        <v>Nominal</v>
      </c>
      <c r="H53" s="45" t="str">
        <f t="shared" si="49"/>
        <v>End year</v>
      </c>
      <c r="J53" s="100">
        <f t="shared" ref="J53:T53" si="57">J24*J$263</f>
        <v>0.38878739127294759</v>
      </c>
      <c r="K53" s="99">
        <f t="shared" si="57"/>
        <v>0.5875857640456934</v>
      </c>
      <c r="L53" s="99">
        <f t="shared" si="57"/>
        <v>0.283088598530224</v>
      </c>
      <c r="M53" s="99">
        <f t="shared" si="57"/>
        <v>1.1708843338404984</v>
      </c>
      <c r="N53" s="99">
        <f t="shared" si="57"/>
        <v>2.9088633385521452</v>
      </c>
      <c r="O53" s="101">
        <f t="shared" si="57"/>
        <v>1.9229619813262437</v>
      </c>
      <c r="P53" s="100">
        <f t="shared" si="57"/>
        <v>1.2696041672840335</v>
      </c>
      <c r="Q53" s="99">
        <f t="shared" si="57"/>
        <v>1.5359940228430295</v>
      </c>
      <c r="R53" s="99">
        <f t="shared" si="57"/>
        <v>1.6710042517426578</v>
      </c>
      <c r="S53" s="99">
        <f t="shared" si="57"/>
        <v>1.7752875313413283</v>
      </c>
      <c r="T53" s="101">
        <f t="shared" si="57"/>
        <v>1.8665476080870973</v>
      </c>
    </row>
    <row r="54" spans="4:20" ht="12.3" x14ac:dyDescent="0.35">
      <c r="D54" s="82" t="str">
        <f t="shared" si="46"/>
        <v>SCADA</v>
      </c>
      <c r="E54" s="97" t="str">
        <f t="shared" si="52"/>
        <v>Calculated</v>
      </c>
      <c r="F54" s="97" t="str">
        <f t="shared" si="47"/>
        <v>$Millions</v>
      </c>
      <c r="G54" s="97" t="str">
        <f t="shared" si="48"/>
        <v>Nominal</v>
      </c>
      <c r="H54" s="45" t="str">
        <f t="shared" si="49"/>
        <v>End year</v>
      </c>
      <c r="J54" s="100">
        <f t="shared" ref="J54:T54" si="58">J25*J$263</f>
        <v>8.9527074872341114E-2</v>
      </c>
      <c r="K54" s="99">
        <f t="shared" si="58"/>
        <v>0.18286021590762461</v>
      </c>
      <c r="L54" s="99">
        <f t="shared" si="58"/>
        <v>9.6175741207753768E-2</v>
      </c>
      <c r="M54" s="99">
        <f t="shared" si="58"/>
        <v>0.42084439084945913</v>
      </c>
      <c r="N54" s="99">
        <f t="shared" si="58"/>
        <v>1.0683576582354939</v>
      </c>
      <c r="O54" s="101">
        <f t="shared" si="58"/>
        <v>0.90770030779039501</v>
      </c>
      <c r="P54" s="100">
        <f t="shared" si="58"/>
        <v>0.75366631867100453</v>
      </c>
      <c r="Q54" s="99">
        <f t="shared" si="58"/>
        <v>0.82718388182004876</v>
      </c>
      <c r="R54" s="99">
        <f t="shared" si="58"/>
        <v>0.80364801587376233</v>
      </c>
      <c r="S54" s="99">
        <f t="shared" si="58"/>
        <v>0.77569698760425188</v>
      </c>
      <c r="T54" s="101">
        <f t="shared" si="58"/>
        <v>0.74957886623804248</v>
      </c>
    </row>
    <row r="55" spans="4:20" ht="12.3" x14ac:dyDescent="0.35">
      <c r="D55" s="82" t="str">
        <f t="shared" si="46"/>
        <v>Communications</v>
      </c>
      <c r="E55" s="97" t="str">
        <f t="shared" si="52"/>
        <v>Calculated</v>
      </c>
      <c r="F55" s="97" t="str">
        <f t="shared" si="47"/>
        <v>$Millions</v>
      </c>
      <c r="G55" s="97" t="str">
        <f t="shared" si="48"/>
        <v>Nominal</v>
      </c>
      <c r="H55" s="45" t="str">
        <f t="shared" si="49"/>
        <v>End year</v>
      </c>
      <c r="J55" s="100">
        <f t="shared" ref="J55:T55" si="59">J26*J$263</f>
        <v>0.11739185753816281</v>
      </c>
      <c r="K55" s="99">
        <f t="shared" si="59"/>
        <v>0.14247518646406473</v>
      </c>
      <c r="L55" s="99">
        <f t="shared" si="59"/>
        <v>8.1193461908048228E-2</v>
      </c>
      <c r="M55" s="99">
        <f t="shared" si="59"/>
        <v>0.36335248369663481</v>
      </c>
      <c r="N55" s="99">
        <f t="shared" si="59"/>
        <v>0.93227804063994424</v>
      </c>
      <c r="O55" s="101">
        <f t="shared" si="59"/>
        <v>0.62047884746436588</v>
      </c>
      <c r="P55" s="100">
        <f t="shared" si="59"/>
        <v>0.47601419226792513</v>
      </c>
      <c r="Q55" s="99">
        <f t="shared" si="59"/>
        <v>0.60776910413365171</v>
      </c>
      <c r="R55" s="99">
        <f t="shared" si="59"/>
        <v>0.71813459461849127</v>
      </c>
      <c r="S55" s="99">
        <f t="shared" si="59"/>
        <v>0.83674196675382861</v>
      </c>
      <c r="T55" s="101">
        <f t="shared" si="59"/>
        <v>0.88454297910600521</v>
      </c>
    </row>
    <row r="56" spans="4:20" ht="12.3" x14ac:dyDescent="0.35">
      <c r="D56" s="82" t="str">
        <f t="shared" si="46"/>
        <v>Land and Easements</v>
      </c>
      <c r="E56" s="97" t="str">
        <f t="shared" si="52"/>
        <v>Calculated</v>
      </c>
      <c r="F56" s="97" t="str">
        <f t="shared" si="47"/>
        <v>$Millions</v>
      </c>
      <c r="G56" s="97" t="str">
        <f t="shared" si="48"/>
        <v>Nominal</v>
      </c>
      <c r="H56" s="45" t="str">
        <f t="shared" si="49"/>
        <v>End year</v>
      </c>
      <c r="J56" s="100">
        <f t="shared" ref="J56:T56" si="60">J27*J$263</f>
        <v>0.66033269480907408</v>
      </c>
      <c r="K56" s="99">
        <f t="shared" si="60"/>
        <v>0.84323486358968636</v>
      </c>
      <c r="L56" s="99">
        <f t="shared" si="60"/>
        <v>0.40154041123318057</v>
      </c>
      <c r="M56" s="99">
        <f t="shared" si="60"/>
        <v>1.6463156860560397</v>
      </c>
      <c r="N56" s="99">
        <f t="shared" si="60"/>
        <v>3.8965481506067925</v>
      </c>
      <c r="O56" s="101">
        <f t="shared" si="60"/>
        <v>2.4723598015600099</v>
      </c>
      <c r="P56" s="100">
        <f t="shared" si="60"/>
        <v>1.6131416715999964</v>
      </c>
      <c r="Q56" s="99">
        <f t="shared" si="60"/>
        <v>1.6602396019051437</v>
      </c>
      <c r="R56" s="99">
        <f t="shared" si="60"/>
        <v>1.7087126222461391</v>
      </c>
      <c r="S56" s="99">
        <f t="shared" si="60"/>
        <v>1.7586008803023909</v>
      </c>
      <c r="T56" s="101">
        <f t="shared" si="60"/>
        <v>1.8099456959210347</v>
      </c>
    </row>
    <row r="57" spans="4:20" ht="12.3" x14ac:dyDescent="0.35">
      <c r="D57" s="82" t="str">
        <f t="shared" si="46"/>
        <v>Property</v>
      </c>
      <c r="E57" s="97" t="str">
        <f t="shared" si="52"/>
        <v>Calculated</v>
      </c>
      <c r="F57" s="97" t="str">
        <f t="shared" si="47"/>
        <v>$Millions</v>
      </c>
      <c r="G57" s="97" t="str">
        <f t="shared" si="48"/>
        <v>Nominal</v>
      </c>
      <c r="H57" s="45" t="str">
        <f t="shared" si="49"/>
        <v>End year</v>
      </c>
      <c r="J57" s="100">
        <f t="shared" ref="J57:T57" si="61">J28*J$263</f>
        <v>1.8674542875962988E-2</v>
      </c>
      <c r="K57" s="99">
        <f t="shared" si="61"/>
        <v>0.20028056067984898</v>
      </c>
      <c r="L57" s="99">
        <f t="shared" si="61"/>
        <v>9.4162848382658593E-2</v>
      </c>
      <c r="M57" s="99">
        <f t="shared" si="61"/>
        <v>0.37834307643070597</v>
      </c>
      <c r="N57" s="99">
        <f t="shared" si="61"/>
        <v>0.85854033393410134</v>
      </c>
      <c r="O57" s="101">
        <f t="shared" si="61"/>
        <v>0.63316098776619067</v>
      </c>
      <c r="P57" s="100">
        <f t="shared" si="61"/>
        <v>0.56107767690609645</v>
      </c>
      <c r="Q57" s="99">
        <f t="shared" si="61"/>
        <v>0.58766774596675542</v>
      </c>
      <c r="R57" s="99">
        <f t="shared" si="61"/>
        <v>0.60565932100987496</v>
      </c>
      <c r="S57" s="99">
        <f t="shared" si="61"/>
        <v>0.71028151230337289</v>
      </c>
      <c r="T57" s="101">
        <f t="shared" si="61"/>
        <v>2.4206553276960792</v>
      </c>
    </row>
    <row r="58" spans="4:20" ht="12.3" x14ac:dyDescent="0.35">
      <c r="D58" s="82" t="str">
        <f t="shared" si="46"/>
        <v>IT and Communications</v>
      </c>
      <c r="E58" s="97" t="str">
        <f t="shared" si="52"/>
        <v>Calculated</v>
      </c>
      <c r="F58" s="97" t="str">
        <f t="shared" si="47"/>
        <v>$Millions</v>
      </c>
      <c r="G58" s="97" t="str">
        <f t="shared" si="48"/>
        <v>Nominal</v>
      </c>
      <c r="H58" s="45" t="str">
        <f t="shared" si="49"/>
        <v>End year</v>
      </c>
      <c r="J58" s="100">
        <f t="shared" ref="J58:T58" si="62">J29*J$263</f>
        <v>0.12132398564652942</v>
      </c>
      <c r="K58" s="99">
        <f t="shared" si="62"/>
        <v>0.22384007018953708</v>
      </c>
      <c r="L58" s="99">
        <f t="shared" si="62"/>
        <v>0.15190846639847591</v>
      </c>
      <c r="M58" s="99">
        <f t="shared" si="62"/>
        <v>0.61540072085541875</v>
      </c>
      <c r="N58" s="99">
        <f t="shared" si="62"/>
        <v>1.6658755780449297</v>
      </c>
      <c r="O58" s="101">
        <f t="shared" si="62"/>
        <v>1.9323131176292432</v>
      </c>
      <c r="P58" s="100">
        <f t="shared" si="62"/>
        <v>1.8320196756876828</v>
      </c>
      <c r="Q58" s="99">
        <f t="shared" si="62"/>
        <v>2.291846852240806</v>
      </c>
      <c r="R58" s="99">
        <f t="shared" si="62"/>
        <v>2.9504030455132071</v>
      </c>
      <c r="S58" s="99">
        <f t="shared" si="62"/>
        <v>3.4280764589361148</v>
      </c>
      <c r="T58" s="101">
        <f t="shared" si="62"/>
        <v>3.7458551022326216</v>
      </c>
    </row>
    <row r="59" spans="4:20" ht="12.3" x14ac:dyDescent="0.35">
      <c r="D59" s="82" t="str">
        <f t="shared" si="46"/>
        <v>Motor Vehicles</v>
      </c>
      <c r="E59" s="97" t="str">
        <f t="shared" si="52"/>
        <v>Calculated</v>
      </c>
      <c r="F59" s="97" t="str">
        <f t="shared" si="47"/>
        <v>$Millions</v>
      </c>
      <c r="G59" s="97" t="str">
        <f t="shared" si="48"/>
        <v>Nominal</v>
      </c>
      <c r="H59" s="45" t="str">
        <f t="shared" si="49"/>
        <v>End year</v>
      </c>
      <c r="J59" s="100">
        <f t="shared" ref="J59:T59" si="63">J30*J$263</f>
        <v>1.7736503940748551E-3</v>
      </c>
      <c r="K59" s="99">
        <f t="shared" si="63"/>
        <v>5.8247581813624617E-3</v>
      </c>
      <c r="L59" s="99">
        <f t="shared" si="63"/>
        <v>3.0545166743268489E-3</v>
      </c>
      <c r="M59" s="99">
        <f t="shared" si="63"/>
        <v>2.8937330686596281E-2</v>
      </c>
      <c r="N59" s="99">
        <f t="shared" si="63"/>
        <v>7.543523936921713E-2</v>
      </c>
      <c r="O59" s="101">
        <f t="shared" si="63"/>
        <v>4.6101331388142465E-2</v>
      </c>
      <c r="P59" s="100">
        <f t="shared" si="63"/>
        <v>3.012215860352787E-2</v>
      </c>
      <c r="Q59" s="99">
        <f t="shared" si="63"/>
        <v>2.7374677849392709E-2</v>
      </c>
      <c r="R59" s="99">
        <f t="shared" si="63"/>
        <v>2.4526713591935877E-2</v>
      </c>
      <c r="S59" s="99">
        <f t="shared" si="63"/>
        <v>2.1489113733124617E-2</v>
      </c>
      <c r="T59" s="101">
        <f t="shared" si="63"/>
        <v>1.8253232608635334E-2</v>
      </c>
    </row>
    <row r="60" spans="4:20" ht="12.3" x14ac:dyDescent="0.35">
      <c r="D60" s="82" t="str">
        <f t="shared" si="46"/>
        <v>Plant and Equipment</v>
      </c>
      <c r="E60" s="97" t="str">
        <f t="shared" si="52"/>
        <v>Calculated</v>
      </c>
      <c r="F60" s="97" t="str">
        <f t="shared" si="47"/>
        <v>$Millions</v>
      </c>
      <c r="G60" s="97" t="str">
        <f t="shared" si="48"/>
        <v>Nominal</v>
      </c>
      <c r="H60" s="45" t="str">
        <f t="shared" si="49"/>
        <v>End year</v>
      </c>
      <c r="J60" s="100">
        <f t="shared" ref="J60:T60" si="64">J31*J$263</f>
        <v>0.10440449438271064</v>
      </c>
      <c r="K60" s="99">
        <f t="shared" si="64"/>
        <v>8.7817984406223223E-2</v>
      </c>
      <c r="L60" s="99">
        <f t="shared" si="64"/>
        <v>4.2461832430432306E-2</v>
      </c>
      <c r="M60" s="99">
        <f t="shared" si="64"/>
        <v>0.20684065706010563</v>
      </c>
      <c r="N60" s="99">
        <f t="shared" si="64"/>
        <v>0.53253750878123085</v>
      </c>
      <c r="O60" s="101">
        <f t="shared" si="64"/>
        <v>0.34973988622159741</v>
      </c>
      <c r="P60" s="100">
        <f t="shared" si="64"/>
        <v>0.26834339257669665</v>
      </c>
      <c r="Q60" s="99">
        <f t="shared" si="64"/>
        <v>0.32500038949901461</v>
      </c>
      <c r="R60" s="99">
        <f t="shared" si="64"/>
        <v>0.39054121848551643</v>
      </c>
      <c r="S60" s="99">
        <f t="shared" si="64"/>
        <v>0.43589753077986793</v>
      </c>
      <c r="T60" s="101">
        <f t="shared" si="64"/>
        <v>0.46858967342204261</v>
      </c>
    </row>
    <row r="61" spans="4:20" ht="12.3" x14ac:dyDescent="0.35">
      <c r="D61" s="82" t="str">
        <f t="shared" si="46"/>
        <v>Property Leases</v>
      </c>
      <c r="E61" s="97" t="str">
        <f t="shared" si="52"/>
        <v>Calculated</v>
      </c>
      <c r="F61" s="97" t="str">
        <f t="shared" si="47"/>
        <v>$Millions</v>
      </c>
      <c r="G61" s="97" t="str">
        <f t="shared" si="48"/>
        <v>Nominal</v>
      </c>
      <c r="H61" s="45" t="str">
        <f t="shared" si="49"/>
        <v>End year</v>
      </c>
      <c r="J61" s="100">
        <f t="shared" ref="J61:T61" si="65">J32*J$263</f>
        <v>0</v>
      </c>
      <c r="K61" s="99">
        <f t="shared" si="65"/>
        <v>0</v>
      </c>
      <c r="L61" s="99">
        <f t="shared" si="65"/>
        <v>2.8733151469559834E-2</v>
      </c>
      <c r="M61" s="99">
        <f t="shared" si="65"/>
        <v>0.13513199762906933</v>
      </c>
      <c r="N61" s="99">
        <f t="shared" si="65"/>
        <v>1.0985191124823899</v>
      </c>
      <c r="O61" s="101">
        <f t="shared" si="65"/>
        <v>0.62223285571625786</v>
      </c>
      <c r="P61" s="100">
        <f t="shared" si="65"/>
        <v>0.50504807524062301</v>
      </c>
      <c r="Q61" s="99">
        <f t="shared" si="65"/>
        <v>0.48234481654949168</v>
      </c>
      <c r="R61" s="99">
        <f t="shared" si="65"/>
        <v>0.45788533296079953</v>
      </c>
      <c r="S61" s="99">
        <f t="shared" si="65"/>
        <v>0.67578437939664082</v>
      </c>
      <c r="T61" s="101">
        <f t="shared" si="65"/>
        <v>0.59845237397524254</v>
      </c>
    </row>
    <row r="62" spans="4:20" ht="12.3" x14ac:dyDescent="0.35">
      <c r="D62" s="82" t="str">
        <f t="shared" si="46"/>
        <v>Fleet Leases</v>
      </c>
      <c r="E62" s="97" t="str">
        <f t="shared" si="52"/>
        <v>Calculated</v>
      </c>
      <c r="F62" s="97" t="str">
        <f t="shared" si="47"/>
        <v>$Millions</v>
      </c>
      <c r="G62" s="97" t="str">
        <f t="shared" si="48"/>
        <v>Nominal</v>
      </c>
      <c r="H62" s="45" t="str">
        <f t="shared" si="49"/>
        <v>End year</v>
      </c>
      <c r="J62" s="100">
        <f t="shared" ref="J62:T62" si="66">J33*J$263</f>
        <v>0</v>
      </c>
      <c r="K62" s="99">
        <f t="shared" si="66"/>
        <v>0</v>
      </c>
      <c r="L62" s="99">
        <f t="shared" si="66"/>
        <v>0.12546771337746288</v>
      </c>
      <c r="M62" s="99">
        <f t="shared" si="66"/>
        <v>0.5024169180610446</v>
      </c>
      <c r="N62" s="99">
        <f t="shared" si="66"/>
        <v>1.1265299500778005</v>
      </c>
      <c r="O62" s="101">
        <f t="shared" si="66"/>
        <v>0.67820491864924604</v>
      </c>
      <c r="P62" s="100">
        <f t="shared" si="66"/>
        <v>0.34304471399246211</v>
      </c>
      <c r="Q62" s="99">
        <f t="shared" si="66"/>
        <v>0.2903870044326276</v>
      </c>
      <c r="R62" s="99">
        <f t="shared" si="66"/>
        <v>0.324165094932161</v>
      </c>
      <c r="S62" s="99">
        <f t="shared" si="66"/>
        <v>0.39675330039178647</v>
      </c>
      <c r="T62" s="101">
        <f t="shared" si="66"/>
        <v>0.45154502850427536</v>
      </c>
    </row>
    <row r="63" spans="4:20" ht="12.3" x14ac:dyDescent="0.35">
      <c r="D63" s="82" t="str">
        <f t="shared" si="46"/>
        <v>Community Batteries</v>
      </c>
      <c r="E63" s="97" t="str">
        <f t="shared" si="52"/>
        <v>Calculated</v>
      </c>
      <c r="F63" s="97" t="str">
        <f t="shared" si="47"/>
        <v>$Millions</v>
      </c>
      <c r="G63" s="97" t="str">
        <f t="shared" si="48"/>
        <v>Nominal</v>
      </c>
      <c r="H63" s="45" t="str">
        <f t="shared" si="49"/>
        <v>End year</v>
      </c>
      <c r="J63" s="100">
        <f t="shared" ref="J63:T63" si="67">J34*J$263</f>
        <v>0</v>
      </c>
      <c r="K63" s="99">
        <f t="shared" si="67"/>
        <v>0</v>
      </c>
      <c r="L63" s="99">
        <f t="shared" si="67"/>
        <v>0</v>
      </c>
      <c r="M63" s="99">
        <f t="shared" si="67"/>
        <v>0</v>
      </c>
      <c r="N63" s="99">
        <f t="shared" si="67"/>
        <v>0</v>
      </c>
      <c r="O63" s="101">
        <f t="shared" si="67"/>
        <v>0</v>
      </c>
      <c r="P63" s="100">
        <f t="shared" si="67"/>
        <v>0</v>
      </c>
      <c r="Q63" s="99">
        <f t="shared" si="67"/>
        <v>0</v>
      </c>
      <c r="R63" s="99">
        <f t="shared" si="67"/>
        <v>0</v>
      </c>
      <c r="S63" s="99">
        <f t="shared" si="67"/>
        <v>0</v>
      </c>
      <c r="T63" s="101">
        <f t="shared" si="67"/>
        <v>0</v>
      </c>
    </row>
    <row r="64" spans="4:20" ht="12.3" x14ac:dyDescent="0.35">
      <c r="D64" s="82" t="str">
        <f t="shared" si="46"/>
        <v>Buildings</v>
      </c>
      <c r="E64" s="97" t="str">
        <f t="shared" si="52"/>
        <v>Calculated</v>
      </c>
      <c r="F64" s="97" t="str">
        <f t="shared" si="47"/>
        <v>$Millions</v>
      </c>
      <c r="G64" s="97" t="str">
        <f t="shared" si="48"/>
        <v>Nominal</v>
      </c>
      <c r="H64" s="45" t="str">
        <f t="shared" si="49"/>
        <v>End year</v>
      </c>
      <c r="J64" s="100">
        <f t="shared" ref="J64:T64" si="68">J35*J$263</f>
        <v>0</v>
      </c>
      <c r="K64" s="99">
        <f t="shared" si="68"/>
        <v>0</v>
      </c>
      <c r="L64" s="99">
        <f t="shared" si="68"/>
        <v>1.4107583086740113E-3</v>
      </c>
      <c r="M64" s="99">
        <f t="shared" si="68"/>
        <v>2.993097414571429E-2</v>
      </c>
      <c r="N64" s="99">
        <f t="shared" si="68"/>
        <v>0.2514609433003111</v>
      </c>
      <c r="O64" s="101">
        <f t="shared" si="68"/>
        <v>0.15858614799807347</v>
      </c>
      <c r="P64" s="100">
        <f t="shared" si="68"/>
        <v>0.10237168261046846</v>
      </c>
      <c r="Q64" s="99">
        <f t="shared" si="68"/>
        <v>0.10256349591276558</v>
      </c>
      <c r="R64" s="99">
        <f t="shared" si="68"/>
        <v>0.10267924505790621</v>
      </c>
      <c r="S64" s="99">
        <f t="shared" si="68"/>
        <v>0.10271432493932314</v>
      </c>
      <c r="T64" s="101">
        <f t="shared" si="68"/>
        <v>0.10266392638473229</v>
      </c>
    </row>
    <row r="65" spans="1:20" ht="12.3" x14ac:dyDescent="0.35">
      <c r="D65" s="82" t="str">
        <f t="shared" si="46"/>
        <v>in-house software</v>
      </c>
      <c r="E65" s="97" t="str">
        <f t="shared" si="52"/>
        <v>Calculated</v>
      </c>
      <c r="F65" s="97" t="str">
        <f t="shared" si="47"/>
        <v>$Millions</v>
      </c>
      <c r="G65" s="97" t="str">
        <f t="shared" si="48"/>
        <v>Nominal</v>
      </c>
      <c r="H65" s="45" t="str">
        <f t="shared" si="49"/>
        <v>End year</v>
      </c>
      <c r="J65" s="100">
        <f t="shared" ref="J65:T65" si="69">J36*J$263</f>
        <v>0</v>
      </c>
      <c r="K65" s="99">
        <f t="shared" si="69"/>
        <v>0</v>
      </c>
      <c r="L65" s="99">
        <f t="shared" si="69"/>
        <v>0</v>
      </c>
      <c r="M65" s="99">
        <f t="shared" si="69"/>
        <v>-1.8221342404859371E-3</v>
      </c>
      <c r="N65" s="99">
        <f t="shared" si="69"/>
        <v>-2.364629341524796E-2</v>
      </c>
      <c r="O65" s="101">
        <f t="shared" si="69"/>
        <v>-2.9726771413475229E-2</v>
      </c>
      <c r="P65" s="100">
        <f t="shared" si="69"/>
        <v>-3.7284279110133788E-2</v>
      </c>
      <c r="Q65" s="99">
        <f t="shared" si="69"/>
        <v>0</v>
      </c>
      <c r="R65" s="99">
        <f t="shared" si="69"/>
        <v>0</v>
      </c>
      <c r="S65" s="99">
        <f t="shared" si="69"/>
        <v>0</v>
      </c>
      <c r="T65" s="101">
        <f t="shared" si="69"/>
        <v>0</v>
      </c>
    </row>
    <row r="66" spans="1:20" ht="12.3" x14ac:dyDescent="0.35">
      <c r="D66" s="82" t="str">
        <f t="shared" ref="D66" si="70">D37</f>
        <v>Equity Raising Costs</v>
      </c>
      <c r="E66" s="97" t="str">
        <f t="shared" si="52"/>
        <v>Calculated</v>
      </c>
      <c r="F66" s="97" t="str">
        <f t="shared" si="47"/>
        <v>$Millions</v>
      </c>
      <c r="G66" s="97" t="str">
        <f t="shared" si="48"/>
        <v>Nominal</v>
      </c>
      <c r="H66" s="45" t="str">
        <f t="shared" si="49"/>
        <v>End year</v>
      </c>
      <c r="J66" s="100">
        <f t="shared" ref="J66:T66" si="71">J37*J$263</f>
        <v>0</v>
      </c>
      <c r="K66" s="99">
        <f t="shared" si="71"/>
        <v>0</v>
      </c>
      <c r="L66" s="99">
        <f t="shared" si="71"/>
        <v>0</v>
      </c>
      <c r="M66" s="99">
        <f t="shared" si="71"/>
        <v>0</v>
      </c>
      <c r="N66" s="99">
        <f t="shared" si="71"/>
        <v>0</v>
      </c>
      <c r="O66" s="101">
        <f t="shared" si="71"/>
        <v>0</v>
      </c>
      <c r="P66" s="100">
        <f t="shared" si="71"/>
        <v>0</v>
      </c>
      <c r="Q66" s="99">
        <f t="shared" si="71"/>
        <v>0</v>
      </c>
      <c r="R66" s="99">
        <f t="shared" si="71"/>
        <v>0</v>
      </c>
      <c r="S66" s="99">
        <f t="shared" si="71"/>
        <v>0</v>
      </c>
      <c r="T66" s="101">
        <f t="shared" si="71"/>
        <v>0</v>
      </c>
    </row>
    <row r="67" spans="1:20" x14ac:dyDescent="0.35">
      <c r="J67" s="94"/>
      <c r="O67" s="96"/>
      <c r="P67" s="94"/>
      <c r="T67" s="96"/>
    </row>
    <row r="68" spans="1:20" ht="12.3" x14ac:dyDescent="0.35">
      <c r="D68" s="102" t="str">
        <f>"Total "&amp;D45</f>
        <v>Total RAB asset class</v>
      </c>
      <c r="E68" s="103" t="s">
        <v>91</v>
      </c>
      <c r="F68" s="103" t="str">
        <f>F47</f>
        <v>$Millions</v>
      </c>
      <c r="G68" s="103" t="str">
        <f>G47</f>
        <v>Nominal</v>
      </c>
      <c r="H68" s="40" t="str">
        <f>H47</f>
        <v>End year</v>
      </c>
      <c r="J68" s="104">
        <f t="shared" ref="J68:T68" si="72">SUM(J47:J66)</f>
        <v>16.843725844282638</v>
      </c>
      <c r="K68" s="105">
        <f t="shared" si="72"/>
        <v>17.704651500706831</v>
      </c>
      <c r="L68" s="105">
        <f t="shared" si="72"/>
        <v>8.6219373311424992</v>
      </c>
      <c r="M68" s="105">
        <f t="shared" si="72"/>
        <v>35.188624609073884</v>
      </c>
      <c r="N68" s="105">
        <f t="shared" si="72"/>
        <v>84.716912699722826</v>
      </c>
      <c r="O68" s="107">
        <f t="shared" si="72"/>
        <v>55.327851554003118</v>
      </c>
      <c r="P68" s="104">
        <f t="shared" si="72"/>
        <v>37.357582944087866</v>
      </c>
      <c r="Q68" s="105">
        <f t="shared" si="72"/>
        <v>39.457383928368543</v>
      </c>
      <c r="R68" s="105">
        <f t="shared" si="72"/>
        <v>41.665702564192927</v>
      </c>
      <c r="S68" s="105">
        <f t="shared" si="72"/>
        <v>43.511660775188524</v>
      </c>
      <c r="T68" s="107">
        <f t="shared" si="72"/>
        <v>46.244033275486444</v>
      </c>
    </row>
    <row r="69" spans="1:20" ht="11.25" customHeight="1" x14ac:dyDescent="0.35"/>
    <row r="70" spans="1:20" ht="11.25" customHeight="1" x14ac:dyDescent="0.35">
      <c r="A70" s="76">
        <f>IF(SUM($J70:$T70)&lt;&gt;0,1,0)</f>
        <v>0</v>
      </c>
      <c r="D70" s="82" t="s">
        <v>155</v>
      </c>
      <c r="J70" s="76">
        <f t="shared" ref="J70:K70" si="73">IF(ISERROR(J68),1,0)</f>
        <v>0</v>
      </c>
      <c r="K70" s="76">
        <f t="shared" si="73"/>
        <v>0</v>
      </c>
      <c r="L70" s="76">
        <f>IF(ISERROR(L68),1,0)</f>
        <v>0</v>
      </c>
      <c r="M70" s="76">
        <f t="shared" ref="M70:P70" si="74">IF(ISERROR(M68),1,0)</f>
        <v>0</v>
      </c>
      <c r="N70" s="76">
        <f t="shared" si="74"/>
        <v>0</v>
      </c>
      <c r="O70" s="76">
        <f t="shared" si="74"/>
        <v>0</v>
      </c>
      <c r="P70" s="76">
        <f t="shared" si="74"/>
        <v>0</v>
      </c>
      <c r="Q70" s="76">
        <f>IF(ISERROR(Q68),1,0)</f>
        <v>0</v>
      </c>
      <c r="R70" s="76">
        <f t="shared" ref="R70:T70" si="75">IF(ISERROR(R68),1,0)</f>
        <v>0</v>
      </c>
      <c r="S70" s="76">
        <f t="shared" si="75"/>
        <v>0</v>
      </c>
      <c r="T70" s="76">
        <f t="shared" si="75"/>
        <v>0</v>
      </c>
    </row>
    <row r="71" spans="1:20" ht="11.25" customHeight="1" x14ac:dyDescent="0.35">
      <c r="A71" s="76"/>
      <c r="D71" s="82" t="s">
        <v>50</v>
      </c>
      <c r="J71" s="109">
        <v>16.843725844282638</v>
      </c>
      <c r="K71" s="283">
        <v>17.704651500706827</v>
      </c>
      <c r="L71" s="108">
        <v>8.6219373311424992</v>
      </c>
      <c r="M71" s="108">
        <v>35.188624609073877</v>
      </c>
      <c r="N71" s="108">
        <v>84.716912699722812</v>
      </c>
      <c r="O71" s="111">
        <v>55.327851554003097</v>
      </c>
      <c r="P71" s="110">
        <v>37.357582944087866</v>
      </c>
      <c r="Q71" s="108">
        <v>39.457383928368522</v>
      </c>
      <c r="R71" s="108">
        <v>41.665702564192927</v>
      </c>
      <c r="S71" s="108">
        <v>43.511660775188531</v>
      </c>
      <c r="T71" s="111">
        <v>46.24403327548643</v>
      </c>
    </row>
    <row r="72" spans="1:20" ht="11.25" customHeight="1" x14ac:dyDescent="0.35">
      <c r="A72" s="76">
        <f>IF(SUM($J72:$T72)&lt;&gt;0,1,0)</f>
        <v>0</v>
      </c>
      <c r="D72" s="82" t="s">
        <v>156</v>
      </c>
      <c r="J72" s="113">
        <f>IF(ROUND(J71-J68,2)&lt;&gt;0,1,0)</f>
        <v>0</v>
      </c>
      <c r="K72" s="76">
        <f t="shared" ref="K72:O72" si="76">IF(ROUND(K71-K68,2)&lt;&gt;0,1,0)</f>
        <v>0</v>
      </c>
      <c r="L72" s="76">
        <f t="shared" si="76"/>
        <v>0</v>
      </c>
      <c r="M72" s="76">
        <f t="shared" si="76"/>
        <v>0</v>
      </c>
      <c r="N72" s="76">
        <f t="shared" si="76"/>
        <v>0</v>
      </c>
      <c r="O72" s="114">
        <f t="shared" si="76"/>
        <v>0</v>
      </c>
      <c r="P72" s="113">
        <f>IF(ROUND(P71-P68,1)&lt;&gt;0,1,0)</f>
        <v>0</v>
      </c>
      <c r="Q72" s="76">
        <f t="shared" ref="Q72:T72" si="77">IF(ROUND(Q71-Q68,1)&lt;&gt;0,1,0)</f>
        <v>0</v>
      </c>
      <c r="R72" s="76">
        <f t="shared" si="77"/>
        <v>0</v>
      </c>
      <c r="S72" s="76">
        <f t="shared" si="77"/>
        <v>0</v>
      </c>
      <c r="T72" s="114">
        <f t="shared" si="77"/>
        <v>0</v>
      </c>
    </row>
    <row r="73" spans="1:20" ht="11.25" customHeight="1" x14ac:dyDescent="0.35">
      <c r="N73" s="86"/>
      <c r="S73" s="86"/>
    </row>
    <row r="74" spans="1:20" s="89" customFormat="1" ht="14.1" x14ac:dyDescent="0.35">
      <c r="C74" s="89" t="s">
        <v>222</v>
      </c>
      <c r="H74" s="8"/>
    </row>
    <row r="75" spans="1:20" ht="11.25" customHeight="1" x14ac:dyDescent="0.35"/>
    <row r="76" spans="1:20" ht="12.3" x14ac:dyDescent="0.35">
      <c r="D76" s="90" t="str">
        <f>D$16</f>
        <v>RAB asset class</v>
      </c>
      <c r="E76" s="91" t="str">
        <f>Lookup!E$20</f>
        <v>Source</v>
      </c>
      <c r="F76" s="91" t="str">
        <f>Lookup!F$20</f>
        <v>Unit</v>
      </c>
      <c r="G76" s="91" t="str">
        <f>Lookup!G$20</f>
        <v>Basis</v>
      </c>
      <c r="H76" s="38" t="str">
        <f>Lookup!H$20</f>
        <v>Timing</v>
      </c>
      <c r="J76" s="274" t="str">
        <f t="shared" ref="J76:T76" si="78">J$10</f>
        <v>RY19</v>
      </c>
      <c r="K76" s="91" t="str">
        <f t="shared" si="78"/>
        <v>RY20</v>
      </c>
      <c r="L76" s="91" t="str">
        <f>L$10</f>
        <v>RY21</v>
      </c>
      <c r="M76" s="91" t="str">
        <f t="shared" si="78"/>
        <v>RY22</v>
      </c>
      <c r="N76" s="91" t="str">
        <f t="shared" si="78"/>
        <v>RY23</v>
      </c>
      <c r="O76" s="93" t="str">
        <f t="shared" si="78"/>
        <v>RY24</v>
      </c>
      <c r="P76" s="267" t="str">
        <f t="shared" si="78"/>
        <v>RY25</v>
      </c>
      <c r="Q76" s="268" t="str">
        <f>Q$10</f>
        <v>RY26</v>
      </c>
      <c r="R76" s="268" t="str">
        <f t="shared" si="78"/>
        <v>RY27</v>
      </c>
      <c r="S76" s="268" t="str">
        <f t="shared" si="78"/>
        <v>RY28</v>
      </c>
      <c r="T76" s="269" t="str">
        <f t="shared" si="78"/>
        <v>RY29</v>
      </c>
    </row>
    <row r="77" spans="1:20" x14ac:dyDescent="0.35">
      <c r="J77" s="95"/>
      <c r="O77" s="96"/>
      <c r="P77" s="94"/>
      <c r="T77" s="96"/>
    </row>
    <row r="78" spans="1:20" ht="12.3" x14ac:dyDescent="0.35">
      <c r="D78" s="82" t="str">
        <f t="shared" ref="D78:D96" si="79">D18</f>
        <v>Substations</v>
      </c>
      <c r="E78" s="97" t="s">
        <v>158</v>
      </c>
      <c r="F78" s="97" t="str">
        <f t="shared" ref="F78:F97" si="80">Millions</f>
        <v>$Millions</v>
      </c>
      <c r="G78" s="97" t="str">
        <f t="shared" ref="G78:G97" si="81">Nominal</f>
        <v>Nominal</v>
      </c>
      <c r="H78" s="45" t="str">
        <f t="shared" ref="H78:H97" si="82">End_year</f>
        <v>End year</v>
      </c>
      <c r="J78" s="109">
        <v>-25.678080826155053</v>
      </c>
      <c r="K78" s="283">
        <v>-15.913109567680827</v>
      </c>
      <c r="L78" s="108">
        <v>-16.505513408108211</v>
      </c>
      <c r="M78" s="108">
        <v>-16.915350191632811</v>
      </c>
      <c r="N78" s="108">
        <v>-17.670204720692478</v>
      </c>
      <c r="O78" s="111">
        <v>-19.219122549541737</v>
      </c>
      <c r="P78" s="110">
        <v>-22.089214200762129</v>
      </c>
      <c r="Q78" s="108">
        <v>-23.204973697168384</v>
      </c>
      <c r="R78" s="108">
        <v>-24.300058791598005</v>
      </c>
      <c r="S78" s="108">
        <v>-25.112907132505562</v>
      </c>
      <c r="T78" s="111">
        <v>-25.935285132070685</v>
      </c>
    </row>
    <row r="79" spans="1:20" ht="12.3" x14ac:dyDescent="0.35">
      <c r="D79" s="82" t="str">
        <f t="shared" si="79"/>
        <v>Distribution Lines</v>
      </c>
      <c r="E79" s="97" t="s">
        <v>158</v>
      </c>
      <c r="F79" s="97" t="str">
        <f t="shared" si="80"/>
        <v>$Millions</v>
      </c>
      <c r="G79" s="97" t="str">
        <f t="shared" si="81"/>
        <v>Nominal</v>
      </c>
      <c r="H79" s="45" t="str">
        <f t="shared" si="82"/>
        <v>End year</v>
      </c>
      <c r="J79" s="109">
        <v>-11.570381220383778</v>
      </c>
      <c r="K79" s="283">
        <v>-8.1595877471267748</v>
      </c>
      <c r="L79" s="108">
        <v>-8.6595053690868262</v>
      </c>
      <c r="M79" s="108">
        <v>-9.1489537424120773</v>
      </c>
      <c r="N79" s="108">
        <v>-9.7979697717579377</v>
      </c>
      <c r="O79" s="111">
        <v>-10.890382840844291</v>
      </c>
      <c r="P79" s="110">
        <v>-11.804562349717555</v>
      </c>
      <c r="Q79" s="108">
        <v>-12.516267466118096</v>
      </c>
      <c r="R79" s="108">
        <v>-13.29797409673764</v>
      </c>
      <c r="S79" s="108">
        <v>-14.116009640855305</v>
      </c>
      <c r="T79" s="111">
        <v>-14.908601226767107</v>
      </c>
    </row>
    <row r="80" spans="1:20" ht="12.3" x14ac:dyDescent="0.35">
      <c r="D80" s="82" t="str">
        <f t="shared" si="79"/>
        <v>Transmission Lines</v>
      </c>
      <c r="E80" s="97" t="s">
        <v>158</v>
      </c>
      <c r="F80" s="97" t="str">
        <f t="shared" si="80"/>
        <v>$Millions</v>
      </c>
      <c r="G80" s="97" t="str">
        <f t="shared" si="81"/>
        <v>Nominal</v>
      </c>
      <c r="H80" s="45" t="str">
        <f t="shared" si="82"/>
        <v>End year</v>
      </c>
      <c r="J80" s="109">
        <v>-6.5493841501010666</v>
      </c>
      <c r="K80" s="283">
        <v>-6.5307522821968789</v>
      </c>
      <c r="L80" s="108">
        <v>-6.704237826763352</v>
      </c>
      <c r="M80" s="108">
        <v>-6.8137131708793142</v>
      </c>
      <c r="N80" s="108">
        <v>-7.1048206460386201</v>
      </c>
      <c r="O80" s="111">
        <v>-7.7349721733946444</v>
      </c>
      <c r="P80" s="110">
        <v>-8.3139675449502768</v>
      </c>
      <c r="Q80" s="108">
        <v>-8.6231980690740855</v>
      </c>
      <c r="R80" s="108">
        <v>-9.0143537034845131</v>
      </c>
      <c r="S80" s="108">
        <v>-9.3372909622952776</v>
      </c>
      <c r="T80" s="111">
        <v>-9.6512793713843319</v>
      </c>
    </row>
    <row r="81" spans="4:20" ht="12.3" x14ac:dyDescent="0.35">
      <c r="D81" s="82" t="str">
        <f t="shared" si="79"/>
        <v>LV Services</v>
      </c>
      <c r="E81" s="97" t="s">
        <v>158</v>
      </c>
      <c r="F81" s="97" t="str">
        <f t="shared" si="80"/>
        <v>$Millions</v>
      </c>
      <c r="G81" s="97" t="str">
        <f t="shared" si="81"/>
        <v>Nominal</v>
      </c>
      <c r="H81" s="45" t="str">
        <f t="shared" si="82"/>
        <v>End year</v>
      </c>
      <c r="J81" s="109">
        <v>-0.1203717023481828</v>
      </c>
      <c r="K81" s="283">
        <v>-0.16384720285690238</v>
      </c>
      <c r="L81" s="108">
        <v>-0.17509313194749379</v>
      </c>
      <c r="M81" s="108">
        <v>-0.18640223310692319</v>
      </c>
      <c r="N81" s="108">
        <v>-0.20600539567934659</v>
      </c>
      <c r="O81" s="111">
        <v>-0.23307873660868766</v>
      </c>
      <c r="P81" s="110">
        <v>-0.34541954760451998</v>
      </c>
      <c r="Q81" s="108">
        <v>-0.43833917581171</v>
      </c>
      <c r="R81" s="108">
        <v>-0.53813548213936724</v>
      </c>
      <c r="S81" s="108">
        <v>-0.64471007740928843</v>
      </c>
      <c r="T81" s="111">
        <v>-0.7582369582101226</v>
      </c>
    </row>
    <row r="82" spans="4:20" ht="12.3" x14ac:dyDescent="0.35">
      <c r="D82" s="82" t="str">
        <f t="shared" si="79"/>
        <v>Distribution Substations</v>
      </c>
      <c r="E82" s="97" t="s">
        <v>158</v>
      </c>
      <c r="F82" s="97" t="str">
        <f t="shared" si="80"/>
        <v>$Millions</v>
      </c>
      <c r="G82" s="97" t="str">
        <f t="shared" si="81"/>
        <v>Nominal</v>
      </c>
      <c r="H82" s="45" t="str">
        <f t="shared" si="82"/>
        <v>End year</v>
      </c>
      <c r="J82" s="109">
        <v>-4.4604459145250139</v>
      </c>
      <c r="K82" s="283">
        <v>-4.4744773446732165</v>
      </c>
      <c r="L82" s="108">
        <v>-4.6545623971334402</v>
      </c>
      <c r="M82" s="108">
        <v>-4.8065899262791456</v>
      </c>
      <c r="N82" s="108">
        <v>-5.0942359636884387</v>
      </c>
      <c r="O82" s="111">
        <v>-5.6530564031110693</v>
      </c>
      <c r="P82" s="110">
        <v>-6.0281574924172512</v>
      </c>
      <c r="Q82" s="108">
        <v>-6.3224422102761224</v>
      </c>
      <c r="R82" s="108">
        <v>-6.6336659374221387</v>
      </c>
      <c r="S82" s="108">
        <v>-6.962194770186942</v>
      </c>
      <c r="T82" s="111">
        <v>-7.3087457259195521</v>
      </c>
    </row>
    <row r="83" spans="4:20" ht="12.3" x14ac:dyDescent="0.35">
      <c r="D83" s="82" t="str">
        <f t="shared" si="79"/>
        <v>Distribution Switchgear</v>
      </c>
      <c r="E83" s="97" t="s">
        <v>158</v>
      </c>
      <c r="F83" s="97" t="str">
        <f t="shared" si="80"/>
        <v>$Millions</v>
      </c>
      <c r="G83" s="97" t="str">
        <f t="shared" si="81"/>
        <v>Nominal</v>
      </c>
      <c r="H83" s="45" t="str">
        <f t="shared" si="82"/>
        <v>End year</v>
      </c>
      <c r="J83" s="109">
        <v>-1.0806639028996405</v>
      </c>
      <c r="K83" s="283">
        <v>-1.1199601981509908</v>
      </c>
      <c r="L83" s="108">
        <v>-1.2332624171863009</v>
      </c>
      <c r="M83" s="108">
        <v>-1.3428570636442725</v>
      </c>
      <c r="N83" s="108">
        <v>-1.4884052416420639</v>
      </c>
      <c r="O83" s="111">
        <v>-1.7247871991657182</v>
      </c>
      <c r="P83" s="110">
        <v>-1.634297805282604</v>
      </c>
      <c r="Q83" s="108">
        <v>-1.784749497010403</v>
      </c>
      <c r="R83" s="108">
        <v>-1.9457649637307839</v>
      </c>
      <c r="S83" s="108">
        <v>-2.1174262848114984</v>
      </c>
      <c r="T83" s="111">
        <v>-2.3001267609614251</v>
      </c>
    </row>
    <row r="84" spans="4:20" ht="12.3" x14ac:dyDescent="0.35">
      <c r="D84" s="82" t="str">
        <f t="shared" si="79"/>
        <v>Protection</v>
      </c>
      <c r="E84" s="97" t="s">
        <v>158</v>
      </c>
      <c r="F84" s="97" t="str">
        <f t="shared" si="80"/>
        <v>$Millions</v>
      </c>
      <c r="G84" s="97" t="str">
        <f t="shared" si="81"/>
        <v>Nominal</v>
      </c>
      <c r="H84" s="45" t="str">
        <f t="shared" si="82"/>
        <v>End year</v>
      </c>
      <c r="J84" s="109">
        <v>-1.1066481687119236</v>
      </c>
      <c r="K84" s="283">
        <v>-1.1570960539407569</v>
      </c>
      <c r="L84" s="108">
        <v>-1.2724130717935438</v>
      </c>
      <c r="M84" s="108">
        <v>-1.387849568824304</v>
      </c>
      <c r="N84" s="108">
        <v>-1.4763591477458153</v>
      </c>
      <c r="O84" s="111">
        <v>-1.6342071273893475</v>
      </c>
      <c r="P84" s="110">
        <v>-1.7458358015338711</v>
      </c>
      <c r="Q84" s="108">
        <v>-2.0320274674234562</v>
      </c>
      <c r="R84" s="108">
        <v>-2.2168078187427516</v>
      </c>
      <c r="S84" s="108">
        <v>-2.3824168252889373</v>
      </c>
      <c r="T84" s="111">
        <v>-2.5434346574759097</v>
      </c>
    </row>
    <row r="85" spans="4:20" ht="12.3" x14ac:dyDescent="0.35">
      <c r="D85" s="82" t="str">
        <f t="shared" si="79"/>
        <v>SCADA</v>
      </c>
      <c r="E85" s="97" t="s">
        <v>158</v>
      </c>
      <c r="F85" s="97" t="str">
        <f t="shared" si="80"/>
        <v>$Millions</v>
      </c>
      <c r="G85" s="97" t="str">
        <f t="shared" si="81"/>
        <v>Nominal</v>
      </c>
      <c r="H85" s="45" t="str">
        <f t="shared" si="82"/>
        <v>End year</v>
      </c>
      <c r="J85" s="109">
        <v>-0.25984569219082743</v>
      </c>
      <c r="K85" s="283">
        <v>-0.59243693000042053</v>
      </c>
      <c r="L85" s="108">
        <v>-0.65069254586534309</v>
      </c>
      <c r="M85" s="108">
        <v>-0.71571193260693688</v>
      </c>
      <c r="N85" s="108">
        <v>-0.77535523964421771</v>
      </c>
      <c r="O85" s="111">
        <v>-0.85696468108845025</v>
      </c>
      <c r="P85" s="110">
        <v>-1.6632605210883313</v>
      </c>
      <c r="Q85" s="108">
        <v>-1.8652575699219178</v>
      </c>
      <c r="R85" s="108">
        <v>-1.7609930238918572</v>
      </c>
      <c r="S85" s="108">
        <v>-1.6702634725169483</v>
      </c>
      <c r="T85" s="111">
        <v>-1.7190291537988727</v>
      </c>
    </row>
    <row r="86" spans="4:20" ht="12.3" x14ac:dyDescent="0.35">
      <c r="D86" s="82" t="str">
        <f t="shared" si="79"/>
        <v>Communications</v>
      </c>
      <c r="E86" s="97" t="s">
        <v>158</v>
      </c>
      <c r="F86" s="97" t="str">
        <f t="shared" si="80"/>
        <v>$Millions</v>
      </c>
      <c r="G86" s="97" t="str">
        <f t="shared" si="81"/>
        <v>Nominal</v>
      </c>
      <c r="H86" s="45" t="str">
        <f t="shared" si="82"/>
        <v>End year</v>
      </c>
      <c r="J86" s="109">
        <v>-0.59229543634343074</v>
      </c>
      <c r="K86" s="283">
        <v>-0.60302215707532236</v>
      </c>
      <c r="L86" s="108">
        <v>-0.93855148691995793</v>
      </c>
      <c r="M86" s="108">
        <v>-1.1851433350882001</v>
      </c>
      <c r="N86" s="108">
        <v>-1.4231482608601711</v>
      </c>
      <c r="O86" s="111">
        <v>-1.7174382240265424</v>
      </c>
      <c r="P86" s="110">
        <v>-1.8898639368978669</v>
      </c>
      <c r="Q86" s="108">
        <v>-2.399037692999233</v>
      </c>
      <c r="R86" s="108">
        <v>-2.8958689323077702</v>
      </c>
      <c r="S86" s="108">
        <v>-3.4801692171665364</v>
      </c>
      <c r="T86" s="111">
        <v>-3.7418033968672111</v>
      </c>
    </row>
    <row r="87" spans="4:20" ht="12.3" x14ac:dyDescent="0.35">
      <c r="D87" s="82" t="str">
        <f t="shared" si="79"/>
        <v>Land and Easements</v>
      </c>
      <c r="E87" s="97" t="s">
        <v>158</v>
      </c>
      <c r="F87" s="97" t="str">
        <f t="shared" si="80"/>
        <v>$Millions</v>
      </c>
      <c r="G87" s="97" t="str">
        <f t="shared" si="81"/>
        <v>Nominal</v>
      </c>
      <c r="H87" s="45" t="str">
        <f t="shared" si="82"/>
        <v>End year</v>
      </c>
      <c r="J87" s="109">
        <v>0</v>
      </c>
      <c r="K87" s="283">
        <v>0</v>
      </c>
      <c r="L87" s="108">
        <v>0</v>
      </c>
      <c r="M87" s="108">
        <v>0</v>
      </c>
      <c r="N87" s="108">
        <v>0</v>
      </c>
      <c r="O87" s="111">
        <v>0</v>
      </c>
      <c r="P87" s="110">
        <v>0</v>
      </c>
      <c r="Q87" s="108">
        <v>0</v>
      </c>
      <c r="R87" s="108">
        <v>0</v>
      </c>
      <c r="S87" s="108">
        <v>0</v>
      </c>
      <c r="T87" s="111">
        <v>0</v>
      </c>
    </row>
    <row r="88" spans="4:20" ht="12.3" x14ac:dyDescent="0.35">
      <c r="D88" s="82" t="str">
        <f t="shared" si="79"/>
        <v>Property</v>
      </c>
      <c r="E88" s="97" t="s">
        <v>158</v>
      </c>
      <c r="F88" s="97" t="str">
        <f t="shared" si="80"/>
        <v>$Millions</v>
      </c>
      <c r="G88" s="97" t="str">
        <f t="shared" si="81"/>
        <v>Nominal</v>
      </c>
      <c r="H88" s="45" t="str">
        <f t="shared" si="82"/>
        <v>End year</v>
      </c>
      <c r="J88" s="109">
        <v>-0.15104258284927113</v>
      </c>
      <c r="K88" s="283">
        <v>-0.65823915689909684</v>
      </c>
      <c r="L88" s="108">
        <v>-0.72276010921951772</v>
      </c>
      <c r="M88" s="108">
        <v>-0.75189989685827374</v>
      </c>
      <c r="N88" s="108">
        <v>-0.80249542204434321</v>
      </c>
      <c r="O88" s="111">
        <v>-0.8904076477731222</v>
      </c>
      <c r="P88" s="110">
        <v>-1.1270236486492553</v>
      </c>
      <c r="Q88" s="108">
        <v>-1.1490410160200921</v>
      </c>
      <c r="R88" s="108">
        <v>-1.212888395630251</v>
      </c>
      <c r="S88" s="108">
        <v>-1.3561247123102143</v>
      </c>
      <c r="T88" s="111">
        <v>-2.944831576665889</v>
      </c>
    </row>
    <row r="89" spans="4:20" ht="12.3" x14ac:dyDescent="0.35">
      <c r="D89" s="82" t="str">
        <f t="shared" si="79"/>
        <v>IT and Communications</v>
      </c>
      <c r="E89" s="97" t="s">
        <v>158</v>
      </c>
      <c r="F89" s="97" t="str">
        <f t="shared" si="80"/>
        <v>$Millions</v>
      </c>
      <c r="G89" s="97" t="str">
        <f t="shared" si="81"/>
        <v>Nominal</v>
      </c>
      <c r="H89" s="45" t="str">
        <f t="shared" si="82"/>
        <v>End year</v>
      </c>
      <c r="J89" s="109">
        <v>-0.7046128370683945</v>
      </c>
      <c r="K89" s="283">
        <v>-1.2890908568474291</v>
      </c>
      <c r="L89" s="108">
        <v>-1.8872609775956553</v>
      </c>
      <c r="M89" s="108">
        <v>-2.5390704407436582</v>
      </c>
      <c r="N89" s="108">
        <v>-3.9198432709531801</v>
      </c>
      <c r="O89" s="111">
        <v>-5.0488797362923243</v>
      </c>
      <c r="P89" s="110">
        <v>-9.8186667332653421</v>
      </c>
      <c r="Q89" s="108">
        <v>-8.3943753974849535</v>
      </c>
      <c r="R89" s="108">
        <v>-10.954108449518101</v>
      </c>
      <c r="S89" s="108">
        <v>-13.31282637353692</v>
      </c>
      <c r="T89" s="111">
        <v>-15.376130174601242</v>
      </c>
    </row>
    <row r="90" spans="4:20" ht="12.3" x14ac:dyDescent="0.35">
      <c r="D90" s="82" t="str">
        <f t="shared" si="79"/>
        <v>Motor Vehicles</v>
      </c>
      <c r="E90" s="97" t="s">
        <v>158</v>
      </c>
      <c r="F90" s="97" t="str">
        <f t="shared" si="80"/>
        <v>$Millions</v>
      </c>
      <c r="G90" s="97" t="str">
        <f t="shared" si="81"/>
        <v>Nominal</v>
      </c>
      <c r="H90" s="45" t="str">
        <f t="shared" si="82"/>
        <v>End year</v>
      </c>
      <c r="J90" s="109">
        <v>-1.1969047782081802E-2</v>
      </c>
      <c r="K90" s="283">
        <v>-3.5270671246690019E-2</v>
      </c>
      <c r="L90" s="108">
        <v>-3.5919824705218054E-2</v>
      </c>
      <c r="M90" s="108">
        <v>-3.6228945399755214E-2</v>
      </c>
      <c r="N90" s="108">
        <v>-3.7496340247357568E-2</v>
      </c>
      <c r="O90" s="111">
        <v>-4.0496047467146176E-2</v>
      </c>
      <c r="P90" s="110">
        <v>-0.12422556543476267</v>
      </c>
      <c r="Q90" s="108">
        <v>-0.1249197248008268</v>
      </c>
      <c r="R90" s="108">
        <v>-0.12856693111629691</v>
      </c>
      <c r="S90" s="108">
        <v>-0.13232062272805481</v>
      </c>
      <c r="T90" s="111">
        <v>-0.10855486030882737</v>
      </c>
    </row>
    <row r="91" spans="4:20" ht="12.3" x14ac:dyDescent="0.35">
      <c r="D91" s="82" t="str">
        <f t="shared" si="79"/>
        <v>Plant and Equipment</v>
      </c>
      <c r="E91" s="97" t="s">
        <v>158</v>
      </c>
      <c r="F91" s="97" t="str">
        <f t="shared" si="80"/>
        <v>$Millions</v>
      </c>
      <c r="G91" s="97" t="str">
        <f t="shared" si="81"/>
        <v>Nominal</v>
      </c>
      <c r="H91" s="45" t="str">
        <f t="shared" si="82"/>
        <v>End year</v>
      </c>
      <c r="J91" s="109">
        <v>-1.1429164209846789</v>
      </c>
      <c r="K91" s="283">
        <v>-0.82722183523248405</v>
      </c>
      <c r="L91" s="108">
        <v>-1.3213336503288109</v>
      </c>
      <c r="M91" s="108">
        <v>-1.4301054627241347</v>
      </c>
      <c r="N91" s="108">
        <v>-1.579357231579295</v>
      </c>
      <c r="O91" s="111">
        <v>-1.2174655811015831</v>
      </c>
      <c r="P91" s="110">
        <v>-0.87957121267919924</v>
      </c>
      <c r="Q91" s="108">
        <v>-1.0972648462339596</v>
      </c>
      <c r="R91" s="108">
        <v>-1.3580753032763733</v>
      </c>
      <c r="S91" s="108">
        <v>-1.6272652928870754</v>
      </c>
      <c r="T91" s="111">
        <v>-1.8776801325403667</v>
      </c>
    </row>
    <row r="92" spans="4:20" ht="12.3" x14ac:dyDescent="0.35">
      <c r="D92" s="82" t="str">
        <f t="shared" si="79"/>
        <v>Property Leases</v>
      </c>
      <c r="E92" s="97" t="s">
        <v>158</v>
      </c>
      <c r="F92" s="97" t="str">
        <f t="shared" si="80"/>
        <v>$Millions</v>
      </c>
      <c r="G92" s="97" t="str">
        <f t="shared" si="81"/>
        <v>Nominal</v>
      </c>
      <c r="H92" s="45" t="str">
        <f t="shared" si="82"/>
        <v>End year</v>
      </c>
      <c r="J92" s="109">
        <v>0</v>
      </c>
      <c r="K92" s="283">
        <v>0</v>
      </c>
      <c r="L92" s="108">
        <v>-0.33555511050686565</v>
      </c>
      <c r="M92" s="108">
        <v>-0.3429050006989281</v>
      </c>
      <c r="N92" s="108">
        <v>-1.5910110883791149</v>
      </c>
      <c r="O92" s="111">
        <v>-1.7236128775467914</v>
      </c>
      <c r="P92" s="110">
        <v>-1.2826527903203473</v>
      </c>
      <c r="Q92" s="108">
        <v>-1.3201016348872925</v>
      </c>
      <c r="R92" s="108">
        <v>-1.3586438509184271</v>
      </c>
      <c r="S92" s="108">
        <v>-3.3244672341509012</v>
      </c>
      <c r="T92" s="111">
        <v>-3.4215297109639167</v>
      </c>
    </row>
    <row r="93" spans="4:20" ht="12.3" x14ac:dyDescent="0.35">
      <c r="D93" s="82" t="str">
        <f t="shared" si="79"/>
        <v>Fleet Leases</v>
      </c>
      <c r="E93" s="97" t="s">
        <v>158</v>
      </c>
      <c r="F93" s="97" t="str">
        <f t="shared" si="80"/>
        <v>$Millions</v>
      </c>
      <c r="G93" s="97" t="str">
        <f t="shared" si="81"/>
        <v>Nominal</v>
      </c>
      <c r="H93" s="45" t="str">
        <f t="shared" si="82"/>
        <v>End year</v>
      </c>
      <c r="J93" s="109">
        <v>0</v>
      </c>
      <c r="K93" s="283">
        <v>0</v>
      </c>
      <c r="L93" s="108">
        <v>-2.8262441675157794</v>
      </c>
      <c r="M93" s="108">
        <v>-3.6041324310279381</v>
      </c>
      <c r="N93" s="108">
        <v>-4.4037528802953778</v>
      </c>
      <c r="O93" s="111">
        <v>-5.6422876778660349</v>
      </c>
      <c r="P93" s="110">
        <v>-4.4689675266550042</v>
      </c>
      <c r="Q93" s="108">
        <v>-4.0568892594847137</v>
      </c>
      <c r="R93" s="108">
        <v>-2.9168575157077132</v>
      </c>
      <c r="S93" s="108">
        <v>-3.258740643875881</v>
      </c>
      <c r="T93" s="111">
        <v>-3.4611232177599183</v>
      </c>
    </row>
    <row r="94" spans="4:20" ht="12.3" x14ac:dyDescent="0.35">
      <c r="D94" s="82" t="str">
        <f t="shared" si="79"/>
        <v>Community Batteries</v>
      </c>
      <c r="E94" s="97" t="s">
        <v>158</v>
      </c>
      <c r="F94" s="97" t="str">
        <f t="shared" si="80"/>
        <v>$Millions</v>
      </c>
      <c r="G94" s="97" t="str">
        <f t="shared" si="81"/>
        <v>Nominal</v>
      </c>
      <c r="H94" s="45" t="str">
        <f t="shared" si="82"/>
        <v>End year</v>
      </c>
      <c r="J94" s="294"/>
      <c r="K94" s="295"/>
      <c r="L94" s="292"/>
      <c r="M94" s="292"/>
      <c r="N94" s="292"/>
      <c r="O94" s="293"/>
      <c r="P94" s="110">
        <v>0</v>
      </c>
      <c r="Q94" s="108">
        <v>0</v>
      </c>
      <c r="R94" s="108">
        <v>0</v>
      </c>
      <c r="S94" s="108">
        <v>0</v>
      </c>
      <c r="T94" s="111">
        <v>0</v>
      </c>
    </row>
    <row r="95" spans="4:20" ht="12.3" x14ac:dyDescent="0.35">
      <c r="D95" s="82" t="str">
        <f t="shared" si="79"/>
        <v>Buildings</v>
      </c>
      <c r="E95" s="97" t="s">
        <v>158</v>
      </c>
      <c r="F95" s="97" t="str">
        <f t="shared" si="80"/>
        <v>$Millions</v>
      </c>
      <c r="G95" s="97" t="str">
        <f t="shared" si="81"/>
        <v>Nominal</v>
      </c>
      <c r="H95" s="45" t="str">
        <f t="shared" si="82"/>
        <v>End year</v>
      </c>
      <c r="J95" s="109">
        <v>0</v>
      </c>
      <c r="K95" s="283">
        <v>0</v>
      </c>
      <c r="L95" s="108">
        <v>-1.2666318682381513E-2</v>
      </c>
      <c r="M95" s="108">
        <v>-1.6343115297003122E-2</v>
      </c>
      <c r="N95" s="108">
        <v>-2.0549372893062402E-2</v>
      </c>
      <c r="O95" s="111">
        <v>-2.644774307383942E-2</v>
      </c>
      <c r="P95" s="110">
        <v>-9.5801924043627973E-2</v>
      </c>
      <c r="Q95" s="108">
        <v>-9.8598995386550078E-2</v>
      </c>
      <c r="R95" s="108">
        <v>-0.10147773114462351</v>
      </c>
      <c r="S95" s="108">
        <v>-0.10444051562481954</v>
      </c>
      <c r="T95" s="111">
        <v>-0.10748980274729064</v>
      </c>
    </row>
    <row r="96" spans="4:20" ht="12.3" x14ac:dyDescent="0.35">
      <c r="D96" s="82" t="str">
        <f t="shared" si="79"/>
        <v>in-house software</v>
      </c>
      <c r="E96" s="97" t="s">
        <v>158</v>
      </c>
      <c r="F96" s="97" t="str">
        <f t="shared" si="80"/>
        <v>$Millions</v>
      </c>
      <c r="G96" s="97" t="str">
        <f t="shared" si="81"/>
        <v>Nominal</v>
      </c>
      <c r="H96" s="45" t="str">
        <f t="shared" si="82"/>
        <v>End year</v>
      </c>
      <c r="J96" s="109">
        <v>0</v>
      </c>
      <c r="K96" s="283">
        <v>0</v>
      </c>
      <c r="L96" s="108">
        <v>-5.2086373898768877E-2</v>
      </c>
      <c r="M96" s="108">
        <v>-0.24167015955134466</v>
      </c>
      <c r="N96" s="108">
        <v>-0.31325953705319998</v>
      </c>
      <c r="O96" s="111">
        <v>-0.61480502261790038</v>
      </c>
      <c r="P96" s="110">
        <v>1.3143005713005569</v>
      </c>
      <c r="Q96" s="108">
        <v>0</v>
      </c>
      <c r="R96" s="108">
        <v>0</v>
      </c>
      <c r="S96" s="108">
        <v>0</v>
      </c>
      <c r="T96" s="111">
        <v>0</v>
      </c>
    </row>
    <row r="97" spans="1:20" ht="12.3" x14ac:dyDescent="0.35">
      <c r="D97" s="82" t="str">
        <f t="shared" ref="D97" si="83">D37</f>
        <v>Equity Raising Costs</v>
      </c>
      <c r="E97" s="97" t="s">
        <v>158</v>
      </c>
      <c r="F97" s="97" t="str">
        <f t="shared" si="80"/>
        <v>$Millions</v>
      </c>
      <c r="G97" s="97" t="str">
        <f t="shared" si="81"/>
        <v>Nominal</v>
      </c>
      <c r="H97" s="45" t="str">
        <f t="shared" si="82"/>
        <v>End year</v>
      </c>
      <c r="J97" s="109">
        <v>0</v>
      </c>
      <c r="K97" s="283">
        <v>0</v>
      </c>
      <c r="L97" s="108">
        <v>0</v>
      </c>
      <c r="M97" s="108">
        <v>0</v>
      </c>
      <c r="N97" s="108">
        <v>0</v>
      </c>
      <c r="O97" s="111">
        <v>0</v>
      </c>
      <c r="P97" s="110">
        <v>0</v>
      </c>
      <c r="Q97" s="108">
        <v>0</v>
      </c>
      <c r="R97" s="108">
        <v>0</v>
      </c>
      <c r="S97" s="108">
        <v>0</v>
      </c>
      <c r="T97" s="111">
        <v>0</v>
      </c>
    </row>
    <row r="98" spans="1:20" x14ac:dyDescent="0.35">
      <c r="J98" s="95"/>
      <c r="O98" s="96"/>
      <c r="P98" s="94"/>
      <c r="T98" s="96"/>
    </row>
    <row r="99" spans="1:20" ht="12.3" x14ac:dyDescent="0.35">
      <c r="D99" s="102" t="str">
        <f>"Total "&amp;D76</f>
        <v>Total RAB asset class</v>
      </c>
      <c r="E99" s="103" t="s">
        <v>91</v>
      </c>
      <c r="F99" s="103" t="str">
        <f>F78</f>
        <v>$Millions</v>
      </c>
      <c r="G99" s="103" t="str">
        <f>G78</f>
        <v>Nominal</v>
      </c>
      <c r="H99" s="40" t="str">
        <f>H78</f>
        <v>End year</v>
      </c>
      <c r="J99" s="106">
        <f>SUM(J78:J97)</f>
        <v>-53.428657902343339</v>
      </c>
      <c r="K99" s="105">
        <f t="shared" ref="K99:T99" si="84">SUM(K78:K97)</f>
        <v>-41.524112003927797</v>
      </c>
      <c r="L99" s="105">
        <f t="shared" si="84"/>
        <v>-47.987658187257459</v>
      </c>
      <c r="M99" s="105">
        <f t="shared" si="84"/>
        <v>-51.464926616775017</v>
      </c>
      <c r="N99" s="105">
        <f t="shared" si="84"/>
        <v>-57.704269531194029</v>
      </c>
      <c r="O99" s="107">
        <f t="shared" si="84"/>
        <v>-64.868412268909239</v>
      </c>
      <c r="P99" s="104">
        <f t="shared" si="84"/>
        <v>-71.997188030001368</v>
      </c>
      <c r="Q99" s="105">
        <f t="shared" si="84"/>
        <v>-75.427483720101804</v>
      </c>
      <c r="R99" s="105">
        <f t="shared" si="84"/>
        <v>-80.634240927366619</v>
      </c>
      <c r="S99" s="105">
        <f t="shared" si="84"/>
        <v>-88.939573778150162</v>
      </c>
      <c r="T99" s="107">
        <f t="shared" si="84"/>
        <v>-96.163881859042661</v>
      </c>
    </row>
    <row r="100" spans="1:20" ht="11.25" customHeight="1" x14ac:dyDescent="0.35"/>
    <row r="101" spans="1:20" ht="11.25" customHeight="1" x14ac:dyDescent="0.35">
      <c r="A101" s="76">
        <f>IF(SUM($J101:$T101)&lt;&gt;0,1,0)</f>
        <v>0</v>
      </c>
      <c r="D101" s="82" t="s">
        <v>155</v>
      </c>
      <c r="J101" s="76">
        <f t="shared" ref="J101:K101" si="85">IF(ISERROR(J99),1,0)</f>
        <v>0</v>
      </c>
      <c r="K101" s="76">
        <f t="shared" si="85"/>
        <v>0</v>
      </c>
      <c r="L101" s="76">
        <f>IF(ISERROR(L99),1,0)</f>
        <v>0</v>
      </c>
      <c r="M101" s="76">
        <f t="shared" ref="M101:P101" si="86">IF(ISERROR(M99),1,0)</f>
        <v>0</v>
      </c>
      <c r="N101" s="76">
        <f t="shared" si="86"/>
        <v>0</v>
      </c>
      <c r="O101" s="76">
        <f t="shared" si="86"/>
        <v>0</v>
      </c>
      <c r="P101" s="76">
        <f t="shared" si="86"/>
        <v>0</v>
      </c>
      <c r="Q101" s="76">
        <f>IF(ISERROR(Q99),1,0)</f>
        <v>0</v>
      </c>
      <c r="R101" s="76">
        <f t="shared" ref="R101:T101" si="87">IF(ISERROR(R99),1,0)</f>
        <v>0</v>
      </c>
      <c r="S101" s="76">
        <f t="shared" si="87"/>
        <v>0</v>
      </c>
      <c r="T101" s="76">
        <f t="shared" si="87"/>
        <v>0</v>
      </c>
    </row>
    <row r="102" spans="1:20" ht="11.25" customHeight="1" x14ac:dyDescent="0.35">
      <c r="A102" s="76"/>
      <c r="D102" s="82" t="s">
        <v>50</v>
      </c>
      <c r="J102" s="109">
        <v>-53.428657902343339</v>
      </c>
      <c r="K102" s="283">
        <v>-41.524112003927797</v>
      </c>
      <c r="L102" s="108">
        <v>-47.987658187257459</v>
      </c>
      <c r="M102" s="108">
        <v>-51.464926616775017</v>
      </c>
      <c r="N102" s="108">
        <v>-57.704269531194029</v>
      </c>
      <c r="O102" s="111">
        <v>-64.868412268909239</v>
      </c>
      <c r="P102" s="110">
        <v>-71.997188030001382</v>
      </c>
      <c r="Q102" s="108">
        <v>-75.427483720101776</v>
      </c>
      <c r="R102" s="108">
        <v>-80.634240927366605</v>
      </c>
      <c r="S102" s="108">
        <v>-88.939573778150162</v>
      </c>
      <c r="T102" s="111">
        <v>-96.163881859042647</v>
      </c>
    </row>
    <row r="103" spans="1:20" ht="11.25" customHeight="1" x14ac:dyDescent="0.35">
      <c r="A103" s="76">
        <f>IF(SUM($J103:$T103)&lt;&gt;0,1,0)</f>
        <v>0</v>
      </c>
      <c r="D103" s="82" t="s">
        <v>156</v>
      </c>
      <c r="J103" s="76">
        <f>IF(ROUND(J102-J99,2)=0,0,1)</f>
        <v>0</v>
      </c>
      <c r="K103" s="76">
        <f t="shared" ref="K103:O103" si="88">IF(ROUND(K102-K99,2)=0,0,1)</f>
        <v>0</v>
      </c>
      <c r="L103" s="76">
        <f t="shared" si="88"/>
        <v>0</v>
      </c>
      <c r="M103" s="76">
        <f t="shared" si="88"/>
        <v>0</v>
      </c>
      <c r="N103" s="76">
        <f t="shared" si="88"/>
        <v>0</v>
      </c>
      <c r="O103" s="114">
        <f t="shared" si="88"/>
        <v>0</v>
      </c>
      <c r="P103" s="113">
        <f>IF(ROUND(P102-P99,2)=0,0,1)</f>
        <v>0</v>
      </c>
      <c r="Q103" s="76">
        <f t="shared" ref="Q103:T103" si="89">IF(ROUND(Q102-Q99,2)=0,0,1)</f>
        <v>0</v>
      </c>
      <c r="R103" s="76">
        <f t="shared" si="89"/>
        <v>0</v>
      </c>
      <c r="S103" s="76">
        <f t="shared" si="89"/>
        <v>0</v>
      </c>
      <c r="T103" s="114">
        <f t="shared" si="89"/>
        <v>0</v>
      </c>
    </row>
    <row r="104" spans="1:20" ht="11.25" customHeight="1" x14ac:dyDescent="0.35">
      <c r="N104" s="86"/>
      <c r="S104" s="86"/>
    </row>
    <row r="105" spans="1:20" s="89" customFormat="1" ht="14.1" x14ac:dyDescent="0.35">
      <c r="C105" s="89" t="s">
        <v>405</v>
      </c>
      <c r="H105" s="8"/>
    </row>
    <row r="106" spans="1:20" ht="11.25" customHeight="1" x14ac:dyDescent="0.35"/>
    <row r="107" spans="1:20" ht="12.3" x14ac:dyDescent="0.35">
      <c r="D107" s="90" t="str">
        <f>D$16</f>
        <v>RAB asset class</v>
      </c>
      <c r="E107" s="91" t="str">
        <f>Lookup!E$20</f>
        <v>Source</v>
      </c>
      <c r="F107" s="91" t="str">
        <f>Lookup!F$20</f>
        <v>Unit</v>
      </c>
      <c r="G107" s="91" t="str">
        <f>Lookup!G$20</f>
        <v>Basis</v>
      </c>
      <c r="H107" s="38" t="str">
        <f>Lookup!H$20</f>
        <v>Timing</v>
      </c>
      <c r="J107" s="274" t="str">
        <f t="shared" ref="J107:T107" si="90">J$10</f>
        <v>RY19</v>
      </c>
      <c r="K107" s="92" t="str">
        <f t="shared" si="90"/>
        <v>RY20</v>
      </c>
      <c r="L107" s="91" t="str">
        <f>L$10</f>
        <v>RY21</v>
      </c>
      <c r="M107" s="91" t="str">
        <f t="shared" si="90"/>
        <v>RY22</v>
      </c>
      <c r="N107" s="91" t="str">
        <f t="shared" si="90"/>
        <v>RY23</v>
      </c>
      <c r="O107" s="93" t="str">
        <f t="shared" si="90"/>
        <v>RY24</v>
      </c>
      <c r="P107" s="267" t="str">
        <f t="shared" si="90"/>
        <v>RY25</v>
      </c>
      <c r="Q107" s="268" t="str">
        <f>Q$10</f>
        <v>RY26</v>
      </c>
      <c r="R107" s="268" t="str">
        <f t="shared" si="90"/>
        <v>RY27</v>
      </c>
      <c r="S107" s="268" t="str">
        <f t="shared" si="90"/>
        <v>RY28</v>
      </c>
      <c r="T107" s="269" t="str">
        <f t="shared" si="90"/>
        <v>RY29</v>
      </c>
    </row>
    <row r="108" spans="1:20" x14ac:dyDescent="0.35">
      <c r="J108" s="95"/>
      <c r="K108" s="266"/>
      <c r="O108" s="96"/>
      <c r="P108" s="94"/>
      <c r="T108" s="96"/>
    </row>
    <row r="109" spans="1:20" ht="12.3" x14ac:dyDescent="0.35">
      <c r="D109" s="82" t="str">
        <f t="shared" ref="D109:D127" si="91">D18</f>
        <v>Substations</v>
      </c>
      <c r="E109" s="97" t="s">
        <v>158</v>
      </c>
      <c r="F109" s="97" t="str">
        <f t="shared" ref="F109:F128" si="92">Millions</f>
        <v>$Millions</v>
      </c>
      <c r="G109" s="97" t="str">
        <f t="shared" ref="G109:G128" si="93">Nominal</f>
        <v>Nominal</v>
      </c>
      <c r="H109" s="45" t="str">
        <f t="shared" ref="H109:H128" si="94">End_year</f>
        <v>End year</v>
      </c>
      <c r="J109" s="109">
        <v>13.512555175057903</v>
      </c>
      <c r="K109" s="110">
        <v>16.329556570947439</v>
      </c>
      <c r="L109" s="108">
        <v>10.0408096393733</v>
      </c>
      <c r="M109" s="108">
        <v>8.752797051941732</v>
      </c>
      <c r="N109" s="108">
        <v>10.277673984770724</v>
      </c>
      <c r="O109" s="111">
        <v>19.264841664295432</v>
      </c>
      <c r="P109" s="110">
        <v>19.245574238471455</v>
      </c>
      <c r="Q109" s="108">
        <v>17.073909619520823</v>
      </c>
      <c r="R109" s="108">
        <v>4.259660494643545</v>
      </c>
      <c r="S109" s="108">
        <v>3.6804751345842046</v>
      </c>
      <c r="T109" s="111">
        <v>3.937804383205179</v>
      </c>
    </row>
    <row r="110" spans="1:20" ht="12.3" x14ac:dyDescent="0.35">
      <c r="D110" s="82" t="str">
        <f t="shared" si="91"/>
        <v>Distribution Lines</v>
      </c>
      <c r="E110" s="97" t="s">
        <v>158</v>
      </c>
      <c r="F110" s="97" t="str">
        <f t="shared" si="92"/>
        <v>$Millions</v>
      </c>
      <c r="G110" s="97" t="str">
        <f t="shared" si="93"/>
        <v>Nominal</v>
      </c>
      <c r="H110" s="45" t="str">
        <f t="shared" si="94"/>
        <v>End year</v>
      </c>
      <c r="J110" s="109">
        <v>10.905797865040878</v>
      </c>
      <c r="K110" s="110">
        <v>8.4582828614806438</v>
      </c>
      <c r="L110" s="108">
        <v>9.9641049676141602</v>
      </c>
      <c r="M110" s="108">
        <v>18.604691862763559</v>
      </c>
      <c r="N110" s="108">
        <v>27.773113593429613</v>
      </c>
      <c r="O110" s="111">
        <v>24.313240733175981</v>
      </c>
      <c r="P110" s="110">
        <v>19.875177642247351</v>
      </c>
      <c r="Q110" s="108">
        <v>22.527605332406299</v>
      </c>
      <c r="R110" s="108">
        <v>23.255447349617622</v>
      </c>
      <c r="S110" s="108">
        <v>20.597490037452456</v>
      </c>
      <c r="T110" s="111">
        <v>21.448301294895384</v>
      </c>
    </row>
    <row r="111" spans="1:20" ht="12.3" x14ac:dyDescent="0.35">
      <c r="D111" s="82" t="str">
        <f t="shared" si="91"/>
        <v>Transmission Lines</v>
      </c>
      <c r="E111" s="97" t="s">
        <v>158</v>
      </c>
      <c r="F111" s="97" t="str">
        <f t="shared" si="92"/>
        <v>$Millions</v>
      </c>
      <c r="G111" s="97" t="str">
        <f t="shared" si="93"/>
        <v>Nominal</v>
      </c>
      <c r="H111" s="45" t="str">
        <f t="shared" si="94"/>
        <v>End year</v>
      </c>
      <c r="J111" s="109">
        <v>0.22697997586977081</v>
      </c>
      <c r="K111" s="110">
        <v>0.95398627661436053</v>
      </c>
      <c r="L111" s="108">
        <v>1.6590003897175705</v>
      </c>
      <c r="M111" s="108">
        <v>2.441266010024532</v>
      </c>
      <c r="N111" s="108">
        <v>3.0240435006678767</v>
      </c>
      <c r="O111" s="111">
        <v>5.521330669172162</v>
      </c>
      <c r="P111" s="110">
        <v>3.6639973926579281</v>
      </c>
      <c r="Q111" s="108">
        <v>7.6673473011271227</v>
      </c>
      <c r="R111" s="108">
        <v>3.2937581270710621</v>
      </c>
      <c r="S111" s="108">
        <v>2.2845145499820938</v>
      </c>
      <c r="T111" s="111">
        <v>2.3669332969691701</v>
      </c>
    </row>
    <row r="112" spans="1:20" ht="12.3" x14ac:dyDescent="0.35">
      <c r="D112" s="82" t="str">
        <f t="shared" si="91"/>
        <v>LV Services</v>
      </c>
      <c r="E112" s="97" t="s">
        <v>158</v>
      </c>
      <c r="F112" s="97" t="str">
        <f t="shared" si="92"/>
        <v>$Millions</v>
      </c>
      <c r="G112" s="97" t="str">
        <f t="shared" si="93"/>
        <v>Nominal</v>
      </c>
      <c r="H112" s="45" t="str">
        <f t="shared" si="94"/>
        <v>End year</v>
      </c>
      <c r="J112" s="109">
        <v>0.51163504994381981</v>
      </c>
      <c r="K112" s="110">
        <v>0.65746596705412452</v>
      </c>
      <c r="L112" s="108">
        <v>1.087842968603342</v>
      </c>
      <c r="M112" s="108">
        <v>2.1769366457234298</v>
      </c>
      <c r="N112" s="108">
        <v>1.4975466025950761</v>
      </c>
      <c r="O112" s="111">
        <v>1.6069630551987224</v>
      </c>
      <c r="P112" s="110">
        <v>4.4887944939314304</v>
      </c>
      <c r="Q112" s="108">
        <v>4.7144279341891462</v>
      </c>
      <c r="R112" s="108">
        <v>4.9238497574882354</v>
      </c>
      <c r="S112" s="108">
        <v>5.1319761700537194</v>
      </c>
      <c r="T112" s="111">
        <v>5.3617066181433124</v>
      </c>
    </row>
    <row r="113" spans="4:20" ht="12.3" x14ac:dyDescent="0.35">
      <c r="D113" s="82" t="str">
        <f t="shared" si="91"/>
        <v>Distribution Substations</v>
      </c>
      <c r="E113" s="97" t="s">
        <v>158</v>
      </c>
      <c r="F113" s="97" t="str">
        <f t="shared" si="92"/>
        <v>$Millions</v>
      </c>
      <c r="G113" s="97" t="str">
        <f t="shared" si="93"/>
        <v>Nominal</v>
      </c>
      <c r="H113" s="45" t="str">
        <f t="shared" si="94"/>
        <v>End year</v>
      </c>
      <c r="J113" s="109">
        <v>3.8365502060993699</v>
      </c>
      <c r="K113" s="110">
        <v>4.3181774979593142</v>
      </c>
      <c r="L113" s="108">
        <v>4.3238048247236529</v>
      </c>
      <c r="M113" s="108">
        <v>5.6333704602078702</v>
      </c>
      <c r="N113" s="108">
        <v>3.453749466991118</v>
      </c>
      <c r="O113" s="111">
        <v>3.9174560255654112</v>
      </c>
      <c r="P113" s="110">
        <v>5.1845691924034405</v>
      </c>
      <c r="Q113" s="108">
        <v>5.5492496869672987</v>
      </c>
      <c r="R113" s="108">
        <v>5.9083178452694769</v>
      </c>
      <c r="S113" s="108">
        <v>6.2766379716994791</v>
      </c>
      <c r="T113" s="111">
        <v>6.6793571525204749</v>
      </c>
    </row>
    <row r="114" spans="4:20" ht="12.3" x14ac:dyDescent="0.35">
      <c r="D114" s="82" t="str">
        <f t="shared" si="91"/>
        <v>Distribution Switchgear</v>
      </c>
      <c r="E114" s="97" t="s">
        <v>158</v>
      </c>
      <c r="F114" s="97" t="str">
        <f t="shared" si="92"/>
        <v>$Millions</v>
      </c>
      <c r="G114" s="97" t="str">
        <f t="shared" si="93"/>
        <v>Nominal</v>
      </c>
      <c r="H114" s="45" t="str">
        <f t="shared" si="94"/>
        <v>End year</v>
      </c>
      <c r="J114" s="109">
        <v>3.5088950458613626</v>
      </c>
      <c r="K114" s="110">
        <v>1.6455482863921702</v>
      </c>
      <c r="L114" s="108">
        <v>2.7007270520367537</v>
      </c>
      <c r="M114" s="108">
        <v>2.3819598956835861</v>
      </c>
      <c r="N114" s="108">
        <v>3.844379156337681</v>
      </c>
      <c r="O114" s="111">
        <v>3.1041956895844693</v>
      </c>
      <c r="P114" s="110">
        <v>5.2302722306233136</v>
      </c>
      <c r="Q114" s="108">
        <v>5.5443856148316675</v>
      </c>
      <c r="R114" s="108">
        <v>5.8469779630202918</v>
      </c>
      <c r="S114" s="108">
        <v>6.1537685771004806</v>
      </c>
      <c r="T114" s="111">
        <v>6.4900977936847779</v>
      </c>
    </row>
    <row r="115" spans="4:20" ht="12.3" x14ac:dyDescent="0.35">
      <c r="D115" s="82" t="str">
        <f t="shared" si="91"/>
        <v>Protection</v>
      </c>
      <c r="E115" s="97" t="s">
        <v>158</v>
      </c>
      <c r="F115" s="97" t="str">
        <f t="shared" si="92"/>
        <v>$Millions</v>
      </c>
      <c r="G115" s="97" t="str">
        <f t="shared" si="93"/>
        <v>Nominal</v>
      </c>
      <c r="H115" s="45" t="str">
        <f t="shared" si="94"/>
        <v>End year</v>
      </c>
      <c r="J115" s="109">
        <v>2.5793985459127571</v>
      </c>
      <c r="K115" s="110">
        <v>1.5389122592913562</v>
      </c>
      <c r="L115" s="108">
        <v>1.5645863791992083</v>
      </c>
      <c r="M115" s="108">
        <v>3.107599911737625</v>
      </c>
      <c r="N115" s="108">
        <v>3.1207887863608739</v>
      </c>
      <c r="O115" s="111">
        <v>5.3590530170769917</v>
      </c>
      <c r="P115" s="110">
        <v>9.6002966220218564</v>
      </c>
      <c r="Q115" s="108">
        <v>5.1202414494583532</v>
      </c>
      <c r="R115" s="108">
        <v>4.1175890548508054</v>
      </c>
      <c r="S115" s="108">
        <v>3.7328596986215747</v>
      </c>
      <c r="T115" s="111">
        <v>3.2843606218739811</v>
      </c>
    </row>
    <row r="116" spans="4:20" ht="12.3" x14ac:dyDescent="0.35">
      <c r="D116" s="82" t="str">
        <f t="shared" si="91"/>
        <v>SCADA</v>
      </c>
      <c r="E116" s="97" t="s">
        <v>158</v>
      </c>
      <c r="F116" s="97" t="str">
        <f t="shared" si="92"/>
        <v>$Millions</v>
      </c>
      <c r="G116" s="97" t="str">
        <f t="shared" si="93"/>
        <v>Nominal</v>
      </c>
      <c r="H116" s="45" t="str">
        <f t="shared" si="94"/>
        <v>End year</v>
      </c>
      <c r="J116" s="109">
        <v>1.2184524914889736</v>
      </c>
      <c r="K116" s="110">
        <v>1.649792778119602</v>
      </c>
      <c r="L116" s="108">
        <v>1.4088865562084623</v>
      </c>
      <c r="M116" s="108">
        <v>1.6193473898092661</v>
      </c>
      <c r="N116" s="108">
        <v>5.6652993596436669</v>
      </c>
      <c r="O116" s="111">
        <v>7.4109556952272362</v>
      </c>
      <c r="P116" s="110">
        <v>3.4276293674837346</v>
      </c>
      <c r="Q116" s="108">
        <v>0.2319515105632797</v>
      </c>
      <c r="R116" s="108">
        <v>0</v>
      </c>
      <c r="S116" s="108">
        <v>0</v>
      </c>
      <c r="T116" s="111">
        <v>0</v>
      </c>
    </row>
    <row r="117" spans="4:20" ht="12.3" x14ac:dyDescent="0.35">
      <c r="D117" s="82" t="str">
        <f t="shared" si="91"/>
        <v>Communications</v>
      </c>
      <c r="E117" s="97" t="s">
        <v>158</v>
      </c>
      <c r="F117" s="97" t="str">
        <f t="shared" si="92"/>
        <v>$Millions</v>
      </c>
      <c r="G117" s="97" t="str">
        <f t="shared" si="93"/>
        <v>Nominal</v>
      </c>
      <c r="H117" s="45" t="str">
        <f t="shared" si="94"/>
        <v>End year</v>
      </c>
      <c r="J117" s="109">
        <v>1.8804573681168917</v>
      </c>
      <c r="K117" s="110">
        <v>2.1540754464456833</v>
      </c>
      <c r="L117" s="108">
        <v>1.8092414316005134</v>
      </c>
      <c r="M117" s="108">
        <v>2.0887026790870364</v>
      </c>
      <c r="N117" s="108">
        <v>2.0390723178457284</v>
      </c>
      <c r="O117" s="111">
        <v>2.4547306487282499</v>
      </c>
      <c r="P117" s="110">
        <v>5.9265605451162298</v>
      </c>
      <c r="Q117" s="108">
        <v>5.5713746498788543</v>
      </c>
      <c r="R117" s="108">
        <v>6.2401314177913543</v>
      </c>
      <c r="S117" s="108">
        <v>4.2806500428022751</v>
      </c>
      <c r="T117" s="111">
        <v>3.0978550801432649</v>
      </c>
    </row>
    <row r="118" spans="4:20" ht="12.3" x14ac:dyDescent="0.35">
      <c r="D118" s="82" t="str">
        <f t="shared" si="91"/>
        <v>Land and Easements</v>
      </c>
      <c r="E118" s="97" t="s">
        <v>158</v>
      </c>
      <c r="F118" s="97" t="str">
        <f t="shared" si="92"/>
        <v>$Millions</v>
      </c>
      <c r="G118" s="97" t="str">
        <f t="shared" si="93"/>
        <v>Nominal</v>
      </c>
      <c r="H118" s="45" t="str">
        <f t="shared" si="94"/>
        <v>End year</v>
      </c>
      <c r="J118" s="109">
        <v>0</v>
      </c>
      <c r="K118" s="110">
        <v>0</v>
      </c>
      <c r="L118" s="108">
        <v>0</v>
      </c>
      <c r="M118" s="108">
        <v>0</v>
      </c>
      <c r="N118" s="108">
        <v>0</v>
      </c>
      <c r="O118" s="111">
        <v>0</v>
      </c>
      <c r="P118" s="110">
        <v>0</v>
      </c>
      <c r="Q118" s="108">
        <v>0</v>
      </c>
      <c r="R118" s="108">
        <v>0</v>
      </c>
      <c r="S118" s="108">
        <v>0</v>
      </c>
      <c r="T118" s="111">
        <v>0</v>
      </c>
    </row>
    <row r="119" spans="4:20" ht="12.3" x14ac:dyDescent="0.35">
      <c r="D119" s="82" t="str">
        <f t="shared" si="91"/>
        <v>Property</v>
      </c>
      <c r="E119" s="97" t="s">
        <v>158</v>
      </c>
      <c r="F119" s="97" t="str">
        <f t="shared" si="92"/>
        <v>$Millions</v>
      </c>
      <c r="G119" s="97" t="str">
        <f t="shared" si="93"/>
        <v>Nominal</v>
      </c>
      <c r="H119" s="45" t="str">
        <f t="shared" si="94"/>
        <v>End year</v>
      </c>
      <c r="J119" s="109">
        <v>0</v>
      </c>
      <c r="K119" s="110">
        <v>0.51777111467914261</v>
      </c>
      <c r="L119" s="108">
        <v>0.50194953674235743</v>
      </c>
      <c r="M119" s="108">
        <v>0.29023573663338009</v>
      </c>
      <c r="N119" s="108">
        <v>2.6837112919380317</v>
      </c>
      <c r="O119" s="111">
        <v>1.7613620812629758</v>
      </c>
      <c r="P119" s="110">
        <v>1.4766770415494963</v>
      </c>
      <c r="Q119" s="108">
        <v>1.1775990628160971</v>
      </c>
      <c r="R119" s="108">
        <v>4.1906225582869707</v>
      </c>
      <c r="S119" s="108">
        <v>59.227510329484126</v>
      </c>
      <c r="T119" s="111">
        <v>89.741530653709489</v>
      </c>
    </row>
    <row r="120" spans="4:20" ht="12.3" x14ac:dyDescent="0.35">
      <c r="D120" s="82" t="str">
        <f t="shared" si="91"/>
        <v>IT and Communications</v>
      </c>
      <c r="E120" s="97" t="s">
        <v>158</v>
      </c>
      <c r="F120" s="97" t="str">
        <f t="shared" si="92"/>
        <v>$Millions</v>
      </c>
      <c r="G120" s="97" t="str">
        <f t="shared" si="93"/>
        <v>Nominal</v>
      </c>
      <c r="H120" s="45" t="str">
        <f t="shared" si="94"/>
        <v>End year</v>
      </c>
      <c r="J120" s="109">
        <v>4.9242373581575452</v>
      </c>
      <c r="K120" s="110">
        <v>6.5550374351960619</v>
      </c>
      <c r="L120" s="108">
        <v>1.6750434679516222</v>
      </c>
      <c r="M120" s="108">
        <v>5.1556596931924785</v>
      </c>
      <c r="N120" s="108">
        <v>22.543568023287975</v>
      </c>
      <c r="O120" s="111">
        <v>24.818084929528069</v>
      </c>
      <c r="P120" s="110">
        <v>23.736094547650197</v>
      </c>
      <c r="Q120" s="108">
        <v>28.658603336111771</v>
      </c>
      <c r="R120" s="108">
        <v>24.364400738502294</v>
      </c>
      <c r="S120" s="108">
        <v>20.768921862812341</v>
      </c>
      <c r="T120" s="111">
        <v>23.475320154389902</v>
      </c>
    </row>
    <row r="121" spans="4:20" ht="12.3" x14ac:dyDescent="0.35">
      <c r="D121" s="82" t="str">
        <f t="shared" si="91"/>
        <v>Motor Vehicles</v>
      </c>
      <c r="E121" s="97" t="s">
        <v>158</v>
      </c>
      <c r="F121" s="97" t="str">
        <f t="shared" si="92"/>
        <v>$Millions</v>
      </c>
      <c r="G121" s="97" t="str">
        <f t="shared" si="93"/>
        <v>Nominal</v>
      </c>
      <c r="H121" s="45" t="str">
        <f t="shared" si="94"/>
        <v>End year</v>
      </c>
      <c r="J121" s="109">
        <v>0</v>
      </c>
      <c r="K121" s="110">
        <v>6.7902222768083192E-2</v>
      </c>
      <c r="L121" s="108">
        <v>0.50511465497876729</v>
      </c>
      <c r="M121" s="108">
        <v>0.12304792232371618</v>
      </c>
      <c r="N121" s="108">
        <v>0</v>
      </c>
      <c r="O121" s="111">
        <v>0</v>
      </c>
      <c r="P121" s="110">
        <v>0</v>
      </c>
      <c r="Q121" s="108">
        <v>0</v>
      </c>
      <c r="R121" s="108">
        <v>0</v>
      </c>
      <c r="S121" s="108">
        <v>0</v>
      </c>
      <c r="T121" s="111">
        <v>0</v>
      </c>
    </row>
    <row r="122" spans="4:20" ht="12.3" x14ac:dyDescent="0.35">
      <c r="D122" s="82" t="str">
        <f t="shared" si="91"/>
        <v>Plant and Equipment</v>
      </c>
      <c r="E122" s="97" t="s">
        <v>158</v>
      </c>
      <c r="F122" s="97" t="str">
        <f t="shared" si="92"/>
        <v>$Millions</v>
      </c>
      <c r="G122" s="97" t="str">
        <f t="shared" si="93"/>
        <v>Nominal</v>
      </c>
      <c r="H122" s="45" t="str">
        <f t="shared" si="94"/>
        <v>End year</v>
      </c>
      <c r="J122" s="109">
        <v>0.57286807798612494</v>
      </c>
      <c r="K122" s="110">
        <v>0.90202495983774067</v>
      </c>
      <c r="L122" s="108">
        <v>2.2574227449563868</v>
      </c>
      <c r="M122" s="108">
        <v>1.9673678099551608</v>
      </c>
      <c r="N122" s="108">
        <v>1.8313750379602822</v>
      </c>
      <c r="O122" s="111">
        <v>1.5944552087461976</v>
      </c>
      <c r="P122" s="110">
        <v>2.551775146300304</v>
      </c>
      <c r="Q122" s="108">
        <v>3.0170901156191636</v>
      </c>
      <c r="R122" s="108">
        <v>2.5210239506528698</v>
      </c>
      <c r="S122" s="108">
        <v>2.3110997182313975</v>
      </c>
      <c r="T122" s="111">
        <v>2.510813395716069</v>
      </c>
    </row>
    <row r="123" spans="4:20" ht="12.3" x14ac:dyDescent="0.35">
      <c r="D123" s="82" t="str">
        <f t="shared" si="91"/>
        <v>Property Leases</v>
      </c>
      <c r="E123" s="97" t="s">
        <v>158</v>
      </c>
      <c r="F123" s="97" t="str">
        <f t="shared" si="92"/>
        <v>$Millions</v>
      </c>
      <c r="G123" s="97" t="str">
        <f t="shared" si="93"/>
        <v>Nominal</v>
      </c>
      <c r="H123" s="45" t="str">
        <f t="shared" si="94"/>
        <v>End year</v>
      </c>
      <c r="J123" s="109">
        <v>0</v>
      </c>
      <c r="K123" s="110">
        <v>3.3387922007628603</v>
      </c>
      <c r="L123" s="108">
        <v>0.8308273490371203</v>
      </c>
      <c r="M123" s="108">
        <v>10.076464318337056</v>
      </c>
      <c r="N123" s="108">
        <v>0</v>
      </c>
      <c r="O123" s="111">
        <v>5.1606824236105275</v>
      </c>
      <c r="P123" s="110">
        <v>0</v>
      </c>
      <c r="Q123" s="108">
        <v>0</v>
      </c>
      <c r="R123" s="108">
        <v>8.3639746238497246</v>
      </c>
      <c r="S123" s="108">
        <v>0</v>
      </c>
      <c r="T123" s="111">
        <v>1.1605264558641684</v>
      </c>
    </row>
    <row r="124" spans="4:20" ht="12.3" x14ac:dyDescent="0.35">
      <c r="D124" s="82" t="str">
        <f t="shared" si="91"/>
        <v>Fleet Leases</v>
      </c>
      <c r="E124" s="97" t="s">
        <v>158</v>
      </c>
      <c r="F124" s="97" t="str">
        <f t="shared" si="92"/>
        <v>$Millions</v>
      </c>
      <c r="G124" s="97" t="str">
        <f t="shared" si="93"/>
        <v>Nominal</v>
      </c>
      <c r="H124" s="45" t="str">
        <f t="shared" si="94"/>
        <v>End year</v>
      </c>
      <c r="J124" s="109">
        <v>0</v>
      </c>
      <c r="K124" s="110">
        <v>14.579348294461219</v>
      </c>
      <c r="L124" s="108">
        <v>2.4831995735196766</v>
      </c>
      <c r="M124" s="108">
        <v>2.8215684750968215</v>
      </c>
      <c r="N124" s="108">
        <v>3.6254904403992398</v>
      </c>
      <c r="O124" s="111">
        <v>2.2837458912555459</v>
      </c>
      <c r="P124" s="110">
        <v>2.3223542678958244</v>
      </c>
      <c r="Q124" s="108">
        <v>4.9234287912892496</v>
      </c>
      <c r="R124" s="108">
        <v>5.0788963438551029</v>
      </c>
      <c r="S124" s="108">
        <v>4.7386477254706305</v>
      </c>
      <c r="T124" s="111">
        <v>3.8108171408267602</v>
      </c>
    </row>
    <row r="125" spans="4:20" ht="12.3" x14ac:dyDescent="0.35">
      <c r="D125" s="82" t="str">
        <f t="shared" si="91"/>
        <v>Community Batteries</v>
      </c>
      <c r="E125" s="97" t="s">
        <v>158</v>
      </c>
      <c r="F125" s="97" t="str">
        <f t="shared" si="92"/>
        <v>$Millions</v>
      </c>
      <c r="G125" s="97" t="str">
        <f t="shared" si="93"/>
        <v>Nominal</v>
      </c>
      <c r="H125" s="45" t="str">
        <f t="shared" si="94"/>
        <v>End year</v>
      </c>
      <c r="J125" s="294"/>
      <c r="K125" s="295"/>
      <c r="L125" s="292"/>
      <c r="M125" s="292"/>
      <c r="N125" s="292"/>
      <c r="O125" s="293"/>
      <c r="P125" s="110">
        <v>0</v>
      </c>
      <c r="Q125" s="108">
        <v>0</v>
      </c>
      <c r="R125" s="108">
        <v>0</v>
      </c>
      <c r="S125" s="108">
        <v>0</v>
      </c>
      <c r="T125" s="111">
        <v>0</v>
      </c>
    </row>
    <row r="126" spans="4:20" ht="12.3" x14ac:dyDescent="0.35">
      <c r="D126" s="82" t="str">
        <f t="shared" si="91"/>
        <v>Buildings</v>
      </c>
      <c r="E126" s="97" t="s">
        <v>158</v>
      </c>
      <c r="F126" s="97" t="str">
        <f t="shared" si="92"/>
        <v>$Millions</v>
      </c>
      <c r="G126" s="97" t="str">
        <f t="shared" si="93"/>
        <v>Nominal</v>
      </c>
      <c r="H126" s="45" t="str">
        <f t="shared" si="94"/>
        <v>End year</v>
      </c>
      <c r="J126" s="109">
        <v>0</v>
      </c>
      <c r="K126" s="110">
        <v>0.1639301154679205</v>
      </c>
      <c r="L126" s="108">
        <v>0.70291329121742696</v>
      </c>
      <c r="M126" s="108">
        <v>2.2740860860935377</v>
      </c>
      <c r="N126" s="108">
        <v>0</v>
      </c>
      <c r="O126" s="111">
        <v>0</v>
      </c>
      <c r="P126" s="110">
        <v>0</v>
      </c>
      <c r="Q126" s="108">
        <v>0</v>
      </c>
      <c r="R126" s="108">
        <v>0</v>
      </c>
      <c r="S126" s="108">
        <v>0</v>
      </c>
      <c r="T126" s="111">
        <v>0</v>
      </c>
    </row>
    <row r="127" spans="4:20" ht="12.3" x14ac:dyDescent="0.35">
      <c r="D127" s="82" t="str">
        <f t="shared" si="91"/>
        <v>in-house software</v>
      </c>
      <c r="E127" s="97" t="s">
        <v>158</v>
      </c>
      <c r="F127" s="97" t="str">
        <f t="shared" si="92"/>
        <v>$Millions</v>
      </c>
      <c r="G127" s="97" t="str">
        <f t="shared" si="93"/>
        <v>Nominal</v>
      </c>
      <c r="H127" s="45" t="str">
        <f t="shared" si="94"/>
        <v>End year</v>
      </c>
      <c r="J127" s="109">
        <v>0</v>
      </c>
      <c r="K127" s="110">
        <v>0</v>
      </c>
      <c r="L127" s="108">
        <v>0</v>
      </c>
      <c r="M127" s="108">
        <v>0</v>
      </c>
      <c r="N127" s="108">
        <v>0</v>
      </c>
      <c r="O127" s="111">
        <v>0</v>
      </c>
      <c r="P127" s="110">
        <v>0</v>
      </c>
      <c r="Q127" s="108">
        <v>0</v>
      </c>
      <c r="R127" s="108">
        <v>0</v>
      </c>
      <c r="S127" s="108">
        <v>0</v>
      </c>
      <c r="T127" s="111">
        <v>0</v>
      </c>
    </row>
    <row r="128" spans="4:20" ht="12.3" x14ac:dyDescent="0.35">
      <c r="D128" s="82" t="str">
        <f t="shared" ref="D128" si="95">D37</f>
        <v>Equity Raising Costs</v>
      </c>
      <c r="E128" s="97" t="s">
        <v>158</v>
      </c>
      <c r="F128" s="97" t="str">
        <f t="shared" si="92"/>
        <v>$Millions</v>
      </c>
      <c r="G128" s="97" t="str">
        <f t="shared" si="93"/>
        <v>Nominal</v>
      </c>
      <c r="H128" s="45" t="str">
        <f t="shared" si="94"/>
        <v>End year</v>
      </c>
      <c r="J128" s="109">
        <v>0</v>
      </c>
      <c r="K128" s="110">
        <v>0</v>
      </c>
      <c r="L128" s="108">
        <v>0</v>
      </c>
      <c r="M128" s="108">
        <v>0</v>
      </c>
      <c r="N128" s="108">
        <v>0</v>
      </c>
      <c r="O128" s="111">
        <v>0</v>
      </c>
      <c r="P128" s="110">
        <v>0</v>
      </c>
      <c r="Q128" s="108">
        <v>0</v>
      </c>
      <c r="R128" s="108">
        <v>0</v>
      </c>
      <c r="S128" s="108">
        <v>0</v>
      </c>
      <c r="T128" s="111">
        <v>0</v>
      </c>
    </row>
    <row r="129" spans="1:20" x14ac:dyDescent="0.35">
      <c r="J129" s="95"/>
      <c r="K129" s="94"/>
      <c r="O129" s="96"/>
      <c r="P129" s="94"/>
      <c r="T129" s="96"/>
    </row>
    <row r="130" spans="1:20" ht="12.3" x14ac:dyDescent="0.35">
      <c r="D130" s="102" t="str">
        <f>"Total "&amp;D107</f>
        <v>Total RAB asset class</v>
      </c>
      <c r="E130" s="103" t="s">
        <v>91</v>
      </c>
      <c r="F130" s="103" t="str">
        <f>F109</f>
        <v>$Millions</v>
      </c>
      <c r="G130" s="103" t="str">
        <f>G109</f>
        <v>Nominal</v>
      </c>
      <c r="H130" s="40" t="str">
        <f>H109</f>
        <v>End year</v>
      </c>
      <c r="J130" s="106">
        <f t="shared" ref="J130:T130" si="96">SUM(J109:J128)</f>
        <v>43.677827159535404</v>
      </c>
      <c r="K130" s="104">
        <f t="shared" si="96"/>
        <v>63.830604287477726</v>
      </c>
      <c r="L130" s="105">
        <f t="shared" si="96"/>
        <v>43.515474827480332</v>
      </c>
      <c r="M130" s="105">
        <f t="shared" si="96"/>
        <v>69.515101948610777</v>
      </c>
      <c r="N130" s="105">
        <f t="shared" si="96"/>
        <v>91.3798115622279</v>
      </c>
      <c r="O130" s="107">
        <f t="shared" si="96"/>
        <v>108.57109773242796</v>
      </c>
      <c r="P130" s="104">
        <f t="shared" si="96"/>
        <v>106.72977272835254</v>
      </c>
      <c r="Q130" s="105">
        <f t="shared" si="96"/>
        <v>111.77721440477913</v>
      </c>
      <c r="R130" s="105">
        <f t="shared" si="96"/>
        <v>102.36465022489936</v>
      </c>
      <c r="S130" s="105">
        <f t="shared" si="96"/>
        <v>139.18455181829475</v>
      </c>
      <c r="T130" s="107">
        <f t="shared" si="96"/>
        <v>173.36542404194191</v>
      </c>
    </row>
    <row r="131" spans="1:20" ht="11.25" customHeight="1" x14ac:dyDescent="0.35"/>
    <row r="132" spans="1:20" ht="11.25" customHeight="1" x14ac:dyDescent="0.35">
      <c r="A132" s="76">
        <f>IF(SUM($J132:$T132)&lt;&gt;0,1,0)</f>
        <v>0</v>
      </c>
      <c r="D132" s="82" t="s">
        <v>155</v>
      </c>
      <c r="J132" s="76">
        <f t="shared" ref="J132:K132" si="97">IF(ISERROR(J130),1,0)</f>
        <v>0</v>
      </c>
      <c r="K132" s="76">
        <f t="shared" si="97"/>
        <v>0</v>
      </c>
      <c r="L132" s="76">
        <f>IF(ISERROR(L130),1,0)</f>
        <v>0</v>
      </c>
      <c r="M132" s="76">
        <f t="shared" ref="M132:P132" si="98">IF(ISERROR(M130),1,0)</f>
        <v>0</v>
      </c>
      <c r="N132" s="76">
        <f t="shared" si="98"/>
        <v>0</v>
      </c>
      <c r="O132" s="76">
        <f t="shared" si="98"/>
        <v>0</v>
      </c>
      <c r="P132" s="76">
        <f t="shared" si="98"/>
        <v>0</v>
      </c>
      <c r="Q132" s="76">
        <f>IF(ISERROR(Q130),1,0)</f>
        <v>0</v>
      </c>
      <c r="R132" s="76">
        <f t="shared" ref="R132:T132" si="99">IF(ISERROR(R130),1,0)</f>
        <v>0</v>
      </c>
      <c r="S132" s="76">
        <f t="shared" si="99"/>
        <v>0</v>
      </c>
      <c r="T132" s="76">
        <f t="shared" si="99"/>
        <v>0</v>
      </c>
    </row>
    <row r="133" spans="1:20" ht="11.25" customHeight="1" x14ac:dyDescent="0.35">
      <c r="A133" s="76"/>
      <c r="D133" s="82" t="s">
        <v>50</v>
      </c>
      <c r="J133" s="109">
        <v>43.677827159535404</v>
      </c>
      <c r="K133" s="110">
        <v>63.830604287477726</v>
      </c>
      <c r="L133" s="108">
        <v>43.515474827480318</v>
      </c>
      <c r="M133" s="108">
        <v>69.51510194861082</v>
      </c>
      <c r="N133" s="108">
        <v>91.379811562227871</v>
      </c>
      <c r="O133" s="111">
        <v>108.57109773242799</v>
      </c>
      <c r="P133" s="110">
        <v>106.72977272835254</v>
      </c>
      <c r="Q133" s="108">
        <v>111.77721440477913</v>
      </c>
      <c r="R133" s="108">
        <v>102.36465022489936</v>
      </c>
      <c r="S133" s="108">
        <v>139.18455181829478</v>
      </c>
      <c r="T133" s="111">
        <v>173.36542404194191</v>
      </c>
    </row>
    <row r="134" spans="1:20" ht="11.25" customHeight="1" x14ac:dyDescent="0.35">
      <c r="A134" s="76">
        <f>IF(SUM($J134:$T134)&lt;&gt;0,1,0)</f>
        <v>0</v>
      </c>
      <c r="D134" s="82" t="s">
        <v>156</v>
      </c>
      <c r="J134" s="112">
        <f t="shared" ref="J134" si="100">IF(ROUND(J133-J130,3)=0,0,1)</f>
        <v>0</v>
      </c>
      <c r="K134" s="113">
        <f>IF(ROUND(K133-K130,3)=0,0,1)</f>
        <v>0</v>
      </c>
      <c r="L134" s="76">
        <f t="shared" ref="L134:O134" si="101">IF(ROUND(L133-L130,3)=0,0,1)</f>
        <v>0</v>
      </c>
      <c r="M134" s="76">
        <f t="shared" si="101"/>
        <v>0</v>
      </c>
      <c r="N134" s="76">
        <f t="shared" si="101"/>
        <v>0</v>
      </c>
      <c r="O134" s="114">
        <f t="shared" si="101"/>
        <v>0</v>
      </c>
      <c r="P134" s="113">
        <f>IF(ROUND(P133-P130,2)=0,0,1)</f>
        <v>0</v>
      </c>
      <c r="Q134" s="76">
        <f t="shared" ref="Q134:T134" si="102">IF(ROUND(Q133-Q130,2)=0,0,1)</f>
        <v>0</v>
      </c>
      <c r="R134" s="76">
        <f t="shared" si="102"/>
        <v>0</v>
      </c>
      <c r="S134" s="76">
        <f t="shared" si="102"/>
        <v>0</v>
      </c>
      <c r="T134" s="114">
        <f t="shared" si="102"/>
        <v>0</v>
      </c>
    </row>
    <row r="136" spans="1:20" s="89" customFormat="1" ht="14.1" x14ac:dyDescent="0.35">
      <c r="C136" s="89" t="s">
        <v>211</v>
      </c>
      <c r="H136" s="8"/>
    </row>
    <row r="137" spans="1:20" ht="11.25" customHeight="1" x14ac:dyDescent="0.35"/>
    <row r="138" spans="1:20" ht="12.3" x14ac:dyDescent="0.35">
      <c r="D138" s="90" t="str">
        <f>D$16</f>
        <v>RAB asset class</v>
      </c>
      <c r="E138" s="91" t="str">
        <f>Lookup!E$20</f>
        <v>Source</v>
      </c>
      <c r="F138" s="91" t="str">
        <f>Lookup!F$20</f>
        <v>Unit</v>
      </c>
      <c r="G138" s="91" t="str">
        <f>Lookup!G$20</f>
        <v>Basis</v>
      </c>
      <c r="H138" s="38" t="str">
        <f>Lookup!H$20</f>
        <v>Timing</v>
      </c>
      <c r="J138" s="274" t="str">
        <f t="shared" ref="J138:T138" si="103">J$10</f>
        <v>RY19</v>
      </c>
      <c r="K138" s="267" t="str">
        <f t="shared" si="103"/>
        <v>RY20</v>
      </c>
      <c r="L138" s="268" t="str">
        <f>L$10</f>
        <v>RY21</v>
      </c>
      <c r="M138" s="268" t="str">
        <f t="shared" si="103"/>
        <v>RY22</v>
      </c>
      <c r="N138" s="268" t="str">
        <f t="shared" si="103"/>
        <v>RY23</v>
      </c>
      <c r="O138" s="269" t="str">
        <f t="shared" si="103"/>
        <v>RY24</v>
      </c>
      <c r="P138" s="267" t="str">
        <f t="shared" si="103"/>
        <v>RY25</v>
      </c>
      <c r="Q138" s="268" t="str">
        <f>Q$10</f>
        <v>RY26</v>
      </c>
      <c r="R138" s="268" t="str">
        <f t="shared" si="103"/>
        <v>RY27</v>
      </c>
      <c r="S138" s="268" t="str">
        <f t="shared" si="103"/>
        <v>RY28</v>
      </c>
      <c r="T138" s="269" t="str">
        <f t="shared" si="103"/>
        <v>RY29</v>
      </c>
    </row>
    <row r="139" spans="1:20" x14ac:dyDescent="0.35">
      <c r="J139" s="95"/>
      <c r="K139" s="94"/>
      <c r="O139" s="96"/>
      <c r="P139" s="94"/>
      <c r="T139" s="96"/>
    </row>
    <row r="140" spans="1:20" ht="12.3" x14ac:dyDescent="0.35">
      <c r="D140" s="82" t="str">
        <f t="shared" ref="D140:D158" si="104">D18</f>
        <v>Substations</v>
      </c>
      <c r="E140" s="97" t="s">
        <v>158</v>
      </c>
      <c r="F140" s="97" t="str">
        <f t="shared" ref="F140:F159" si="105">Millions</f>
        <v>$Millions</v>
      </c>
      <c r="G140" s="97" t="str">
        <f t="shared" ref="G140:G159" si="106">Nominal</f>
        <v>Nominal</v>
      </c>
      <c r="H140" s="45" t="str">
        <f t="shared" ref="H140:H159" si="107">End_year</f>
        <v>End year</v>
      </c>
      <c r="J140" s="109">
        <v>-2.9543411839054325E-2</v>
      </c>
      <c r="K140" s="110">
        <v>-1.5862025241209592E-2</v>
      </c>
      <c r="L140" s="108">
        <v>-2.9126290932327339E-2</v>
      </c>
      <c r="M140" s="108">
        <v>-4.7129858513230871E-2</v>
      </c>
      <c r="N140" s="108">
        <v>-4.2499138516089968E-2</v>
      </c>
      <c r="O140" s="111">
        <v>-4.391974784638733E-2</v>
      </c>
      <c r="P140" s="110">
        <v>-4.3725565147307195E-2</v>
      </c>
      <c r="Q140" s="108">
        <v>-4.3759164163666577E-2</v>
      </c>
      <c r="R140" s="108">
        <v>-4.379273740192588E-2</v>
      </c>
      <c r="S140" s="108">
        <v>-4.3826284921327223E-2</v>
      </c>
      <c r="T140" s="111">
        <v>-4.3859806780886183E-2</v>
      </c>
    </row>
    <row r="141" spans="1:20" ht="12.3" x14ac:dyDescent="0.35">
      <c r="D141" s="82" t="str">
        <f t="shared" si="104"/>
        <v>Distribution Lines</v>
      </c>
      <c r="E141" s="97" t="s">
        <v>158</v>
      </c>
      <c r="F141" s="97" t="str">
        <f t="shared" si="105"/>
        <v>$Millions</v>
      </c>
      <c r="G141" s="97" t="str">
        <f t="shared" si="106"/>
        <v>Nominal</v>
      </c>
      <c r="H141" s="45" t="str">
        <f t="shared" si="107"/>
        <v>End year</v>
      </c>
      <c r="J141" s="109">
        <v>-5.9386442682280209E-2</v>
      </c>
      <c r="K141" s="110">
        <v>-3.6146249771139387E-2</v>
      </c>
      <c r="L141" s="108">
        <v>-9.4283731884622635E-2</v>
      </c>
      <c r="M141" s="108">
        <v>-9.4259717026461742E-2</v>
      </c>
      <c r="N141" s="108">
        <v>-9.366899828497656E-2</v>
      </c>
      <c r="O141" s="111">
        <v>-9.6800051232623197E-2</v>
      </c>
      <c r="P141" s="110">
        <v>-9.6372068465390801E-2</v>
      </c>
      <c r="Q141" s="108">
        <v>-9.6446121406594587E-2</v>
      </c>
      <c r="R141" s="108">
        <v>-9.6520117532321731E-2</v>
      </c>
      <c r="S141" s="108">
        <v>-9.6594056973143091E-2</v>
      </c>
      <c r="T141" s="111">
        <v>-9.6667939859130275E-2</v>
      </c>
    </row>
    <row r="142" spans="1:20" ht="12.3" x14ac:dyDescent="0.35">
      <c r="D142" s="82" t="str">
        <f t="shared" si="104"/>
        <v>Transmission Lines</v>
      </c>
      <c r="E142" s="97" t="s">
        <v>158</v>
      </c>
      <c r="F142" s="97" t="str">
        <f t="shared" si="105"/>
        <v>$Millions</v>
      </c>
      <c r="G142" s="97" t="str">
        <f t="shared" si="106"/>
        <v>Nominal</v>
      </c>
      <c r="H142" s="45" t="str">
        <f t="shared" si="107"/>
        <v>End year</v>
      </c>
      <c r="J142" s="109">
        <v>0</v>
      </c>
      <c r="K142" s="110">
        <v>-5.2873451509715405E-3</v>
      </c>
      <c r="L142" s="108">
        <v>-9.7087602577059645E-3</v>
      </c>
      <c r="M142" s="108">
        <v>-1.5709956266510044E-2</v>
      </c>
      <c r="N142" s="108">
        <v>-1.2010416281185366E-2</v>
      </c>
      <c r="O142" s="111">
        <v>-1.2411885817405439E-2</v>
      </c>
      <c r="P142" s="110">
        <v>-1.2357009056793608E-2</v>
      </c>
      <c r="Q142" s="108">
        <v>-1.236650426510146E-2</v>
      </c>
      <c r="R142" s="108">
        <v>-1.237599218842134E-2</v>
      </c>
      <c r="S142" s="108">
        <v>-1.2385472843495294E-2</v>
      </c>
      <c r="T142" s="111">
        <v>-1.2394946247001347E-2</v>
      </c>
    </row>
    <row r="143" spans="1:20" ht="12.3" x14ac:dyDescent="0.35">
      <c r="D143" s="82" t="str">
        <f t="shared" si="104"/>
        <v>LV Services</v>
      </c>
      <c r="E143" s="97" t="s">
        <v>158</v>
      </c>
      <c r="F143" s="97" t="str">
        <f t="shared" si="105"/>
        <v>$Millions</v>
      </c>
      <c r="G143" s="97" t="str">
        <f t="shared" si="106"/>
        <v>Nominal</v>
      </c>
      <c r="H143" s="45" t="str">
        <f t="shared" si="107"/>
        <v>End year</v>
      </c>
      <c r="J143" s="109">
        <v>0</v>
      </c>
      <c r="K143" s="110">
        <v>0</v>
      </c>
      <c r="L143" s="108">
        <v>0</v>
      </c>
      <c r="M143" s="108">
        <v>0</v>
      </c>
      <c r="N143" s="108">
        <v>0</v>
      </c>
      <c r="O143" s="111">
        <v>0</v>
      </c>
      <c r="P143" s="110">
        <v>0</v>
      </c>
      <c r="Q143" s="108">
        <v>0</v>
      </c>
      <c r="R143" s="108">
        <v>0</v>
      </c>
      <c r="S143" s="108">
        <v>0</v>
      </c>
      <c r="T143" s="111">
        <v>0</v>
      </c>
    </row>
    <row r="144" spans="1:20" ht="12.3" x14ac:dyDescent="0.35">
      <c r="D144" s="82" t="str">
        <f t="shared" si="104"/>
        <v>Distribution Substations</v>
      </c>
      <c r="E144" s="97" t="s">
        <v>158</v>
      </c>
      <c r="F144" s="97" t="str">
        <f t="shared" si="105"/>
        <v>$Millions</v>
      </c>
      <c r="G144" s="97" t="str">
        <f t="shared" si="106"/>
        <v>Nominal</v>
      </c>
      <c r="H144" s="45" t="str">
        <f t="shared" si="107"/>
        <v>End year</v>
      </c>
      <c r="J144" s="109">
        <v>-2.7031293944392472E-2</v>
      </c>
      <c r="K144" s="110">
        <v>-3.7461823730769693E-2</v>
      </c>
      <c r="L144" s="108">
        <v>-6.0447296199541986E-3</v>
      </c>
      <c r="M144" s="108">
        <v>0</v>
      </c>
      <c r="N144" s="108">
        <v>-1.6413072289890078E-2</v>
      </c>
      <c r="O144" s="111">
        <v>-1.6961708437538938E-2</v>
      </c>
      <c r="P144" s="110">
        <v>-1.688671551324139E-2</v>
      </c>
      <c r="Q144" s="108">
        <v>-1.6899691378250203E-2</v>
      </c>
      <c r="R144" s="108">
        <v>-1.6912657287814395E-2</v>
      </c>
      <c r="S144" s="108">
        <v>-1.6925613264813136E-2</v>
      </c>
      <c r="T144" s="111">
        <v>-1.6938559332038108E-2</v>
      </c>
    </row>
    <row r="145" spans="4:20" ht="12.3" x14ac:dyDescent="0.35">
      <c r="D145" s="82" t="str">
        <f t="shared" si="104"/>
        <v>Distribution Switchgear</v>
      </c>
      <c r="E145" s="97" t="s">
        <v>158</v>
      </c>
      <c r="F145" s="97" t="str">
        <f t="shared" si="105"/>
        <v>$Millions</v>
      </c>
      <c r="G145" s="97" t="str">
        <f t="shared" si="106"/>
        <v>Nominal</v>
      </c>
      <c r="H145" s="45" t="str">
        <f t="shared" si="107"/>
        <v>End year</v>
      </c>
      <c r="J145" s="109">
        <v>-4.0497879620041023E-3</v>
      </c>
      <c r="K145" s="110">
        <v>0</v>
      </c>
      <c r="L145" s="108">
        <v>0</v>
      </c>
      <c r="M145" s="108">
        <v>0</v>
      </c>
      <c r="N145" s="108">
        <v>-9.4091568326115378E-4</v>
      </c>
      <c r="O145" s="111">
        <v>-9.7236746429332365E-4</v>
      </c>
      <c r="P145" s="110">
        <v>-9.6806832898465591E-4</v>
      </c>
      <c r="Q145" s="108">
        <v>-9.6881219915564119E-4</v>
      </c>
      <c r="R145" s="108">
        <v>-9.6955549860873675E-4</v>
      </c>
      <c r="S145" s="108">
        <v>-9.7029822865554174E-4</v>
      </c>
      <c r="T145" s="111">
        <v>-9.7104039060264013E-4</v>
      </c>
    </row>
    <row r="146" spans="4:20" ht="12.3" x14ac:dyDescent="0.35">
      <c r="D146" s="82" t="str">
        <f t="shared" si="104"/>
        <v>Protection</v>
      </c>
      <c r="E146" s="97" t="s">
        <v>158</v>
      </c>
      <c r="F146" s="97" t="str">
        <f t="shared" si="105"/>
        <v>$Millions</v>
      </c>
      <c r="G146" s="97" t="str">
        <f t="shared" si="106"/>
        <v>Nominal</v>
      </c>
      <c r="H146" s="45" t="str">
        <f t="shared" si="107"/>
        <v>End year</v>
      </c>
      <c r="J146" s="109">
        <v>0</v>
      </c>
      <c r="K146" s="110">
        <v>0</v>
      </c>
      <c r="L146" s="108">
        <v>0</v>
      </c>
      <c r="M146" s="108">
        <v>0</v>
      </c>
      <c r="N146" s="108">
        <v>0</v>
      </c>
      <c r="O146" s="111">
        <v>0</v>
      </c>
      <c r="P146" s="110">
        <v>0</v>
      </c>
      <c r="Q146" s="108">
        <v>0</v>
      </c>
      <c r="R146" s="108">
        <v>0</v>
      </c>
      <c r="S146" s="108">
        <v>0</v>
      </c>
      <c r="T146" s="111">
        <v>0</v>
      </c>
    </row>
    <row r="147" spans="4:20" ht="12.3" x14ac:dyDescent="0.35">
      <c r="D147" s="82" t="str">
        <f t="shared" si="104"/>
        <v>SCADA</v>
      </c>
      <c r="E147" s="97" t="s">
        <v>158</v>
      </c>
      <c r="F147" s="97" t="str">
        <f t="shared" si="105"/>
        <v>$Millions</v>
      </c>
      <c r="G147" s="97" t="str">
        <f t="shared" si="106"/>
        <v>Nominal</v>
      </c>
      <c r="H147" s="45" t="str">
        <f t="shared" si="107"/>
        <v>End year</v>
      </c>
      <c r="J147" s="109">
        <v>0</v>
      </c>
      <c r="K147" s="110">
        <v>0</v>
      </c>
      <c r="L147" s="108">
        <v>0</v>
      </c>
      <c r="M147" s="108">
        <v>0</v>
      </c>
      <c r="N147" s="108">
        <v>0</v>
      </c>
      <c r="O147" s="111">
        <v>0</v>
      </c>
      <c r="P147" s="110">
        <v>0</v>
      </c>
      <c r="Q147" s="108">
        <v>0</v>
      </c>
      <c r="R147" s="108">
        <v>0</v>
      </c>
      <c r="S147" s="108">
        <v>0</v>
      </c>
      <c r="T147" s="111">
        <v>0</v>
      </c>
    </row>
    <row r="148" spans="4:20" ht="12.3" x14ac:dyDescent="0.35">
      <c r="D148" s="82" t="str">
        <f t="shared" si="104"/>
        <v>Communications</v>
      </c>
      <c r="E148" s="97" t="s">
        <v>158</v>
      </c>
      <c r="F148" s="97" t="str">
        <f t="shared" si="105"/>
        <v>$Millions</v>
      </c>
      <c r="G148" s="97" t="str">
        <f t="shared" si="106"/>
        <v>Nominal</v>
      </c>
      <c r="H148" s="45" t="str">
        <f t="shared" si="107"/>
        <v>End year</v>
      </c>
      <c r="J148" s="109">
        <v>0</v>
      </c>
      <c r="K148" s="110">
        <v>0</v>
      </c>
      <c r="L148" s="108">
        <v>0</v>
      </c>
      <c r="M148" s="108">
        <v>0</v>
      </c>
      <c r="N148" s="108">
        <v>0</v>
      </c>
      <c r="O148" s="111">
        <v>0</v>
      </c>
      <c r="P148" s="110">
        <v>0</v>
      </c>
      <c r="Q148" s="108">
        <v>0</v>
      </c>
      <c r="R148" s="108">
        <v>0</v>
      </c>
      <c r="S148" s="108">
        <v>0</v>
      </c>
      <c r="T148" s="111">
        <v>0</v>
      </c>
    </row>
    <row r="149" spans="4:20" ht="12.3" x14ac:dyDescent="0.35">
      <c r="D149" s="82" t="str">
        <f t="shared" si="104"/>
        <v>Land and Easements</v>
      </c>
      <c r="E149" s="97" t="s">
        <v>158</v>
      </c>
      <c r="F149" s="97" t="str">
        <f t="shared" si="105"/>
        <v>$Millions</v>
      </c>
      <c r="G149" s="97" t="str">
        <f t="shared" si="106"/>
        <v>Nominal</v>
      </c>
      <c r="H149" s="45" t="str">
        <f t="shared" si="107"/>
        <v>End year</v>
      </c>
      <c r="J149" s="109">
        <v>0</v>
      </c>
      <c r="K149" s="110">
        <v>0</v>
      </c>
      <c r="L149" s="108">
        <v>0</v>
      </c>
      <c r="M149" s="108">
        <v>0</v>
      </c>
      <c r="N149" s="108">
        <v>0</v>
      </c>
      <c r="O149" s="111">
        <v>0</v>
      </c>
      <c r="P149" s="110">
        <v>0</v>
      </c>
      <c r="Q149" s="108">
        <v>0</v>
      </c>
      <c r="R149" s="108">
        <v>0</v>
      </c>
      <c r="S149" s="108">
        <v>0</v>
      </c>
      <c r="T149" s="111">
        <v>0</v>
      </c>
    </row>
    <row r="150" spans="4:20" ht="12.3" x14ac:dyDescent="0.35">
      <c r="D150" s="82" t="str">
        <f t="shared" si="104"/>
        <v>Property</v>
      </c>
      <c r="E150" s="97" t="s">
        <v>158</v>
      </c>
      <c r="F150" s="97" t="str">
        <f t="shared" si="105"/>
        <v>$Millions</v>
      </c>
      <c r="G150" s="97" t="str">
        <f t="shared" si="106"/>
        <v>Nominal</v>
      </c>
      <c r="H150" s="45" t="str">
        <f t="shared" si="107"/>
        <v>End year</v>
      </c>
      <c r="J150" s="109">
        <v>0</v>
      </c>
      <c r="K150" s="110">
        <v>0</v>
      </c>
      <c r="L150" s="108">
        <v>0</v>
      </c>
      <c r="M150" s="108">
        <v>0</v>
      </c>
      <c r="N150" s="108">
        <v>0</v>
      </c>
      <c r="O150" s="111">
        <v>0</v>
      </c>
      <c r="P150" s="110">
        <v>0</v>
      </c>
      <c r="Q150" s="108">
        <v>0</v>
      </c>
      <c r="R150" s="108">
        <v>0</v>
      </c>
      <c r="S150" s="108">
        <v>0</v>
      </c>
      <c r="T150" s="111">
        <v>0</v>
      </c>
    </row>
    <row r="151" spans="4:20" ht="12.3" x14ac:dyDescent="0.35">
      <c r="D151" s="82" t="str">
        <f t="shared" si="104"/>
        <v>IT and Communications</v>
      </c>
      <c r="E151" s="97" t="s">
        <v>158</v>
      </c>
      <c r="F151" s="97" t="str">
        <f t="shared" si="105"/>
        <v>$Millions</v>
      </c>
      <c r="G151" s="97" t="str">
        <f t="shared" si="106"/>
        <v>Nominal</v>
      </c>
      <c r="H151" s="45" t="str">
        <f t="shared" si="107"/>
        <v>End year</v>
      </c>
      <c r="J151" s="109">
        <v>0</v>
      </c>
      <c r="K151" s="110">
        <v>0</v>
      </c>
      <c r="L151" s="108">
        <v>0</v>
      </c>
      <c r="M151" s="108">
        <v>0</v>
      </c>
      <c r="N151" s="108">
        <v>0</v>
      </c>
      <c r="O151" s="111">
        <v>0</v>
      </c>
      <c r="P151" s="110">
        <v>0</v>
      </c>
      <c r="Q151" s="108">
        <v>0</v>
      </c>
      <c r="R151" s="108">
        <v>0</v>
      </c>
      <c r="S151" s="108">
        <v>0</v>
      </c>
      <c r="T151" s="111">
        <v>0</v>
      </c>
    </row>
    <row r="152" spans="4:20" ht="12.3" x14ac:dyDescent="0.35">
      <c r="D152" s="82" t="str">
        <f t="shared" si="104"/>
        <v>Motor Vehicles</v>
      </c>
      <c r="E152" s="97" t="s">
        <v>158</v>
      </c>
      <c r="F152" s="97" t="str">
        <f t="shared" si="105"/>
        <v>$Millions</v>
      </c>
      <c r="G152" s="97" t="str">
        <f t="shared" si="106"/>
        <v>Nominal</v>
      </c>
      <c r="H152" s="45" t="str">
        <f t="shared" si="107"/>
        <v>End year</v>
      </c>
      <c r="J152" s="109">
        <v>0</v>
      </c>
      <c r="K152" s="110">
        <v>0</v>
      </c>
      <c r="L152" s="108">
        <v>0</v>
      </c>
      <c r="M152" s="108">
        <v>0</v>
      </c>
      <c r="N152" s="108">
        <v>0</v>
      </c>
      <c r="O152" s="111">
        <v>0</v>
      </c>
      <c r="P152" s="110">
        <v>0</v>
      </c>
      <c r="Q152" s="108">
        <v>0</v>
      </c>
      <c r="R152" s="108">
        <v>0</v>
      </c>
      <c r="S152" s="108">
        <v>0</v>
      </c>
      <c r="T152" s="111">
        <v>0</v>
      </c>
    </row>
    <row r="153" spans="4:20" ht="12.3" x14ac:dyDescent="0.35">
      <c r="D153" s="82" t="str">
        <f t="shared" si="104"/>
        <v>Plant and Equipment</v>
      </c>
      <c r="E153" s="97" t="s">
        <v>158</v>
      </c>
      <c r="F153" s="97" t="str">
        <f t="shared" si="105"/>
        <v>$Millions</v>
      </c>
      <c r="G153" s="97" t="str">
        <f t="shared" si="106"/>
        <v>Nominal</v>
      </c>
      <c r="H153" s="45" t="str">
        <f t="shared" si="107"/>
        <v>End year</v>
      </c>
      <c r="J153" s="109">
        <v>0</v>
      </c>
      <c r="K153" s="110">
        <v>0</v>
      </c>
      <c r="L153" s="108">
        <v>0</v>
      </c>
      <c r="M153" s="108">
        <v>0</v>
      </c>
      <c r="N153" s="108">
        <v>0</v>
      </c>
      <c r="O153" s="111">
        <v>0</v>
      </c>
      <c r="P153" s="110">
        <v>0</v>
      </c>
      <c r="Q153" s="108">
        <v>0</v>
      </c>
      <c r="R153" s="108">
        <v>0</v>
      </c>
      <c r="S153" s="108">
        <v>0</v>
      </c>
      <c r="T153" s="111">
        <v>0</v>
      </c>
    </row>
    <row r="154" spans="4:20" ht="12.3" x14ac:dyDescent="0.35">
      <c r="D154" s="82" t="str">
        <f t="shared" si="104"/>
        <v>Property Leases</v>
      </c>
      <c r="E154" s="97" t="s">
        <v>158</v>
      </c>
      <c r="F154" s="97" t="str">
        <f t="shared" si="105"/>
        <v>$Millions</v>
      </c>
      <c r="G154" s="97" t="str">
        <f t="shared" si="106"/>
        <v>Nominal</v>
      </c>
      <c r="H154" s="45" t="str">
        <f t="shared" si="107"/>
        <v>End year</v>
      </c>
      <c r="J154" s="109">
        <v>0</v>
      </c>
      <c r="K154" s="110">
        <v>0</v>
      </c>
      <c r="L154" s="108">
        <v>0</v>
      </c>
      <c r="M154" s="108">
        <v>0</v>
      </c>
      <c r="N154" s="108">
        <v>0</v>
      </c>
      <c r="O154" s="111">
        <v>0</v>
      </c>
      <c r="P154" s="110">
        <v>0</v>
      </c>
      <c r="Q154" s="108">
        <v>0</v>
      </c>
      <c r="R154" s="108">
        <v>0</v>
      </c>
      <c r="S154" s="108">
        <v>0</v>
      </c>
      <c r="T154" s="111">
        <v>0</v>
      </c>
    </row>
    <row r="155" spans="4:20" ht="12.3" x14ac:dyDescent="0.35">
      <c r="D155" s="82" t="str">
        <f t="shared" si="104"/>
        <v>Fleet Leases</v>
      </c>
      <c r="E155" s="97" t="s">
        <v>158</v>
      </c>
      <c r="F155" s="97" t="str">
        <f t="shared" si="105"/>
        <v>$Millions</v>
      </c>
      <c r="G155" s="97" t="str">
        <f t="shared" si="106"/>
        <v>Nominal</v>
      </c>
      <c r="H155" s="45" t="str">
        <f t="shared" si="107"/>
        <v>End year</v>
      </c>
      <c r="J155" s="109">
        <v>0</v>
      </c>
      <c r="K155" s="110">
        <v>0</v>
      </c>
      <c r="L155" s="108">
        <v>0</v>
      </c>
      <c r="M155" s="108">
        <v>0</v>
      </c>
      <c r="N155" s="108">
        <v>0</v>
      </c>
      <c r="O155" s="111">
        <v>0</v>
      </c>
      <c r="P155" s="110">
        <v>0</v>
      </c>
      <c r="Q155" s="108">
        <v>0</v>
      </c>
      <c r="R155" s="108">
        <v>0</v>
      </c>
      <c r="S155" s="108">
        <v>0</v>
      </c>
      <c r="T155" s="111">
        <v>0</v>
      </c>
    </row>
    <row r="156" spans="4:20" ht="12.3" x14ac:dyDescent="0.35">
      <c r="D156" s="82" t="str">
        <f t="shared" si="104"/>
        <v>Community Batteries</v>
      </c>
      <c r="E156" s="97" t="s">
        <v>158</v>
      </c>
      <c r="F156" s="97" t="str">
        <f t="shared" si="105"/>
        <v>$Millions</v>
      </c>
      <c r="G156" s="97" t="str">
        <f t="shared" si="106"/>
        <v>Nominal</v>
      </c>
      <c r="H156" s="45" t="str">
        <f t="shared" si="107"/>
        <v>End year</v>
      </c>
      <c r="J156" s="294"/>
      <c r="K156" s="295"/>
      <c r="L156" s="292"/>
      <c r="M156" s="292"/>
      <c r="N156" s="292"/>
      <c r="O156" s="293"/>
      <c r="P156" s="110">
        <v>0</v>
      </c>
      <c r="Q156" s="108">
        <v>0</v>
      </c>
      <c r="R156" s="108">
        <v>0</v>
      </c>
      <c r="S156" s="108">
        <v>0</v>
      </c>
      <c r="T156" s="111">
        <v>0</v>
      </c>
    </row>
    <row r="157" spans="4:20" ht="12.3" x14ac:dyDescent="0.35">
      <c r="D157" s="82" t="str">
        <f t="shared" si="104"/>
        <v>Buildings</v>
      </c>
      <c r="E157" s="97" t="s">
        <v>158</v>
      </c>
      <c r="F157" s="97" t="str">
        <f t="shared" si="105"/>
        <v>$Millions</v>
      </c>
      <c r="G157" s="97" t="str">
        <f t="shared" si="106"/>
        <v>Nominal</v>
      </c>
      <c r="H157" s="45" t="str">
        <f t="shared" si="107"/>
        <v>End year</v>
      </c>
      <c r="J157" s="109"/>
      <c r="K157" s="110"/>
      <c r="L157" s="108"/>
      <c r="M157" s="108"/>
      <c r="N157" s="108"/>
      <c r="O157" s="111"/>
      <c r="P157" s="110">
        <v>0</v>
      </c>
      <c r="Q157" s="108">
        <v>0</v>
      </c>
      <c r="R157" s="108">
        <v>0</v>
      </c>
      <c r="S157" s="108">
        <v>0</v>
      </c>
      <c r="T157" s="111">
        <v>0</v>
      </c>
    </row>
    <row r="158" spans="4:20" ht="12.3" x14ac:dyDescent="0.35">
      <c r="D158" s="82" t="str">
        <f t="shared" si="104"/>
        <v>in-house software</v>
      </c>
      <c r="E158" s="97" t="s">
        <v>158</v>
      </c>
      <c r="F158" s="97" t="str">
        <f t="shared" si="105"/>
        <v>$Millions</v>
      </c>
      <c r="G158" s="97" t="str">
        <f t="shared" si="106"/>
        <v>Nominal</v>
      </c>
      <c r="H158" s="45" t="str">
        <f t="shared" si="107"/>
        <v>End year</v>
      </c>
      <c r="J158" s="109"/>
      <c r="K158" s="110"/>
      <c r="L158" s="108"/>
      <c r="M158" s="108"/>
      <c r="N158" s="108"/>
      <c r="O158" s="111"/>
      <c r="P158" s="110">
        <v>0</v>
      </c>
      <c r="Q158" s="108">
        <v>0</v>
      </c>
      <c r="R158" s="108">
        <v>0</v>
      </c>
      <c r="S158" s="108">
        <v>0</v>
      </c>
      <c r="T158" s="111">
        <v>0</v>
      </c>
    </row>
    <row r="159" spans="4:20" ht="12.3" x14ac:dyDescent="0.35">
      <c r="D159" s="82" t="str">
        <f t="shared" ref="D159" si="108">D37</f>
        <v>Equity Raising Costs</v>
      </c>
      <c r="E159" s="97" t="s">
        <v>158</v>
      </c>
      <c r="F159" s="97" t="str">
        <f t="shared" si="105"/>
        <v>$Millions</v>
      </c>
      <c r="G159" s="97" t="str">
        <f t="shared" si="106"/>
        <v>Nominal</v>
      </c>
      <c r="H159" s="45" t="str">
        <f t="shared" si="107"/>
        <v>End year</v>
      </c>
      <c r="J159" s="109"/>
      <c r="K159" s="110"/>
      <c r="L159" s="108"/>
      <c r="M159" s="108"/>
      <c r="N159" s="108"/>
      <c r="O159" s="111"/>
      <c r="P159" s="110">
        <v>0</v>
      </c>
      <c r="Q159" s="108">
        <v>0</v>
      </c>
      <c r="R159" s="108">
        <v>0</v>
      </c>
      <c r="S159" s="108">
        <v>0</v>
      </c>
      <c r="T159" s="111">
        <v>0</v>
      </c>
    </row>
    <row r="160" spans="4:20" x14ac:dyDescent="0.35">
      <c r="J160" s="95"/>
      <c r="K160" s="94"/>
      <c r="O160" s="96"/>
      <c r="P160" s="94"/>
      <c r="T160" s="96"/>
    </row>
    <row r="161" spans="1:20" ht="12.3" x14ac:dyDescent="0.35">
      <c r="D161" s="102" t="str">
        <f>"Total "&amp;D138</f>
        <v>Total RAB asset class</v>
      </c>
      <c r="E161" s="103" t="s">
        <v>91</v>
      </c>
      <c r="F161" s="103" t="str">
        <f>F140</f>
        <v>$Millions</v>
      </c>
      <c r="G161" s="103" t="str">
        <f>G140</f>
        <v>Nominal</v>
      </c>
      <c r="H161" s="40" t="str">
        <f>H140</f>
        <v>End year</v>
      </c>
      <c r="J161" s="106">
        <f t="shared" ref="J161:T161" si="109">SUM(J140:J159)</f>
        <v>-0.1200109364277311</v>
      </c>
      <c r="K161" s="104">
        <f t="shared" si="109"/>
        <v>-9.4757443894090215E-2</v>
      </c>
      <c r="L161" s="105">
        <f t="shared" si="109"/>
        <v>-0.13916351269461014</v>
      </c>
      <c r="M161" s="105">
        <f t="shared" si="109"/>
        <v>-0.15709953180620265</v>
      </c>
      <c r="N161" s="105">
        <f t="shared" si="109"/>
        <v>-0.16553254105540316</v>
      </c>
      <c r="O161" s="107">
        <f t="shared" si="109"/>
        <v>-0.17106576079824823</v>
      </c>
      <c r="P161" s="104">
        <f t="shared" si="109"/>
        <v>-0.17030942651171765</v>
      </c>
      <c r="Q161" s="105">
        <f t="shared" si="109"/>
        <v>-0.17044029341276848</v>
      </c>
      <c r="R161" s="105">
        <f t="shared" si="109"/>
        <v>-0.17057105990909208</v>
      </c>
      <c r="S161" s="105">
        <f t="shared" si="109"/>
        <v>-0.17070172623143429</v>
      </c>
      <c r="T161" s="107">
        <f t="shared" si="109"/>
        <v>-0.17083229260965857</v>
      </c>
    </row>
    <row r="162" spans="1:20" ht="11.25" customHeight="1" x14ac:dyDescent="0.35"/>
    <row r="163" spans="1:20" ht="11.25" customHeight="1" x14ac:dyDescent="0.35">
      <c r="A163" s="76">
        <f>IF(SUM($J163:$T163)&lt;&gt;0,1,0)</f>
        <v>0</v>
      </c>
      <c r="D163" s="82" t="s">
        <v>155</v>
      </c>
      <c r="J163" s="76">
        <f t="shared" ref="J163:K163" si="110">IF(ISERROR(J161),1,0)</f>
        <v>0</v>
      </c>
      <c r="K163" s="76">
        <f t="shared" si="110"/>
        <v>0</v>
      </c>
      <c r="L163" s="76">
        <f>IF(ISERROR(L161),1,0)</f>
        <v>0</v>
      </c>
      <c r="M163" s="76">
        <f t="shared" ref="M163:P163" si="111">IF(ISERROR(M161),1,0)</f>
        <v>0</v>
      </c>
      <c r="N163" s="76">
        <f t="shared" si="111"/>
        <v>0</v>
      </c>
      <c r="O163" s="76">
        <f t="shared" si="111"/>
        <v>0</v>
      </c>
      <c r="P163" s="76">
        <f t="shared" si="111"/>
        <v>0</v>
      </c>
      <c r="Q163" s="76">
        <f>IF(ISERROR(Q161),1,0)</f>
        <v>0</v>
      </c>
      <c r="R163" s="76">
        <f t="shared" ref="R163:T163" si="112">IF(ISERROR(R161),1,0)</f>
        <v>0</v>
      </c>
      <c r="S163" s="76">
        <f t="shared" si="112"/>
        <v>0</v>
      </c>
      <c r="T163" s="76">
        <f t="shared" si="112"/>
        <v>0</v>
      </c>
    </row>
    <row r="164" spans="1:20" ht="11.25" customHeight="1" x14ac:dyDescent="0.35">
      <c r="A164" s="76"/>
      <c r="D164" s="82" t="s">
        <v>50</v>
      </c>
      <c r="J164" s="109">
        <v>-0.12001093642773111</v>
      </c>
      <c r="K164" s="110">
        <v>-9.4757443894090215E-2</v>
      </c>
      <c r="L164" s="108">
        <v>-0.13916351269461014</v>
      </c>
      <c r="M164" s="108">
        <v>-0.15709953180620265</v>
      </c>
      <c r="N164" s="108">
        <v>-0.16553254105540313</v>
      </c>
      <c r="O164" s="111">
        <v>-0.17106576079824823</v>
      </c>
      <c r="P164" s="110">
        <v>-0.17030942651171763</v>
      </c>
      <c r="Q164" s="108">
        <v>-0.17044029341276845</v>
      </c>
      <c r="R164" s="108">
        <v>-0.17057105990909205</v>
      </c>
      <c r="S164" s="108">
        <v>-0.17070172623143426</v>
      </c>
      <c r="T164" s="111">
        <v>-0.17083229260965851</v>
      </c>
    </row>
    <row r="165" spans="1:20" ht="11.25" customHeight="1" x14ac:dyDescent="0.35">
      <c r="A165" s="76">
        <f>IF(SUM($J165:$T165)&lt;&gt;0,1,0)</f>
        <v>0</v>
      </c>
      <c r="D165" s="82" t="s">
        <v>156</v>
      </c>
      <c r="J165" s="112">
        <f t="shared" ref="J165:O165" si="113">IF(ROUND(J164-J161,2)=0,0,1)</f>
        <v>0</v>
      </c>
      <c r="K165" s="113">
        <f t="shared" si="113"/>
        <v>0</v>
      </c>
      <c r="L165" s="76">
        <f t="shared" si="113"/>
        <v>0</v>
      </c>
      <c r="M165" s="76">
        <f t="shared" si="113"/>
        <v>0</v>
      </c>
      <c r="N165" s="76">
        <f t="shared" si="113"/>
        <v>0</v>
      </c>
      <c r="O165" s="114">
        <f t="shared" si="113"/>
        <v>0</v>
      </c>
      <c r="P165" s="113">
        <f>IF(ROUND(P164-P161,2)=0,0,1)</f>
        <v>0</v>
      </c>
      <c r="Q165" s="76">
        <f t="shared" ref="Q165:T165" si="114">IF(ROUND(Q164-Q161,2)=0,0,1)</f>
        <v>0</v>
      </c>
      <c r="R165" s="76">
        <f t="shared" si="114"/>
        <v>0</v>
      </c>
      <c r="S165" s="76">
        <f t="shared" si="114"/>
        <v>0</v>
      </c>
      <c r="T165" s="114">
        <f t="shared" si="114"/>
        <v>0</v>
      </c>
    </row>
    <row r="167" spans="1:20" s="89" customFormat="1" ht="14.1" x14ac:dyDescent="0.35">
      <c r="C167" s="89" t="s">
        <v>406</v>
      </c>
      <c r="H167" s="8"/>
    </row>
    <row r="168" spans="1:20" ht="11.25" customHeight="1" x14ac:dyDescent="0.35"/>
    <row r="169" spans="1:20" ht="12.3" x14ac:dyDescent="0.35">
      <c r="D169" s="90" t="str">
        <f>D$16</f>
        <v>RAB asset class</v>
      </c>
      <c r="E169" s="91" t="str">
        <f>Lookup!E$20</f>
        <v>Source</v>
      </c>
      <c r="F169" s="91" t="str">
        <f>Lookup!F$20</f>
        <v>Unit</v>
      </c>
      <c r="G169" s="91" t="str">
        <f>Lookup!G$20</f>
        <v>Basis</v>
      </c>
      <c r="H169" s="38" t="str">
        <f>Lookup!H$20</f>
        <v>Timing</v>
      </c>
      <c r="J169" s="92" t="str">
        <f t="shared" ref="J169:T169" si="115">J$10</f>
        <v>RY19</v>
      </c>
      <c r="K169" s="91" t="str">
        <f t="shared" si="115"/>
        <v>RY20</v>
      </c>
      <c r="L169" s="91" t="str">
        <f>L$10</f>
        <v>RY21</v>
      </c>
      <c r="M169" s="91" t="str">
        <f t="shared" si="115"/>
        <v>RY22</v>
      </c>
      <c r="N169" s="91" t="str">
        <f t="shared" si="115"/>
        <v>RY23</v>
      </c>
      <c r="O169" s="93" t="str">
        <f t="shared" si="115"/>
        <v>RY24</v>
      </c>
      <c r="P169" s="92" t="str">
        <f t="shared" si="115"/>
        <v>RY25</v>
      </c>
      <c r="Q169" s="91" t="str">
        <f>Q$10</f>
        <v>RY26</v>
      </c>
      <c r="R169" s="91" t="str">
        <f t="shared" si="115"/>
        <v>RY27</v>
      </c>
      <c r="S169" s="91" t="str">
        <f t="shared" si="115"/>
        <v>RY28</v>
      </c>
      <c r="T169" s="93" t="str">
        <f t="shared" si="115"/>
        <v>RY29</v>
      </c>
    </row>
    <row r="170" spans="1:20" x14ac:dyDescent="0.35">
      <c r="J170" s="94"/>
      <c r="O170" s="96"/>
      <c r="P170" s="94"/>
      <c r="T170" s="96"/>
    </row>
    <row r="171" spans="1:20" ht="12.3" x14ac:dyDescent="0.35">
      <c r="D171" s="82" t="str">
        <f t="shared" ref="D171:D189" si="116">D18</f>
        <v>Substations</v>
      </c>
      <c r="E171" s="97" t="s">
        <v>91</v>
      </c>
      <c r="F171" s="97" t="str">
        <f t="shared" ref="F171:F190" si="117">Millions</f>
        <v>$Millions</v>
      </c>
      <c r="G171" s="97" t="str">
        <f t="shared" ref="G171:G190" si="118">Nominal</f>
        <v>Nominal</v>
      </c>
      <c r="H171" s="45" t="str">
        <f t="shared" ref="H171:H190" si="119">End_year</f>
        <v>End year</v>
      </c>
      <c r="J171" s="100">
        <f t="shared" ref="J171:T171" si="120">J18+J47+J78+J109+J140</f>
        <v>295.24774185583709</v>
      </c>
      <c r="K171" s="99">
        <f t="shared" si="120"/>
        <v>273.91279026633384</v>
      </c>
      <c r="L171" s="99">
        <f t="shared" si="120"/>
        <v>269.77621313494836</v>
      </c>
      <c r="M171" s="99">
        <f t="shared" si="120"/>
        <v>271.0040939068233</v>
      </c>
      <c r="N171" s="99">
        <f t="shared" si="120"/>
        <v>285.24939154493137</v>
      </c>
      <c r="O171" s="101">
        <f t="shared" si="120"/>
        <v>298.65791231445047</v>
      </c>
      <c r="P171" s="100">
        <f t="shared" si="120"/>
        <v>301.20458656271086</v>
      </c>
      <c r="Q171" s="99">
        <f t="shared" si="120"/>
        <v>303.82385306222454</v>
      </c>
      <c r="R171" s="99">
        <f t="shared" si="120"/>
        <v>292.61022492292562</v>
      </c>
      <c r="S171" s="99">
        <f t="shared" si="120"/>
        <v>279.67713195694216</v>
      </c>
      <c r="T171" s="101">
        <f t="shared" si="120"/>
        <v>265.80135695623346</v>
      </c>
    </row>
    <row r="172" spans="1:20" ht="12.3" x14ac:dyDescent="0.35">
      <c r="D172" s="82" t="str">
        <f t="shared" si="116"/>
        <v>Distribution Lines</v>
      </c>
      <c r="E172" s="97" t="s">
        <v>91</v>
      </c>
      <c r="F172" s="97" t="str">
        <f t="shared" si="117"/>
        <v>$Millions</v>
      </c>
      <c r="G172" s="97" t="str">
        <f t="shared" si="118"/>
        <v>Nominal</v>
      </c>
      <c r="H172" s="45" t="str">
        <f t="shared" si="119"/>
        <v>End year</v>
      </c>
      <c r="J172" s="100">
        <f t="shared" ref="J172:T172" si="121">J19+J48+J79+J110+J141</f>
        <v>246.78471958446107</v>
      </c>
      <c r="K172" s="99">
        <f t="shared" si="121"/>
        <v>246.68710684429169</v>
      </c>
      <c r="L172" s="99">
        <f t="shared" si="121"/>
        <v>250.02037543764951</v>
      </c>
      <c r="M172" s="99">
        <f t="shared" si="121"/>
        <v>268.12830042198436</v>
      </c>
      <c r="N172" s="99">
        <f t="shared" si="121"/>
        <v>307.46003927912983</v>
      </c>
      <c r="O172" s="101">
        <f t="shared" si="121"/>
        <v>335.23671896634801</v>
      </c>
      <c r="P172" s="100">
        <f t="shared" si="121"/>
        <v>352.72642240492729</v>
      </c>
      <c r="Q172" s="99">
        <f t="shared" si="121"/>
        <v>372.93965604481053</v>
      </c>
      <c r="R172" s="99">
        <f t="shared" si="121"/>
        <v>393.68910473988325</v>
      </c>
      <c r="S172" s="99">
        <f t="shared" si="121"/>
        <v>411.5682958534606</v>
      </c>
      <c r="T172" s="101">
        <f t="shared" si="121"/>
        <v>430.02764078002747</v>
      </c>
    </row>
    <row r="173" spans="1:20" ht="12.3" x14ac:dyDescent="0.35">
      <c r="D173" s="82" t="str">
        <f t="shared" si="116"/>
        <v>Transmission Lines</v>
      </c>
      <c r="E173" s="97" t="s">
        <v>91</v>
      </c>
      <c r="F173" s="97" t="str">
        <f t="shared" si="117"/>
        <v>$Millions</v>
      </c>
      <c r="G173" s="97" t="str">
        <f t="shared" si="118"/>
        <v>Nominal</v>
      </c>
      <c r="H173" s="45" t="str">
        <f t="shared" si="119"/>
        <v>End year</v>
      </c>
      <c r="J173" s="100">
        <f t="shared" ref="J173:T173" si="122">J20+J49+J80+J111+J142</f>
        <v>176.20193744829672</v>
      </c>
      <c r="K173" s="99">
        <f t="shared" si="122"/>
        <v>175.43506757109449</v>
      </c>
      <c r="L173" s="99">
        <f t="shared" si="122"/>
        <v>171.8898895972944</v>
      </c>
      <c r="M173" s="99">
        <f t="shared" si="122"/>
        <v>173.51494534151189</v>
      </c>
      <c r="N173" s="99">
        <f t="shared" si="122"/>
        <v>183.30335340718091</v>
      </c>
      <c r="O173" s="101">
        <f t="shared" si="122"/>
        <v>189.69255762727849</v>
      </c>
      <c r="P173" s="100">
        <f t="shared" si="122"/>
        <v>194.96429976036262</v>
      </c>
      <c r="Q173" s="99">
        <f t="shared" si="122"/>
        <v>199.68833826689925</v>
      </c>
      <c r="R173" s="99">
        <f t="shared" si="122"/>
        <v>199.78554739725411</v>
      </c>
      <c r="S173" s="99">
        <f t="shared" si="122"/>
        <v>198.55340436775612</v>
      </c>
      <c r="T173" s="101">
        <f t="shared" si="122"/>
        <v>197.05370806139175</v>
      </c>
    </row>
    <row r="174" spans="1:20" ht="12.3" x14ac:dyDescent="0.35">
      <c r="D174" s="82" t="str">
        <f t="shared" si="116"/>
        <v>LV Services</v>
      </c>
      <c r="E174" s="97" t="s">
        <v>91</v>
      </c>
      <c r="F174" s="97" t="str">
        <f t="shared" si="117"/>
        <v>$Millions</v>
      </c>
      <c r="G174" s="97" t="str">
        <f t="shared" si="118"/>
        <v>Nominal</v>
      </c>
      <c r="H174" s="45" t="str">
        <f t="shared" si="119"/>
        <v>End year</v>
      </c>
      <c r="J174" s="100">
        <f t="shared" ref="J174:T174" si="123">J21+J50+J81+J112+J143</f>
        <v>6.7473747563814346</v>
      </c>
      <c r="K174" s="99">
        <f t="shared" si="123"/>
        <v>8.9446488145072163</v>
      </c>
      <c r="L174" s="99">
        <f t="shared" si="123"/>
        <v>9.9343749748679464</v>
      </c>
      <c r="M174" s="99">
        <f t="shared" si="123"/>
        <v>12.272442983021641</v>
      </c>
      <c r="N174" s="99">
        <f t="shared" si="123"/>
        <v>14.545779628579101</v>
      </c>
      <c r="O174" s="101">
        <f t="shared" si="123"/>
        <v>16.603315589712352</v>
      </c>
      <c r="P174" s="100">
        <f t="shared" si="123"/>
        <v>21.319976720847901</v>
      </c>
      <c r="Q174" s="99">
        <f t="shared" si="123"/>
        <v>26.218532058189794</v>
      </c>
      <c r="R174" s="99">
        <f t="shared" si="123"/>
        <v>31.369733095997109</v>
      </c>
      <c r="S174" s="99">
        <f t="shared" si="123"/>
        <v>36.772882479649041</v>
      </c>
      <c r="T174" s="101">
        <f t="shared" si="123"/>
        <v>42.44998794394904</v>
      </c>
    </row>
    <row r="175" spans="1:20" ht="12.3" x14ac:dyDescent="0.35">
      <c r="D175" s="82" t="str">
        <f t="shared" si="116"/>
        <v>Distribution Substations</v>
      </c>
      <c r="E175" s="97" t="s">
        <v>91</v>
      </c>
      <c r="F175" s="97" t="str">
        <f t="shared" si="117"/>
        <v>$Millions</v>
      </c>
      <c r="G175" s="97" t="str">
        <f t="shared" si="118"/>
        <v>Nominal</v>
      </c>
      <c r="H175" s="45" t="str">
        <f t="shared" si="119"/>
        <v>End year</v>
      </c>
      <c r="J175" s="100">
        <f t="shared" ref="J175:T175" si="124">J22+J51+J82+J113+J144</f>
        <v>96.424508053913897</v>
      </c>
      <c r="K175" s="99">
        <f t="shared" si="124"/>
        <v>102.35072770488213</v>
      </c>
      <c r="L175" s="99">
        <f t="shared" si="124"/>
        <v>102.89474061545894</v>
      </c>
      <c r="M175" s="99">
        <f t="shared" si="124"/>
        <v>107.32108118798307</v>
      </c>
      <c r="N175" s="99">
        <f t="shared" si="124"/>
        <v>114.2498681140345</v>
      </c>
      <c r="O175" s="101">
        <f t="shared" si="124"/>
        <v>117.86704982941093</v>
      </c>
      <c r="P175" s="100">
        <f t="shared" si="124"/>
        <v>120.7551181585178</v>
      </c>
      <c r="Q175" s="99">
        <f t="shared" si="124"/>
        <v>123.49064073585251</v>
      </c>
      <c r="R175" s="99">
        <f t="shared" si="124"/>
        <v>126.35386219117487</v>
      </c>
      <c r="S175" s="99">
        <f t="shared" si="124"/>
        <v>129.34045774451144</v>
      </c>
      <c r="T175" s="101">
        <f t="shared" si="124"/>
        <v>132.47040641677197</v>
      </c>
    </row>
    <row r="176" spans="1:20" ht="12.3" x14ac:dyDescent="0.35">
      <c r="D176" s="82" t="str">
        <f t="shared" si="116"/>
        <v>Distribution Switchgear</v>
      </c>
      <c r="E176" s="97" t="s">
        <v>91</v>
      </c>
      <c r="F176" s="97" t="str">
        <f t="shared" si="117"/>
        <v>$Millions</v>
      </c>
      <c r="G176" s="97" t="str">
        <f t="shared" si="118"/>
        <v>Nominal</v>
      </c>
      <c r="H176" s="45" t="str">
        <f t="shared" si="119"/>
        <v>End year</v>
      </c>
      <c r="J176" s="100">
        <f t="shared" ref="J176:T176" si="125">J23+J52+J83+J114+J145</f>
        <v>36.74994716573962</v>
      </c>
      <c r="K176" s="99">
        <f t="shared" si="125"/>
        <v>42.410027186854585</v>
      </c>
      <c r="L176" s="99">
        <f t="shared" si="125"/>
        <v>44.242466238115142</v>
      </c>
      <c r="M176" s="99">
        <f t="shared" si="125"/>
        <v>46.829300397597045</v>
      </c>
      <c r="N176" s="99">
        <f t="shared" si="125"/>
        <v>52.930677428417169</v>
      </c>
      <c r="O176" s="101">
        <f t="shared" si="125"/>
        <v>56.79685539050724</v>
      </c>
      <c r="P176" s="100">
        <f t="shared" si="125"/>
        <v>61.180266013784369</v>
      </c>
      <c r="Q176" s="99">
        <f t="shared" si="125"/>
        <v>66.725176868560837</v>
      </c>
      <c r="R176" s="99">
        <f t="shared" si="125"/>
        <v>72.573555299551643</v>
      </c>
      <c r="S176" s="99">
        <f t="shared" si="125"/>
        <v>78.72781387975094</v>
      </c>
      <c r="T176" s="101">
        <f t="shared" si="125"/>
        <v>85.215382656502626</v>
      </c>
    </row>
    <row r="177" spans="4:20" ht="12.3" x14ac:dyDescent="0.35">
      <c r="D177" s="82" t="str">
        <f t="shared" si="116"/>
        <v>Protection</v>
      </c>
      <c r="E177" s="97" t="s">
        <v>91</v>
      </c>
      <c r="F177" s="97" t="str">
        <f t="shared" si="117"/>
        <v>$Millions</v>
      </c>
      <c r="G177" s="97" t="str">
        <f t="shared" si="118"/>
        <v>Nominal</v>
      </c>
      <c r="H177" s="45" t="str">
        <f t="shared" si="119"/>
        <v>End year</v>
      </c>
      <c r="J177" s="100">
        <f t="shared" ref="J177:T177" si="126">J24+J53+J84+J115+J146</f>
        <v>23.653071049322367</v>
      </c>
      <c r="K177" s="99">
        <f t="shared" si="126"/>
        <v>32.894895149212104</v>
      </c>
      <c r="L177" s="99">
        <f t="shared" si="126"/>
        <v>33.470157055147993</v>
      </c>
      <c r="M177" s="99">
        <f t="shared" si="126"/>
        <v>36.360791731901813</v>
      </c>
      <c r="N177" s="99">
        <f t="shared" si="126"/>
        <v>40.914084709069016</v>
      </c>
      <c r="O177" s="101">
        <f t="shared" si="126"/>
        <v>46.561892580082912</v>
      </c>
      <c r="P177" s="100">
        <f t="shared" si="126"/>
        <v>52.609020173988803</v>
      </c>
      <c r="Q177" s="99">
        <f t="shared" si="126"/>
        <v>57.233228178866732</v>
      </c>
      <c r="R177" s="99">
        <f t="shared" si="126"/>
        <v>60.805013666717443</v>
      </c>
      <c r="S177" s="99">
        <f t="shared" si="126"/>
        <v>63.930744071391409</v>
      </c>
      <c r="T177" s="101">
        <f t="shared" si="126"/>
        <v>66.538217643876578</v>
      </c>
    </row>
    <row r="178" spans="4:20" ht="12.3" x14ac:dyDescent="0.35">
      <c r="D178" s="82" t="str">
        <f t="shared" si="116"/>
        <v>SCADA</v>
      </c>
      <c r="E178" s="97" t="s">
        <v>91</v>
      </c>
      <c r="F178" s="97" t="str">
        <f t="shared" si="117"/>
        <v>$Millions</v>
      </c>
      <c r="G178" s="97" t="str">
        <f t="shared" si="118"/>
        <v>Nominal</v>
      </c>
      <c r="H178" s="45" t="str">
        <f t="shared" si="119"/>
        <v>End year</v>
      </c>
      <c r="J178" s="100">
        <f t="shared" ref="J178:T178" si="127">J25+J54+J85+J116+J147</f>
        <v>6.0661264207651762</v>
      </c>
      <c r="K178" s="99">
        <f t="shared" si="127"/>
        <v>11.175621128341014</v>
      </c>
      <c r="L178" s="99">
        <f t="shared" si="127"/>
        <v>12.029990879891887</v>
      </c>
      <c r="M178" s="99">
        <f t="shared" si="127"/>
        <v>13.354470727943674</v>
      </c>
      <c r="N178" s="99">
        <f t="shared" si="127"/>
        <v>19.312772506178618</v>
      </c>
      <c r="O178" s="101">
        <f t="shared" si="127"/>
        <v>26.774463828107802</v>
      </c>
      <c r="P178" s="100">
        <f t="shared" si="127"/>
        <v>28.331707597221918</v>
      </c>
      <c r="Q178" s="99">
        <f t="shared" si="127"/>
        <v>27.525585419683328</v>
      </c>
      <c r="R178" s="99">
        <f t="shared" si="127"/>
        <v>26.568240411665233</v>
      </c>
      <c r="S178" s="99">
        <f t="shared" si="127"/>
        <v>25.673673926752539</v>
      </c>
      <c r="T178" s="101">
        <f t="shared" si="127"/>
        <v>24.70422363919171</v>
      </c>
    </row>
    <row r="179" spans="4:20" ht="12.3" x14ac:dyDescent="0.35">
      <c r="D179" s="82" t="str">
        <f t="shared" si="116"/>
        <v>Communications</v>
      </c>
      <c r="E179" s="97" t="s">
        <v>91</v>
      </c>
      <c r="F179" s="97" t="str">
        <f t="shared" si="117"/>
        <v>$Millions</v>
      </c>
      <c r="G179" s="97" t="str">
        <f t="shared" si="118"/>
        <v>Nominal</v>
      </c>
      <c r="H179" s="45" t="str">
        <f t="shared" si="119"/>
        <v>End year</v>
      </c>
      <c r="J179" s="100">
        <f t="shared" ref="J179:T179" si="128">J26+J55+J86+J117+J148</f>
        <v>7.9853674043256104</v>
      </c>
      <c r="K179" s="99">
        <f t="shared" si="128"/>
        <v>9.4346802737152267</v>
      </c>
      <c r="L179" s="99">
        <f t="shared" si="128"/>
        <v>10.386563680303832</v>
      </c>
      <c r="M179" s="99">
        <f t="shared" si="128"/>
        <v>11.653475507999303</v>
      </c>
      <c r="N179" s="99">
        <f t="shared" si="128"/>
        <v>13.201677605624806</v>
      </c>
      <c r="O179" s="101">
        <f t="shared" si="128"/>
        <v>14.559448877790878</v>
      </c>
      <c r="P179" s="100">
        <f t="shared" si="128"/>
        <v>20.816576487265387</v>
      </c>
      <c r="Q179" s="99">
        <f t="shared" si="128"/>
        <v>24.596682548278661</v>
      </c>
      <c r="R179" s="99">
        <f t="shared" si="128"/>
        <v>28.659079628380734</v>
      </c>
      <c r="S179" s="99">
        <f t="shared" si="128"/>
        <v>30.296302420770299</v>
      </c>
      <c r="T179" s="101">
        <f t="shared" si="128"/>
        <v>30.536897083152358</v>
      </c>
    </row>
    <row r="180" spans="4:20" ht="12.3" x14ac:dyDescent="0.35">
      <c r="D180" s="82" t="str">
        <f t="shared" si="116"/>
        <v>Land and Easements</v>
      </c>
      <c r="E180" s="97" t="s">
        <v>91</v>
      </c>
      <c r="F180" s="97" t="str">
        <f t="shared" si="117"/>
        <v>$Millions</v>
      </c>
      <c r="G180" s="97" t="str">
        <f t="shared" si="118"/>
        <v>Nominal</v>
      </c>
      <c r="H180" s="45" t="str">
        <f t="shared" si="119"/>
        <v>End year</v>
      </c>
      <c r="J180" s="100">
        <f t="shared" ref="J180:T180" si="129">J27+J56+J87+J118+J149</f>
        <v>37.671980238857458</v>
      </c>
      <c r="K180" s="99">
        <f t="shared" si="129"/>
        <v>46.658995785295687</v>
      </c>
      <c r="L180" s="99">
        <f t="shared" si="129"/>
        <v>47.060536196528865</v>
      </c>
      <c r="M180" s="99">
        <f t="shared" si="129"/>
        <v>48.706851882584907</v>
      </c>
      <c r="N180" s="99">
        <f t="shared" si="129"/>
        <v>52.603400033191697</v>
      </c>
      <c r="O180" s="101">
        <f t="shared" si="129"/>
        <v>55.075759834751707</v>
      </c>
      <c r="P180" s="100">
        <f t="shared" si="129"/>
        <v>56.864530337569484</v>
      </c>
      <c r="Q180" s="99">
        <f t="shared" si="129"/>
        <v>58.524769939474631</v>
      </c>
      <c r="R180" s="99">
        <f t="shared" si="129"/>
        <v>60.23348256172077</v>
      </c>
      <c r="S180" s="99">
        <f t="shared" si="129"/>
        <v>61.992083442023159</v>
      </c>
      <c r="T180" s="101">
        <f t="shared" si="129"/>
        <v>63.802029137944196</v>
      </c>
    </row>
    <row r="181" spans="4:20" ht="12.3" x14ac:dyDescent="0.35">
      <c r="D181" s="82" t="str">
        <f t="shared" si="116"/>
        <v>Property</v>
      </c>
      <c r="E181" s="97" t="s">
        <v>91</v>
      </c>
      <c r="F181" s="97" t="str">
        <f t="shared" si="117"/>
        <v>$Millions</v>
      </c>
      <c r="G181" s="97" t="str">
        <f t="shared" si="118"/>
        <v>Nominal</v>
      </c>
      <c r="H181" s="45" t="str">
        <f t="shared" si="119"/>
        <v>End year</v>
      </c>
      <c r="J181" s="100">
        <f t="shared" ref="J181:T181" si="130">J28+J57+J88+J119+J150</f>
        <v>0.91434008822441104</v>
      </c>
      <c r="K181" s="99">
        <f t="shared" si="130"/>
        <v>10.941722982064954</v>
      </c>
      <c r="L181" s="99">
        <f t="shared" si="130"/>
        <v>10.815075257970452</v>
      </c>
      <c r="M181" s="99">
        <f t="shared" si="130"/>
        <v>10.731754174176267</v>
      </c>
      <c r="N181" s="99">
        <f t="shared" si="130"/>
        <v>13.471510378004057</v>
      </c>
      <c r="O181" s="101">
        <f t="shared" si="130"/>
        <v>14.975625799260101</v>
      </c>
      <c r="P181" s="100">
        <f t="shared" si="130"/>
        <v>20.128088940048617</v>
      </c>
      <c r="Q181" s="99">
        <f t="shared" si="130"/>
        <v>20.744314732811375</v>
      </c>
      <c r="R181" s="99">
        <f t="shared" si="130"/>
        <v>24.327708216477969</v>
      </c>
      <c r="S181" s="99">
        <f t="shared" si="130"/>
        <v>82.909375345955254</v>
      </c>
      <c r="T181" s="101">
        <f t="shared" si="130"/>
        <v>172.12672975069495</v>
      </c>
    </row>
    <row r="182" spans="4:20" ht="12.3" x14ac:dyDescent="0.35">
      <c r="D182" s="82" t="str">
        <f t="shared" si="116"/>
        <v>IT and Communications</v>
      </c>
      <c r="E182" s="97" t="s">
        <v>91</v>
      </c>
      <c r="F182" s="97" t="str">
        <f t="shared" si="117"/>
        <v>$Millions</v>
      </c>
      <c r="G182" s="97" t="str">
        <f t="shared" si="118"/>
        <v>Nominal</v>
      </c>
      <c r="H182" s="45" t="str">
        <f t="shared" si="119"/>
        <v>End year</v>
      </c>
      <c r="J182" s="100">
        <f t="shared" ref="J182:T182" si="131">J29+J58+J89+J120+J151</f>
        <v>11.141157902223615</v>
      </c>
      <c r="K182" s="99">
        <f t="shared" si="131"/>
        <v>17.651763795502941</v>
      </c>
      <c r="L182" s="99">
        <f t="shared" si="131"/>
        <v>17.591454752257381</v>
      </c>
      <c r="M182" s="99">
        <f t="shared" si="131"/>
        <v>20.823444725561622</v>
      </c>
      <c r="N182" s="99">
        <f t="shared" si="131"/>
        <v>41.113045055941342</v>
      </c>
      <c r="O182" s="101">
        <f t="shared" si="131"/>
        <v>62.814563366806325</v>
      </c>
      <c r="P182" s="100">
        <f t="shared" si="131"/>
        <v>78.497582342187997</v>
      </c>
      <c r="Q182" s="99">
        <f t="shared" si="131"/>
        <v>101.05365713305562</v>
      </c>
      <c r="R182" s="99">
        <f t="shared" si="131"/>
        <v>117.41435246755303</v>
      </c>
      <c r="S182" s="99">
        <f t="shared" si="131"/>
        <v>128.29852441576458</v>
      </c>
      <c r="T182" s="101">
        <f t="shared" si="131"/>
        <v>140.14356949778585</v>
      </c>
    </row>
    <row r="183" spans="4:20" ht="12.3" x14ac:dyDescent="0.35">
      <c r="D183" s="82" t="str">
        <f t="shared" si="116"/>
        <v>Motor Vehicles</v>
      </c>
      <c r="E183" s="97" t="s">
        <v>91</v>
      </c>
      <c r="F183" s="97" t="str">
        <f t="shared" si="117"/>
        <v>$Millions</v>
      </c>
      <c r="G183" s="97" t="str">
        <f t="shared" si="118"/>
        <v>Nominal</v>
      </c>
      <c r="H183" s="45" t="str">
        <f t="shared" si="119"/>
        <v>End year</v>
      </c>
      <c r="J183" s="100">
        <f t="shared" ref="J183:T183" si="132">J30+J59+J90+J121+J152</f>
        <v>8.9217707199888099E-2</v>
      </c>
      <c r="K183" s="99">
        <f t="shared" si="132"/>
        <v>0.35493483755678068</v>
      </c>
      <c r="L183" s="99">
        <f t="shared" si="132"/>
        <v>0.82718418450465681</v>
      </c>
      <c r="M183" s="99">
        <f t="shared" si="132"/>
        <v>0.94294049211521414</v>
      </c>
      <c r="N183" s="99">
        <f t="shared" si="132"/>
        <v>0.98087939123707368</v>
      </c>
      <c r="O183" s="101">
        <f t="shared" si="132"/>
        <v>0.98648467515806992</v>
      </c>
      <c r="P183" s="100">
        <f t="shared" si="132"/>
        <v>0.93760454651347402</v>
      </c>
      <c r="Q183" s="99">
        <f t="shared" si="132"/>
        <v>0.84005949956203996</v>
      </c>
      <c r="R183" s="99">
        <f t="shared" si="132"/>
        <v>0.73601928203767897</v>
      </c>
      <c r="S183" s="99">
        <f t="shared" si="132"/>
        <v>0.62518777304274875</v>
      </c>
      <c r="T183" s="101">
        <f t="shared" si="132"/>
        <v>0.53488614534255674</v>
      </c>
    </row>
    <row r="184" spans="4:20" ht="12.3" x14ac:dyDescent="0.35">
      <c r="D184" s="82" t="str">
        <f t="shared" si="116"/>
        <v>Plant and Equipment</v>
      </c>
      <c r="E184" s="97" t="s">
        <v>91</v>
      </c>
      <c r="F184" s="97" t="str">
        <f t="shared" si="117"/>
        <v>$Millions</v>
      </c>
      <c r="G184" s="97" t="str">
        <f t="shared" si="118"/>
        <v>Nominal</v>
      </c>
      <c r="H184" s="45" t="str">
        <f t="shared" si="119"/>
        <v>End year</v>
      </c>
      <c r="J184" s="100">
        <f t="shared" ref="J184:T184" si="133">J31+J60+J91+J122+J153</f>
        <v>5.3862280615350535</v>
      </c>
      <c r="K184" s="99">
        <f t="shared" si="133"/>
        <v>4.9340649284162454</v>
      </c>
      <c r="L184" s="99">
        <f t="shared" si="133"/>
        <v>5.9126158554742538</v>
      </c>
      <c r="M184" s="99">
        <f t="shared" si="133"/>
        <v>6.6567188597653857</v>
      </c>
      <c r="N184" s="99">
        <f t="shared" si="133"/>
        <v>7.4412741749276039</v>
      </c>
      <c r="O184" s="101">
        <f t="shared" si="133"/>
        <v>8.1680036887938154</v>
      </c>
      <c r="P184" s="100">
        <f t="shared" si="133"/>
        <v>11.13152251469093</v>
      </c>
      <c r="Q184" s="99">
        <f t="shared" si="133"/>
        <v>13.376348173575149</v>
      </c>
      <c r="R184" s="99">
        <f t="shared" si="133"/>
        <v>14.929838039437163</v>
      </c>
      <c r="S184" s="99">
        <f t="shared" si="133"/>
        <v>16.049569995561352</v>
      </c>
      <c r="T184" s="101">
        <f t="shared" si="133"/>
        <v>17.151292932159098</v>
      </c>
    </row>
    <row r="185" spans="4:20" ht="12.3" x14ac:dyDescent="0.35">
      <c r="D185" s="82" t="str">
        <f t="shared" si="116"/>
        <v>Property Leases</v>
      </c>
      <c r="E185" s="97" t="s">
        <v>91</v>
      </c>
      <c r="F185" s="97" t="str">
        <f t="shared" si="117"/>
        <v>$Millions</v>
      </c>
      <c r="G185" s="97" t="str">
        <f t="shared" si="118"/>
        <v>Nominal</v>
      </c>
      <c r="H185" s="45" t="str">
        <f t="shared" si="119"/>
        <v>End year</v>
      </c>
      <c r="J185" s="100">
        <f t="shared" ref="J185:T185" si="134">J32+J61+J92+J123+J154</f>
        <v>0</v>
      </c>
      <c r="K185" s="99">
        <f t="shared" si="134"/>
        <v>3.3387922007628603</v>
      </c>
      <c r="L185" s="99">
        <f t="shared" si="134"/>
        <v>3.8627975907626748</v>
      </c>
      <c r="M185" s="99">
        <f t="shared" si="134"/>
        <v>13.731488906029872</v>
      </c>
      <c r="N185" s="99">
        <f t="shared" si="134"/>
        <v>13.238996930133146</v>
      </c>
      <c r="O185" s="101">
        <f t="shared" si="134"/>
        <v>17.298299331913139</v>
      </c>
      <c r="P185" s="100">
        <f t="shared" si="134"/>
        <v>16.520694616833413</v>
      </c>
      <c r="Q185" s="99">
        <f t="shared" si="134"/>
        <v>15.682937798495614</v>
      </c>
      <c r="R185" s="99">
        <f t="shared" si="134"/>
        <v>23.146153904387713</v>
      </c>
      <c r="S185" s="99">
        <f t="shared" si="134"/>
        <v>20.497471049633454</v>
      </c>
      <c r="T185" s="101">
        <f t="shared" si="134"/>
        <v>18.834920168508948</v>
      </c>
    </row>
    <row r="186" spans="4:20" ht="12.3" x14ac:dyDescent="0.35">
      <c r="D186" s="82" t="str">
        <f t="shared" si="116"/>
        <v>Fleet Leases</v>
      </c>
      <c r="E186" s="97" t="s">
        <v>91</v>
      </c>
      <c r="F186" s="97" t="str">
        <f t="shared" si="117"/>
        <v>$Millions</v>
      </c>
      <c r="G186" s="97" t="str">
        <f t="shared" si="118"/>
        <v>Nominal</v>
      </c>
      <c r="H186" s="45" t="str">
        <f t="shared" si="119"/>
        <v>End year</v>
      </c>
      <c r="J186" s="100">
        <f t="shared" ref="J186:T186" si="135">J33+J62+J93+J124+J155</f>
        <v>0</v>
      </c>
      <c r="K186" s="99">
        <f t="shared" si="135"/>
        <v>14.579348294461219</v>
      </c>
      <c r="L186" s="99">
        <f t="shared" si="135"/>
        <v>14.361771413842579</v>
      </c>
      <c r="M186" s="99">
        <f t="shared" si="135"/>
        <v>14.081624375972506</v>
      </c>
      <c r="N186" s="99">
        <f t="shared" si="135"/>
        <v>14.42989188615417</v>
      </c>
      <c r="O186" s="101">
        <f t="shared" si="135"/>
        <v>11.749555018192927</v>
      </c>
      <c r="P186" s="100">
        <f t="shared" si="135"/>
        <v>9.9459864734262098</v>
      </c>
      <c r="Q186" s="99">
        <f t="shared" si="135"/>
        <v>11.102913009663373</v>
      </c>
      <c r="R186" s="99">
        <f t="shared" si="135"/>
        <v>13.589116932742924</v>
      </c>
      <c r="S186" s="99">
        <f t="shared" si="135"/>
        <v>15.465777314729461</v>
      </c>
      <c r="T186" s="101">
        <f t="shared" si="135"/>
        <v>16.26701626630058</v>
      </c>
    </row>
    <row r="187" spans="4:20" ht="12.3" x14ac:dyDescent="0.35">
      <c r="D187" s="82" t="str">
        <f t="shared" si="116"/>
        <v>Community Batteries</v>
      </c>
      <c r="E187" s="97" t="s">
        <v>91</v>
      </c>
      <c r="F187" s="97" t="str">
        <f t="shared" si="117"/>
        <v>$Millions</v>
      </c>
      <c r="G187" s="97" t="str">
        <f t="shared" si="118"/>
        <v>Nominal</v>
      </c>
      <c r="H187" s="45" t="str">
        <f t="shared" si="119"/>
        <v>End year</v>
      </c>
      <c r="J187" s="100">
        <f t="shared" ref="J187:T187" si="136">J34+J63+J94+J125+J156</f>
        <v>0</v>
      </c>
      <c r="K187" s="99">
        <f t="shared" si="136"/>
        <v>0</v>
      </c>
      <c r="L187" s="99">
        <f t="shared" si="136"/>
        <v>0</v>
      </c>
      <c r="M187" s="99">
        <f t="shared" si="136"/>
        <v>0</v>
      </c>
      <c r="N187" s="99">
        <f t="shared" si="136"/>
        <v>0</v>
      </c>
      <c r="O187" s="101">
        <f t="shared" si="136"/>
        <v>0</v>
      </c>
      <c r="P187" s="100">
        <f t="shared" si="136"/>
        <v>0</v>
      </c>
      <c r="Q187" s="99">
        <f t="shared" si="136"/>
        <v>0</v>
      </c>
      <c r="R187" s="99">
        <f t="shared" si="136"/>
        <v>0</v>
      </c>
      <c r="S187" s="99">
        <f t="shared" si="136"/>
        <v>0</v>
      </c>
      <c r="T187" s="101">
        <f t="shared" si="136"/>
        <v>0</v>
      </c>
    </row>
    <row r="188" spans="4:20" ht="12.3" x14ac:dyDescent="0.35">
      <c r="D188" s="82" t="str">
        <f t="shared" si="116"/>
        <v>Buildings</v>
      </c>
      <c r="E188" s="97" t="s">
        <v>91</v>
      </c>
      <c r="F188" s="97" t="str">
        <f t="shared" si="117"/>
        <v>$Millions</v>
      </c>
      <c r="G188" s="97" t="str">
        <f t="shared" si="118"/>
        <v>Nominal</v>
      </c>
      <c r="H188" s="45" t="str">
        <f t="shared" si="119"/>
        <v>End year</v>
      </c>
      <c r="J188" s="100">
        <f t="shared" ref="J188:T188" si="137">J35+J64+J95+J126+J157</f>
        <v>0</v>
      </c>
      <c r="K188" s="99">
        <f t="shared" si="137"/>
        <v>0.1639301154679205</v>
      </c>
      <c r="L188" s="99">
        <f t="shared" si="137"/>
        <v>0.85558784631163998</v>
      </c>
      <c r="M188" s="99">
        <f t="shared" si="137"/>
        <v>3.1432617912538889</v>
      </c>
      <c r="N188" s="99">
        <f t="shared" si="137"/>
        <v>3.3741733616611373</v>
      </c>
      <c r="O188" s="101">
        <f t="shared" si="137"/>
        <v>3.5063117665853714</v>
      </c>
      <c r="P188" s="100">
        <f t="shared" si="137"/>
        <v>3.5128815251522116</v>
      </c>
      <c r="Q188" s="99">
        <f t="shared" si="137"/>
        <v>3.5168460256784271</v>
      </c>
      <c r="R188" s="99">
        <f t="shared" si="137"/>
        <v>3.5180475395917097</v>
      </c>
      <c r="S188" s="99">
        <f t="shared" si="137"/>
        <v>3.5163213489062133</v>
      </c>
      <c r="T188" s="101">
        <f t="shared" si="137"/>
        <v>3.5114954725436549</v>
      </c>
    </row>
    <row r="189" spans="4:20" ht="12.3" x14ac:dyDescent="0.35">
      <c r="D189" s="82" t="str">
        <f t="shared" si="116"/>
        <v>in-house software</v>
      </c>
      <c r="E189" s="97" t="s">
        <v>91</v>
      </c>
      <c r="F189" s="97" t="str">
        <f t="shared" si="117"/>
        <v>$Millions</v>
      </c>
      <c r="G189" s="97" t="str">
        <f t="shared" si="118"/>
        <v>Nominal</v>
      </c>
      <c r="H189" s="45" t="str">
        <f t="shared" si="119"/>
        <v>End year</v>
      </c>
      <c r="J189" s="100">
        <f t="shared" ref="J189:T189" si="138">J36+J65+J96+J127+J158</f>
        <v>0</v>
      </c>
      <c r="K189" s="99">
        <f t="shared" si="138"/>
        <v>0</v>
      </c>
      <c r="L189" s="99">
        <f t="shared" si="138"/>
        <v>-5.2086373898768877E-2</v>
      </c>
      <c r="M189" s="99">
        <f t="shared" si="138"/>
        <v>-0.29557866769059948</v>
      </c>
      <c r="N189" s="99">
        <f t="shared" si="138"/>
        <v>-0.63248449815904739</v>
      </c>
      <c r="O189" s="101">
        <f t="shared" si="138"/>
        <v>-1.2770162921904231</v>
      </c>
      <c r="P189" s="100">
        <f t="shared" si="138"/>
        <v>0</v>
      </c>
      <c r="Q189" s="99">
        <f t="shared" si="138"/>
        <v>0</v>
      </c>
      <c r="R189" s="99">
        <f t="shared" si="138"/>
        <v>0</v>
      </c>
      <c r="S189" s="99">
        <f t="shared" si="138"/>
        <v>0</v>
      </c>
      <c r="T189" s="101">
        <f t="shared" si="138"/>
        <v>0</v>
      </c>
    </row>
    <row r="190" spans="4:20" ht="12.3" x14ac:dyDescent="0.35">
      <c r="D190" s="82" t="str">
        <f t="shared" ref="D190" si="139">D37</f>
        <v>Equity Raising Costs</v>
      </c>
      <c r="E190" s="97" t="s">
        <v>91</v>
      </c>
      <c r="F190" s="97" t="str">
        <f t="shared" si="117"/>
        <v>$Millions</v>
      </c>
      <c r="G190" s="97" t="str">
        <f t="shared" si="118"/>
        <v>Nominal</v>
      </c>
      <c r="H190" s="45" t="str">
        <f t="shared" si="119"/>
        <v>End year</v>
      </c>
      <c r="J190" s="100">
        <f t="shared" ref="J190:T190" si="140">J37+J66+J97+J128+J159</f>
        <v>0</v>
      </c>
      <c r="K190" s="99">
        <f t="shared" si="140"/>
        <v>0</v>
      </c>
      <c r="L190" s="99">
        <f t="shared" si="140"/>
        <v>0</v>
      </c>
      <c r="M190" s="99">
        <f t="shared" si="140"/>
        <v>0</v>
      </c>
      <c r="N190" s="99">
        <f t="shared" si="140"/>
        <v>0</v>
      </c>
      <c r="O190" s="101">
        <f t="shared" si="140"/>
        <v>0</v>
      </c>
      <c r="P190" s="100">
        <f t="shared" si="140"/>
        <v>0</v>
      </c>
      <c r="Q190" s="99">
        <f t="shared" si="140"/>
        <v>0</v>
      </c>
      <c r="R190" s="99">
        <f t="shared" si="140"/>
        <v>0</v>
      </c>
      <c r="S190" s="99">
        <f t="shared" si="140"/>
        <v>0</v>
      </c>
      <c r="T190" s="101">
        <f t="shared" si="140"/>
        <v>0</v>
      </c>
    </row>
    <row r="191" spans="4:20" x14ac:dyDescent="0.35">
      <c r="J191" s="94"/>
      <c r="O191" s="96"/>
      <c r="P191" s="94"/>
      <c r="T191" s="96"/>
    </row>
    <row r="192" spans="4:20" ht="12.3" x14ac:dyDescent="0.35">
      <c r="D192" s="102" t="str">
        <f>"Total "&amp;D169</f>
        <v>Total RAB asset class</v>
      </c>
      <c r="E192" s="103" t="s">
        <v>91</v>
      </c>
      <c r="F192" s="103" t="str">
        <f>F171</f>
        <v>$Millions</v>
      </c>
      <c r="G192" s="103" t="str">
        <f>G171</f>
        <v>Nominal</v>
      </c>
      <c r="H192" s="40" t="str">
        <f>H171</f>
        <v>End year</v>
      </c>
      <c r="J192" s="104">
        <f t="shared" ref="J192:T192" si="141">SUM(J171:J190)</f>
        <v>951.06371773708349</v>
      </c>
      <c r="K192" s="105">
        <f t="shared" si="141"/>
        <v>1001.8691178787608</v>
      </c>
      <c r="L192" s="105">
        <f t="shared" si="141"/>
        <v>1005.8797083374318</v>
      </c>
      <c r="M192" s="105">
        <f t="shared" si="141"/>
        <v>1058.9614087465352</v>
      </c>
      <c r="N192" s="105">
        <f t="shared" si="141"/>
        <v>1177.1883309362365</v>
      </c>
      <c r="O192" s="107">
        <f t="shared" si="141"/>
        <v>1276.0478021929603</v>
      </c>
      <c r="P192" s="104">
        <f t="shared" si="141"/>
        <v>1351.4468651760494</v>
      </c>
      <c r="Q192" s="105">
        <f t="shared" si="141"/>
        <v>1427.0835394956825</v>
      </c>
      <c r="R192" s="105">
        <f t="shared" si="141"/>
        <v>1490.3090802974991</v>
      </c>
      <c r="S192" s="105">
        <f t="shared" si="141"/>
        <v>1583.8950173866008</v>
      </c>
      <c r="T192" s="107">
        <f t="shared" si="141"/>
        <v>1707.1697605523766</v>
      </c>
    </row>
    <row r="193" spans="1:20" ht="11.25" customHeight="1" x14ac:dyDescent="0.35"/>
    <row r="194" spans="1:20" ht="11.25" customHeight="1" x14ac:dyDescent="0.35">
      <c r="A194" s="76">
        <f>IF(SUM($J194:$T194)&lt;&gt;0,1,0)</f>
        <v>0</v>
      </c>
      <c r="D194" s="82" t="s">
        <v>155</v>
      </c>
      <c r="J194" s="76">
        <f t="shared" ref="J194:K194" si="142">IF(ISERROR(J192),1,0)</f>
        <v>0</v>
      </c>
      <c r="K194" s="76">
        <f t="shared" si="142"/>
        <v>0</v>
      </c>
      <c r="L194" s="76">
        <f>IF(ISERROR(L192),1,0)</f>
        <v>0</v>
      </c>
      <c r="M194" s="76">
        <f t="shared" ref="M194:P194" si="143">IF(ISERROR(M192),1,0)</f>
        <v>0</v>
      </c>
      <c r="N194" s="76">
        <f t="shared" si="143"/>
        <v>0</v>
      </c>
      <c r="O194" s="76">
        <f t="shared" si="143"/>
        <v>0</v>
      </c>
      <c r="P194" s="76">
        <f t="shared" si="143"/>
        <v>0</v>
      </c>
      <c r="Q194" s="76">
        <f>IF(ISERROR(Q192),1,0)</f>
        <v>0</v>
      </c>
      <c r="R194" s="76">
        <f t="shared" ref="R194:T194" si="144">IF(ISERROR(R192),1,0)</f>
        <v>0</v>
      </c>
      <c r="S194" s="76">
        <f t="shared" si="144"/>
        <v>0</v>
      </c>
      <c r="T194" s="76">
        <f t="shared" si="144"/>
        <v>0</v>
      </c>
    </row>
    <row r="196" spans="1:20" s="89" customFormat="1" ht="14.1" x14ac:dyDescent="0.35">
      <c r="C196" s="89" t="s">
        <v>407</v>
      </c>
      <c r="H196" s="8"/>
    </row>
    <row r="197" spans="1:20" ht="11.25" customHeight="1" x14ac:dyDescent="0.35"/>
    <row r="198" spans="1:20" ht="12.3" x14ac:dyDescent="0.35">
      <c r="D198" s="90" t="str">
        <f>D$16</f>
        <v>RAB asset class</v>
      </c>
      <c r="E198" s="91" t="str">
        <f>Lookup!E$20</f>
        <v>Source</v>
      </c>
      <c r="F198" s="91" t="str">
        <f>Lookup!F$20</f>
        <v>Unit</v>
      </c>
      <c r="G198" s="91" t="str">
        <f>Lookup!G$20</f>
        <v>Basis</v>
      </c>
      <c r="H198" s="38" t="str">
        <f>Lookup!H$20</f>
        <v>Timing</v>
      </c>
      <c r="J198" s="297" t="str">
        <f t="shared" ref="J198:T198" si="145">J$10</f>
        <v>RY19</v>
      </c>
      <c r="K198" s="91" t="str">
        <f t="shared" si="145"/>
        <v>RY20</v>
      </c>
      <c r="L198" s="91" t="str">
        <f>L$10</f>
        <v>RY21</v>
      </c>
      <c r="M198" s="91" t="str">
        <f t="shared" si="145"/>
        <v>RY22</v>
      </c>
      <c r="N198" s="91" t="str">
        <f t="shared" si="145"/>
        <v>RY23</v>
      </c>
      <c r="O198" s="269" t="str">
        <f t="shared" si="145"/>
        <v>RY24</v>
      </c>
      <c r="P198" s="92" t="str">
        <f t="shared" si="145"/>
        <v>RY25</v>
      </c>
      <c r="Q198" s="91" t="str">
        <f>Q$10</f>
        <v>RY26</v>
      </c>
      <c r="R198" s="91" t="str">
        <f t="shared" si="145"/>
        <v>RY27</v>
      </c>
      <c r="S198" s="91" t="str">
        <f t="shared" si="145"/>
        <v>RY28</v>
      </c>
      <c r="T198" s="93" t="str">
        <f t="shared" si="145"/>
        <v>RY29</v>
      </c>
    </row>
    <row r="199" spans="1:20" x14ac:dyDescent="0.35">
      <c r="J199" s="95"/>
      <c r="O199" s="96"/>
      <c r="P199" s="94"/>
      <c r="T199" s="96"/>
    </row>
    <row r="200" spans="1:20" ht="12.3" x14ac:dyDescent="0.35">
      <c r="D200" s="82" t="str">
        <f t="shared" ref="D200:D218" si="146">D18</f>
        <v>Substations</v>
      </c>
      <c r="E200" s="97" t="s">
        <v>158</v>
      </c>
      <c r="F200" s="97" t="str">
        <f t="shared" ref="F200:F219" si="147">Millions</f>
        <v>$Millions</v>
      </c>
      <c r="G200" s="97" t="str">
        <f t="shared" ref="G200:G219" si="148">Nominal</f>
        <v>Nominal</v>
      </c>
      <c r="H200" s="45" t="str">
        <f t="shared" ref="H200:H219" si="149">End_year</f>
        <v>End year</v>
      </c>
      <c r="J200" s="109">
        <v>-26.678528229365554</v>
      </c>
      <c r="K200" s="291"/>
      <c r="L200" s="292"/>
      <c r="M200" s="292"/>
      <c r="N200" s="292"/>
      <c r="O200" s="111">
        <v>-3.1924871120250886</v>
      </c>
      <c r="P200" s="291"/>
      <c r="Q200" s="292"/>
      <c r="R200" s="292"/>
      <c r="S200" s="292"/>
      <c r="T200" s="293"/>
    </row>
    <row r="201" spans="1:20" ht="12.3" x14ac:dyDescent="0.35">
      <c r="D201" s="82" t="str">
        <f t="shared" si="146"/>
        <v>Distribution Lines</v>
      </c>
      <c r="E201" s="97" t="s">
        <v>158</v>
      </c>
      <c r="F201" s="97" t="str">
        <f t="shared" si="147"/>
        <v>$Millions</v>
      </c>
      <c r="G201" s="97" t="str">
        <f t="shared" si="148"/>
        <v>Nominal</v>
      </c>
      <c r="H201" s="45" t="str">
        <f t="shared" si="149"/>
        <v>End year</v>
      </c>
      <c r="J201" s="109">
        <v>-4.8136174718553084</v>
      </c>
      <c r="K201" s="291"/>
      <c r="L201" s="292"/>
      <c r="M201" s="292"/>
      <c r="N201" s="292"/>
      <c r="O201" s="111">
        <v>-0.26452219824991458</v>
      </c>
      <c r="P201" s="291"/>
      <c r="Q201" s="292"/>
      <c r="R201" s="292"/>
      <c r="S201" s="292"/>
      <c r="T201" s="293"/>
    </row>
    <row r="202" spans="1:20" ht="12.3" x14ac:dyDescent="0.35">
      <c r="D202" s="82" t="str">
        <f t="shared" si="146"/>
        <v>Transmission Lines</v>
      </c>
      <c r="E202" s="97" t="s">
        <v>158</v>
      </c>
      <c r="F202" s="97" t="str">
        <f t="shared" si="147"/>
        <v>$Millions</v>
      </c>
      <c r="G202" s="97" t="str">
        <f t="shared" si="148"/>
        <v>Nominal</v>
      </c>
      <c r="H202" s="45" t="str">
        <f t="shared" si="149"/>
        <v>End year</v>
      </c>
      <c r="J202" s="109">
        <v>1.5437897219319539</v>
      </c>
      <c r="K202" s="291"/>
      <c r="L202" s="292"/>
      <c r="M202" s="292"/>
      <c r="N202" s="292"/>
      <c r="O202" s="111">
        <v>4.2710306878240178</v>
      </c>
      <c r="P202" s="291"/>
      <c r="Q202" s="292"/>
      <c r="R202" s="292"/>
      <c r="S202" s="292"/>
      <c r="T202" s="293"/>
    </row>
    <row r="203" spans="1:20" ht="12.3" x14ac:dyDescent="0.35">
      <c r="D203" s="82" t="str">
        <f t="shared" si="146"/>
        <v>LV Services</v>
      </c>
      <c r="E203" s="97" t="s">
        <v>158</v>
      </c>
      <c r="F203" s="97" t="str">
        <f t="shared" si="147"/>
        <v>$Millions</v>
      </c>
      <c r="G203" s="97" t="str">
        <f t="shared" si="148"/>
        <v>Nominal</v>
      </c>
      <c r="H203" s="45" t="str">
        <f t="shared" si="149"/>
        <v>End year</v>
      </c>
      <c r="J203" s="109">
        <v>1.5509258351880155</v>
      </c>
      <c r="K203" s="291"/>
      <c r="L203" s="292"/>
      <c r="M203" s="292"/>
      <c r="N203" s="292"/>
      <c r="O203" s="111">
        <v>8.6017725287896196E-2</v>
      </c>
      <c r="P203" s="291"/>
      <c r="Q203" s="292"/>
      <c r="R203" s="292"/>
      <c r="S203" s="292"/>
      <c r="T203" s="293"/>
    </row>
    <row r="204" spans="1:20" ht="12.3" x14ac:dyDescent="0.35">
      <c r="D204" s="82" t="str">
        <f t="shared" si="146"/>
        <v>Distribution Substations</v>
      </c>
      <c r="E204" s="97" t="s">
        <v>158</v>
      </c>
      <c r="F204" s="97" t="str">
        <f t="shared" si="147"/>
        <v>$Millions</v>
      </c>
      <c r="G204" s="97" t="str">
        <f t="shared" si="148"/>
        <v>Nominal</v>
      </c>
      <c r="H204" s="45" t="str">
        <f t="shared" si="149"/>
        <v>End year</v>
      </c>
      <c r="J204" s="109">
        <v>4.2667676580033689</v>
      </c>
      <c r="K204" s="291"/>
      <c r="L204" s="292"/>
      <c r="M204" s="292"/>
      <c r="N204" s="292"/>
      <c r="O204" s="111">
        <v>0.29853364437284824</v>
      </c>
      <c r="P204" s="291"/>
      <c r="Q204" s="292"/>
      <c r="R204" s="292"/>
      <c r="S204" s="292"/>
      <c r="T204" s="293"/>
    </row>
    <row r="205" spans="1:20" ht="12.3" x14ac:dyDescent="0.35">
      <c r="D205" s="82" t="str">
        <f t="shared" si="146"/>
        <v>Distribution Switchgear</v>
      </c>
      <c r="E205" s="97" t="s">
        <v>158</v>
      </c>
      <c r="F205" s="97" t="str">
        <f t="shared" si="147"/>
        <v>$Millions</v>
      </c>
      <c r="G205" s="97" t="str">
        <f t="shared" si="148"/>
        <v>Nominal</v>
      </c>
      <c r="H205" s="45" t="str">
        <f t="shared" si="149"/>
        <v>End year</v>
      </c>
      <c r="J205" s="109">
        <v>4.3775442383205228</v>
      </c>
      <c r="K205" s="291"/>
      <c r="L205" s="292"/>
      <c r="M205" s="292"/>
      <c r="N205" s="292"/>
      <c r="O205" s="111">
        <v>-0.84518316461280163</v>
      </c>
      <c r="P205" s="291"/>
      <c r="Q205" s="292"/>
      <c r="R205" s="292"/>
      <c r="S205" s="292"/>
      <c r="T205" s="293"/>
    </row>
    <row r="206" spans="1:20" ht="12.3" x14ac:dyDescent="0.35">
      <c r="D206" s="82" t="str">
        <f t="shared" si="146"/>
        <v>Protection</v>
      </c>
      <c r="E206" s="97" t="s">
        <v>158</v>
      </c>
      <c r="F206" s="97" t="str">
        <f t="shared" si="147"/>
        <v>$Millions</v>
      </c>
      <c r="G206" s="97" t="str">
        <f t="shared" si="148"/>
        <v>Nominal</v>
      </c>
      <c r="H206" s="45" t="str">
        <f t="shared" si="149"/>
        <v>End year</v>
      </c>
      <c r="J206" s="109">
        <v>8.2724221304934424</v>
      </c>
      <c r="K206" s="291"/>
      <c r="L206" s="292"/>
      <c r="M206" s="292"/>
      <c r="N206" s="292"/>
      <c r="O206" s="111">
        <v>-3.0769373938661335</v>
      </c>
      <c r="P206" s="291"/>
      <c r="Q206" s="292"/>
      <c r="R206" s="292"/>
      <c r="S206" s="292"/>
      <c r="T206" s="293"/>
    </row>
    <row r="207" spans="1:20" ht="12.3" x14ac:dyDescent="0.35">
      <c r="D207" s="82" t="str">
        <f t="shared" si="146"/>
        <v>SCADA</v>
      </c>
      <c r="E207" s="97" t="s">
        <v>158</v>
      </c>
      <c r="F207" s="97" t="str">
        <f t="shared" si="147"/>
        <v>$Millions</v>
      </c>
      <c r="G207" s="97" t="str">
        <f t="shared" si="148"/>
        <v>Nominal</v>
      </c>
      <c r="H207" s="45" t="str">
        <f t="shared" si="149"/>
        <v>End year</v>
      </c>
      <c r="J207" s="109">
        <v>3.8692786435490318</v>
      </c>
      <c r="K207" s="291"/>
      <c r="L207" s="292"/>
      <c r="M207" s="292"/>
      <c r="N207" s="292"/>
      <c r="O207" s="111">
        <v>-0.96079139595229102</v>
      </c>
      <c r="P207" s="291"/>
      <c r="Q207" s="292"/>
      <c r="R207" s="292"/>
      <c r="S207" s="292"/>
      <c r="T207" s="293"/>
    </row>
    <row r="208" spans="1:20" ht="12.3" x14ac:dyDescent="0.35">
      <c r="D208" s="82" t="str">
        <f t="shared" si="146"/>
        <v>Communications</v>
      </c>
      <c r="E208" s="97" t="s">
        <v>158</v>
      </c>
      <c r="F208" s="97" t="str">
        <f t="shared" si="147"/>
        <v>$Millions</v>
      </c>
      <c r="G208" s="97" t="str">
        <f t="shared" si="148"/>
        <v>Nominal</v>
      </c>
      <c r="H208" s="45" t="str">
        <f t="shared" si="149"/>
        <v>End year</v>
      </c>
      <c r="J208" s="109">
        <v>-0.24421560644480911</v>
      </c>
      <c r="K208" s="291"/>
      <c r="L208" s="292"/>
      <c r="M208" s="292"/>
      <c r="N208" s="292"/>
      <c r="O208" s="111">
        <v>1.7444168089882186</v>
      </c>
      <c r="P208" s="291"/>
      <c r="Q208" s="292"/>
      <c r="R208" s="292"/>
      <c r="S208" s="292"/>
      <c r="T208" s="293"/>
    </row>
    <row r="209" spans="1:20" ht="12.3" x14ac:dyDescent="0.35">
      <c r="D209" s="82" t="str">
        <f t="shared" si="146"/>
        <v>Land and Easements</v>
      </c>
      <c r="E209" s="97" t="s">
        <v>158</v>
      </c>
      <c r="F209" s="97" t="str">
        <f t="shared" si="147"/>
        <v>$Millions</v>
      </c>
      <c r="G209" s="97" t="str">
        <f t="shared" si="148"/>
        <v>Nominal</v>
      </c>
      <c r="H209" s="45" t="str">
        <f t="shared" si="149"/>
        <v>End year</v>
      </c>
      <c r="J209" s="109">
        <v>8.14378068284854</v>
      </c>
      <c r="K209" s="291"/>
      <c r="L209" s="292"/>
      <c r="M209" s="292"/>
      <c r="N209" s="292"/>
      <c r="O209" s="111">
        <v>0.17562883121777981</v>
      </c>
      <c r="P209" s="291"/>
      <c r="Q209" s="292"/>
      <c r="R209" s="292"/>
      <c r="S209" s="292"/>
      <c r="T209" s="293"/>
    </row>
    <row r="210" spans="1:20" ht="12.3" x14ac:dyDescent="0.35">
      <c r="D210" s="82" t="str">
        <f t="shared" si="146"/>
        <v>Property</v>
      </c>
      <c r="E210" s="97" t="s">
        <v>158</v>
      </c>
      <c r="F210" s="97" t="str">
        <f t="shared" si="147"/>
        <v>$Millions</v>
      </c>
      <c r="G210" s="97" t="str">
        <f t="shared" si="148"/>
        <v>Nominal</v>
      </c>
      <c r="H210" s="45" t="str">
        <f t="shared" si="149"/>
        <v>End year</v>
      </c>
      <c r="J210" s="109">
        <v>9.9675703753806477</v>
      </c>
      <c r="K210" s="291"/>
      <c r="L210" s="292"/>
      <c r="M210" s="292"/>
      <c r="N210" s="292"/>
      <c r="O210" s="111">
        <v>4.2417320709821826</v>
      </c>
      <c r="P210" s="291"/>
      <c r="Q210" s="292"/>
      <c r="R210" s="292"/>
      <c r="S210" s="292"/>
      <c r="T210" s="293"/>
    </row>
    <row r="211" spans="1:20" ht="12.3" x14ac:dyDescent="0.35">
      <c r="D211" s="82" t="str">
        <f t="shared" si="146"/>
        <v>IT and Communications</v>
      </c>
      <c r="E211" s="97" t="s">
        <v>158</v>
      </c>
      <c r="F211" s="97" t="str">
        <f t="shared" si="147"/>
        <v>$Millions</v>
      </c>
      <c r="G211" s="97" t="str">
        <f t="shared" si="148"/>
        <v>Nominal</v>
      </c>
      <c r="H211" s="45" t="str">
        <f t="shared" si="149"/>
        <v>End year</v>
      </c>
      <c r="J211" s="109">
        <v>1.0208192447411564</v>
      </c>
      <c r="K211" s="291"/>
      <c r="L211" s="292"/>
      <c r="M211" s="292"/>
      <c r="N211" s="292"/>
      <c r="O211" s="111">
        <v>-6.6428514690868745E-2</v>
      </c>
      <c r="P211" s="291"/>
      <c r="Q211" s="292"/>
      <c r="R211" s="292"/>
      <c r="S211" s="292"/>
      <c r="T211" s="293"/>
    </row>
    <row r="212" spans="1:20" ht="12.3" x14ac:dyDescent="0.35">
      <c r="D212" s="82" t="str">
        <f t="shared" si="146"/>
        <v>Motor Vehicles</v>
      </c>
      <c r="E212" s="97" t="s">
        <v>158</v>
      </c>
      <c r="F212" s="97" t="str">
        <f t="shared" si="147"/>
        <v>$Millions</v>
      </c>
      <c r="G212" s="97" t="str">
        <f t="shared" si="148"/>
        <v>Nominal</v>
      </c>
      <c r="H212" s="45" t="str">
        <f t="shared" si="149"/>
        <v>End year</v>
      </c>
      <c r="J212" s="109">
        <v>0.227260820654137</v>
      </c>
      <c r="K212" s="291"/>
      <c r="L212" s="292"/>
      <c r="M212" s="292"/>
      <c r="N212" s="292"/>
      <c r="O212" s="111">
        <v>4.522327818663887E-2</v>
      </c>
      <c r="P212" s="291"/>
      <c r="Q212" s="292"/>
      <c r="R212" s="292"/>
      <c r="S212" s="292"/>
      <c r="T212" s="293"/>
    </row>
    <row r="213" spans="1:20" ht="12.3" x14ac:dyDescent="0.35">
      <c r="D213" s="82" t="str">
        <f t="shared" si="146"/>
        <v>Plant and Equipment</v>
      </c>
      <c r="E213" s="97" t="s">
        <v>158</v>
      </c>
      <c r="F213" s="97" t="str">
        <f t="shared" si="147"/>
        <v>$Millions</v>
      </c>
      <c r="G213" s="97" t="str">
        <f t="shared" si="148"/>
        <v>Nominal</v>
      </c>
      <c r="H213" s="45" t="str">
        <f t="shared" si="149"/>
        <v>End year</v>
      </c>
      <c r="J213" s="109">
        <v>-0.61478424213028826</v>
      </c>
      <c r="K213" s="291"/>
      <c r="L213" s="292"/>
      <c r="M213" s="292"/>
      <c r="N213" s="292"/>
      <c r="O213" s="111">
        <v>1.0229714996993133</v>
      </c>
      <c r="P213" s="291"/>
      <c r="Q213" s="292"/>
      <c r="R213" s="292"/>
      <c r="S213" s="292"/>
      <c r="T213" s="293"/>
    </row>
    <row r="214" spans="1:20" ht="12.3" x14ac:dyDescent="0.35">
      <c r="D214" s="82" t="str">
        <f t="shared" si="146"/>
        <v>Property Leases</v>
      </c>
      <c r="E214" s="97" t="s">
        <v>158</v>
      </c>
      <c r="F214" s="97" t="str">
        <f t="shared" si="147"/>
        <v>$Millions</v>
      </c>
      <c r="G214" s="97" t="str">
        <f t="shared" si="148"/>
        <v>Nominal</v>
      </c>
      <c r="H214" s="45" t="str">
        <f t="shared" si="149"/>
        <v>End year</v>
      </c>
      <c r="J214" s="109">
        <v>0</v>
      </c>
      <c r="K214" s="291"/>
      <c r="L214" s="292"/>
      <c r="M214" s="292"/>
      <c r="N214" s="292"/>
      <c r="O214" s="111">
        <v>0</v>
      </c>
      <c r="P214" s="291"/>
      <c r="Q214" s="292"/>
      <c r="R214" s="292"/>
      <c r="S214" s="292"/>
      <c r="T214" s="293"/>
    </row>
    <row r="215" spans="1:20" ht="12.3" x14ac:dyDescent="0.35">
      <c r="D215" s="82" t="str">
        <f t="shared" si="146"/>
        <v>Fleet Leases</v>
      </c>
      <c r="E215" s="97" t="s">
        <v>158</v>
      </c>
      <c r="F215" s="97" t="str">
        <f t="shared" si="147"/>
        <v>$Millions</v>
      </c>
      <c r="G215" s="97" t="str">
        <f t="shared" si="148"/>
        <v>Nominal</v>
      </c>
      <c r="H215" s="45" t="str">
        <f t="shared" si="149"/>
        <v>End year</v>
      </c>
      <c r="J215" s="109"/>
      <c r="K215" s="291"/>
      <c r="L215" s="292"/>
      <c r="M215" s="292"/>
      <c r="N215" s="292"/>
      <c r="O215" s="111">
        <v>0</v>
      </c>
      <c r="P215" s="291"/>
      <c r="Q215" s="292"/>
      <c r="R215" s="292"/>
      <c r="S215" s="292"/>
      <c r="T215" s="293"/>
    </row>
    <row r="216" spans="1:20" ht="12.3" x14ac:dyDescent="0.35">
      <c r="D216" s="82" t="str">
        <f t="shared" si="146"/>
        <v>Community Batteries</v>
      </c>
      <c r="E216" s="97" t="s">
        <v>158</v>
      </c>
      <c r="F216" s="97" t="str">
        <f t="shared" si="147"/>
        <v>$Millions</v>
      </c>
      <c r="G216" s="97" t="str">
        <f t="shared" si="148"/>
        <v>Nominal</v>
      </c>
      <c r="H216" s="45" t="str">
        <f t="shared" si="149"/>
        <v>End year</v>
      </c>
      <c r="J216" s="294"/>
      <c r="K216" s="291"/>
      <c r="L216" s="292"/>
      <c r="M216" s="292"/>
      <c r="N216" s="292"/>
      <c r="O216" s="293"/>
      <c r="P216" s="291"/>
      <c r="Q216" s="292"/>
      <c r="R216" s="292"/>
      <c r="S216" s="292"/>
      <c r="T216" s="293"/>
    </row>
    <row r="217" spans="1:20" ht="12.3" x14ac:dyDescent="0.35">
      <c r="D217" s="82" t="str">
        <f t="shared" si="146"/>
        <v>Buildings</v>
      </c>
      <c r="E217" s="97" t="s">
        <v>158</v>
      </c>
      <c r="F217" s="97" t="str">
        <f t="shared" si="147"/>
        <v>$Millions</v>
      </c>
      <c r="G217" s="97" t="str">
        <f t="shared" si="148"/>
        <v>Nominal</v>
      </c>
      <c r="H217" s="45" t="str">
        <f t="shared" si="149"/>
        <v>End year</v>
      </c>
      <c r="J217" s="109"/>
      <c r="K217" s="291"/>
      <c r="L217" s="292"/>
      <c r="M217" s="292"/>
      <c r="N217" s="292"/>
      <c r="O217" s="111">
        <v>0</v>
      </c>
      <c r="P217" s="291"/>
      <c r="Q217" s="292"/>
      <c r="R217" s="292"/>
      <c r="S217" s="292"/>
      <c r="T217" s="293"/>
    </row>
    <row r="218" spans="1:20" ht="12.3" x14ac:dyDescent="0.35">
      <c r="D218" s="82" t="str">
        <f t="shared" si="146"/>
        <v>in-house software</v>
      </c>
      <c r="E218" s="97" t="s">
        <v>158</v>
      </c>
      <c r="F218" s="97" t="str">
        <f t="shared" si="147"/>
        <v>$Millions</v>
      </c>
      <c r="G218" s="97" t="str">
        <f t="shared" si="148"/>
        <v>Nominal</v>
      </c>
      <c r="H218" s="45" t="str">
        <f t="shared" si="149"/>
        <v>End year</v>
      </c>
      <c r="J218" s="109"/>
      <c r="K218" s="291"/>
      <c r="L218" s="292"/>
      <c r="M218" s="292"/>
      <c r="N218" s="292"/>
      <c r="O218" s="111">
        <v>0</v>
      </c>
      <c r="P218" s="291"/>
      <c r="Q218" s="292"/>
      <c r="R218" s="292"/>
      <c r="S218" s="292"/>
      <c r="T218" s="293"/>
    </row>
    <row r="219" spans="1:20" ht="12.3" x14ac:dyDescent="0.35">
      <c r="D219" s="82" t="str">
        <f t="shared" ref="D219" si="150">D37</f>
        <v>Equity Raising Costs</v>
      </c>
      <c r="E219" s="97" t="s">
        <v>158</v>
      </c>
      <c r="F219" s="97" t="str">
        <f t="shared" si="147"/>
        <v>$Millions</v>
      </c>
      <c r="G219" s="97" t="str">
        <f t="shared" si="148"/>
        <v>Nominal</v>
      </c>
      <c r="H219" s="45" t="str">
        <f t="shared" si="149"/>
        <v>End year</v>
      </c>
      <c r="J219" s="109"/>
      <c r="K219" s="291"/>
      <c r="L219" s="292"/>
      <c r="M219" s="292"/>
      <c r="N219" s="292"/>
      <c r="O219" s="111">
        <v>0</v>
      </c>
      <c r="P219" s="291"/>
      <c r="Q219" s="292"/>
      <c r="R219" s="292"/>
      <c r="S219" s="292"/>
      <c r="T219" s="293"/>
    </row>
    <row r="220" spans="1:20" x14ac:dyDescent="0.35">
      <c r="J220" s="95"/>
      <c r="O220" s="96"/>
      <c r="P220" s="94"/>
      <c r="T220" s="96"/>
    </row>
    <row r="221" spans="1:20" ht="12.3" x14ac:dyDescent="0.35">
      <c r="D221" s="102" t="str">
        <f>"Total "&amp;D198</f>
        <v>Total RAB asset class</v>
      </c>
      <c r="E221" s="103" t="s">
        <v>91</v>
      </c>
      <c r="F221" s="103" t="str">
        <f>F200</f>
        <v>$Millions</v>
      </c>
      <c r="G221" s="103" t="str">
        <f>G200</f>
        <v>Nominal</v>
      </c>
      <c r="H221" s="40" t="str">
        <f>H200</f>
        <v>End year</v>
      </c>
      <c r="J221" s="106">
        <f t="shared" ref="J221:T221" si="151">SUM(J200:J219)</f>
        <v>10.889013801314857</v>
      </c>
      <c r="K221" s="105">
        <f t="shared" si="151"/>
        <v>0</v>
      </c>
      <c r="L221" s="105">
        <f t="shared" si="151"/>
        <v>0</v>
      </c>
      <c r="M221" s="105">
        <f t="shared" si="151"/>
        <v>0</v>
      </c>
      <c r="N221" s="105">
        <f t="shared" si="151"/>
        <v>0</v>
      </c>
      <c r="O221" s="107">
        <f t="shared" si="151"/>
        <v>3.4792047671617974</v>
      </c>
      <c r="P221" s="104">
        <f t="shared" si="151"/>
        <v>0</v>
      </c>
      <c r="Q221" s="105">
        <f t="shared" si="151"/>
        <v>0</v>
      </c>
      <c r="R221" s="105">
        <f t="shared" si="151"/>
        <v>0</v>
      </c>
      <c r="S221" s="105">
        <f t="shared" si="151"/>
        <v>0</v>
      </c>
      <c r="T221" s="107">
        <f t="shared" si="151"/>
        <v>0</v>
      </c>
    </row>
    <row r="222" spans="1:20" ht="11.25" customHeight="1" x14ac:dyDescent="0.35"/>
    <row r="223" spans="1:20" ht="11.25" customHeight="1" x14ac:dyDescent="0.35">
      <c r="A223" s="76">
        <f>IF(SUM($J223:$T223)&lt;&gt;0,1,0)</f>
        <v>0</v>
      </c>
      <c r="D223" s="82" t="s">
        <v>155</v>
      </c>
      <c r="J223" s="76">
        <f t="shared" ref="J223:K223" si="152">IF(ISERROR(J221),1,0)</f>
        <v>0</v>
      </c>
      <c r="K223" s="76">
        <f t="shared" si="152"/>
        <v>0</v>
      </c>
      <c r="L223" s="76">
        <f>IF(ISERROR(L221),1,0)</f>
        <v>0</v>
      </c>
      <c r="M223" s="76">
        <f t="shared" ref="M223:P223" si="153">IF(ISERROR(M221),1,0)</f>
        <v>0</v>
      </c>
      <c r="N223" s="76">
        <f t="shared" si="153"/>
        <v>0</v>
      </c>
      <c r="O223" s="76">
        <f t="shared" si="153"/>
        <v>0</v>
      </c>
      <c r="P223" s="76">
        <f t="shared" si="153"/>
        <v>0</v>
      </c>
      <c r="Q223" s="76">
        <f>IF(ISERROR(Q221),1,0)</f>
        <v>0</v>
      </c>
      <c r="R223" s="76">
        <f t="shared" ref="R223:T223" si="154">IF(ISERROR(R221),1,0)</f>
        <v>0</v>
      </c>
      <c r="S223" s="76">
        <f t="shared" si="154"/>
        <v>0</v>
      </c>
      <c r="T223" s="76">
        <f t="shared" si="154"/>
        <v>0</v>
      </c>
    </row>
    <row r="224" spans="1:20" ht="11.25" customHeight="1" x14ac:dyDescent="0.35">
      <c r="A224" s="76"/>
      <c r="D224" s="82"/>
      <c r="J224" s="109">
        <v>10.889013801314853</v>
      </c>
      <c r="K224" s="113" t="str">
        <f t="shared" ref="K224:N225" si="155">NA</f>
        <v>N/A</v>
      </c>
      <c r="L224" s="76" t="str">
        <f t="shared" si="155"/>
        <v>N/A</v>
      </c>
      <c r="M224" s="76" t="str">
        <f t="shared" si="155"/>
        <v>N/A</v>
      </c>
      <c r="N224" s="76" t="str">
        <f t="shared" si="155"/>
        <v>N/A</v>
      </c>
      <c r="O224" s="111">
        <v>3.4792047671617983</v>
      </c>
      <c r="P224" s="113" t="str">
        <f t="shared" ref="P224:T225" si="156">NA</f>
        <v>N/A</v>
      </c>
      <c r="Q224" s="76" t="str">
        <f t="shared" si="156"/>
        <v>N/A</v>
      </c>
      <c r="R224" s="76" t="str">
        <f t="shared" si="156"/>
        <v>N/A</v>
      </c>
      <c r="S224" s="76" t="str">
        <f t="shared" si="156"/>
        <v>N/A</v>
      </c>
      <c r="T224" s="114" t="str">
        <f t="shared" si="156"/>
        <v>N/A</v>
      </c>
    </row>
    <row r="225" spans="1:20" ht="11.25" customHeight="1" x14ac:dyDescent="0.35">
      <c r="A225" s="76">
        <f>IF(SUM($J225:$T225)&lt;&gt;0,1,0)</f>
        <v>0</v>
      </c>
      <c r="D225" s="82" t="s">
        <v>156</v>
      </c>
      <c r="J225" s="113">
        <f>IF(ROUND(J224-J221,2)=0,0,1)</f>
        <v>0</v>
      </c>
      <c r="K225" s="113" t="str">
        <f t="shared" si="155"/>
        <v>N/A</v>
      </c>
      <c r="L225" s="76" t="str">
        <f t="shared" si="155"/>
        <v>N/A</v>
      </c>
      <c r="M225" s="76" t="str">
        <f t="shared" si="155"/>
        <v>N/A</v>
      </c>
      <c r="N225" s="76" t="str">
        <f t="shared" si="155"/>
        <v>N/A</v>
      </c>
      <c r="O225" s="114">
        <f t="shared" ref="O225" si="157">IF(ROUND(O224-O221,2)=0,0,1)</f>
        <v>0</v>
      </c>
      <c r="P225" s="113" t="str">
        <f t="shared" si="156"/>
        <v>N/A</v>
      </c>
      <c r="Q225" s="76" t="str">
        <f t="shared" si="156"/>
        <v>N/A</v>
      </c>
      <c r="R225" s="76" t="str">
        <f t="shared" si="156"/>
        <v>N/A</v>
      </c>
      <c r="S225" s="76" t="str">
        <f t="shared" si="156"/>
        <v>N/A</v>
      </c>
      <c r="T225" s="114" t="str">
        <f t="shared" si="156"/>
        <v>N/A</v>
      </c>
    </row>
    <row r="227" spans="1:20" s="89" customFormat="1" ht="14.1" x14ac:dyDescent="0.35">
      <c r="C227" s="89" t="s">
        <v>127</v>
      </c>
      <c r="H227" s="8"/>
    </row>
    <row r="228" spans="1:20" ht="11.25" customHeight="1" x14ac:dyDescent="0.35"/>
    <row r="229" spans="1:20" ht="12.3" x14ac:dyDescent="0.35">
      <c r="D229" s="90" t="str">
        <f>D$16</f>
        <v>RAB asset class</v>
      </c>
      <c r="E229" s="91" t="str">
        <f>Lookup!E$20</f>
        <v>Source</v>
      </c>
      <c r="F229" s="91" t="str">
        <f>Lookup!F$20</f>
        <v>Unit</v>
      </c>
      <c r="G229" s="91" t="str">
        <f>Lookup!G$20</f>
        <v>Basis</v>
      </c>
      <c r="H229" s="38" t="str">
        <f>Lookup!H$20</f>
        <v>Timing</v>
      </c>
      <c r="J229" s="92" t="str">
        <f t="shared" ref="J229:T229" si="158">J$10</f>
        <v>RY19</v>
      </c>
      <c r="K229" s="91" t="str">
        <f t="shared" si="158"/>
        <v>RY20</v>
      </c>
      <c r="L229" s="91" t="str">
        <f>L$10</f>
        <v>RY21</v>
      </c>
      <c r="M229" s="91" t="str">
        <f t="shared" si="158"/>
        <v>RY22</v>
      </c>
      <c r="N229" s="91" t="str">
        <f t="shared" si="158"/>
        <v>RY23</v>
      </c>
      <c r="O229" s="93" t="str">
        <f t="shared" si="158"/>
        <v>RY24</v>
      </c>
      <c r="P229" s="92" t="str">
        <f t="shared" si="158"/>
        <v>RY25</v>
      </c>
      <c r="Q229" s="91" t="str">
        <f>Q$10</f>
        <v>RY26</v>
      </c>
      <c r="R229" s="91" t="str">
        <f t="shared" si="158"/>
        <v>RY27</v>
      </c>
      <c r="S229" s="91" t="str">
        <f t="shared" si="158"/>
        <v>RY28</v>
      </c>
      <c r="T229" s="93" t="str">
        <f t="shared" si="158"/>
        <v>RY29</v>
      </c>
    </row>
    <row r="230" spans="1:20" x14ac:dyDescent="0.35">
      <c r="J230" s="94"/>
      <c r="O230" s="96"/>
      <c r="P230" s="94"/>
      <c r="T230" s="96"/>
    </row>
    <row r="231" spans="1:20" ht="12.3" x14ac:dyDescent="0.35">
      <c r="D231" s="82" t="str">
        <f t="shared" ref="D231:D249" si="159">D18</f>
        <v>Substations</v>
      </c>
      <c r="E231" s="97" t="s">
        <v>91</v>
      </c>
      <c r="F231" s="97" t="str">
        <f t="shared" ref="F231:F250" si="160">Millions</f>
        <v>$Millions</v>
      </c>
      <c r="G231" s="97" t="str">
        <f t="shared" ref="G231:G250" si="161">Nominal</f>
        <v>Nominal</v>
      </c>
      <c r="H231" s="45" t="str">
        <f t="shared" ref="H231:H250" si="162">End_year</f>
        <v>End year</v>
      </c>
      <c r="J231" s="100">
        <f t="shared" ref="J231:T231" si="163">J171+J200</f>
        <v>268.56921362647154</v>
      </c>
      <c r="K231" s="99">
        <f t="shared" si="163"/>
        <v>273.91279026633384</v>
      </c>
      <c r="L231" s="99">
        <f t="shared" si="163"/>
        <v>269.77621313494836</v>
      </c>
      <c r="M231" s="99">
        <f t="shared" si="163"/>
        <v>271.0040939068233</v>
      </c>
      <c r="N231" s="99">
        <f t="shared" si="163"/>
        <v>285.24939154493137</v>
      </c>
      <c r="O231" s="101">
        <f t="shared" si="163"/>
        <v>295.46542520242537</v>
      </c>
      <c r="P231" s="100">
        <f t="shared" si="163"/>
        <v>301.20458656271086</v>
      </c>
      <c r="Q231" s="99">
        <f t="shared" si="163"/>
        <v>303.82385306222454</v>
      </c>
      <c r="R231" s="99">
        <f t="shared" si="163"/>
        <v>292.61022492292562</v>
      </c>
      <c r="S231" s="99">
        <f t="shared" si="163"/>
        <v>279.67713195694216</v>
      </c>
      <c r="T231" s="101">
        <f t="shared" si="163"/>
        <v>265.80135695623346</v>
      </c>
    </row>
    <row r="232" spans="1:20" ht="12.3" x14ac:dyDescent="0.35">
      <c r="D232" s="82" t="str">
        <f t="shared" si="159"/>
        <v>Distribution Lines</v>
      </c>
      <c r="E232" s="97" t="s">
        <v>91</v>
      </c>
      <c r="F232" s="97" t="str">
        <f t="shared" si="160"/>
        <v>$Millions</v>
      </c>
      <c r="G232" s="97" t="str">
        <f t="shared" si="161"/>
        <v>Nominal</v>
      </c>
      <c r="H232" s="45" t="str">
        <f t="shared" si="162"/>
        <v>End year</v>
      </c>
      <c r="J232" s="100">
        <f t="shared" ref="J232:T232" si="164">J172+J201</f>
        <v>241.97110211260576</v>
      </c>
      <c r="K232" s="99">
        <f t="shared" si="164"/>
        <v>246.68710684429169</v>
      </c>
      <c r="L232" s="99">
        <f t="shared" si="164"/>
        <v>250.02037543764951</v>
      </c>
      <c r="M232" s="99">
        <f t="shared" si="164"/>
        <v>268.12830042198436</v>
      </c>
      <c r="N232" s="99">
        <f t="shared" si="164"/>
        <v>307.46003927912983</v>
      </c>
      <c r="O232" s="101">
        <f t="shared" si="164"/>
        <v>334.97219676809812</v>
      </c>
      <c r="P232" s="100">
        <f t="shared" si="164"/>
        <v>352.72642240492729</v>
      </c>
      <c r="Q232" s="99">
        <f t="shared" si="164"/>
        <v>372.93965604481053</v>
      </c>
      <c r="R232" s="99">
        <f t="shared" si="164"/>
        <v>393.68910473988325</v>
      </c>
      <c r="S232" s="99">
        <f t="shared" si="164"/>
        <v>411.5682958534606</v>
      </c>
      <c r="T232" s="101">
        <f t="shared" si="164"/>
        <v>430.02764078002747</v>
      </c>
    </row>
    <row r="233" spans="1:20" ht="12.3" x14ac:dyDescent="0.35">
      <c r="D233" s="82" t="str">
        <f t="shared" si="159"/>
        <v>Transmission Lines</v>
      </c>
      <c r="E233" s="97" t="s">
        <v>91</v>
      </c>
      <c r="F233" s="97" t="str">
        <f t="shared" si="160"/>
        <v>$Millions</v>
      </c>
      <c r="G233" s="97" t="str">
        <f t="shared" si="161"/>
        <v>Nominal</v>
      </c>
      <c r="H233" s="45" t="str">
        <f t="shared" si="162"/>
        <v>End year</v>
      </c>
      <c r="J233" s="100">
        <f t="shared" ref="J233:T233" si="165">J173+J202</f>
        <v>177.74572717022866</v>
      </c>
      <c r="K233" s="99">
        <f t="shared" si="165"/>
        <v>175.43506757109449</v>
      </c>
      <c r="L233" s="99">
        <f t="shared" si="165"/>
        <v>171.8898895972944</v>
      </c>
      <c r="M233" s="99">
        <f t="shared" si="165"/>
        <v>173.51494534151189</v>
      </c>
      <c r="N233" s="99">
        <f t="shared" si="165"/>
        <v>183.30335340718091</v>
      </c>
      <c r="O233" s="101">
        <f t="shared" si="165"/>
        <v>193.9635883151025</v>
      </c>
      <c r="P233" s="100">
        <f t="shared" si="165"/>
        <v>194.96429976036262</v>
      </c>
      <c r="Q233" s="99">
        <f t="shared" si="165"/>
        <v>199.68833826689925</v>
      </c>
      <c r="R233" s="99">
        <f t="shared" si="165"/>
        <v>199.78554739725411</v>
      </c>
      <c r="S233" s="99">
        <f t="shared" si="165"/>
        <v>198.55340436775612</v>
      </c>
      <c r="T233" s="101">
        <f t="shared" si="165"/>
        <v>197.05370806139175</v>
      </c>
    </row>
    <row r="234" spans="1:20" ht="12.3" x14ac:dyDescent="0.35">
      <c r="D234" s="82" t="str">
        <f t="shared" si="159"/>
        <v>LV Services</v>
      </c>
      <c r="E234" s="97" t="s">
        <v>91</v>
      </c>
      <c r="F234" s="97" t="str">
        <f t="shared" si="160"/>
        <v>$Millions</v>
      </c>
      <c r="G234" s="97" t="str">
        <f t="shared" si="161"/>
        <v>Nominal</v>
      </c>
      <c r="H234" s="45" t="str">
        <f t="shared" si="162"/>
        <v>End year</v>
      </c>
      <c r="J234" s="100">
        <f t="shared" ref="J234:T234" si="166">J174+J203</f>
        <v>8.2983005915694505</v>
      </c>
      <c r="K234" s="99">
        <f t="shared" si="166"/>
        <v>8.9446488145072163</v>
      </c>
      <c r="L234" s="99">
        <f t="shared" si="166"/>
        <v>9.9343749748679464</v>
      </c>
      <c r="M234" s="99">
        <f t="shared" si="166"/>
        <v>12.272442983021641</v>
      </c>
      <c r="N234" s="99">
        <f t="shared" si="166"/>
        <v>14.545779628579101</v>
      </c>
      <c r="O234" s="101">
        <f t="shared" si="166"/>
        <v>16.689333315000248</v>
      </c>
      <c r="P234" s="100">
        <f t="shared" si="166"/>
        <v>21.319976720847901</v>
      </c>
      <c r="Q234" s="99">
        <f t="shared" si="166"/>
        <v>26.218532058189794</v>
      </c>
      <c r="R234" s="99">
        <f t="shared" si="166"/>
        <v>31.369733095997109</v>
      </c>
      <c r="S234" s="99">
        <f t="shared" si="166"/>
        <v>36.772882479649041</v>
      </c>
      <c r="T234" s="101">
        <f t="shared" si="166"/>
        <v>42.44998794394904</v>
      </c>
    </row>
    <row r="235" spans="1:20" ht="12.3" x14ac:dyDescent="0.35">
      <c r="D235" s="82" t="str">
        <f t="shared" si="159"/>
        <v>Distribution Substations</v>
      </c>
      <c r="E235" s="97" t="s">
        <v>91</v>
      </c>
      <c r="F235" s="97" t="str">
        <f t="shared" si="160"/>
        <v>$Millions</v>
      </c>
      <c r="G235" s="97" t="str">
        <f t="shared" si="161"/>
        <v>Nominal</v>
      </c>
      <c r="H235" s="45" t="str">
        <f t="shared" si="162"/>
        <v>End year</v>
      </c>
      <c r="J235" s="100">
        <f t="shared" ref="J235:T235" si="167">J175+J204</f>
        <v>100.69127571191727</v>
      </c>
      <c r="K235" s="99">
        <f t="shared" si="167"/>
        <v>102.35072770488213</v>
      </c>
      <c r="L235" s="99">
        <f t="shared" si="167"/>
        <v>102.89474061545894</v>
      </c>
      <c r="M235" s="99">
        <f t="shared" si="167"/>
        <v>107.32108118798307</v>
      </c>
      <c r="N235" s="99">
        <f t="shared" si="167"/>
        <v>114.2498681140345</v>
      </c>
      <c r="O235" s="101">
        <f t="shared" si="167"/>
        <v>118.16558347378378</v>
      </c>
      <c r="P235" s="100">
        <f t="shared" si="167"/>
        <v>120.7551181585178</v>
      </c>
      <c r="Q235" s="99">
        <f t="shared" si="167"/>
        <v>123.49064073585251</v>
      </c>
      <c r="R235" s="99">
        <f t="shared" si="167"/>
        <v>126.35386219117487</v>
      </c>
      <c r="S235" s="99">
        <f t="shared" si="167"/>
        <v>129.34045774451144</v>
      </c>
      <c r="T235" s="101">
        <f t="shared" si="167"/>
        <v>132.47040641677197</v>
      </c>
    </row>
    <row r="236" spans="1:20" ht="12.3" x14ac:dyDescent="0.35">
      <c r="D236" s="82" t="str">
        <f t="shared" si="159"/>
        <v>Distribution Switchgear</v>
      </c>
      <c r="E236" s="97" t="s">
        <v>91</v>
      </c>
      <c r="F236" s="97" t="str">
        <f t="shared" si="160"/>
        <v>$Millions</v>
      </c>
      <c r="G236" s="97" t="str">
        <f t="shared" si="161"/>
        <v>Nominal</v>
      </c>
      <c r="H236" s="45" t="str">
        <f t="shared" si="162"/>
        <v>End year</v>
      </c>
      <c r="J236" s="100">
        <f t="shared" ref="J236:T236" si="168">J176+J205</f>
        <v>41.127491404060144</v>
      </c>
      <c r="K236" s="99">
        <f t="shared" si="168"/>
        <v>42.410027186854585</v>
      </c>
      <c r="L236" s="99">
        <f t="shared" si="168"/>
        <v>44.242466238115142</v>
      </c>
      <c r="M236" s="99">
        <f t="shared" si="168"/>
        <v>46.829300397597045</v>
      </c>
      <c r="N236" s="99">
        <f t="shared" si="168"/>
        <v>52.930677428417169</v>
      </c>
      <c r="O236" s="101">
        <f t="shared" si="168"/>
        <v>55.951672225894441</v>
      </c>
      <c r="P236" s="100">
        <f t="shared" si="168"/>
        <v>61.180266013784369</v>
      </c>
      <c r="Q236" s="99">
        <f t="shared" si="168"/>
        <v>66.725176868560837</v>
      </c>
      <c r="R236" s="99">
        <f t="shared" si="168"/>
        <v>72.573555299551643</v>
      </c>
      <c r="S236" s="99">
        <f t="shared" si="168"/>
        <v>78.72781387975094</v>
      </c>
      <c r="T236" s="101">
        <f t="shared" si="168"/>
        <v>85.215382656502626</v>
      </c>
    </row>
    <row r="237" spans="1:20" ht="12.3" x14ac:dyDescent="0.35">
      <c r="D237" s="82" t="str">
        <f t="shared" si="159"/>
        <v>Protection</v>
      </c>
      <c r="E237" s="97" t="s">
        <v>91</v>
      </c>
      <c r="F237" s="97" t="str">
        <f t="shared" si="160"/>
        <v>$Millions</v>
      </c>
      <c r="G237" s="97" t="str">
        <f t="shared" si="161"/>
        <v>Nominal</v>
      </c>
      <c r="H237" s="45" t="str">
        <f t="shared" si="162"/>
        <v>End year</v>
      </c>
      <c r="J237" s="100">
        <f t="shared" ref="J237:T237" si="169">J177+J206</f>
        <v>31.92549317981581</v>
      </c>
      <c r="K237" s="99">
        <f t="shared" si="169"/>
        <v>32.894895149212104</v>
      </c>
      <c r="L237" s="99">
        <f t="shared" si="169"/>
        <v>33.470157055147993</v>
      </c>
      <c r="M237" s="99">
        <f t="shared" si="169"/>
        <v>36.360791731901813</v>
      </c>
      <c r="N237" s="99">
        <f t="shared" si="169"/>
        <v>40.914084709069016</v>
      </c>
      <c r="O237" s="101">
        <f t="shared" si="169"/>
        <v>43.48495518621678</v>
      </c>
      <c r="P237" s="100">
        <f t="shared" si="169"/>
        <v>52.609020173988803</v>
      </c>
      <c r="Q237" s="99">
        <f t="shared" si="169"/>
        <v>57.233228178866732</v>
      </c>
      <c r="R237" s="99">
        <f t="shared" si="169"/>
        <v>60.805013666717443</v>
      </c>
      <c r="S237" s="99">
        <f t="shared" si="169"/>
        <v>63.930744071391409</v>
      </c>
      <c r="T237" s="101">
        <f t="shared" si="169"/>
        <v>66.538217643876578</v>
      </c>
    </row>
    <row r="238" spans="1:20" ht="12.3" x14ac:dyDescent="0.35">
      <c r="D238" s="82" t="str">
        <f t="shared" si="159"/>
        <v>SCADA</v>
      </c>
      <c r="E238" s="97" t="s">
        <v>91</v>
      </c>
      <c r="F238" s="97" t="str">
        <f t="shared" si="160"/>
        <v>$Millions</v>
      </c>
      <c r="G238" s="97" t="str">
        <f t="shared" si="161"/>
        <v>Nominal</v>
      </c>
      <c r="H238" s="45" t="str">
        <f t="shared" si="162"/>
        <v>End year</v>
      </c>
      <c r="J238" s="100">
        <f t="shared" ref="J238:T238" si="170">J178+J207</f>
        <v>9.9354050643142084</v>
      </c>
      <c r="K238" s="99">
        <f t="shared" si="170"/>
        <v>11.175621128341014</v>
      </c>
      <c r="L238" s="99">
        <f t="shared" si="170"/>
        <v>12.029990879891887</v>
      </c>
      <c r="M238" s="99">
        <f t="shared" si="170"/>
        <v>13.354470727943674</v>
      </c>
      <c r="N238" s="99">
        <f t="shared" si="170"/>
        <v>19.312772506178618</v>
      </c>
      <c r="O238" s="101">
        <f t="shared" si="170"/>
        <v>25.81367243215551</v>
      </c>
      <c r="P238" s="100">
        <f t="shared" si="170"/>
        <v>28.331707597221918</v>
      </c>
      <c r="Q238" s="99">
        <f t="shared" si="170"/>
        <v>27.525585419683328</v>
      </c>
      <c r="R238" s="99">
        <f t="shared" si="170"/>
        <v>26.568240411665233</v>
      </c>
      <c r="S238" s="99">
        <f t="shared" si="170"/>
        <v>25.673673926752539</v>
      </c>
      <c r="T238" s="101">
        <f t="shared" si="170"/>
        <v>24.70422363919171</v>
      </c>
    </row>
    <row r="239" spans="1:20" ht="12.3" x14ac:dyDescent="0.35">
      <c r="D239" s="82" t="str">
        <f t="shared" si="159"/>
        <v>Communications</v>
      </c>
      <c r="E239" s="97" t="s">
        <v>91</v>
      </c>
      <c r="F239" s="97" t="str">
        <f t="shared" si="160"/>
        <v>$Millions</v>
      </c>
      <c r="G239" s="97" t="str">
        <f t="shared" si="161"/>
        <v>Nominal</v>
      </c>
      <c r="H239" s="45" t="str">
        <f t="shared" si="162"/>
        <v>End year</v>
      </c>
      <c r="J239" s="100">
        <f t="shared" ref="J239:T239" si="171">J179+J208</f>
        <v>7.7411517978808018</v>
      </c>
      <c r="K239" s="99">
        <f t="shared" si="171"/>
        <v>9.4346802737152267</v>
      </c>
      <c r="L239" s="99">
        <f t="shared" si="171"/>
        <v>10.386563680303832</v>
      </c>
      <c r="M239" s="99">
        <f t="shared" si="171"/>
        <v>11.653475507999303</v>
      </c>
      <c r="N239" s="99">
        <f t="shared" si="171"/>
        <v>13.201677605624806</v>
      </c>
      <c r="O239" s="101">
        <f t="shared" si="171"/>
        <v>16.303865686779098</v>
      </c>
      <c r="P239" s="100">
        <f t="shared" si="171"/>
        <v>20.816576487265387</v>
      </c>
      <c r="Q239" s="99">
        <f t="shared" si="171"/>
        <v>24.596682548278661</v>
      </c>
      <c r="R239" s="99">
        <f t="shared" si="171"/>
        <v>28.659079628380734</v>
      </c>
      <c r="S239" s="99">
        <f t="shared" si="171"/>
        <v>30.296302420770299</v>
      </c>
      <c r="T239" s="101">
        <f t="shared" si="171"/>
        <v>30.536897083152358</v>
      </c>
    </row>
    <row r="240" spans="1:20" ht="12.3" x14ac:dyDescent="0.35">
      <c r="D240" s="82" t="str">
        <f t="shared" si="159"/>
        <v>Land and Easements</v>
      </c>
      <c r="E240" s="97" t="s">
        <v>91</v>
      </c>
      <c r="F240" s="97" t="str">
        <f t="shared" si="160"/>
        <v>$Millions</v>
      </c>
      <c r="G240" s="97" t="str">
        <f t="shared" si="161"/>
        <v>Nominal</v>
      </c>
      <c r="H240" s="45" t="str">
        <f t="shared" si="162"/>
        <v>End year</v>
      </c>
      <c r="J240" s="100">
        <f t="shared" ref="J240:T240" si="172">J180+J209</f>
        <v>45.815760921706001</v>
      </c>
      <c r="K240" s="99">
        <f t="shared" si="172"/>
        <v>46.658995785295687</v>
      </c>
      <c r="L240" s="99">
        <f t="shared" si="172"/>
        <v>47.060536196528865</v>
      </c>
      <c r="M240" s="99">
        <f t="shared" si="172"/>
        <v>48.706851882584907</v>
      </c>
      <c r="N240" s="99">
        <f t="shared" si="172"/>
        <v>52.603400033191697</v>
      </c>
      <c r="O240" s="101">
        <f t="shared" si="172"/>
        <v>55.251388665969486</v>
      </c>
      <c r="P240" s="100">
        <f t="shared" si="172"/>
        <v>56.864530337569484</v>
      </c>
      <c r="Q240" s="99">
        <f t="shared" si="172"/>
        <v>58.524769939474631</v>
      </c>
      <c r="R240" s="99">
        <f t="shared" si="172"/>
        <v>60.23348256172077</v>
      </c>
      <c r="S240" s="99">
        <f t="shared" si="172"/>
        <v>61.992083442023159</v>
      </c>
      <c r="T240" s="101">
        <f t="shared" si="172"/>
        <v>63.802029137944196</v>
      </c>
    </row>
    <row r="241" spans="1:20" ht="12.3" x14ac:dyDescent="0.35">
      <c r="D241" s="82" t="str">
        <f t="shared" si="159"/>
        <v>Property</v>
      </c>
      <c r="E241" s="97" t="s">
        <v>91</v>
      </c>
      <c r="F241" s="97" t="str">
        <f t="shared" si="160"/>
        <v>$Millions</v>
      </c>
      <c r="G241" s="97" t="str">
        <f t="shared" si="161"/>
        <v>Nominal</v>
      </c>
      <c r="H241" s="45" t="str">
        <f t="shared" si="162"/>
        <v>End year</v>
      </c>
      <c r="J241" s="100">
        <f t="shared" ref="J241:T241" si="173">J181+J210</f>
        <v>10.88191046360506</v>
      </c>
      <c r="K241" s="99">
        <f t="shared" si="173"/>
        <v>10.941722982064954</v>
      </c>
      <c r="L241" s="99">
        <f t="shared" si="173"/>
        <v>10.815075257970452</v>
      </c>
      <c r="M241" s="99">
        <f t="shared" si="173"/>
        <v>10.731754174176267</v>
      </c>
      <c r="N241" s="99">
        <f t="shared" si="173"/>
        <v>13.471510378004057</v>
      </c>
      <c r="O241" s="101">
        <f t="shared" si="173"/>
        <v>19.217357870242282</v>
      </c>
      <c r="P241" s="100">
        <f t="shared" si="173"/>
        <v>20.128088940048617</v>
      </c>
      <c r="Q241" s="99">
        <f t="shared" si="173"/>
        <v>20.744314732811375</v>
      </c>
      <c r="R241" s="99">
        <f t="shared" si="173"/>
        <v>24.327708216477969</v>
      </c>
      <c r="S241" s="99">
        <f t="shared" si="173"/>
        <v>82.909375345955254</v>
      </c>
      <c r="T241" s="101">
        <f t="shared" si="173"/>
        <v>172.12672975069495</v>
      </c>
    </row>
    <row r="242" spans="1:20" ht="12.3" x14ac:dyDescent="0.35">
      <c r="D242" s="82" t="str">
        <f t="shared" si="159"/>
        <v>IT and Communications</v>
      </c>
      <c r="E242" s="97" t="s">
        <v>91</v>
      </c>
      <c r="F242" s="97" t="str">
        <f t="shared" si="160"/>
        <v>$Millions</v>
      </c>
      <c r="G242" s="97" t="str">
        <f t="shared" si="161"/>
        <v>Nominal</v>
      </c>
      <c r="H242" s="45" t="str">
        <f t="shared" si="162"/>
        <v>End year</v>
      </c>
      <c r="J242" s="100">
        <f t="shared" ref="J242:T242" si="174">J182+J211</f>
        <v>12.161977146964771</v>
      </c>
      <c r="K242" s="99">
        <f t="shared" si="174"/>
        <v>17.651763795502941</v>
      </c>
      <c r="L242" s="99">
        <f t="shared" si="174"/>
        <v>17.591454752257381</v>
      </c>
      <c r="M242" s="99">
        <f t="shared" si="174"/>
        <v>20.823444725561622</v>
      </c>
      <c r="N242" s="99">
        <f t="shared" si="174"/>
        <v>41.113045055941342</v>
      </c>
      <c r="O242" s="101">
        <f t="shared" si="174"/>
        <v>62.748134852115456</v>
      </c>
      <c r="P242" s="100">
        <f t="shared" si="174"/>
        <v>78.497582342187997</v>
      </c>
      <c r="Q242" s="99">
        <f t="shared" si="174"/>
        <v>101.05365713305562</v>
      </c>
      <c r="R242" s="99">
        <f t="shared" si="174"/>
        <v>117.41435246755303</v>
      </c>
      <c r="S242" s="99">
        <f t="shared" si="174"/>
        <v>128.29852441576458</v>
      </c>
      <c r="T242" s="101">
        <f t="shared" si="174"/>
        <v>140.14356949778585</v>
      </c>
    </row>
    <row r="243" spans="1:20" ht="12.3" x14ac:dyDescent="0.35">
      <c r="D243" s="82" t="str">
        <f t="shared" si="159"/>
        <v>Motor Vehicles</v>
      </c>
      <c r="E243" s="97" t="s">
        <v>91</v>
      </c>
      <c r="F243" s="97" t="str">
        <f t="shared" si="160"/>
        <v>$Millions</v>
      </c>
      <c r="G243" s="97" t="str">
        <f t="shared" si="161"/>
        <v>Nominal</v>
      </c>
      <c r="H243" s="45" t="str">
        <f t="shared" si="162"/>
        <v>End year</v>
      </c>
      <c r="J243" s="100">
        <f t="shared" ref="J243:T243" si="175">J183+J212</f>
        <v>0.31647852785402508</v>
      </c>
      <c r="K243" s="99">
        <f t="shared" si="175"/>
        <v>0.35493483755678068</v>
      </c>
      <c r="L243" s="99">
        <f t="shared" si="175"/>
        <v>0.82718418450465681</v>
      </c>
      <c r="M243" s="99">
        <f t="shared" si="175"/>
        <v>0.94294049211521414</v>
      </c>
      <c r="N243" s="99">
        <f t="shared" si="175"/>
        <v>0.98087939123707368</v>
      </c>
      <c r="O243" s="101">
        <f t="shared" si="175"/>
        <v>1.0317079533447089</v>
      </c>
      <c r="P243" s="100">
        <f t="shared" si="175"/>
        <v>0.93760454651347402</v>
      </c>
      <c r="Q243" s="99">
        <f t="shared" si="175"/>
        <v>0.84005949956203996</v>
      </c>
      <c r="R243" s="99">
        <f t="shared" si="175"/>
        <v>0.73601928203767897</v>
      </c>
      <c r="S243" s="99">
        <f t="shared" si="175"/>
        <v>0.62518777304274875</v>
      </c>
      <c r="T243" s="101">
        <f t="shared" si="175"/>
        <v>0.53488614534255674</v>
      </c>
    </row>
    <row r="244" spans="1:20" ht="12.3" x14ac:dyDescent="0.35">
      <c r="D244" s="82" t="str">
        <f t="shared" si="159"/>
        <v>Plant and Equipment</v>
      </c>
      <c r="E244" s="97" t="s">
        <v>91</v>
      </c>
      <c r="F244" s="97" t="str">
        <f t="shared" si="160"/>
        <v>$Millions</v>
      </c>
      <c r="G244" s="97" t="str">
        <f t="shared" si="161"/>
        <v>Nominal</v>
      </c>
      <c r="H244" s="45" t="str">
        <f t="shared" si="162"/>
        <v>End year</v>
      </c>
      <c r="J244" s="100">
        <f t="shared" ref="J244:T244" si="176">J184+J213</f>
        <v>4.771443819404765</v>
      </c>
      <c r="K244" s="99">
        <f t="shared" si="176"/>
        <v>4.9340649284162454</v>
      </c>
      <c r="L244" s="99">
        <f t="shared" si="176"/>
        <v>5.9126158554742538</v>
      </c>
      <c r="M244" s="99">
        <f t="shared" si="176"/>
        <v>6.6567188597653857</v>
      </c>
      <c r="N244" s="99">
        <f t="shared" si="176"/>
        <v>7.4412741749276039</v>
      </c>
      <c r="O244" s="101">
        <f t="shared" si="176"/>
        <v>9.1909751884931286</v>
      </c>
      <c r="P244" s="100">
        <f t="shared" si="176"/>
        <v>11.13152251469093</v>
      </c>
      <c r="Q244" s="99">
        <f t="shared" si="176"/>
        <v>13.376348173575149</v>
      </c>
      <c r="R244" s="99">
        <f t="shared" si="176"/>
        <v>14.929838039437163</v>
      </c>
      <c r="S244" s="99">
        <f t="shared" si="176"/>
        <v>16.049569995561352</v>
      </c>
      <c r="T244" s="101">
        <f t="shared" si="176"/>
        <v>17.151292932159098</v>
      </c>
    </row>
    <row r="245" spans="1:20" ht="12.3" x14ac:dyDescent="0.35">
      <c r="D245" s="82" t="str">
        <f t="shared" si="159"/>
        <v>Property Leases</v>
      </c>
      <c r="E245" s="97" t="s">
        <v>91</v>
      </c>
      <c r="F245" s="97" t="str">
        <f t="shared" si="160"/>
        <v>$Millions</v>
      </c>
      <c r="G245" s="97" t="str">
        <f t="shared" si="161"/>
        <v>Nominal</v>
      </c>
      <c r="H245" s="45" t="str">
        <f t="shared" si="162"/>
        <v>End year</v>
      </c>
      <c r="J245" s="100">
        <f t="shared" ref="J245:T245" si="177">J185+J214</f>
        <v>0</v>
      </c>
      <c r="K245" s="99">
        <f t="shared" si="177"/>
        <v>3.3387922007628603</v>
      </c>
      <c r="L245" s="99">
        <f t="shared" si="177"/>
        <v>3.8627975907626748</v>
      </c>
      <c r="M245" s="99">
        <f t="shared" si="177"/>
        <v>13.731488906029872</v>
      </c>
      <c r="N245" s="99">
        <f t="shared" si="177"/>
        <v>13.238996930133146</v>
      </c>
      <c r="O245" s="101">
        <f t="shared" si="177"/>
        <v>17.298299331913139</v>
      </c>
      <c r="P245" s="100">
        <f t="shared" si="177"/>
        <v>16.520694616833413</v>
      </c>
      <c r="Q245" s="99">
        <f t="shared" si="177"/>
        <v>15.682937798495614</v>
      </c>
      <c r="R245" s="99">
        <f t="shared" si="177"/>
        <v>23.146153904387713</v>
      </c>
      <c r="S245" s="99">
        <f t="shared" si="177"/>
        <v>20.497471049633454</v>
      </c>
      <c r="T245" s="101">
        <f t="shared" si="177"/>
        <v>18.834920168508948</v>
      </c>
    </row>
    <row r="246" spans="1:20" ht="12.3" x14ac:dyDescent="0.35">
      <c r="D246" s="82" t="str">
        <f t="shared" si="159"/>
        <v>Fleet Leases</v>
      </c>
      <c r="E246" s="97" t="s">
        <v>91</v>
      </c>
      <c r="F246" s="97" t="str">
        <f t="shared" si="160"/>
        <v>$Millions</v>
      </c>
      <c r="G246" s="97" t="str">
        <f t="shared" si="161"/>
        <v>Nominal</v>
      </c>
      <c r="H246" s="45" t="str">
        <f t="shared" si="162"/>
        <v>End year</v>
      </c>
      <c r="J246" s="100">
        <f t="shared" ref="J246:T246" si="178">J186+J215</f>
        <v>0</v>
      </c>
      <c r="K246" s="99">
        <f t="shared" si="178"/>
        <v>14.579348294461219</v>
      </c>
      <c r="L246" s="99">
        <f t="shared" si="178"/>
        <v>14.361771413842579</v>
      </c>
      <c r="M246" s="99">
        <f t="shared" si="178"/>
        <v>14.081624375972506</v>
      </c>
      <c r="N246" s="99">
        <f t="shared" si="178"/>
        <v>14.42989188615417</v>
      </c>
      <c r="O246" s="101">
        <f t="shared" si="178"/>
        <v>11.749555018192927</v>
      </c>
      <c r="P246" s="100">
        <f t="shared" si="178"/>
        <v>9.9459864734262098</v>
      </c>
      <c r="Q246" s="99">
        <f t="shared" si="178"/>
        <v>11.102913009663373</v>
      </c>
      <c r="R246" s="99">
        <f t="shared" si="178"/>
        <v>13.589116932742924</v>
      </c>
      <c r="S246" s="99">
        <f t="shared" si="178"/>
        <v>15.465777314729461</v>
      </c>
      <c r="T246" s="101">
        <f t="shared" si="178"/>
        <v>16.26701626630058</v>
      </c>
    </row>
    <row r="247" spans="1:20" ht="12.3" x14ac:dyDescent="0.35">
      <c r="D247" s="82" t="str">
        <f t="shared" si="159"/>
        <v>Community Batteries</v>
      </c>
      <c r="E247" s="97" t="s">
        <v>91</v>
      </c>
      <c r="F247" s="97" t="str">
        <f t="shared" si="160"/>
        <v>$Millions</v>
      </c>
      <c r="G247" s="97" t="str">
        <f t="shared" si="161"/>
        <v>Nominal</v>
      </c>
      <c r="H247" s="45" t="str">
        <f t="shared" si="162"/>
        <v>End year</v>
      </c>
      <c r="J247" s="100">
        <f t="shared" ref="J247:T247" si="179">J187+J216</f>
        <v>0</v>
      </c>
      <c r="K247" s="99">
        <f t="shared" si="179"/>
        <v>0</v>
      </c>
      <c r="L247" s="99">
        <f t="shared" si="179"/>
        <v>0</v>
      </c>
      <c r="M247" s="99">
        <f t="shared" si="179"/>
        <v>0</v>
      </c>
      <c r="N247" s="99">
        <f t="shared" si="179"/>
        <v>0</v>
      </c>
      <c r="O247" s="101">
        <f t="shared" si="179"/>
        <v>0</v>
      </c>
      <c r="P247" s="100">
        <f t="shared" si="179"/>
        <v>0</v>
      </c>
      <c r="Q247" s="99">
        <f t="shared" si="179"/>
        <v>0</v>
      </c>
      <c r="R247" s="99">
        <f t="shared" si="179"/>
        <v>0</v>
      </c>
      <c r="S247" s="99">
        <f t="shared" si="179"/>
        <v>0</v>
      </c>
      <c r="T247" s="101">
        <f t="shared" si="179"/>
        <v>0</v>
      </c>
    </row>
    <row r="248" spans="1:20" ht="12.3" x14ac:dyDescent="0.35">
      <c r="D248" s="82" t="str">
        <f t="shared" si="159"/>
        <v>Buildings</v>
      </c>
      <c r="E248" s="97" t="s">
        <v>91</v>
      </c>
      <c r="F248" s="97" t="str">
        <f t="shared" si="160"/>
        <v>$Millions</v>
      </c>
      <c r="G248" s="97" t="str">
        <f t="shared" si="161"/>
        <v>Nominal</v>
      </c>
      <c r="H248" s="45" t="str">
        <f t="shared" si="162"/>
        <v>End year</v>
      </c>
      <c r="J248" s="100">
        <f t="shared" ref="J248:T248" si="180">J188+J217</f>
        <v>0</v>
      </c>
      <c r="K248" s="99">
        <f t="shared" si="180"/>
        <v>0.1639301154679205</v>
      </c>
      <c r="L248" s="99">
        <f t="shared" si="180"/>
        <v>0.85558784631163998</v>
      </c>
      <c r="M248" s="99">
        <f t="shared" si="180"/>
        <v>3.1432617912538889</v>
      </c>
      <c r="N248" s="99">
        <f t="shared" si="180"/>
        <v>3.3741733616611373</v>
      </c>
      <c r="O248" s="101">
        <f t="shared" si="180"/>
        <v>3.5063117665853714</v>
      </c>
      <c r="P248" s="100">
        <f t="shared" si="180"/>
        <v>3.5128815251522116</v>
      </c>
      <c r="Q248" s="99">
        <f t="shared" si="180"/>
        <v>3.5168460256784271</v>
      </c>
      <c r="R248" s="99">
        <f t="shared" si="180"/>
        <v>3.5180475395917097</v>
      </c>
      <c r="S248" s="99">
        <f t="shared" si="180"/>
        <v>3.5163213489062133</v>
      </c>
      <c r="T248" s="101">
        <f t="shared" si="180"/>
        <v>3.5114954725436549</v>
      </c>
    </row>
    <row r="249" spans="1:20" ht="12.3" x14ac:dyDescent="0.35">
      <c r="D249" s="82" t="str">
        <f t="shared" si="159"/>
        <v>in-house software</v>
      </c>
      <c r="E249" s="97" t="s">
        <v>91</v>
      </c>
      <c r="F249" s="97" t="str">
        <f t="shared" si="160"/>
        <v>$Millions</v>
      </c>
      <c r="G249" s="97" t="str">
        <f t="shared" si="161"/>
        <v>Nominal</v>
      </c>
      <c r="H249" s="45" t="str">
        <f t="shared" si="162"/>
        <v>End year</v>
      </c>
      <c r="J249" s="100">
        <f t="shared" ref="J249:T249" si="181">J189+J218</f>
        <v>0</v>
      </c>
      <c r="K249" s="99">
        <f t="shared" si="181"/>
        <v>0</v>
      </c>
      <c r="L249" s="99">
        <f t="shared" si="181"/>
        <v>-5.2086373898768877E-2</v>
      </c>
      <c r="M249" s="99">
        <f t="shared" si="181"/>
        <v>-0.29557866769059948</v>
      </c>
      <c r="N249" s="99">
        <f t="shared" si="181"/>
        <v>-0.63248449815904739</v>
      </c>
      <c r="O249" s="101">
        <f t="shared" si="181"/>
        <v>-1.2770162921904231</v>
      </c>
      <c r="P249" s="100">
        <f t="shared" si="181"/>
        <v>0</v>
      </c>
      <c r="Q249" s="99">
        <f t="shared" si="181"/>
        <v>0</v>
      </c>
      <c r="R249" s="99">
        <f t="shared" si="181"/>
        <v>0</v>
      </c>
      <c r="S249" s="99">
        <f t="shared" si="181"/>
        <v>0</v>
      </c>
      <c r="T249" s="101">
        <f t="shared" si="181"/>
        <v>0</v>
      </c>
    </row>
    <row r="250" spans="1:20" ht="12.3" x14ac:dyDescent="0.35">
      <c r="D250" s="82" t="str">
        <f t="shared" ref="D250" si="182">D37</f>
        <v>Equity Raising Costs</v>
      </c>
      <c r="E250" s="97" t="s">
        <v>91</v>
      </c>
      <c r="F250" s="97" t="str">
        <f t="shared" si="160"/>
        <v>$Millions</v>
      </c>
      <c r="G250" s="97" t="str">
        <f t="shared" si="161"/>
        <v>Nominal</v>
      </c>
      <c r="H250" s="45" t="str">
        <f t="shared" si="162"/>
        <v>End year</v>
      </c>
      <c r="J250" s="100">
        <f t="shared" ref="J250:T250" si="183">J190+J219</f>
        <v>0</v>
      </c>
      <c r="K250" s="99">
        <f t="shared" si="183"/>
        <v>0</v>
      </c>
      <c r="L250" s="99">
        <f t="shared" si="183"/>
        <v>0</v>
      </c>
      <c r="M250" s="99">
        <f t="shared" si="183"/>
        <v>0</v>
      </c>
      <c r="N250" s="99">
        <f t="shared" si="183"/>
        <v>0</v>
      </c>
      <c r="O250" s="101">
        <f t="shared" si="183"/>
        <v>0</v>
      </c>
      <c r="P250" s="100">
        <f t="shared" si="183"/>
        <v>0</v>
      </c>
      <c r="Q250" s="99">
        <f t="shared" si="183"/>
        <v>0</v>
      </c>
      <c r="R250" s="99">
        <f t="shared" si="183"/>
        <v>0</v>
      </c>
      <c r="S250" s="99">
        <f t="shared" si="183"/>
        <v>0</v>
      </c>
      <c r="T250" s="101">
        <f t="shared" si="183"/>
        <v>0</v>
      </c>
    </row>
    <row r="251" spans="1:20" x14ac:dyDescent="0.35">
      <c r="J251" s="94"/>
      <c r="O251" s="96"/>
      <c r="P251" s="94"/>
      <c r="T251" s="96"/>
    </row>
    <row r="252" spans="1:20" ht="12.3" x14ac:dyDescent="0.35">
      <c r="D252" s="102" t="str">
        <f>"Total "&amp;D229</f>
        <v>Total RAB asset class</v>
      </c>
      <c r="E252" s="103" t="s">
        <v>91</v>
      </c>
      <c r="F252" s="103" t="str">
        <f>F231</f>
        <v>$Millions</v>
      </c>
      <c r="G252" s="103" t="str">
        <f>G231</f>
        <v>Nominal</v>
      </c>
      <c r="H252" s="40" t="str">
        <f>H231</f>
        <v>End year</v>
      </c>
      <c r="J252" s="104">
        <f t="shared" ref="J252:T252" si="184">SUM(J231:J250)</f>
        <v>961.95273153839821</v>
      </c>
      <c r="K252" s="105">
        <f t="shared" si="184"/>
        <v>1001.8691178787608</v>
      </c>
      <c r="L252" s="105">
        <f t="shared" si="184"/>
        <v>1005.8797083374318</v>
      </c>
      <c r="M252" s="105">
        <f t="shared" si="184"/>
        <v>1058.9614087465352</v>
      </c>
      <c r="N252" s="105">
        <f t="shared" si="184"/>
        <v>1177.1883309362365</v>
      </c>
      <c r="O252" s="107">
        <f t="shared" si="184"/>
        <v>1279.527006960122</v>
      </c>
      <c r="P252" s="104">
        <f t="shared" si="184"/>
        <v>1351.4468651760494</v>
      </c>
      <c r="Q252" s="105">
        <f t="shared" si="184"/>
        <v>1427.0835394956825</v>
      </c>
      <c r="R252" s="105">
        <f t="shared" si="184"/>
        <v>1490.3090802974991</v>
      </c>
      <c r="S252" s="105">
        <f t="shared" si="184"/>
        <v>1583.8950173866008</v>
      </c>
      <c r="T252" s="107">
        <f t="shared" si="184"/>
        <v>1707.1697605523766</v>
      </c>
    </row>
    <row r="253" spans="1:20" ht="11.25" customHeight="1" x14ac:dyDescent="0.35"/>
    <row r="254" spans="1:20" ht="12.3" x14ac:dyDescent="0.35">
      <c r="A254" s="76">
        <f>IF(SUM($J254:$T254)&lt;&gt;0,1,0)</f>
        <v>0</v>
      </c>
      <c r="D254" s="82" t="s">
        <v>155</v>
      </c>
      <c r="J254" s="76">
        <f t="shared" ref="J254:T254" si="185">IF(ROUND(SUM(J39,J68,J99,J130,J161,J221)-J252,5)&lt;&gt;0,1,0)</f>
        <v>0</v>
      </c>
      <c r="K254" s="76">
        <f t="shared" si="185"/>
        <v>0</v>
      </c>
      <c r="L254" s="76">
        <f t="shared" si="185"/>
        <v>0</v>
      </c>
      <c r="M254" s="76">
        <f t="shared" si="185"/>
        <v>0</v>
      </c>
      <c r="N254" s="76">
        <f t="shared" si="185"/>
        <v>0</v>
      </c>
      <c r="O254" s="76">
        <f t="shared" si="185"/>
        <v>0</v>
      </c>
      <c r="P254" s="76">
        <f t="shared" si="185"/>
        <v>0</v>
      </c>
      <c r="Q254" s="76">
        <f t="shared" si="185"/>
        <v>0</v>
      </c>
      <c r="R254" s="76">
        <f t="shared" si="185"/>
        <v>0</v>
      </c>
      <c r="S254" s="76">
        <f t="shared" si="185"/>
        <v>0</v>
      </c>
      <c r="T254" s="76">
        <f t="shared" si="185"/>
        <v>0</v>
      </c>
    </row>
    <row r="255" spans="1:20" ht="12.3" x14ac:dyDescent="0.35">
      <c r="A255" s="76"/>
      <c r="D255" s="82" t="s">
        <v>50</v>
      </c>
      <c r="J255" s="98">
        <v>961.95273153839821</v>
      </c>
      <c r="K255" s="283">
        <v>1001.8691178787606</v>
      </c>
      <c r="L255" s="108">
        <v>1005.8797083374316</v>
      </c>
      <c r="M255" s="108">
        <v>1058.9614087465352</v>
      </c>
      <c r="N255" s="108">
        <v>1177.1883309362363</v>
      </c>
      <c r="O255" s="111">
        <v>1279.527006960122</v>
      </c>
      <c r="P255" s="110">
        <v>1351.4468651760492</v>
      </c>
      <c r="Q255" s="108">
        <v>1427.0835394956823</v>
      </c>
      <c r="R255" s="108">
        <v>1490.3090802974989</v>
      </c>
      <c r="S255" s="108">
        <v>1583.8950173866008</v>
      </c>
      <c r="T255" s="111">
        <v>1707.1697605523766</v>
      </c>
    </row>
    <row r="256" spans="1:20" ht="12.3" x14ac:dyDescent="0.35">
      <c r="A256" s="76">
        <f>IF(SUM($J256:$T256)&lt;&gt;0,1,0)</f>
        <v>0</v>
      </c>
      <c r="D256" s="82" t="s">
        <v>156</v>
      </c>
      <c r="J256" s="113">
        <f>IF(ROUND(J255-J252,3)&lt;&gt;0,1,0)</f>
        <v>0</v>
      </c>
      <c r="K256" s="76">
        <f t="shared" ref="K256:O256" si="186">IF(ROUND(K255-K252,3)&lt;&gt;0,1,0)</f>
        <v>0</v>
      </c>
      <c r="L256" s="76">
        <f t="shared" si="186"/>
        <v>0</v>
      </c>
      <c r="M256" s="76">
        <f t="shared" si="186"/>
        <v>0</v>
      </c>
      <c r="N256" s="76">
        <f t="shared" si="186"/>
        <v>0</v>
      </c>
      <c r="O256" s="114">
        <f t="shared" si="186"/>
        <v>0</v>
      </c>
      <c r="P256" s="113">
        <f>IF(ROUND(P255-P252,1)&lt;&gt;0,1,0)</f>
        <v>0</v>
      </c>
      <c r="Q256" s="76">
        <f t="shared" ref="Q256:T256" si="187">IF(ROUND(Q255-Q252,1)&lt;&gt;0,1,0)</f>
        <v>0</v>
      </c>
      <c r="R256" s="76">
        <f t="shared" si="187"/>
        <v>0</v>
      </c>
      <c r="S256" s="76">
        <f t="shared" si="187"/>
        <v>0</v>
      </c>
      <c r="T256" s="114">
        <f t="shared" si="187"/>
        <v>0</v>
      </c>
    </row>
    <row r="257" spans="1:20" ht="12.3" x14ac:dyDescent="0.35">
      <c r="A257" s="76"/>
      <c r="D257" s="82" t="s">
        <v>408</v>
      </c>
      <c r="J257" s="76">
        <f t="shared" ref="J257:T257" si="188">IF(COUNTIF(J231:J250,"&lt;"&amp;0)&gt;0,1,0)</f>
        <v>0</v>
      </c>
      <c r="K257" s="76">
        <f t="shared" si="188"/>
        <v>0</v>
      </c>
      <c r="L257" s="76">
        <f t="shared" si="188"/>
        <v>1</v>
      </c>
      <c r="M257" s="76">
        <f t="shared" si="188"/>
        <v>1</v>
      </c>
      <c r="N257" s="76">
        <f t="shared" si="188"/>
        <v>1</v>
      </c>
      <c r="O257" s="76">
        <f t="shared" si="188"/>
        <v>1</v>
      </c>
      <c r="P257" s="76">
        <f t="shared" si="188"/>
        <v>0</v>
      </c>
      <c r="Q257" s="76">
        <f t="shared" si="188"/>
        <v>0</v>
      </c>
      <c r="R257" s="76">
        <f t="shared" si="188"/>
        <v>0</v>
      </c>
      <c r="S257" s="76">
        <f t="shared" si="188"/>
        <v>0</v>
      </c>
      <c r="T257" s="76">
        <f t="shared" si="188"/>
        <v>0</v>
      </c>
    </row>
    <row r="259" spans="1:20" s="88" customFormat="1" ht="15" x14ac:dyDescent="0.35">
      <c r="B259" s="88" t="s">
        <v>409</v>
      </c>
      <c r="H259" s="2"/>
    </row>
    <row r="261" spans="1:20" ht="12.3" x14ac:dyDescent="0.35">
      <c r="D261" s="90" t="s">
        <v>355</v>
      </c>
      <c r="E261" s="91" t="str">
        <f>Lookup!E$20</f>
        <v>Source</v>
      </c>
      <c r="F261" s="91" t="str">
        <f>Lookup!F$20</f>
        <v>Unit</v>
      </c>
      <c r="G261" s="91" t="str">
        <f>Lookup!G$20</f>
        <v>Basis</v>
      </c>
      <c r="H261" s="38" t="str">
        <f>Lookup!H$20</f>
        <v>Timing</v>
      </c>
      <c r="J261" s="92" t="str">
        <f t="shared" ref="J261:T261" si="189">J$10</f>
        <v>RY19</v>
      </c>
      <c r="K261" s="91" t="str">
        <f t="shared" si="189"/>
        <v>RY20</v>
      </c>
      <c r="L261" s="91" t="str">
        <f>L$10</f>
        <v>RY21</v>
      </c>
      <c r="M261" s="91" t="str">
        <f t="shared" si="189"/>
        <v>RY22</v>
      </c>
      <c r="N261" s="91" t="str">
        <f t="shared" si="189"/>
        <v>RY23</v>
      </c>
      <c r="O261" s="93" t="str">
        <f t="shared" si="189"/>
        <v>RY24</v>
      </c>
      <c r="P261" s="92" t="str">
        <f t="shared" si="189"/>
        <v>RY25</v>
      </c>
      <c r="Q261" s="91" t="str">
        <f>Q$10</f>
        <v>RY26</v>
      </c>
      <c r="R261" s="91" t="str">
        <f t="shared" si="189"/>
        <v>RY27</v>
      </c>
      <c r="S261" s="91" t="str">
        <f t="shared" si="189"/>
        <v>RY28</v>
      </c>
      <c r="T261" s="93" t="str">
        <f t="shared" si="189"/>
        <v>RY29</v>
      </c>
    </row>
    <row r="262" spans="1:20" x14ac:dyDescent="0.35">
      <c r="J262" s="94"/>
      <c r="O262" s="96"/>
      <c r="P262" s="94"/>
      <c r="T262" s="96"/>
    </row>
    <row r="263" spans="1:20" ht="12.3" x14ac:dyDescent="0.35">
      <c r="D263" s="82" t="str">
        <f>Input_Inflation!D$18</f>
        <v>CPI Input</v>
      </c>
      <c r="E263" s="97" t="s">
        <v>410</v>
      </c>
      <c r="F263" s="97" t="str">
        <f>Input_Inflation!F$18</f>
        <v>Percent</v>
      </c>
      <c r="G263" s="97" t="str">
        <f>Input_Inflation!G$18</f>
        <v>N/A</v>
      </c>
      <c r="H263" s="45" t="str">
        <f>Input_Inflation!H$18</f>
        <v>N/A</v>
      </c>
      <c r="J263" s="263">
        <f>Input_Inflation!J$18</f>
        <v>1.7841213202497874E-2</v>
      </c>
      <c r="K263" s="264">
        <f>Input_Inflation!K$18</f>
        <v>1.8404907975460238E-2</v>
      </c>
      <c r="L263" s="264">
        <f>Input_Inflation!L$18</f>
        <v>8.6058519793459354E-3</v>
      </c>
      <c r="M263" s="264">
        <f>Input_Inflation!M$18</f>
        <v>3.4982935153583528E-2</v>
      </c>
      <c r="N263" s="264">
        <f>Input_Inflation!N$18</f>
        <v>0.08</v>
      </c>
      <c r="O263" s="265">
        <f>Input_Inflation!O$18</f>
        <v>4.7E-2</v>
      </c>
      <c r="P263" s="263">
        <f>Input_Inflation!P$18</f>
        <v>2.9196400498682218E-2</v>
      </c>
      <c r="Q263" s="264">
        <f>Input_Inflation!Q$18</f>
        <v>2.9196400498682218E-2</v>
      </c>
      <c r="R263" s="264">
        <f>Input_Inflation!R$18</f>
        <v>2.9196400498682218E-2</v>
      </c>
      <c r="S263" s="264">
        <f>Input_Inflation!S$18</f>
        <v>2.9196400498682218E-2</v>
      </c>
      <c r="T263" s="265">
        <f>Input_Inflation!T$18</f>
        <v>2.9196400498682218E-2</v>
      </c>
    </row>
    <row r="265" spans="1:20" s="88" customFormat="1" ht="15" x14ac:dyDescent="0.35">
      <c r="B265" s="88" t="s">
        <v>411</v>
      </c>
      <c r="H265" s="2"/>
    </row>
    <row r="267" spans="1:20" ht="12.3" x14ac:dyDescent="0.35">
      <c r="D267" s="90" t="s">
        <v>355</v>
      </c>
      <c r="E267" s="91" t="str">
        <f>Lookup!E$20</f>
        <v>Source</v>
      </c>
      <c r="F267" s="91" t="str">
        <f>Lookup!F$20</f>
        <v>Unit</v>
      </c>
      <c r="G267" s="91" t="str">
        <f>Lookup!G$20</f>
        <v>Basis</v>
      </c>
      <c r="H267" s="38" t="str">
        <f>Lookup!H$20</f>
        <v>Timing</v>
      </c>
      <c r="J267" s="92" t="str">
        <f t="shared" ref="J267:T267" si="190">J$10</f>
        <v>RY19</v>
      </c>
      <c r="K267" s="91" t="str">
        <f t="shared" si="190"/>
        <v>RY20</v>
      </c>
      <c r="L267" s="91" t="str">
        <f>L$10</f>
        <v>RY21</v>
      </c>
      <c r="M267" s="91" t="str">
        <f t="shared" si="190"/>
        <v>RY22</v>
      </c>
      <c r="N267" s="91" t="str">
        <f t="shared" si="190"/>
        <v>RY23</v>
      </c>
      <c r="O267" s="93" t="str">
        <f t="shared" si="190"/>
        <v>RY24</v>
      </c>
      <c r="P267" s="92" t="str">
        <f t="shared" si="190"/>
        <v>RY25</v>
      </c>
      <c r="Q267" s="91" t="str">
        <f>Q$10</f>
        <v>RY26</v>
      </c>
      <c r="R267" s="91" t="str">
        <f t="shared" si="190"/>
        <v>RY27</v>
      </c>
      <c r="S267" s="91" t="str">
        <f t="shared" si="190"/>
        <v>RY28</v>
      </c>
      <c r="T267" s="93" t="str">
        <f t="shared" si="190"/>
        <v>RY29</v>
      </c>
    </row>
    <row r="269" spans="1:20" ht="11.25" customHeight="1" x14ac:dyDescent="0.35">
      <c r="A269" s="76"/>
      <c r="D269" s="82" t="s">
        <v>412</v>
      </c>
      <c r="E269" s="97" t="s">
        <v>158</v>
      </c>
      <c r="F269" s="97" t="str">
        <f t="shared" ref="F269" si="191">Dollars</f>
        <v>Dollars</v>
      </c>
      <c r="G269" s="97" t="str">
        <f t="shared" ref="G269" si="192">Nominal</f>
        <v>Nominal</v>
      </c>
      <c r="H269" s="45" t="str">
        <f t="shared" ref="H269" si="193">End_year</f>
        <v>End year</v>
      </c>
      <c r="K269" s="110">
        <v>-5.2038010169888587</v>
      </c>
      <c r="L269" s="108">
        <v>-4.9752369188337209</v>
      </c>
      <c r="M269" s="108">
        <v>-3.4917357143453138</v>
      </c>
      <c r="N269" s="108">
        <v>-6.1273558907847496</v>
      </c>
      <c r="O269" s="111">
        <v>-14.039473671079667</v>
      </c>
      <c r="P269" s="110">
        <v>-4.9716409938344617</v>
      </c>
      <c r="Q269" s="108">
        <v>-0.25816665284566953</v>
      </c>
      <c r="R269" s="108">
        <v>-0.26069220874440779</v>
      </c>
      <c r="S269" s="108">
        <v>-0.26276670736202518</v>
      </c>
      <c r="T269" s="111">
        <v>-0.26543995663365139</v>
      </c>
    </row>
    <row r="271" spans="1:20" s="88" customFormat="1" ht="15" x14ac:dyDescent="0.35">
      <c r="B271" s="88" t="s">
        <v>26</v>
      </c>
      <c r="H271" s="2"/>
    </row>
  </sheetData>
  <conditionalFormatting sqref="B2">
    <cfRule type="cellIs" dxfId="19" priority="1" operator="notEqual">
      <formula>"No Errors Found"</formula>
    </cfRule>
  </conditionalFormatting>
  <hyperlinks>
    <hyperlink ref="B3:E3" location="TOC!A1" display="TOC!A1" xr:uid="{00000000-0004-0000-0300-00000000000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4" tint="0.79998168889431442"/>
  </sheetPr>
  <dimension ref="A1:T199"/>
  <sheetViews>
    <sheetView showGridLines="0" zoomScaleNormal="100" workbookViewId="0">
      <pane xSplit="1" ySplit="10" topLeftCell="B11" activePane="bottomRight" state="frozen"/>
      <selection activeCell="D44" sqref="D44"/>
      <selection pane="topRight" activeCell="D44" sqref="D44"/>
      <selection pane="bottomLeft" activeCell="D44" sqref="D44"/>
      <selection pane="bottomRight" activeCell="B11" sqref="B11"/>
    </sheetView>
  </sheetViews>
  <sheetFormatPr defaultColWidth="9.33203125" defaultRowHeight="10.199999999999999" outlineLevelRow="1" x14ac:dyDescent="0.35"/>
  <cols>
    <col min="1" max="1" width="3.33203125" customWidth="1"/>
    <col min="2" max="3" width="2.796875" customWidth="1"/>
    <col min="4" max="4" width="47.46484375" customWidth="1"/>
    <col min="5" max="5" width="14.3984375" bestFit="1" customWidth="1"/>
    <col min="6" max="8" width="12.1328125" customWidth="1"/>
    <col min="9" max="9" width="4.46484375" customWidth="1"/>
    <col min="10" max="20" width="12.796875" customWidth="1"/>
    <col min="21" max="21" width="4.33203125" customWidth="1"/>
    <col min="22" max="23" width="10.796875" customWidth="1"/>
  </cols>
  <sheetData>
    <row r="1" spans="1:20" ht="18.899999999999999" x14ac:dyDescent="0.35">
      <c r="A1" s="42">
        <f>IF(SUM($A11:$A187)&gt;0,1,0)</f>
        <v>0</v>
      </c>
      <c r="B1" s="287" t="s">
        <v>413</v>
      </c>
    </row>
    <row r="2" spans="1:20" x14ac:dyDescent="0.35">
      <c r="B2" s="13" t="str">
        <f>Title_Msg</f>
        <v>No Errors Found</v>
      </c>
    </row>
    <row r="3" spans="1:20" x14ac:dyDescent="0.35">
      <c r="B3" s="30" t="str">
        <f>TOC!B1</f>
        <v>Table of Contents</v>
      </c>
      <c r="C3" s="28"/>
      <c r="D3" s="28"/>
      <c r="E3" s="28"/>
    </row>
    <row r="4" spans="1:20" ht="12.3" x14ac:dyDescent="0.35">
      <c r="B4" s="27" t="str">
        <f>Model_Name</f>
        <v>Power and Water Corporation (PWC) - RAB Allocation - EB RIN</v>
      </c>
    </row>
    <row r="5" spans="1:20" ht="12.3" hidden="1" outlineLevel="1" x14ac:dyDescent="0.35">
      <c r="B5" s="10" t="str">
        <f>Lookup!B15</f>
        <v>Period start date</v>
      </c>
      <c r="J5" s="35">
        <f>Lookup!R15</f>
        <v>43282</v>
      </c>
      <c r="K5" s="35">
        <f>Lookup!S15</f>
        <v>43647</v>
      </c>
      <c r="L5" s="35">
        <f>Lookup!T15</f>
        <v>44013</v>
      </c>
      <c r="M5" s="35">
        <f>Lookup!U15</f>
        <v>44378</v>
      </c>
      <c r="N5" s="35">
        <f>Lookup!V15</f>
        <v>44743</v>
      </c>
      <c r="O5" s="35">
        <f>Lookup!W15</f>
        <v>45108</v>
      </c>
      <c r="P5" s="35">
        <f>Lookup!X15</f>
        <v>45474</v>
      </c>
      <c r="Q5" s="35">
        <f>Lookup!Y15</f>
        <v>45839</v>
      </c>
      <c r="R5" s="35">
        <f>Lookup!Z15</f>
        <v>46204</v>
      </c>
      <c r="S5" s="35">
        <f>Lookup!AA15</f>
        <v>46569</v>
      </c>
      <c r="T5" s="35">
        <f>Lookup!AB15</f>
        <v>46935</v>
      </c>
    </row>
    <row r="6" spans="1:20" ht="12.3" hidden="1" outlineLevel="1" x14ac:dyDescent="0.35">
      <c r="B6" s="10" t="str">
        <f>Lookup!B16</f>
        <v>Period end date</v>
      </c>
      <c r="J6" s="35">
        <f>Lookup!R16</f>
        <v>43646</v>
      </c>
      <c r="K6" s="35">
        <f>Lookup!S16</f>
        <v>44012</v>
      </c>
      <c r="L6" s="35">
        <f>Lookup!T16</f>
        <v>44377</v>
      </c>
      <c r="M6" s="35">
        <f>Lookup!U16</f>
        <v>44742</v>
      </c>
      <c r="N6" s="35">
        <f>Lookup!V16</f>
        <v>45107</v>
      </c>
      <c r="O6" s="35">
        <f>Lookup!W16</f>
        <v>45473</v>
      </c>
      <c r="P6" s="35">
        <f>Lookup!X16</f>
        <v>45838</v>
      </c>
      <c r="Q6" s="35">
        <f>Lookup!Y16</f>
        <v>46203</v>
      </c>
      <c r="R6" s="35">
        <f>Lookup!Z16</f>
        <v>46568</v>
      </c>
      <c r="S6" s="35">
        <f>Lookup!AA16</f>
        <v>46934</v>
      </c>
      <c r="T6" s="35">
        <f>Lookup!AB16</f>
        <v>47299</v>
      </c>
    </row>
    <row r="7" spans="1:20" ht="12.3" hidden="1" outlineLevel="1" x14ac:dyDescent="0.35">
      <c r="B7" s="10" t="str">
        <f>Lookup!B17</f>
        <v>Period counter</v>
      </c>
      <c r="J7" s="36">
        <f>Lookup!R17</f>
        <v>9</v>
      </c>
      <c r="K7" s="36">
        <f>Lookup!S17</f>
        <v>10</v>
      </c>
      <c r="L7" s="36">
        <f>Lookup!T17</f>
        <v>11</v>
      </c>
      <c r="M7" s="36">
        <f>Lookup!U17</f>
        <v>12</v>
      </c>
      <c r="N7" s="36">
        <f>Lookup!V17</f>
        <v>13</v>
      </c>
      <c r="O7" s="36">
        <f>Lookup!W17</f>
        <v>14</v>
      </c>
      <c r="P7" s="36">
        <f>Lookup!X17</f>
        <v>15</v>
      </c>
      <c r="Q7" s="36">
        <f>Lookup!Y17</f>
        <v>16</v>
      </c>
      <c r="R7" s="36">
        <f>Lookup!Z17</f>
        <v>17</v>
      </c>
      <c r="S7" s="36">
        <f>Lookup!AA17</f>
        <v>18</v>
      </c>
      <c r="T7" s="36">
        <f>Lookup!AB17</f>
        <v>19</v>
      </c>
    </row>
    <row r="8" spans="1:20" ht="12.3" hidden="1" outlineLevel="1" x14ac:dyDescent="0.35">
      <c r="B8" s="10" t="str">
        <f>Lookup!B18</f>
        <v>Year</v>
      </c>
      <c r="J8" s="37">
        <f>Lookup!R18</f>
        <v>2019</v>
      </c>
      <c r="K8" s="37">
        <f>Lookup!S18</f>
        <v>2020</v>
      </c>
      <c r="L8" s="37">
        <f>Lookup!T18</f>
        <v>2021</v>
      </c>
      <c r="M8" s="37">
        <f>Lookup!U18</f>
        <v>2022</v>
      </c>
      <c r="N8" s="37">
        <f>Lookup!V18</f>
        <v>2023</v>
      </c>
      <c r="O8" s="37">
        <f>Lookup!W18</f>
        <v>2024</v>
      </c>
      <c r="P8" s="37">
        <f>Lookup!X18</f>
        <v>2025</v>
      </c>
      <c r="Q8" s="37">
        <f>Lookup!Y18</f>
        <v>2026</v>
      </c>
      <c r="R8" s="37">
        <f>Lookup!Z18</f>
        <v>2027</v>
      </c>
      <c r="S8" s="37">
        <f>Lookup!AA18</f>
        <v>2028</v>
      </c>
      <c r="T8" s="37">
        <f>Lookup!AB18</f>
        <v>2029</v>
      </c>
    </row>
    <row r="9" spans="1:20" ht="12.3" hidden="1" outlineLevel="1" x14ac:dyDescent="0.35">
      <c r="B9" s="10" t="str">
        <f>Lookup!B19</f>
        <v>Period type</v>
      </c>
      <c r="J9" s="37" t="str">
        <f>Lookup!R19</f>
        <v>Actual</v>
      </c>
      <c r="K9" s="37" t="str">
        <f>Lookup!S19</f>
        <v>Actual</v>
      </c>
      <c r="L9" s="37" t="str">
        <f>Lookup!T19</f>
        <v>Actual</v>
      </c>
      <c r="M9" s="37" t="str">
        <f>Lookup!U19</f>
        <v>Base Year</v>
      </c>
      <c r="N9" s="37" t="str">
        <f>Lookup!V19</f>
        <v>Estimate</v>
      </c>
      <c r="O9" s="37" t="str">
        <f>Lookup!W19</f>
        <v>Estimate</v>
      </c>
      <c r="P9" s="37" t="str">
        <f>Lookup!X19</f>
        <v>Forecast</v>
      </c>
      <c r="Q9" s="37" t="str">
        <f>Lookup!Y19</f>
        <v>Forecast</v>
      </c>
      <c r="R9" s="37" t="str">
        <f>Lookup!Z19</f>
        <v>Forecast</v>
      </c>
      <c r="S9" s="37" t="str">
        <f>Lookup!AA19</f>
        <v>Forecast</v>
      </c>
      <c r="T9" s="37" t="str">
        <f>Lookup!AB19</f>
        <v>Forecast</v>
      </c>
    </row>
    <row r="10" spans="1:20" ht="12.3" collapsed="1" x14ac:dyDescent="0.35">
      <c r="B10" s="5" t="str">
        <f>Lookup!B20</f>
        <v>Regulatory year</v>
      </c>
      <c r="E10" s="34" t="str">
        <f>Lookup!E20</f>
        <v>Source</v>
      </c>
      <c r="F10" s="34" t="str">
        <f>Lookup!F20</f>
        <v>Unit</v>
      </c>
      <c r="G10" s="34" t="str">
        <f>Lookup!G20</f>
        <v>Basis</v>
      </c>
      <c r="H10" s="34" t="str">
        <f>Lookup!H20</f>
        <v>Timing</v>
      </c>
      <c r="I10" s="34"/>
      <c r="J10" s="34" t="str">
        <f>Lookup!R20</f>
        <v>RY19</v>
      </c>
      <c r="K10" s="34" t="str">
        <f>Lookup!S20</f>
        <v>RY20</v>
      </c>
      <c r="L10" s="34" t="str">
        <f>Lookup!T20</f>
        <v>RY21</v>
      </c>
      <c r="M10" s="34" t="str">
        <f>Lookup!U20</f>
        <v>RY22</v>
      </c>
      <c r="N10" s="34" t="str">
        <f>Lookup!V20</f>
        <v>RY23</v>
      </c>
      <c r="O10" s="34" t="str">
        <f>Lookup!W20</f>
        <v>RY24</v>
      </c>
      <c r="P10" s="34" t="str">
        <f>Lookup!X20</f>
        <v>RY25</v>
      </c>
      <c r="Q10" s="34" t="str">
        <f>Lookup!Y20</f>
        <v>RY26</v>
      </c>
      <c r="R10" s="34" t="str">
        <f>Lookup!Z20</f>
        <v>RY27</v>
      </c>
      <c r="S10" s="34" t="str">
        <f>Lookup!AA20</f>
        <v>RY28</v>
      </c>
      <c r="T10" s="34" t="str">
        <f>Lookup!AB20</f>
        <v>RY29</v>
      </c>
    </row>
    <row r="12" spans="1:20" s="2" customFormat="1" ht="15" x14ac:dyDescent="0.35">
      <c r="B12" s="2" t="s">
        <v>403</v>
      </c>
    </row>
    <row r="13" spans="1:20" ht="4.5" customHeight="1" x14ac:dyDescent="0.35"/>
    <row r="14" spans="1:20" s="8" customFormat="1" ht="14.1" x14ac:dyDescent="0.35">
      <c r="C14" s="8" t="s">
        <v>402</v>
      </c>
    </row>
    <row r="15" spans="1:20" ht="11.25" customHeight="1" x14ac:dyDescent="0.35"/>
    <row r="16" spans="1:20" ht="12.3" x14ac:dyDescent="0.35">
      <c r="D16" s="43" t="s">
        <v>401</v>
      </c>
      <c r="E16" s="38" t="str">
        <f>Lookup!E$20</f>
        <v>Source</v>
      </c>
      <c r="F16" s="38" t="str">
        <f>Lookup!F$20</f>
        <v>Unit</v>
      </c>
      <c r="G16" s="38" t="str">
        <f>Lookup!G$20</f>
        <v>Basis</v>
      </c>
      <c r="H16" s="38" t="str">
        <f>Lookup!H$20</f>
        <v>Timing</v>
      </c>
      <c r="J16" s="275" t="str">
        <f t="shared" ref="J16:T16" si="0">J$10</f>
        <v>RY19</v>
      </c>
      <c r="K16" s="46" t="str">
        <f t="shared" si="0"/>
        <v>RY20</v>
      </c>
      <c r="L16" s="38" t="str">
        <f>L$10</f>
        <v>RY21</v>
      </c>
      <c r="M16" s="38" t="str">
        <f t="shared" si="0"/>
        <v>RY22</v>
      </c>
      <c r="N16" s="38" t="str">
        <f t="shared" si="0"/>
        <v>RY23</v>
      </c>
      <c r="O16" s="47" t="str">
        <f t="shared" si="0"/>
        <v>RY24</v>
      </c>
      <c r="P16" s="46" t="str">
        <f t="shared" si="0"/>
        <v>RY25</v>
      </c>
      <c r="Q16" s="38" t="str">
        <f>Q$10</f>
        <v>RY26</v>
      </c>
      <c r="R16" s="38" t="str">
        <f t="shared" si="0"/>
        <v>RY27</v>
      </c>
      <c r="S16" s="38" t="str">
        <f t="shared" si="0"/>
        <v>RY28</v>
      </c>
      <c r="T16" s="47" t="str">
        <f t="shared" si="0"/>
        <v>RY29</v>
      </c>
    </row>
    <row r="17" spans="1:20" x14ac:dyDescent="0.35">
      <c r="J17" s="73"/>
      <c r="K17" s="48"/>
      <c r="O17" s="49"/>
      <c r="P17" s="48"/>
      <c r="T17" s="49"/>
    </row>
    <row r="18" spans="1:20" ht="12.3" x14ac:dyDescent="0.35">
      <c r="D18" s="20" t="s">
        <v>143</v>
      </c>
      <c r="E18" s="45" t="s">
        <v>158</v>
      </c>
      <c r="F18" s="45" t="str">
        <f t="shared" ref="F18:F28" si="1">Millions</f>
        <v>$Millions</v>
      </c>
      <c r="G18" s="45" t="str">
        <f t="shared" ref="G18:G28" si="2">Nominal</f>
        <v>Nominal</v>
      </c>
      <c r="H18" s="45" t="str">
        <f t="shared" ref="H18:H28" si="3">Start_year</f>
        <v>Start year</v>
      </c>
      <c r="J18" s="75">
        <v>9.4631035673438628</v>
      </c>
      <c r="K18" s="56">
        <f t="shared" ref="K18:P18" si="4">J168</f>
        <v>9.7184780952509033</v>
      </c>
      <c r="L18" s="57">
        <f t="shared" si="4"/>
        <v>9.302038485245042</v>
      </c>
      <c r="M18" s="57">
        <f t="shared" si="4"/>
        <v>8.7758265703789213</v>
      </c>
      <c r="N18" s="57">
        <f t="shared" si="4"/>
        <v>8.4713494438114374</v>
      </c>
      <c r="O18" s="58">
        <f t="shared" si="4"/>
        <v>8.5161846903087142</v>
      </c>
      <c r="P18" s="56">
        <f t="shared" si="4"/>
        <v>8.2329428450249758</v>
      </c>
      <c r="Q18" s="57">
        <f t="shared" ref="Q18:Q28" si="5">P168</f>
        <v>7.8657879961075068</v>
      </c>
      <c r="R18" s="57">
        <f t="shared" ref="R18:R28" si="6">Q168</f>
        <v>7.4701759413220667</v>
      </c>
      <c r="S18" s="57">
        <f t="shared" ref="S18:S28" si="7">R168</f>
        <v>7.0447579584446611</v>
      </c>
      <c r="T18" s="58">
        <f t="shared" ref="T18:T28" si="8">S168</f>
        <v>6.5881308273532353</v>
      </c>
    </row>
    <row r="19" spans="1:20" ht="12.3" x14ac:dyDescent="0.35">
      <c r="D19" s="20" t="s">
        <v>136</v>
      </c>
      <c r="E19" s="45" t="s">
        <v>158</v>
      </c>
      <c r="F19" s="45" t="str">
        <f t="shared" si="1"/>
        <v>$Millions</v>
      </c>
      <c r="G19" s="45" t="str">
        <f t="shared" si="2"/>
        <v>Nominal</v>
      </c>
      <c r="H19" s="45" t="str">
        <f t="shared" si="3"/>
        <v>Start year</v>
      </c>
      <c r="J19" s="75">
        <v>5.4073217603789097</v>
      </c>
      <c r="K19" s="56">
        <f t="shared" ref="K19:K20" si="9">J169</f>
        <v>4.3355965344801293</v>
      </c>
      <c r="L19" s="57">
        <f t="shared" ref="L19:L20" si="10">K169</f>
        <v>5.7909819175359374</v>
      </c>
      <c r="M19" s="57">
        <f t="shared" ref="M19:M20" si="11">L169</f>
        <v>7.1483294325053901</v>
      </c>
      <c r="N19" s="57">
        <f t="shared" ref="N19:N20" si="12">M169</f>
        <v>9.1593329625184925</v>
      </c>
      <c r="O19" s="58">
        <f t="shared" ref="O19:O20" si="13">N169</f>
        <v>18.419126463226874</v>
      </c>
      <c r="P19" s="56">
        <f t="shared" ref="P19:P28" si="14">O169</f>
        <v>33.950148815747923</v>
      </c>
      <c r="Q19" s="57">
        <f t="shared" si="5"/>
        <v>37.325038512324063</v>
      </c>
      <c r="R19" s="57">
        <f t="shared" si="6"/>
        <v>40.334569944369626</v>
      </c>
      <c r="S19" s="57">
        <f t="shared" si="7"/>
        <v>46.361230552961672</v>
      </c>
      <c r="T19" s="58">
        <f t="shared" si="8"/>
        <v>52.0924347663479</v>
      </c>
    </row>
    <row r="20" spans="1:20" ht="12.3" x14ac:dyDescent="0.35">
      <c r="D20" s="20" t="s">
        <v>137</v>
      </c>
      <c r="E20" s="45" t="s">
        <v>158</v>
      </c>
      <c r="F20" s="45" t="str">
        <f t="shared" si="1"/>
        <v>$Millions</v>
      </c>
      <c r="G20" s="45" t="str">
        <f t="shared" si="2"/>
        <v>Nominal</v>
      </c>
      <c r="H20" s="45" t="str">
        <f t="shared" si="3"/>
        <v>Start year</v>
      </c>
      <c r="J20" s="75">
        <v>0</v>
      </c>
      <c r="K20" s="56">
        <f t="shared" si="9"/>
        <v>0</v>
      </c>
      <c r="L20" s="57">
        <f t="shared" si="10"/>
        <v>0</v>
      </c>
      <c r="M20" s="57">
        <f t="shared" si="11"/>
        <v>0</v>
      </c>
      <c r="N20" s="57">
        <f t="shared" si="12"/>
        <v>0</v>
      </c>
      <c r="O20" s="58">
        <f t="shared" si="13"/>
        <v>1.715980693421798</v>
      </c>
      <c r="P20" s="56">
        <f t="shared" si="14"/>
        <v>3.6343016123001082</v>
      </c>
      <c r="Q20" s="57">
        <f t="shared" si="5"/>
        <v>3.7048065126764005</v>
      </c>
      <c r="R20" s="57">
        <f t="shared" si="6"/>
        <v>3.780839082891744</v>
      </c>
      <c r="S20" s="57">
        <f t="shared" si="7"/>
        <v>3.8744886353660282</v>
      </c>
      <c r="T20" s="58">
        <f t="shared" si="8"/>
        <v>3.9844796697419191</v>
      </c>
    </row>
    <row r="21" spans="1:20" ht="12.3" x14ac:dyDescent="0.35">
      <c r="D21" s="20" t="s">
        <v>140</v>
      </c>
      <c r="E21" s="45" t="s">
        <v>158</v>
      </c>
      <c r="F21" s="45" t="str">
        <f t="shared" si="1"/>
        <v>$Millions</v>
      </c>
      <c r="G21" s="45" t="str">
        <f t="shared" si="2"/>
        <v>Nominal</v>
      </c>
      <c r="H21" s="45" t="str">
        <f t="shared" si="3"/>
        <v>Start year</v>
      </c>
      <c r="J21" s="75">
        <v>0</v>
      </c>
      <c r="K21" s="56">
        <f t="shared" ref="K21:O21" si="15">J171</f>
        <v>0</v>
      </c>
      <c r="L21" s="57">
        <f t="shared" si="15"/>
        <v>0</v>
      </c>
      <c r="M21" s="57">
        <f t="shared" si="15"/>
        <v>0</v>
      </c>
      <c r="N21" s="57">
        <f t="shared" si="15"/>
        <v>0</v>
      </c>
      <c r="O21" s="58">
        <f t="shared" si="15"/>
        <v>0</v>
      </c>
      <c r="P21" s="56">
        <f t="shared" si="14"/>
        <v>0</v>
      </c>
      <c r="Q21" s="57">
        <f t="shared" si="5"/>
        <v>5.9982156263078727E-2</v>
      </c>
      <c r="R21" s="57">
        <f t="shared" si="6"/>
        <v>0.11939871372401664</v>
      </c>
      <c r="S21" s="57">
        <f t="shared" si="7"/>
        <v>0.17804344808929201</v>
      </c>
      <c r="T21" s="58">
        <f t="shared" si="8"/>
        <v>0.23569491781069496</v>
      </c>
    </row>
    <row r="22" spans="1:20" ht="12.3" x14ac:dyDescent="0.35">
      <c r="D22" s="20" t="s">
        <v>139</v>
      </c>
      <c r="E22" s="45" t="s">
        <v>158</v>
      </c>
      <c r="F22" s="45" t="str">
        <f t="shared" si="1"/>
        <v>$Millions</v>
      </c>
      <c r="G22" s="45" t="str">
        <f t="shared" si="2"/>
        <v>Nominal</v>
      </c>
      <c r="H22" s="45" t="str">
        <f t="shared" si="3"/>
        <v>Start year</v>
      </c>
      <c r="J22" s="75">
        <v>0</v>
      </c>
      <c r="K22" s="56">
        <f t="shared" ref="K22:O22" si="16">J172</f>
        <v>0</v>
      </c>
      <c r="L22" s="57">
        <f t="shared" si="16"/>
        <v>4.5787038800831986E-2</v>
      </c>
      <c r="M22" s="57">
        <f t="shared" si="16"/>
        <v>0.15716646299495285</v>
      </c>
      <c r="N22" s="57">
        <f t="shared" si="16"/>
        <v>0.23756626900664449</v>
      </c>
      <c r="O22" s="58">
        <f t="shared" si="16"/>
        <v>0.4056299560937543</v>
      </c>
      <c r="P22" s="56">
        <f t="shared" si="14"/>
        <v>0.52419848234404287</v>
      </c>
      <c r="Q22" s="57">
        <f t="shared" si="5"/>
        <v>0.63780692791435067</v>
      </c>
      <c r="R22" s="57">
        <f t="shared" si="6"/>
        <v>0.75322452562387188</v>
      </c>
      <c r="S22" s="57">
        <f t="shared" si="7"/>
        <v>0.95988808490256683</v>
      </c>
      <c r="T22" s="58">
        <f t="shared" si="8"/>
        <v>3.1576585482407635</v>
      </c>
    </row>
    <row r="23" spans="1:20" ht="12.3" x14ac:dyDescent="0.35">
      <c r="D23" s="20" t="s">
        <v>138</v>
      </c>
      <c r="E23" s="45" t="s">
        <v>158</v>
      </c>
      <c r="F23" s="45" t="str">
        <f t="shared" si="1"/>
        <v>$Millions</v>
      </c>
      <c r="G23" s="45" t="str">
        <f t="shared" si="2"/>
        <v>Nominal</v>
      </c>
      <c r="H23" s="45" t="str">
        <f t="shared" si="3"/>
        <v>Start year</v>
      </c>
      <c r="J23" s="75">
        <v>0</v>
      </c>
      <c r="K23" s="56">
        <f t="shared" ref="K23:O23" si="17">J173</f>
        <v>0</v>
      </c>
      <c r="L23" s="57">
        <f t="shared" si="17"/>
        <v>0.24876335357553153</v>
      </c>
      <c r="M23" s="57">
        <f t="shared" si="17"/>
        <v>0.30900349755920892</v>
      </c>
      <c r="N23" s="57">
        <f t="shared" si="17"/>
        <v>0.53356423583018597</v>
      </c>
      <c r="O23" s="58">
        <f t="shared" si="17"/>
        <v>1.1381834847082841</v>
      </c>
      <c r="P23" s="56">
        <f t="shared" si="14"/>
        <v>1.81503938289642</v>
      </c>
      <c r="Q23" s="57">
        <f t="shared" si="5"/>
        <v>2.3331227821328762</v>
      </c>
      <c r="R23" s="57">
        <f t="shared" si="6"/>
        <v>2.9470365754517234</v>
      </c>
      <c r="S23" s="57">
        <f t="shared" si="7"/>
        <v>3.1653096062674404</v>
      </c>
      <c r="T23" s="58">
        <f t="shared" si="8"/>
        <v>3.3865751433280464</v>
      </c>
    </row>
    <row r="24" spans="1:20" ht="12.3" x14ac:dyDescent="0.35">
      <c r="D24" s="20" t="s">
        <v>360</v>
      </c>
      <c r="E24" s="45" t="s">
        <v>158</v>
      </c>
      <c r="F24" s="45" t="str">
        <f t="shared" si="1"/>
        <v>$Millions</v>
      </c>
      <c r="G24" s="45" t="str">
        <f t="shared" si="2"/>
        <v>Nominal</v>
      </c>
      <c r="H24" s="45" t="str">
        <f t="shared" si="3"/>
        <v>Start year</v>
      </c>
      <c r="J24" s="75">
        <v>0</v>
      </c>
      <c r="K24" s="56">
        <f t="shared" ref="K24:O24" si="18">J174</f>
        <v>0</v>
      </c>
      <c r="L24" s="57">
        <f t="shared" si="18"/>
        <v>0.55328554740029001</v>
      </c>
      <c r="M24" s="57">
        <f t="shared" si="18"/>
        <v>0.56063300483699807</v>
      </c>
      <c r="N24" s="57">
        <f t="shared" si="18"/>
        <v>0.58387742610905558</v>
      </c>
      <c r="O24" s="58">
        <f t="shared" si="18"/>
        <v>0.61174281405477959</v>
      </c>
      <c r="P24" s="56">
        <f t="shared" si="14"/>
        <v>0.54228072177411724</v>
      </c>
      <c r="Q24" s="57">
        <f t="shared" si="5"/>
        <v>0.42661576887161651</v>
      </c>
      <c r="R24" s="57">
        <f t="shared" si="6"/>
        <v>0.41652443803815409</v>
      </c>
      <c r="S24" s="57">
        <f t="shared" si="7"/>
        <v>0.4741463610070093</v>
      </c>
      <c r="T24" s="58">
        <f t="shared" si="8"/>
        <v>0.51917220720769397</v>
      </c>
    </row>
    <row r="25" spans="1:20" ht="12.3" x14ac:dyDescent="0.35">
      <c r="D25" s="20" t="s">
        <v>358</v>
      </c>
      <c r="E25" s="45" t="s">
        <v>158</v>
      </c>
      <c r="F25" s="45" t="str">
        <f t="shared" si="1"/>
        <v>$Millions</v>
      </c>
      <c r="G25" s="45" t="str">
        <f t="shared" si="2"/>
        <v>Nominal</v>
      </c>
      <c r="H25" s="45" t="str">
        <f t="shared" si="3"/>
        <v>Start year</v>
      </c>
      <c r="J25" s="75">
        <v>0</v>
      </c>
      <c r="K25" s="56">
        <f t="shared" ref="K25:O25" si="19">J175</f>
        <v>0</v>
      </c>
      <c r="L25" s="57">
        <f t="shared" si="19"/>
        <v>0.12670699945879238</v>
      </c>
      <c r="M25" s="57">
        <f t="shared" si="19"/>
        <v>0.16135691303172972</v>
      </c>
      <c r="N25" s="57">
        <f t="shared" si="19"/>
        <v>0.6411112708314517</v>
      </c>
      <c r="O25" s="58">
        <f t="shared" si="19"/>
        <v>0.64934445420920339</v>
      </c>
      <c r="P25" s="56">
        <f t="shared" si="14"/>
        <v>0.84013625340883658</v>
      </c>
      <c r="Q25" s="57">
        <f t="shared" si="5"/>
        <v>0.80236626568098146</v>
      </c>
      <c r="R25" s="57">
        <f t="shared" si="6"/>
        <v>0.76167462539584763</v>
      </c>
      <c r="S25" s="57">
        <f t="shared" si="7"/>
        <v>1.023626122725606</v>
      </c>
      <c r="T25" s="58">
        <f t="shared" si="8"/>
        <v>0.91519481732204566</v>
      </c>
    </row>
    <row r="26" spans="1:20" ht="12.3" x14ac:dyDescent="0.35">
      <c r="D26" s="20" t="s">
        <v>364</v>
      </c>
      <c r="E26" s="45" t="s">
        <v>158</v>
      </c>
      <c r="F26" s="45" t="str">
        <f t="shared" si="1"/>
        <v>$Millions</v>
      </c>
      <c r="G26" s="45" t="str">
        <f t="shared" si="2"/>
        <v>Nominal</v>
      </c>
      <c r="H26" s="45" t="str">
        <f t="shared" si="3"/>
        <v>Start year</v>
      </c>
      <c r="J26" s="75">
        <v>0</v>
      </c>
      <c r="K26" s="56">
        <f t="shared" ref="K26:K28" si="20">J176</f>
        <v>0</v>
      </c>
      <c r="L26" s="57">
        <f t="shared" ref="L26:L28" si="21">K176</f>
        <v>1.689217183341285E-2</v>
      </c>
      <c r="M26" s="57">
        <f t="shared" ref="M26:M28" si="22">L176</f>
        <v>7.6360869790950636E-2</v>
      </c>
      <c r="N26" s="57">
        <f t="shared" ref="N26:N28" si="23">M176</f>
        <v>0.20596838295254899</v>
      </c>
      <c r="O26" s="58">
        <f t="shared" ref="O26:O28" si="24">N176</f>
        <v>0.21710287309332835</v>
      </c>
      <c r="P26" s="56">
        <f t="shared" si="14"/>
        <v>0.22153628919365626</v>
      </c>
      <c r="Q26" s="57">
        <f t="shared" si="5"/>
        <v>0.22193072804431024</v>
      </c>
      <c r="R26" s="57">
        <f t="shared" si="6"/>
        <v>0.22215935514912535</v>
      </c>
      <c r="S26" s="57">
        <f t="shared" si="7"/>
        <v>0.22221215206439238</v>
      </c>
      <c r="T26" s="58">
        <f t="shared" si="8"/>
        <v>0.222078656684286</v>
      </c>
    </row>
    <row r="27" spans="1:20" ht="12.3" x14ac:dyDescent="0.35">
      <c r="D27" s="20" t="s">
        <v>365</v>
      </c>
      <c r="E27" s="45" t="s">
        <v>158</v>
      </c>
      <c r="F27" s="45" t="str">
        <f t="shared" si="1"/>
        <v>$Millions</v>
      </c>
      <c r="G27" s="45" t="str">
        <f t="shared" si="2"/>
        <v>Nominal</v>
      </c>
      <c r="H27" s="45" t="str">
        <f t="shared" si="3"/>
        <v>Start year</v>
      </c>
      <c r="J27" s="75">
        <v>0</v>
      </c>
      <c r="K27" s="56">
        <f t="shared" si="20"/>
        <v>0</v>
      </c>
      <c r="L27" s="57">
        <f t="shared" si="21"/>
        <v>0</v>
      </c>
      <c r="M27" s="57">
        <f t="shared" si="22"/>
        <v>0</v>
      </c>
      <c r="N27" s="57">
        <f t="shared" si="23"/>
        <v>0</v>
      </c>
      <c r="O27" s="58">
        <f t="shared" si="24"/>
        <v>0</v>
      </c>
      <c r="P27" s="56">
        <f t="shared" si="14"/>
        <v>0</v>
      </c>
      <c r="Q27" s="57">
        <f t="shared" si="5"/>
        <v>0</v>
      </c>
      <c r="R27" s="57">
        <f t="shared" si="6"/>
        <v>0</v>
      </c>
      <c r="S27" s="57">
        <f t="shared" si="7"/>
        <v>0</v>
      </c>
      <c r="T27" s="58">
        <f t="shared" si="8"/>
        <v>0</v>
      </c>
    </row>
    <row r="28" spans="1:20" ht="12.3" x14ac:dyDescent="0.35">
      <c r="D28" s="20" t="s">
        <v>157</v>
      </c>
      <c r="E28" s="45" t="s">
        <v>158</v>
      </c>
      <c r="F28" s="45" t="str">
        <f t="shared" si="1"/>
        <v>$Millions</v>
      </c>
      <c r="G28" s="45" t="str">
        <f t="shared" si="2"/>
        <v>Nominal</v>
      </c>
      <c r="H28" s="45" t="str">
        <f t="shared" si="3"/>
        <v>Start year</v>
      </c>
      <c r="J28" s="75">
        <v>0</v>
      </c>
      <c r="K28" s="56">
        <f t="shared" si="20"/>
        <v>0</v>
      </c>
      <c r="L28" s="57">
        <f t="shared" si="21"/>
        <v>0.15860280233141474</v>
      </c>
      <c r="M28" s="57">
        <f t="shared" si="22"/>
        <v>0.14896694935046589</v>
      </c>
      <c r="N28" s="57">
        <f t="shared" si="23"/>
        <v>0.14308281430114372</v>
      </c>
      <c r="O28" s="58">
        <f t="shared" si="24"/>
        <v>0.14304585234242617</v>
      </c>
      <c r="P28" s="56">
        <f t="shared" si="14"/>
        <v>0.13736673333148641</v>
      </c>
      <c r="Q28" s="57">
        <f t="shared" si="5"/>
        <v>0.17200985152780116</v>
      </c>
      <c r="R28" s="57">
        <f t="shared" si="6"/>
        <v>0.16081300605855012</v>
      </c>
      <c r="S28" s="57">
        <f t="shared" si="7"/>
        <v>0.1488157190963213</v>
      </c>
      <c r="T28" s="58">
        <f t="shared" si="8"/>
        <v>0.1359807951450725</v>
      </c>
    </row>
    <row r="29" spans="1:20" x14ac:dyDescent="0.35">
      <c r="J29" s="73"/>
      <c r="K29" s="48"/>
      <c r="O29" s="49"/>
      <c r="P29" s="48"/>
      <c r="T29" s="49"/>
    </row>
    <row r="30" spans="1:20" ht="12.3" x14ac:dyDescent="0.35">
      <c r="D30" s="44" t="str">
        <f>"Total "&amp;D16</f>
        <v>Total RAB asset class</v>
      </c>
      <c r="E30" s="40" t="s">
        <v>91</v>
      </c>
      <c r="F30" s="40" t="str">
        <f>F18</f>
        <v>$Millions</v>
      </c>
      <c r="G30" s="40" t="str">
        <f>G18</f>
        <v>Nominal</v>
      </c>
      <c r="H30" s="40" t="str">
        <f>H18</f>
        <v>Start year</v>
      </c>
      <c r="J30" s="74">
        <f t="shared" ref="J30:T30" si="25">SUM(J18:J28)</f>
        <v>14.870425327722772</v>
      </c>
      <c r="K30" s="53">
        <f t="shared" si="25"/>
        <v>14.054074629731033</v>
      </c>
      <c r="L30" s="39">
        <f t="shared" si="25"/>
        <v>16.243058316181251</v>
      </c>
      <c r="M30" s="39">
        <f t="shared" si="25"/>
        <v>17.337643700448616</v>
      </c>
      <c r="N30" s="39">
        <f t="shared" si="25"/>
        <v>19.975852805360965</v>
      </c>
      <c r="O30" s="54">
        <f t="shared" si="25"/>
        <v>31.81634128145916</v>
      </c>
      <c r="P30" s="53">
        <f t="shared" si="25"/>
        <v>49.897951136021575</v>
      </c>
      <c r="Q30" s="39">
        <f t="shared" si="25"/>
        <v>53.549467501542985</v>
      </c>
      <c r="R30" s="39">
        <f t="shared" si="25"/>
        <v>56.966416208024725</v>
      </c>
      <c r="S30" s="39">
        <f t="shared" si="25"/>
        <v>63.452518640924993</v>
      </c>
      <c r="T30" s="54">
        <f t="shared" si="25"/>
        <v>71.237400349181655</v>
      </c>
    </row>
    <row r="31" spans="1:20" ht="11.25" customHeight="1" x14ac:dyDescent="0.35"/>
    <row r="32" spans="1:20" ht="11.25" customHeight="1" x14ac:dyDescent="0.35">
      <c r="A32" s="42">
        <f>IF(SUM($J32:$T32)&lt;&gt;0,1,0)</f>
        <v>0</v>
      </c>
      <c r="D32" s="10" t="s">
        <v>94</v>
      </c>
      <c r="J32" s="42">
        <f t="shared" ref="J32:K32" si="26">IF(ISERROR(J30),1,0)</f>
        <v>0</v>
      </c>
      <c r="K32" s="42">
        <f t="shared" si="26"/>
        <v>0</v>
      </c>
      <c r="L32" s="42">
        <f>IF(ISERROR(L30),1,0)</f>
        <v>0</v>
      </c>
      <c r="M32" s="42">
        <f t="shared" ref="M32:P32" si="27">IF(ISERROR(M30),1,0)</f>
        <v>0</v>
      </c>
      <c r="N32" s="42">
        <f t="shared" si="27"/>
        <v>0</v>
      </c>
      <c r="O32" s="42">
        <f t="shared" si="27"/>
        <v>0</v>
      </c>
      <c r="P32" s="42">
        <f t="shared" si="27"/>
        <v>0</v>
      </c>
      <c r="Q32" s="42">
        <f>IF(ISERROR(Q30),1,0)</f>
        <v>0</v>
      </c>
      <c r="R32" s="42">
        <f t="shared" ref="R32:T32" si="28">IF(ISERROR(R30),1,0)</f>
        <v>0</v>
      </c>
      <c r="S32" s="42">
        <f t="shared" si="28"/>
        <v>0</v>
      </c>
      <c r="T32" s="42">
        <f t="shared" si="28"/>
        <v>0</v>
      </c>
    </row>
    <row r="33" spans="3:20" ht="11.25" customHeight="1" x14ac:dyDescent="0.35">
      <c r="N33" s="5"/>
      <c r="S33" s="5"/>
    </row>
    <row r="34" spans="3:20" s="8" customFormat="1" ht="14.1" x14ac:dyDescent="0.35">
      <c r="C34" s="8" t="s">
        <v>125</v>
      </c>
    </row>
    <row r="35" spans="3:20" ht="11.25" customHeight="1" x14ac:dyDescent="0.35"/>
    <row r="36" spans="3:20" ht="12.3" x14ac:dyDescent="0.35">
      <c r="D36" s="43" t="str">
        <f>D$16</f>
        <v>RAB asset class</v>
      </c>
      <c r="E36" s="38" t="str">
        <f>Lookup!E$20</f>
        <v>Source</v>
      </c>
      <c r="F36" s="38" t="str">
        <f>Lookup!F$20</f>
        <v>Unit</v>
      </c>
      <c r="G36" s="38" t="str">
        <f>Lookup!G$20</f>
        <v>Basis</v>
      </c>
      <c r="H36" s="38" t="str">
        <f>Lookup!H$20</f>
        <v>Timing</v>
      </c>
      <c r="J36" s="72" t="str">
        <f t="shared" ref="J36:T36" si="29">J$10</f>
        <v>RY19</v>
      </c>
      <c r="K36" s="46" t="str">
        <f t="shared" si="29"/>
        <v>RY20</v>
      </c>
      <c r="L36" s="38" t="str">
        <f>L$10</f>
        <v>RY21</v>
      </c>
      <c r="M36" s="38" t="str">
        <f t="shared" si="29"/>
        <v>RY22</v>
      </c>
      <c r="N36" s="38" t="str">
        <f t="shared" si="29"/>
        <v>RY23</v>
      </c>
      <c r="O36" s="47" t="str">
        <f t="shared" si="29"/>
        <v>RY24</v>
      </c>
      <c r="P36" s="46" t="str">
        <f t="shared" si="29"/>
        <v>RY25</v>
      </c>
      <c r="Q36" s="38" t="str">
        <f>Q$10</f>
        <v>RY26</v>
      </c>
      <c r="R36" s="38" t="str">
        <f t="shared" si="29"/>
        <v>RY27</v>
      </c>
      <c r="S36" s="38" t="str">
        <f t="shared" si="29"/>
        <v>RY28</v>
      </c>
      <c r="T36" s="47" t="str">
        <f t="shared" si="29"/>
        <v>RY29</v>
      </c>
    </row>
    <row r="37" spans="3:20" x14ac:dyDescent="0.35">
      <c r="J37" s="73"/>
      <c r="K37" s="48"/>
      <c r="O37" s="49"/>
      <c r="P37" s="48"/>
      <c r="T37" s="49"/>
    </row>
    <row r="38" spans="3:20" ht="12.3" x14ac:dyDescent="0.35">
      <c r="D38" s="10" t="str">
        <f t="shared" ref="D38:D45" si="30">D18</f>
        <v>Mechanical meters - General</v>
      </c>
      <c r="E38" s="45" t="s">
        <v>91</v>
      </c>
      <c r="F38" s="45" t="str">
        <f t="shared" ref="F38:F48" si="31">Millions</f>
        <v>$Millions</v>
      </c>
      <c r="G38" s="45" t="str">
        <f t="shared" ref="G38:G48" si="32">Nominal</f>
        <v>Nominal</v>
      </c>
      <c r="H38" s="45" t="str">
        <f t="shared" ref="H38:H48" si="33">End_year</f>
        <v>End year</v>
      </c>
      <c r="J38" s="60">
        <f t="shared" ref="J38:P38" si="34">J18*J$191</f>
        <v>0.16883324830230007</v>
      </c>
      <c r="K38" s="56">
        <f t="shared" si="34"/>
        <v>0.17886769500461897</v>
      </c>
      <c r="L38" s="57">
        <f t="shared" si="34"/>
        <v>8.0051966310198105E-2</v>
      </c>
      <c r="M38" s="57">
        <f t="shared" si="34"/>
        <v>0.30700417183066114</v>
      </c>
      <c r="N38" s="57">
        <f t="shared" si="34"/>
        <v>0.67770795550491503</v>
      </c>
      <c r="O38" s="58">
        <f t="shared" si="34"/>
        <v>0.40026068044450958</v>
      </c>
      <c r="P38" s="56">
        <f t="shared" si="34"/>
        <v>0.2403722965861094</v>
      </c>
      <c r="Q38" s="57">
        <f t="shared" ref="Q38:T38" si="35">Q18*Q$191</f>
        <v>0.22965269657208182</v>
      </c>
      <c r="R38" s="57">
        <f t="shared" si="35"/>
        <v>0.2181022485784595</v>
      </c>
      <c r="S38" s="57">
        <f t="shared" si="35"/>
        <v>0.20568157477102922</v>
      </c>
      <c r="T38" s="58">
        <f t="shared" si="35"/>
        <v>0.19234970617311969</v>
      </c>
    </row>
    <row r="39" spans="3:20" ht="12.3" x14ac:dyDescent="0.35">
      <c r="D39" s="10" t="str">
        <f t="shared" si="30"/>
        <v>Electronic Meters</v>
      </c>
      <c r="E39" s="45" t="str">
        <f>E38</f>
        <v>Calculated</v>
      </c>
      <c r="F39" s="45" t="str">
        <f t="shared" si="31"/>
        <v>$Millions</v>
      </c>
      <c r="G39" s="45" t="str">
        <f t="shared" si="32"/>
        <v>Nominal</v>
      </c>
      <c r="H39" s="45" t="str">
        <f t="shared" si="33"/>
        <v>End year</v>
      </c>
      <c r="J39" s="60">
        <f t="shared" ref="J39:T39" si="36">J19*J$191</f>
        <v>9.6473180381426243E-2</v>
      </c>
      <c r="K39" s="56">
        <f t="shared" si="36"/>
        <v>7.9796255235831101E-2</v>
      </c>
      <c r="L39" s="57">
        <f t="shared" si="36"/>
        <v>4.9836333197383169E-2</v>
      </c>
      <c r="M39" s="57">
        <f t="shared" si="36"/>
        <v>0.25006954499378858</v>
      </c>
      <c r="N39" s="57">
        <f t="shared" si="36"/>
        <v>0.73274663700147946</v>
      </c>
      <c r="O39" s="58">
        <f t="shared" si="36"/>
        <v>0.86569894377166312</v>
      </c>
      <c r="P39" s="56">
        <f t="shared" si="36"/>
        <v>0.99122214181443813</v>
      </c>
      <c r="Q39" s="57">
        <f t="shared" si="36"/>
        <v>1.0897567730345512</v>
      </c>
      <c r="R39" s="57">
        <f t="shared" si="36"/>
        <v>1.1776242580379261</v>
      </c>
      <c r="S39" s="57">
        <f t="shared" si="36"/>
        <v>1.3535810548360114</v>
      </c>
      <c r="T39" s="58">
        <f t="shared" si="36"/>
        <v>1.5209115883897708</v>
      </c>
    </row>
    <row r="40" spans="3:20" ht="12.3" x14ac:dyDescent="0.35">
      <c r="D40" s="10" t="str">
        <f t="shared" si="30"/>
        <v>Metering Communications</v>
      </c>
      <c r="E40" s="45" t="str">
        <f t="shared" ref="E40:E48" si="37">E39</f>
        <v>Calculated</v>
      </c>
      <c r="F40" s="45" t="str">
        <f t="shared" si="31"/>
        <v>$Millions</v>
      </c>
      <c r="G40" s="45" t="str">
        <f t="shared" si="32"/>
        <v>Nominal</v>
      </c>
      <c r="H40" s="45" t="str">
        <f t="shared" si="33"/>
        <v>End year</v>
      </c>
      <c r="J40" s="60">
        <f t="shared" ref="J40:T40" si="38">J20*J$191</f>
        <v>0</v>
      </c>
      <c r="K40" s="56">
        <f t="shared" si="38"/>
        <v>0</v>
      </c>
      <c r="L40" s="57">
        <f t="shared" si="38"/>
        <v>0</v>
      </c>
      <c r="M40" s="57">
        <f t="shared" si="38"/>
        <v>0</v>
      </c>
      <c r="N40" s="57">
        <f t="shared" si="38"/>
        <v>0</v>
      </c>
      <c r="O40" s="58">
        <f t="shared" si="38"/>
        <v>8.0651092590824508E-2</v>
      </c>
      <c r="P40" s="56">
        <f t="shared" si="38"/>
        <v>0.10610852540572047</v>
      </c>
      <c r="Q40" s="57">
        <f t="shared" si="38"/>
        <v>0.10816701471422639</v>
      </c>
      <c r="R40" s="57">
        <f t="shared" si="38"/>
        <v>0.11038689208517773</v>
      </c>
      <c r="S40" s="57">
        <f t="shared" si="38"/>
        <v>0.1131211219257393</v>
      </c>
      <c r="T40" s="58">
        <f t="shared" si="38"/>
        <v>0.11633246421664213</v>
      </c>
    </row>
    <row r="41" spans="3:20" ht="12.3" x14ac:dyDescent="0.35">
      <c r="D41" s="10" t="str">
        <f t="shared" si="30"/>
        <v>Metering - Dedicated CTs and VTs</v>
      </c>
      <c r="E41" s="45" t="str">
        <f t="shared" si="37"/>
        <v>Calculated</v>
      </c>
      <c r="F41" s="45" t="str">
        <f t="shared" si="31"/>
        <v>$Millions</v>
      </c>
      <c r="G41" s="45" t="str">
        <f t="shared" si="32"/>
        <v>Nominal</v>
      </c>
      <c r="H41" s="45" t="str">
        <f t="shared" si="33"/>
        <v>End year</v>
      </c>
      <c r="J41" s="60">
        <f t="shared" ref="J41:T41" si="39">J21*J$191</f>
        <v>0</v>
      </c>
      <c r="K41" s="56">
        <f t="shared" si="39"/>
        <v>0</v>
      </c>
      <c r="L41" s="57">
        <f t="shared" si="39"/>
        <v>0</v>
      </c>
      <c r="M41" s="57">
        <f t="shared" si="39"/>
        <v>0</v>
      </c>
      <c r="N41" s="57">
        <f t="shared" si="39"/>
        <v>0</v>
      </c>
      <c r="O41" s="58">
        <f t="shared" si="39"/>
        <v>0</v>
      </c>
      <c r="P41" s="56">
        <f t="shared" si="39"/>
        <v>0</v>
      </c>
      <c r="Q41" s="57">
        <f t="shared" si="39"/>
        <v>1.7512630570313864E-3</v>
      </c>
      <c r="R41" s="57">
        <f t="shared" si="39"/>
        <v>3.4860126649138949E-3</v>
      </c>
      <c r="S41" s="57">
        <f t="shared" si="39"/>
        <v>5.1982278165813066E-3</v>
      </c>
      <c r="T41" s="58">
        <f t="shared" si="39"/>
        <v>6.8814432159050387E-3</v>
      </c>
    </row>
    <row r="42" spans="3:20" ht="12.3" x14ac:dyDescent="0.35">
      <c r="D42" s="10" t="str">
        <f t="shared" si="30"/>
        <v>Metering - Non-Network Other</v>
      </c>
      <c r="E42" s="45" t="str">
        <f t="shared" si="37"/>
        <v>Calculated</v>
      </c>
      <c r="F42" s="45" t="str">
        <f t="shared" si="31"/>
        <v>$Millions</v>
      </c>
      <c r="G42" s="45" t="str">
        <f t="shared" si="32"/>
        <v>Nominal</v>
      </c>
      <c r="H42" s="45" t="str">
        <f t="shared" si="33"/>
        <v>End year</v>
      </c>
      <c r="J42" s="60">
        <f t="shared" ref="J42:T42" si="40">J22*J$191</f>
        <v>0</v>
      </c>
      <c r="K42" s="56">
        <f t="shared" si="40"/>
        <v>0</v>
      </c>
      <c r="L42" s="57">
        <f t="shared" si="40"/>
        <v>3.9403647849252908E-4</v>
      </c>
      <c r="M42" s="57">
        <f t="shared" si="40"/>
        <v>5.4981441832705202E-3</v>
      </c>
      <c r="N42" s="57">
        <f t="shared" si="40"/>
        <v>1.9005301520531561E-2</v>
      </c>
      <c r="O42" s="58">
        <f t="shared" si="40"/>
        <v>1.9064607936406453E-2</v>
      </c>
      <c r="P42" s="56">
        <f t="shared" si="40"/>
        <v>1.5304708831318075E-2</v>
      </c>
      <c r="Q42" s="57">
        <f t="shared" si="40"/>
        <v>1.8621666508221522E-2</v>
      </c>
      <c r="R42" s="57">
        <f t="shared" si="40"/>
        <v>2.199144491554449E-2</v>
      </c>
      <c r="S42" s="57">
        <f t="shared" si="40"/>
        <v>2.8025276960728422E-2</v>
      </c>
      <c r="T42" s="58">
        <f t="shared" si="40"/>
        <v>9.2192263612524791E-2</v>
      </c>
    </row>
    <row r="43" spans="3:20" ht="12.3" x14ac:dyDescent="0.35">
      <c r="D43" s="10" t="str">
        <f t="shared" si="30"/>
        <v>Metering - Non-Network IT &amp; Communications</v>
      </c>
      <c r="E43" s="45" t="str">
        <f t="shared" si="37"/>
        <v>Calculated</v>
      </c>
      <c r="F43" s="45" t="str">
        <f t="shared" si="31"/>
        <v>$Millions</v>
      </c>
      <c r="G43" s="45" t="str">
        <f t="shared" si="32"/>
        <v>Nominal</v>
      </c>
      <c r="H43" s="45" t="str">
        <f t="shared" si="33"/>
        <v>End year</v>
      </c>
      <c r="J43" s="60">
        <f t="shared" ref="J43:T43" si="41">J23*J$191</f>
        <v>0</v>
      </c>
      <c r="K43" s="56">
        <f t="shared" si="41"/>
        <v>0</v>
      </c>
      <c r="L43" s="57">
        <f t="shared" si="41"/>
        <v>2.1408205987567207E-3</v>
      </c>
      <c r="M43" s="57">
        <f t="shared" si="41"/>
        <v>1.0809849317344312E-2</v>
      </c>
      <c r="N43" s="57">
        <f t="shared" si="41"/>
        <v>4.2685138866414882E-2</v>
      </c>
      <c r="O43" s="58">
        <f t="shared" si="41"/>
        <v>5.3494623781289351E-2</v>
      </c>
      <c r="P43" s="56">
        <f t="shared" si="41"/>
        <v>5.29926167439249E-2</v>
      </c>
      <c r="Q43" s="57">
        <f t="shared" si="41"/>
        <v>6.8118787159751143E-2</v>
      </c>
      <c r="R43" s="57">
        <f t="shared" si="41"/>
        <v>8.6042860141153435E-2</v>
      </c>
      <c r="S43" s="57">
        <f t="shared" si="41"/>
        <v>9.2415646966910306E-2</v>
      </c>
      <c r="T43" s="58">
        <f t="shared" si="41"/>
        <v>9.887580420348778E-2</v>
      </c>
    </row>
    <row r="44" spans="3:20" ht="12.3" x14ac:dyDescent="0.35">
      <c r="D44" s="10" t="str">
        <f t="shared" si="30"/>
        <v>Fleet leases</v>
      </c>
      <c r="E44" s="45" t="str">
        <f t="shared" si="37"/>
        <v>Calculated</v>
      </c>
      <c r="F44" s="45" t="str">
        <f t="shared" si="31"/>
        <v>$Millions</v>
      </c>
      <c r="G44" s="45" t="str">
        <f t="shared" si="32"/>
        <v>Nominal</v>
      </c>
      <c r="H44" s="45" t="str">
        <f t="shared" si="33"/>
        <v>End year</v>
      </c>
      <c r="J44" s="60">
        <f t="shared" ref="J44:T44" si="42">J24*J$191</f>
        <v>0</v>
      </c>
      <c r="K44" s="56">
        <f t="shared" si="42"/>
        <v>0</v>
      </c>
      <c r="L44" s="57">
        <f t="shared" si="42"/>
        <v>4.7614935232382855E-3</v>
      </c>
      <c r="M44" s="57">
        <f t="shared" si="42"/>
        <v>1.9612588053171384E-2</v>
      </c>
      <c r="N44" s="57">
        <f t="shared" si="42"/>
        <v>4.6710194088724448E-2</v>
      </c>
      <c r="O44" s="58">
        <f t="shared" si="42"/>
        <v>2.8751912260574639E-2</v>
      </c>
      <c r="P44" s="56">
        <f t="shared" si="42"/>
        <v>1.5832645135631589E-2</v>
      </c>
      <c r="Q44" s="57">
        <f t="shared" si="42"/>
        <v>1.2455644847028963E-2</v>
      </c>
      <c r="R44" s="57">
        <f t="shared" si="42"/>
        <v>1.2161014310450493E-2</v>
      </c>
      <c r="S44" s="57">
        <f t="shared" si="42"/>
        <v>1.3843367050953405E-2</v>
      </c>
      <c r="T44" s="58">
        <f t="shared" si="42"/>
        <v>1.5157959689420663E-2</v>
      </c>
    </row>
    <row r="45" spans="3:20" ht="12.3" x14ac:dyDescent="0.35">
      <c r="D45" s="10" t="str">
        <f t="shared" si="30"/>
        <v>Property Leases</v>
      </c>
      <c r="E45" s="45" t="str">
        <f t="shared" si="37"/>
        <v>Calculated</v>
      </c>
      <c r="F45" s="45" t="str">
        <f t="shared" si="31"/>
        <v>$Millions</v>
      </c>
      <c r="G45" s="45" t="str">
        <f t="shared" si="32"/>
        <v>Nominal</v>
      </c>
      <c r="H45" s="45" t="str">
        <f t="shared" si="33"/>
        <v>End year</v>
      </c>
      <c r="J45" s="60">
        <f t="shared" ref="J45:T45" si="43">J25*J$191</f>
        <v>0</v>
      </c>
      <c r="K45" s="56">
        <f t="shared" si="43"/>
        <v>0</v>
      </c>
      <c r="L45" s="57">
        <f t="shared" si="43"/>
        <v>1.0904216820894327E-3</v>
      </c>
      <c r="M45" s="57">
        <f t="shared" si="43"/>
        <v>5.6447384251714179E-3</v>
      </c>
      <c r="N45" s="57">
        <f t="shared" si="43"/>
        <v>5.1288901666516139E-2</v>
      </c>
      <c r="O45" s="58">
        <f t="shared" si="43"/>
        <v>3.051918934783256E-2</v>
      </c>
      <c r="P45" s="56">
        <f t="shared" si="43"/>
        <v>2.4528954527986768E-2</v>
      </c>
      <c r="Q45" s="57">
        <f t="shared" si="43"/>
        <v>2.3426206839453997E-2</v>
      </c>
      <c r="R45" s="57">
        <f t="shared" si="43"/>
        <v>2.2238157412740916E-2</v>
      </c>
      <c r="S45" s="57">
        <f t="shared" si="43"/>
        <v>2.9886198240010028E-2</v>
      </c>
      <c r="T45" s="58">
        <f t="shared" si="43"/>
        <v>2.6720394420852757E-2</v>
      </c>
    </row>
    <row r="46" spans="3:20" ht="12.3" x14ac:dyDescent="0.35">
      <c r="D46" s="10" t="str">
        <f t="shared" ref="D46:D47" si="44">D26</f>
        <v>Buildings</v>
      </c>
      <c r="E46" s="45" t="str">
        <f t="shared" si="37"/>
        <v>Calculated</v>
      </c>
      <c r="F46" s="45" t="str">
        <f t="shared" si="31"/>
        <v>$Millions</v>
      </c>
      <c r="G46" s="45" t="str">
        <f t="shared" si="32"/>
        <v>Nominal</v>
      </c>
      <c r="H46" s="45" t="str">
        <f t="shared" si="33"/>
        <v>End year</v>
      </c>
      <c r="J46" s="60">
        <f t="shared" ref="J46:T46" si="45">J26*J$191</f>
        <v>0</v>
      </c>
      <c r="K46" s="56">
        <f t="shared" si="45"/>
        <v>0</v>
      </c>
      <c r="L46" s="57">
        <f t="shared" si="45"/>
        <v>1.4537153040802763E-4</v>
      </c>
      <c r="M46" s="57">
        <f t="shared" si="45"/>
        <v>2.6713273561680614E-3</v>
      </c>
      <c r="N46" s="57">
        <f t="shared" si="45"/>
        <v>1.647747063620392E-2</v>
      </c>
      <c r="O46" s="58">
        <f t="shared" si="45"/>
        <v>1.0203835035386433E-2</v>
      </c>
      <c r="P46" s="56">
        <f t="shared" si="45"/>
        <v>6.4680622242898732E-3</v>
      </c>
      <c r="Q46" s="57">
        <f t="shared" si="45"/>
        <v>6.4795784189458075E-3</v>
      </c>
      <c r="R46" s="57">
        <f t="shared" si="45"/>
        <v>6.4862535074628434E-3</v>
      </c>
      <c r="S46" s="57">
        <f t="shared" si="45"/>
        <v>6.4877949873460745E-3</v>
      </c>
      <c r="T46" s="58">
        <f t="shared" si="45"/>
        <v>6.4838974027637648E-3</v>
      </c>
    </row>
    <row r="47" spans="3:20" ht="12.3" x14ac:dyDescent="0.35">
      <c r="D47" s="10" t="str">
        <f t="shared" si="44"/>
        <v>in-house software</v>
      </c>
      <c r="E47" s="45" t="str">
        <f t="shared" si="37"/>
        <v>Calculated</v>
      </c>
      <c r="F47" s="45" t="str">
        <f t="shared" si="31"/>
        <v>$Millions</v>
      </c>
      <c r="G47" s="45" t="str">
        <f t="shared" si="32"/>
        <v>Nominal</v>
      </c>
      <c r="H47" s="45" t="str">
        <f t="shared" si="33"/>
        <v>End year</v>
      </c>
      <c r="J47" s="60">
        <f t="shared" ref="J47:T47" si="46">J27*J$191</f>
        <v>0</v>
      </c>
      <c r="K47" s="56">
        <f t="shared" si="46"/>
        <v>0</v>
      </c>
      <c r="L47" s="57">
        <f t="shared" si="46"/>
        <v>0</v>
      </c>
      <c r="M47" s="57">
        <f t="shared" si="46"/>
        <v>0</v>
      </c>
      <c r="N47" s="57">
        <f t="shared" si="46"/>
        <v>0</v>
      </c>
      <c r="O47" s="58">
        <f t="shared" si="46"/>
        <v>0</v>
      </c>
      <c r="P47" s="56">
        <f t="shared" si="46"/>
        <v>0</v>
      </c>
      <c r="Q47" s="57">
        <f t="shared" si="46"/>
        <v>0</v>
      </c>
      <c r="R47" s="57">
        <f t="shared" si="46"/>
        <v>0</v>
      </c>
      <c r="S47" s="57">
        <f t="shared" si="46"/>
        <v>0</v>
      </c>
      <c r="T47" s="58">
        <f t="shared" si="46"/>
        <v>0</v>
      </c>
    </row>
    <row r="48" spans="3:20" ht="12.3" x14ac:dyDescent="0.35">
      <c r="D48" s="10" t="str">
        <f t="shared" ref="D48" si="47">D28</f>
        <v>Equity Raising Costs</v>
      </c>
      <c r="E48" s="45" t="str">
        <f t="shared" si="37"/>
        <v>Calculated</v>
      </c>
      <c r="F48" s="45" t="str">
        <f t="shared" si="31"/>
        <v>$Millions</v>
      </c>
      <c r="G48" s="45" t="str">
        <f t="shared" si="32"/>
        <v>Nominal</v>
      </c>
      <c r="H48" s="45" t="str">
        <f t="shared" si="33"/>
        <v>End year</v>
      </c>
      <c r="J48" s="60">
        <f t="shared" ref="J48:T48" si="48">J28*J$191</f>
        <v>0</v>
      </c>
      <c r="K48" s="56">
        <f t="shared" si="48"/>
        <v>0</v>
      </c>
      <c r="L48" s="57">
        <f t="shared" si="48"/>
        <v>1.3649122403736177E-3</v>
      </c>
      <c r="M48" s="57">
        <f t="shared" si="48"/>
        <v>5.2113011291545098E-3</v>
      </c>
      <c r="N48" s="57">
        <f t="shared" si="48"/>
        <v>1.1446625144091498E-2</v>
      </c>
      <c r="O48" s="58">
        <f t="shared" si="48"/>
        <v>6.7231550600940302E-3</v>
      </c>
      <c r="P48" s="56">
        <f t="shared" si="48"/>
        <v>4.0106141615417574E-3</v>
      </c>
      <c r="Q48" s="57">
        <f t="shared" si="48"/>
        <v>5.0220685149245476E-3</v>
      </c>
      <c r="R48" s="57">
        <f t="shared" si="48"/>
        <v>4.6951609302824391E-3</v>
      </c>
      <c r="S48" s="57">
        <f t="shared" si="48"/>
        <v>4.3448833352355883E-3</v>
      </c>
      <c r="T48" s="58">
        <f t="shared" si="48"/>
        <v>3.9701497551847993E-3</v>
      </c>
    </row>
    <row r="49" spans="1:20" x14ac:dyDescent="0.35">
      <c r="J49" s="73"/>
      <c r="K49" s="48"/>
      <c r="O49" s="49"/>
      <c r="P49" s="48"/>
      <c r="T49" s="49"/>
    </row>
    <row r="50" spans="1:20" ht="12.3" x14ac:dyDescent="0.35">
      <c r="D50" s="44" t="str">
        <f>"Total "&amp;D36</f>
        <v>Total RAB asset class</v>
      </c>
      <c r="E50" s="40" t="s">
        <v>91</v>
      </c>
      <c r="F50" s="40" t="str">
        <f>F38</f>
        <v>$Millions</v>
      </c>
      <c r="G50" s="40" t="str">
        <f>G38</f>
        <v>Nominal</v>
      </c>
      <c r="H50" s="40" t="str">
        <f>H38</f>
        <v>End year</v>
      </c>
      <c r="J50" s="74">
        <f t="shared" ref="J50:T50" si="49">SUM(J38:J48)</f>
        <v>0.26530642868372634</v>
      </c>
      <c r="K50" s="53">
        <f t="shared" si="49"/>
        <v>0.25866395024045008</v>
      </c>
      <c r="L50" s="39">
        <f t="shared" si="49"/>
        <v>0.13978535556093988</v>
      </c>
      <c r="M50" s="39">
        <f t="shared" si="49"/>
        <v>0.60652166528872986</v>
      </c>
      <c r="N50" s="39">
        <f t="shared" si="49"/>
        <v>1.5980682244288769</v>
      </c>
      <c r="O50" s="54">
        <f t="shared" si="49"/>
        <v>1.4953680402285807</v>
      </c>
      <c r="P50" s="53">
        <f t="shared" si="49"/>
        <v>1.4568405654309609</v>
      </c>
      <c r="Q50" s="39">
        <f t="shared" si="49"/>
        <v>1.5634516996662164</v>
      </c>
      <c r="R50" s="39">
        <f t="shared" si="49"/>
        <v>1.6632143025841117</v>
      </c>
      <c r="S50" s="39">
        <f t="shared" si="49"/>
        <v>1.8525851468905452</v>
      </c>
      <c r="T50" s="54">
        <f t="shared" si="49"/>
        <v>2.0798756710796726</v>
      </c>
    </row>
    <row r="51" spans="1:20" ht="11.25" customHeight="1" x14ac:dyDescent="0.35"/>
    <row r="52" spans="1:20" ht="11.25" customHeight="1" x14ac:dyDescent="0.35">
      <c r="A52" s="42">
        <f>IF(SUM($J52:$T52)&lt;&gt;0,1,0)</f>
        <v>0</v>
      </c>
      <c r="D52" s="10" t="s">
        <v>155</v>
      </c>
      <c r="J52" s="42">
        <f t="shared" ref="J52:K52" si="50">IF(ISERROR(J50),1,0)</f>
        <v>0</v>
      </c>
      <c r="K52" s="42">
        <f t="shared" si="50"/>
        <v>0</v>
      </c>
      <c r="L52" s="42">
        <f>IF(ISERROR(L50),1,0)</f>
        <v>0</v>
      </c>
      <c r="M52" s="42">
        <f t="shared" ref="M52:P52" si="51">IF(ISERROR(M50),1,0)</f>
        <v>0</v>
      </c>
      <c r="N52" s="42">
        <f t="shared" si="51"/>
        <v>0</v>
      </c>
      <c r="O52" s="42">
        <f t="shared" si="51"/>
        <v>0</v>
      </c>
      <c r="P52" s="42">
        <f t="shared" si="51"/>
        <v>0</v>
      </c>
      <c r="Q52" s="42">
        <f>IF(ISERROR(Q50),1,0)</f>
        <v>0</v>
      </c>
      <c r="R52" s="42">
        <f t="shared" ref="R52:T52" si="52">IF(ISERROR(R50),1,0)</f>
        <v>0</v>
      </c>
      <c r="S52" s="42">
        <f t="shared" si="52"/>
        <v>0</v>
      </c>
      <c r="T52" s="42">
        <f t="shared" si="52"/>
        <v>0</v>
      </c>
    </row>
    <row r="53" spans="1:20" ht="11.25" customHeight="1" x14ac:dyDescent="0.35">
      <c r="A53" s="42"/>
      <c r="D53" s="67" t="s">
        <v>50</v>
      </c>
      <c r="J53" s="75">
        <v>0.26530642868372634</v>
      </c>
      <c r="K53" s="284">
        <v>0.25866395024045008</v>
      </c>
      <c r="L53" s="282">
        <v>0.13978535556093988</v>
      </c>
      <c r="M53" s="51">
        <v>0.60652166528872986</v>
      </c>
      <c r="N53" s="51">
        <v>1.5980682244288766</v>
      </c>
      <c r="O53" s="52">
        <v>1.4953680402285807</v>
      </c>
      <c r="P53" s="50">
        <v>1.4568405654309609</v>
      </c>
      <c r="Q53" s="51">
        <v>1.5634516996662167</v>
      </c>
      <c r="R53" s="51">
        <v>1.6632143025841117</v>
      </c>
      <c r="S53" s="51">
        <v>1.852585146890545</v>
      </c>
      <c r="T53" s="52">
        <v>2.0798756710796722</v>
      </c>
    </row>
    <row r="54" spans="1:20" ht="11.25" customHeight="1" x14ac:dyDescent="0.35">
      <c r="A54" s="42">
        <f>IF(SUM($J54:$T54)&lt;&gt;0,1,0)</f>
        <v>0</v>
      </c>
      <c r="D54" s="67" t="s">
        <v>156</v>
      </c>
      <c r="J54" s="112">
        <f>IF(ROUND(J53-J50,3)&lt;&gt;0,1,0)</f>
        <v>0</v>
      </c>
      <c r="K54" s="113">
        <f t="shared" ref="K54:N54" si="53">IF(ROUND(K53-K50,3)&lt;&gt;0,1,0)</f>
        <v>0</v>
      </c>
      <c r="L54" s="76">
        <f t="shared" si="53"/>
        <v>0</v>
      </c>
      <c r="M54" s="76">
        <f t="shared" si="53"/>
        <v>0</v>
      </c>
      <c r="N54" s="76">
        <f t="shared" si="53"/>
        <v>0</v>
      </c>
      <c r="O54" s="114">
        <f t="shared" ref="O54" si="54">IF(ROUND(O53-O50,3)&lt;&gt;0,1,0)</f>
        <v>0</v>
      </c>
      <c r="P54" s="113">
        <f t="shared" ref="P54" si="55">IF(ROUND(P53-P50,3)&lt;&gt;0,1,0)</f>
        <v>0</v>
      </c>
      <c r="Q54" s="76">
        <f t="shared" ref="Q54" si="56">IF(ROUND(Q53-Q50,3)&lt;&gt;0,1,0)</f>
        <v>0</v>
      </c>
      <c r="R54" s="76">
        <f t="shared" ref="R54" si="57">IF(ROUND(R53-R50,3)&lt;&gt;0,1,0)</f>
        <v>0</v>
      </c>
      <c r="S54" s="76">
        <f t="shared" ref="S54" si="58">IF(ROUND(S53-S50,3)&lt;&gt;0,1,0)</f>
        <v>0</v>
      </c>
      <c r="T54" s="114">
        <f t="shared" ref="T54" si="59">IF(ROUND(T53-T50,3)&lt;&gt;0,1,0)</f>
        <v>0</v>
      </c>
    </row>
    <row r="55" spans="1:20" ht="11.25" customHeight="1" x14ac:dyDescent="0.35">
      <c r="N55" s="5"/>
      <c r="S55" s="5"/>
    </row>
    <row r="56" spans="1:20" s="8" customFormat="1" ht="14.1" x14ac:dyDescent="0.35">
      <c r="C56" s="8" t="s">
        <v>222</v>
      </c>
    </row>
    <row r="57" spans="1:20" s="77" customFormat="1" ht="11.25" customHeight="1" x14ac:dyDescent="0.35"/>
    <row r="58" spans="1:20" ht="12.3" x14ac:dyDescent="0.35">
      <c r="D58" s="43" t="str">
        <f>D$16</f>
        <v>RAB asset class</v>
      </c>
      <c r="E58" s="38" t="str">
        <f>Lookup!E$20</f>
        <v>Source</v>
      </c>
      <c r="F58" s="38" t="str">
        <f>Lookup!F$20</f>
        <v>Unit</v>
      </c>
      <c r="G58" s="38" t="str">
        <f>Lookup!G$20</f>
        <v>Basis</v>
      </c>
      <c r="H58" s="38" t="str">
        <f>Lookup!H$20</f>
        <v>Timing</v>
      </c>
      <c r="J58" s="275" t="str">
        <f t="shared" ref="J58:T58" si="60">J$10</f>
        <v>RY19</v>
      </c>
      <c r="K58" s="272" t="str">
        <f t="shared" si="60"/>
        <v>RY20</v>
      </c>
      <c r="L58" s="272" t="str">
        <f>L$10</f>
        <v>RY21</v>
      </c>
      <c r="M58" s="272" t="str">
        <f t="shared" si="60"/>
        <v>RY22</v>
      </c>
      <c r="N58" s="272" t="str">
        <f t="shared" si="60"/>
        <v>RY23</v>
      </c>
      <c r="O58" s="273" t="str">
        <f t="shared" si="60"/>
        <v>RY24</v>
      </c>
      <c r="P58" s="271" t="str">
        <f t="shared" si="60"/>
        <v>RY25</v>
      </c>
      <c r="Q58" s="272" t="str">
        <f>Q$10</f>
        <v>RY26</v>
      </c>
      <c r="R58" s="272" t="str">
        <f t="shared" si="60"/>
        <v>RY27</v>
      </c>
      <c r="S58" s="272" t="str">
        <f t="shared" si="60"/>
        <v>RY28</v>
      </c>
      <c r="T58" s="273" t="str">
        <f t="shared" si="60"/>
        <v>RY29</v>
      </c>
    </row>
    <row r="59" spans="1:20" x14ac:dyDescent="0.35">
      <c r="J59" s="73"/>
      <c r="O59" s="49"/>
      <c r="P59" s="48"/>
      <c r="T59" s="49"/>
    </row>
    <row r="60" spans="1:20" ht="12.3" x14ac:dyDescent="0.35">
      <c r="D60" s="10" t="str">
        <f t="shared" ref="D60:D69" si="61">D18</f>
        <v>Mechanical meters - General</v>
      </c>
      <c r="E60" s="45" t="s">
        <v>158</v>
      </c>
      <c r="F60" s="45" t="str">
        <f t="shared" ref="F60:F70" si="62">Millions</f>
        <v>$Millions</v>
      </c>
      <c r="G60" s="45" t="str">
        <f t="shared" ref="G60:G70" si="63">Nominal</f>
        <v>Nominal</v>
      </c>
      <c r="H60" s="45" t="str">
        <f t="shared" ref="H60:H70" si="64">End_year</f>
        <v>End year</v>
      </c>
      <c r="J60" s="75">
        <v>-1.1036461892305049</v>
      </c>
      <c r="K60" s="284">
        <v>-0.59530730501048101</v>
      </c>
      <c r="L60" s="282">
        <v>-0.60626388117631802</v>
      </c>
      <c r="M60" s="51">
        <v>-0.61148129839814525</v>
      </c>
      <c r="N60" s="51">
        <v>-0.63287270900763659</v>
      </c>
      <c r="O60" s="52">
        <v>-0.68350252572824755</v>
      </c>
      <c r="P60" s="50">
        <v>-0.60752714550357811</v>
      </c>
      <c r="Q60" s="51">
        <v>-0.62526475135752191</v>
      </c>
      <c r="R60" s="51">
        <v>-0.64352023145586501</v>
      </c>
      <c r="S60" s="51">
        <v>-0.66230870586245516</v>
      </c>
      <c r="T60" s="52">
        <v>-0.68164573609257928</v>
      </c>
    </row>
    <row r="61" spans="1:20" ht="12.3" x14ac:dyDescent="0.35">
      <c r="D61" s="10" t="str">
        <f t="shared" si="61"/>
        <v>Electronic Meters</v>
      </c>
      <c r="E61" s="45" t="s">
        <v>158</v>
      </c>
      <c r="F61" s="45" t="str">
        <f t="shared" si="62"/>
        <v>$Millions</v>
      </c>
      <c r="G61" s="45" t="str">
        <f t="shared" si="63"/>
        <v>Nominal</v>
      </c>
      <c r="H61" s="45" t="str">
        <f t="shared" si="64"/>
        <v>End year</v>
      </c>
      <c r="J61" s="75">
        <v>-0.74248273966845368</v>
      </c>
      <c r="K61" s="284">
        <v>-0.25460079568841981</v>
      </c>
      <c r="L61" s="282">
        <v>-0.36996626117241688</v>
      </c>
      <c r="M61" s="51">
        <v>-0.48594437375456256</v>
      </c>
      <c r="N61" s="51">
        <v>-0.65797618484965736</v>
      </c>
      <c r="O61" s="52">
        <v>-1.3719359391337025</v>
      </c>
      <c r="P61" s="50">
        <v>-2.418088417200035</v>
      </c>
      <c r="Q61" s="51">
        <v>-2.8181512258975698</v>
      </c>
      <c r="R61" s="51">
        <v>-3.2255148488598908</v>
      </c>
      <c r="S61" s="51">
        <v>-3.8737082075402656</v>
      </c>
      <c r="T61" s="52">
        <v>-4.5529559132027897</v>
      </c>
    </row>
    <row r="62" spans="1:20" ht="12.3" x14ac:dyDescent="0.35">
      <c r="D62" s="10" t="str">
        <f t="shared" si="61"/>
        <v>Metering Communications</v>
      </c>
      <c r="E62" s="45" t="s">
        <v>158</v>
      </c>
      <c r="F62" s="45" t="str">
        <f t="shared" si="62"/>
        <v>$Millions</v>
      </c>
      <c r="G62" s="45" t="str">
        <f t="shared" si="63"/>
        <v>Nominal</v>
      </c>
      <c r="H62" s="45" t="str">
        <f t="shared" si="64"/>
        <v>End year</v>
      </c>
      <c r="J62" s="75">
        <v>0</v>
      </c>
      <c r="K62" s="284">
        <v>0</v>
      </c>
      <c r="L62" s="282">
        <v>0</v>
      </c>
      <c r="M62" s="51">
        <v>0</v>
      </c>
      <c r="N62" s="51">
        <v>0</v>
      </c>
      <c r="O62" s="52">
        <v>-0.12355060992636947</v>
      </c>
      <c r="P62" s="50">
        <v>-0.25770780574299901</v>
      </c>
      <c r="Q62" s="51">
        <v>-0.280471200939516</v>
      </c>
      <c r="R62" s="51">
        <v>-0.30569910350650698</v>
      </c>
      <c r="S62" s="51">
        <v>-0.3344509774501121</v>
      </c>
      <c r="T62" s="52">
        <v>-0.3669486932879461</v>
      </c>
    </row>
    <row r="63" spans="1:20" ht="12.3" x14ac:dyDescent="0.35">
      <c r="D63" s="10" t="str">
        <f t="shared" si="61"/>
        <v>Metering - Dedicated CTs and VTs</v>
      </c>
      <c r="E63" s="45" t="s">
        <v>158</v>
      </c>
      <c r="F63" s="45" t="str">
        <f t="shared" si="62"/>
        <v>$Millions</v>
      </c>
      <c r="G63" s="45" t="str">
        <f t="shared" si="63"/>
        <v>Nominal</v>
      </c>
      <c r="H63" s="45" t="str">
        <f t="shared" si="64"/>
        <v>End year</v>
      </c>
      <c r="J63" s="75">
        <v>0</v>
      </c>
      <c r="K63" s="284">
        <v>0</v>
      </c>
      <c r="L63" s="282">
        <v>0</v>
      </c>
      <c r="M63" s="51">
        <v>0</v>
      </c>
      <c r="N63" s="51">
        <v>0</v>
      </c>
      <c r="O63" s="52">
        <v>0</v>
      </c>
      <c r="P63" s="50">
        <v>0</v>
      </c>
      <c r="Q63" s="51">
        <v>-4.1155612880073413E-3</v>
      </c>
      <c r="R63" s="51">
        <v>-8.4746964835052951E-3</v>
      </c>
      <c r="S63" s="51">
        <v>-1.3088212779226694E-2</v>
      </c>
      <c r="T63" s="52">
        <v>-1.7967343430958967E-2</v>
      </c>
    </row>
    <row r="64" spans="1:20" ht="12.3" x14ac:dyDescent="0.35">
      <c r="D64" s="10" t="str">
        <f t="shared" si="61"/>
        <v>Metering - Non-Network Other</v>
      </c>
      <c r="E64" s="45" t="s">
        <v>158</v>
      </c>
      <c r="F64" s="45" t="str">
        <f t="shared" si="62"/>
        <v>$Millions</v>
      </c>
      <c r="G64" s="45" t="str">
        <f t="shared" si="63"/>
        <v>Nominal</v>
      </c>
      <c r="H64" s="45" t="str">
        <f t="shared" si="64"/>
        <v>End year</v>
      </c>
      <c r="J64" s="75">
        <v>0</v>
      </c>
      <c r="K64" s="284">
        <v>0</v>
      </c>
      <c r="L64" s="282">
        <v>-3.1086496690953414E-3</v>
      </c>
      <c r="M64" s="51">
        <v>-1.0807129833482056E-2</v>
      </c>
      <c r="N64" s="51">
        <v>-1.709900407315669E-2</v>
      </c>
      <c r="O64" s="52">
        <v>-3.0430256453070136E-2</v>
      </c>
      <c r="P64" s="50">
        <v>-4.0410613773346857E-2</v>
      </c>
      <c r="Q64" s="51">
        <v>-4.5339850949606235E-2</v>
      </c>
      <c r="R64" s="51">
        <v>-5.0505484020055821E-2</v>
      </c>
      <c r="S64" s="51">
        <v>-5.8336817591336944E-2</v>
      </c>
      <c r="T64" s="52">
        <v>-0.12026419682901517</v>
      </c>
    </row>
    <row r="65" spans="1:20" ht="12.3" x14ac:dyDescent="0.35">
      <c r="D65" s="10" t="str">
        <f t="shared" si="61"/>
        <v>Metering - Non-Network IT &amp; Communications</v>
      </c>
      <c r="E65" s="45" t="s">
        <v>158</v>
      </c>
      <c r="F65" s="45" t="str">
        <f t="shared" si="62"/>
        <v>$Millions</v>
      </c>
      <c r="G65" s="45" t="str">
        <f t="shared" si="63"/>
        <v>Nominal</v>
      </c>
      <c r="H65" s="45" t="str">
        <f t="shared" si="64"/>
        <v>End year</v>
      </c>
      <c r="J65" s="75">
        <v>0</v>
      </c>
      <c r="K65" s="284">
        <v>0</v>
      </c>
      <c r="L65" s="282">
        <v>-2.5334182020575604E-2</v>
      </c>
      <c r="M65" s="51">
        <v>-3.3967356421375883E-2</v>
      </c>
      <c r="N65" s="51">
        <v>-6.0794049917335724E-2</v>
      </c>
      <c r="O65" s="52">
        <v>-0.13291221518305663</v>
      </c>
      <c r="P65" s="50">
        <v>-0.21400837136062162</v>
      </c>
      <c r="Q65" s="51">
        <v>-0.29014928595367362</v>
      </c>
      <c r="R65" s="51">
        <v>-0.38465568635677183</v>
      </c>
      <c r="S65" s="51">
        <v>-0.44908395418227237</v>
      </c>
      <c r="T65" s="52">
        <v>-0.52167633239162903</v>
      </c>
    </row>
    <row r="66" spans="1:20" ht="12.3" x14ac:dyDescent="0.35">
      <c r="D66" s="10" t="str">
        <f t="shared" si="61"/>
        <v>Fleet leases</v>
      </c>
      <c r="E66" s="45" t="s">
        <v>158</v>
      </c>
      <c r="F66" s="45" t="str">
        <f t="shared" si="62"/>
        <v>$Millions</v>
      </c>
      <c r="G66" s="45" t="str">
        <f t="shared" si="63"/>
        <v>Nominal</v>
      </c>
      <c r="H66" s="45" t="str">
        <f t="shared" si="64"/>
        <v>End year</v>
      </c>
      <c r="J66" s="75">
        <v>0</v>
      </c>
      <c r="K66" s="284">
        <v>0</v>
      </c>
      <c r="L66" s="282">
        <v>-9.9413335925857396E-2</v>
      </c>
      <c r="M66" s="51">
        <v>-0.11841957794696469</v>
      </c>
      <c r="N66" s="51">
        <v>-0.14484920227918063</v>
      </c>
      <c r="O66" s="52">
        <v>-0.18044670339800908</v>
      </c>
      <c r="P66" s="50">
        <v>-0.20778033488381178</v>
      </c>
      <c r="Q66" s="51">
        <v>-0.1842676175551044</v>
      </c>
      <c r="R66" s="51">
        <v>-0.12136640043075347</v>
      </c>
      <c r="S66" s="51">
        <v>-0.12446862991812477</v>
      </c>
      <c r="T66" s="52">
        <v>-0.12228684998185935</v>
      </c>
    </row>
    <row r="67" spans="1:20" ht="12.3" x14ac:dyDescent="0.35">
      <c r="D67" s="10" t="str">
        <f t="shared" si="61"/>
        <v>Property Leases</v>
      </c>
      <c r="E67" s="45" t="s">
        <v>158</v>
      </c>
      <c r="F67" s="45" t="str">
        <f t="shared" si="62"/>
        <v>$Millions</v>
      </c>
      <c r="G67" s="45" t="str">
        <f t="shared" si="63"/>
        <v>Nominal</v>
      </c>
      <c r="H67" s="45" t="str">
        <f t="shared" si="64"/>
        <v>End year</v>
      </c>
      <c r="J67" s="75">
        <v>0</v>
      </c>
      <c r="K67" s="284">
        <v>0</v>
      </c>
      <c r="L67" s="282">
        <v>-8.1675198132035286E-3</v>
      </c>
      <c r="M67" s="51">
        <v>-1.090164667171669E-2</v>
      </c>
      <c r="N67" s="51">
        <v>-4.3055718288764415E-2</v>
      </c>
      <c r="O67" s="52">
        <v>-4.6500175751865568E-2</v>
      </c>
      <c r="P67" s="50">
        <v>-6.2298942255841913E-2</v>
      </c>
      <c r="Q67" s="51">
        <v>-6.4117847124587762E-2</v>
      </c>
      <c r="R67" s="51">
        <v>-6.5989857468350496E-2</v>
      </c>
      <c r="S67" s="51">
        <v>-0.13831750364357037</v>
      </c>
      <c r="T67" s="52">
        <v>-0.14235587687592599</v>
      </c>
    </row>
    <row r="68" spans="1:20" ht="12.3" x14ac:dyDescent="0.35">
      <c r="D68" s="10" t="str">
        <f t="shared" si="61"/>
        <v>Buildings</v>
      </c>
      <c r="E68" s="45" t="s">
        <v>158</v>
      </c>
      <c r="F68" s="45" t="str">
        <f t="shared" si="62"/>
        <v>$Millions</v>
      </c>
      <c r="G68" s="45" t="str">
        <f t="shared" si="63"/>
        <v>Nominal</v>
      </c>
      <c r="H68" s="45" t="str">
        <f t="shared" si="64"/>
        <v>End year</v>
      </c>
      <c r="J68" s="75">
        <v>0</v>
      </c>
      <c r="K68" s="284">
        <v>0</v>
      </c>
      <c r="L68" s="282">
        <v>-4.3007676753781184E-4</v>
      </c>
      <c r="M68" s="51">
        <v>-1.9404687479845743E-3</v>
      </c>
      <c r="N68" s="51">
        <v>-5.3429804954245683E-3</v>
      </c>
      <c r="O68" s="52">
        <v>-5.7704189350585343E-3</v>
      </c>
      <c r="P68" s="50">
        <v>-6.073623373635862E-3</v>
      </c>
      <c r="Q68" s="51">
        <v>-6.2509513141306931E-3</v>
      </c>
      <c r="R68" s="51">
        <v>-6.4334565921958164E-3</v>
      </c>
      <c r="S68" s="51">
        <v>-6.6212903674524523E-3</v>
      </c>
      <c r="T68" s="52">
        <v>-6.8146082128386605E-3</v>
      </c>
    </row>
    <row r="69" spans="1:20" ht="12.3" x14ac:dyDescent="0.35">
      <c r="D69" s="10" t="str">
        <f t="shared" si="61"/>
        <v>in-house software</v>
      </c>
      <c r="E69" s="45" t="s">
        <v>158</v>
      </c>
      <c r="F69" s="45" t="str">
        <f t="shared" si="62"/>
        <v>$Millions</v>
      </c>
      <c r="G69" s="45" t="str">
        <f t="shared" si="63"/>
        <v>Nominal</v>
      </c>
      <c r="H69" s="45" t="str">
        <f t="shared" si="64"/>
        <v>End year</v>
      </c>
      <c r="J69" s="75">
        <v>0</v>
      </c>
      <c r="K69" s="284">
        <v>0</v>
      </c>
      <c r="L69" s="282">
        <v>0</v>
      </c>
      <c r="M69" s="51">
        <v>0</v>
      </c>
      <c r="N69" s="51">
        <v>0</v>
      </c>
      <c r="O69" s="52">
        <v>0</v>
      </c>
      <c r="P69" s="50">
        <v>0</v>
      </c>
      <c r="Q69" s="51">
        <v>0</v>
      </c>
      <c r="R69" s="51">
        <v>0</v>
      </c>
      <c r="S69" s="51">
        <v>0</v>
      </c>
      <c r="T69" s="52">
        <v>0</v>
      </c>
    </row>
    <row r="70" spans="1:20" ht="12.3" x14ac:dyDescent="0.35">
      <c r="D70" s="10" t="str">
        <f t="shared" ref="D70" si="65">D28</f>
        <v>Equity Raising Costs</v>
      </c>
      <c r="E70" s="45" t="s">
        <v>158</v>
      </c>
      <c r="F70" s="45" t="str">
        <f t="shared" si="62"/>
        <v>$Millions</v>
      </c>
      <c r="G70" s="45" t="str">
        <f t="shared" si="63"/>
        <v>Nominal</v>
      </c>
      <c r="H70" s="45" t="str">
        <f t="shared" si="64"/>
        <v>End year</v>
      </c>
      <c r="J70" s="75">
        <v>0</v>
      </c>
      <c r="K70" s="284">
        <v>0</v>
      </c>
      <c r="L70" s="282">
        <v>-1.1000765221322449E-2</v>
      </c>
      <c r="M70" s="51">
        <v>-1.1095436178476687E-2</v>
      </c>
      <c r="N70" s="51">
        <v>-1.1483587102809062E-2</v>
      </c>
      <c r="O70" s="52">
        <v>-1.2402274071033786E-2</v>
      </c>
      <c r="P70" s="50">
        <v>-1.323412812374428E-2</v>
      </c>
      <c r="Q70" s="51">
        <v>-1.6218913984175586E-2</v>
      </c>
      <c r="R70" s="51">
        <v>-1.6692447892511255E-2</v>
      </c>
      <c r="S70" s="51">
        <v>-1.7179807286484397E-2</v>
      </c>
      <c r="T70" s="52">
        <v>-1.7681395820510773E-2</v>
      </c>
    </row>
    <row r="71" spans="1:20" x14ac:dyDescent="0.35">
      <c r="J71" s="73"/>
      <c r="O71" s="49"/>
      <c r="P71" s="48"/>
      <c r="T71" s="49"/>
    </row>
    <row r="72" spans="1:20" ht="12.3" x14ac:dyDescent="0.35">
      <c r="D72" s="44" t="str">
        <f>"Total "&amp;D58</f>
        <v>Total RAB asset class</v>
      </c>
      <c r="E72" s="40" t="s">
        <v>91</v>
      </c>
      <c r="F72" s="40" t="str">
        <f>F60</f>
        <v>$Millions</v>
      </c>
      <c r="G72" s="40" t="str">
        <f>G60</f>
        <v>Nominal</v>
      </c>
      <c r="H72" s="40" t="str">
        <f>H60</f>
        <v>End year</v>
      </c>
      <c r="J72" s="74">
        <f t="shared" ref="J72:T72" si="66">SUM(J60:J70)</f>
        <v>-1.8461289288989586</v>
      </c>
      <c r="K72" s="39">
        <f t="shared" si="66"/>
        <v>-0.84990810069890088</v>
      </c>
      <c r="L72" s="39">
        <f t="shared" si="66"/>
        <v>-1.1236846717663271</v>
      </c>
      <c r="M72" s="39">
        <f t="shared" si="66"/>
        <v>-1.2845572879527083</v>
      </c>
      <c r="N72" s="39">
        <f t="shared" si="66"/>
        <v>-1.5734734360139653</v>
      </c>
      <c r="O72" s="54">
        <f t="shared" si="66"/>
        <v>-2.5874511185804137</v>
      </c>
      <c r="P72" s="53">
        <f t="shared" si="66"/>
        <v>-3.8271293822176147</v>
      </c>
      <c r="Q72" s="39">
        <f t="shared" si="66"/>
        <v>-4.3343472063638933</v>
      </c>
      <c r="R72" s="39">
        <f t="shared" si="66"/>
        <v>-4.8288522130664067</v>
      </c>
      <c r="S72" s="39">
        <f t="shared" si="66"/>
        <v>-5.6775641066213014</v>
      </c>
      <c r="T72" s="54">
        <f t="shared" si="66"/>
        <v>-6.5505969461260527</v>
      </c>
    </row>
    <row r="73" spans="1:20" ht="11.25" customHeight="1" x14ac:dyDescent="0.35"/>
    <row r="74" spans="1:20" ht="11.25" customHeight="1" x14ac:dyDescent="0.35">
      <c r="A74" s="42">
        <f>IF(SUM($J74:$T74)&lt;&gt;0,1,0)</f>
        <v>0</v>
      </c>
      <c r="D74" s="10" t="s">
        <v>155</v>
      </c>
      <c r="J74" s="42">
        <f t="shared" ref="J74:K74" si="67">IF(ISERROR(J72),1,0)</f>
        <v>0</v>
      </c>
      <c r="K74" s="42">
        <f t="shared" si="67"/>
        <v>0</v>
      </c>
      <c r="L74" s="42">
        <f>IF(ISERROR(L72),1,0)</f>
        <v>0</v>
      </c>
      <c r="M74" s="42">
        <f t="shared" ref="M74:P74" si="68">IF(ISERROR(M72),1,0)</f>
        <v>0</v>
      </c>
      <c r="N74" s="42">
        <f t="shared" si="68"/>
        <v>0</v>
      </c>
      <c r="O74" s="42">
        <f t="shared" si="68"/>
        <v>0</v>
      </c>
      <c r="P74" s="42">
        <f t="shared" si="68"/>
        <v>0</v>
      </c>
      <c r="Q74" s="42">
        <f>IF(ISERROR(Q72),1,0)</f>
        <v>0</v>
      </c>
      <c r="R74" s="42">
        <f t="shared" ref="R74:T74" si="69">IF(ISERROR(R72),1,0)</f>
        <v>0</v>
      </c>
      <c r="S74" s="42">
        <f t="shared" si="69"/>
        <v>0</v>
      </c>
      <c r="T74" s="42">
        <f t="shared" si="69"/>
        <v>0</v>
      </c>
    </row>
    <row r="75" spans="1:20" ht="11.25" customHeight="1" x14ac:dyDescent="0.35">
      <c r="A75" s="42"/>
      <c r="D75" s="67" t="s">
        <v>50</v>
      </c>
      <c r="J75" s="75">
        <v>-1.8461289288989586</v>
      </c>
      <c r="K75" s="284">
        <v>-0.84990810069890088</v>
      </c>
      <c r="L75" s="282">
        <v>-1.1236846717663271</v>
      </c>
      <c r="M75" s="51">
        <v>-1.2845572879527083</v>
      </c>
      <c r="N75" s="51">
        <v>-1.5734734360139653</v>
      </c>
      <c r="O75" s="52">
        <v>-2.5874511185804137</v>
      </c>
      <c r="P75" s="50">
        <v>-3.8271293822176147</v>
      </c>
      <c r="Q75" s="51">
        <v>-4.3343472063638933</v>
      </c>
      <c r="R75" s="51">
        <v>-4.8288522130664058</v>
      </c>
      <c r="S75" s="51">
        <v>-5.6775641066213014</v>
      </c>
      <c r="T75" s="52">
        <v>-6.5505969461260527</v>
      </c>
    </row>
    <row r="76" spans="1:20" ht="11.25" customHeight="1" x14ac:dyDescent="0.35">
      <c r="A76" s="42">
        <f>IF(SUM($J76:$T76)&lt;&gt;0,1,0)</f>
        <v>0</v>
      </c>
      <c r="D76" s="67" t="s">
        <v>156</v>
      </c>
      <c r="J76" s="71">
        <f>IF(ROUND(J75-J72,3)=0,0,1)</f>
        <v>0</v>
      </c>
      <c r="K76" s="66">
        <f t="shared" ref="K76:M76" si="70">IF(ROUND(K75-K72,3)=0,0,1)</f>
        <v>0</v>
      </c>
      <c r="L76" s="66">
        <f t="shared" si="70"/>
        <v>0</v>
      </c>
      <c r="M76" s="66">
        <f t="shared" si="70"/>
        <v>0</v>
      </c>
      <c r="N76" s="66">
        <f t="shared" ref="N76" si="71">IF(ROUND(N75-N72,3)=0,0,1)</f>
        <v>0</v>
      </c>
      <c r="O76" s="70">
        <f t="shared" ref="O76" si="72">IF(ROUND(O75-O72,3)=0,0,1)</f>
        <v>0</v>
      </c>
      <c r="P76" s="69">
        <f t="shared" ref="P76" si="73">IF(ROUND(P75-P72,3)=0,0,1)</f>
        <v>0</v>
      </c>
      <c r="Q76" s="66">
        <f t="shared" ref="Q76" si="74">IF(ROUND(Q75-Q72,3)=0,0,1)</f>
        <v>0</v>
      </c>
      <c r="R76" s="66">
        <f t="shared" ref="R76" si="75">IF(ROUND(R75-R72,3)=0,0,1)</f>
        <v>0</v>
      </c>
      <c r="S76" s="66">
        <f t="shared" ref="S76" si="76">IF(ROUND(S75-S72,3)=0,0,1)</f>
        <v>0</v>
      </c>
      <c r="T76" s="70">
        <f t="shared" ref="T76" si="77">IF(ROUND(T75-T72,3)=0,0,1)</f>
        <v>0</v>
      </c>
    </row>
    <row r="77" spans="1:20" ht="11.25" customHeight="1" x14ac:dyDescent="0.35">
      <c r="N77" s="5"/>
      <c r="S77" s="5"/>
    </row>
    <row r="78" spans="1:20" s="89" customFormat="1" ht="14.1" x14ac:dyDescent="0.35">
      <c r="C78" s="89" t="s">
        <v>405</v>
      </c>
    </row>
    <row r="79" spans="1:20" s="77" customFormat="1" ht="11.25" customHeight="1" x14ac:dyDescent="0.35"/>
    <row r="80" spans="1:20" ht="12.3" x14ac:dyDescent="0.35">
      <c r="D80" s="43" t="str">
        <f>D$16</f>
        <v>RAB asset class</v>
      </c>
      <c r="E80" s="38" t="str">
        <f>Lookup!E$20</f>
        <v>Source</v>
      </c>
      <c r="F80" s="38" t="str">
        <f>Lookup!F$20</f>
        <v>Unit</v>
      </c>
      <c r="G80" s="38" t="str">
        <f>Lookup!G$20</f>
        <v>Basis</v>
      </c>
      <c r="H80" s="38" t="str">
        <f>Lookup!H$20</f>
        <v>Timing</v>
      </c>
      <c r="J80" s="275" t="str">
        <f t="shared" ref="J80:T80" si="78">J$10</f>
        <v>RY19</v>
      </c>
      <c r="K80" s="271" t="str">
        <f t="shared" si="78"/>
        <v>RY20</v>
      </c>
      <c r="L80" s="272" t="str">
        <f>L$10</f>
        <v>RY21</v>
      </c>
      <c r="M80" s="272" t="str">
        <f t="shared" si="78"/>
        <v>RY22</v>
      </c>
      <c r="N80" s="272" t="str">
        <f t="shared" si="78"/>
        <v>RY23</v>
      </c>
      <c r="O80" s="273" t="str">
        <f t="shared" si="78"/>
        <v>RY24</v>
      </c>
      <c r="P80" s="271" t="str">
        <f t="shared" si="78"/>
        <v>RY25</v>
      </c>
      <c r="Q80" s="272" t="str">
        <f>Q$10</f>
        <v>RY26</v>
      </c>
      <c r="R80" s="272" t="str">
        <f t="shared" si="78"/>
        <v>RY27</v>
      </c>
      <c r="S80" s="272" t="str">
        <f t="shared" si="78"/>
        <v>RY28</v>
      </c>
      <c r="T80" s="273" t="str">
        <f t="shared" si="78"/>
        <v>RY29</v>
      </c>
    </row>
    <row r="81" spans="1:20" x14ac:dyDescent="0.35">
      <c r="J81" s="73"/>
      <c r="K81" s="48"/>
      <c r="O81" s="49"/>
      <c r="P81" s="48"/>
      <c r="T81" s="49"/>
    </row>
    <row r="82" spans="1:20" ht="12.3" x14ac:dyDescent="0.35">
      <c r="D82" s="10" t="str">
        <f t="shared" ref="D82:D91" si="79">D18</f>
        <v>Mechanical meters - General</v>
      </c>
      <c r="E82" s="45" t="s">
        <v>158</v>
      </c>
      <c r="F82" s="45" t="str">
        <f t="shared" ref="F82:F92" si="80">Millions</f>
        <v>$Millions</v>
      </c>
      <c r="G82" s="45" t="str">
        <f t="shared" ref="G82:G92" si="81">Nominal</f>
        <v>Nominal</v>
      </c>
      <c r="H82" s="45" t="str">
        <f t="shared" ref="H82:H92" si="82">End_year</f>
        <v>End year</v>
      </c>
      <c r="J82" s="75">
        <v>0</v>
      </c>
      <c r="K82" s="50">
        <v>0</v>
      </c>
      <c r="L82" s="51">
        <v>0</v>
      </c>
      <c r="M82" s="51">
        <v>0</v>
      </c>
      <c r="N82" s="51">
        <v>0</v>
      </c>
      <c r="O82" s="52">
        <v>0</v>
      </c>
      <c r="P82" s="50">
        <v>0</v>
      </c>
      <c r="Q82" s="51">
        <v>0</v>
      </c>
      <c r="R82" s="51">
        <v>0</v>
      </c>
      <c r="S82" s="51">
        <v>0</v>
      </c>
      <c r="T82" s="52">
        <v>0</v>
      </c>
    </row>
    <row r="83" spans="1:20" ht="12.3" x14ac:dyDescent="0.35">
      <c r="D83" s="10" t="str">
        <f t="shared" si="79"/>
        <v>Electronic Meters</v>
      </c>
      <c r="E83" s="45" t="s">
        <v>158</v>
      </c>
      <c r="F83" s="45" t="str">
        <f t="shared" si="80"/>
        <v>$Millions</v>
      </c>
      <c r="G83" s="45" t="str">
        <f t="shared" si="81"/>
        <v>Nominal</v>
      </c>
      <c r="H83" s="45" t="str">
        <f t="shared" si="82"/>
        <v>End year</v>
      </c>
      <c r="J83" s="75">
        <v>0</v>
      </c>
      <c r="K83" s="50">
        <v>1.6301899235083972</v>
      </c>
      <c r="L83" s="51">
        <v>1.6774774429444861</v>
      </c>
      <c r="M83" s="51">
        <v>2.2468783587738757</v>
      </c>
      <c r="N83" s="51">
        <v>9.1850230485565607</v>
      </c>
      <c r="O83" s="52">
        <v>10.542366282098239</v>
      </c>
      <c r="P83" s="50">
        <v>4.8017559719617342</v>
      </c>
      <c r="Q83" s="51">
        <v>4.7379258849085826</v>
      </c>
      <c r="R83" s="51">
        <v>8.0745511994140138</v>
      </c>
      <c r="S83" s="51">
        <v>8.2513313660904828</v>
      </c>
      <c r="T83" s="52">
        <v>8.3997809413988183</v>
      </c>
    </row>
    <row r="84" spans="1:20" ht="12.3" x14ac:dyDescent="0.35">
      <c r="D84" s="10" t="str">
        <f t="shared" si="79"/>
        <v>Metering Communications</v>
      </c>
      <c r="E84" s="45" t="s">
        <v>158</v>
      </c>
      <c r="F84" s="45" t="str">
        <f t="shared" si="80"/>
        <v>$Millions</v>
      </c>
      <c r="G84" s="45" t="str">
        <f t="shared" si="81"/>
        <v>Nominal</v>
      </c>
      <c r="H84" s="45" t="str">
        <f t="shared" si="82"/>
        <v>End year</v>
      </c>
      <c r="J84" s="75">
        <v>0</v>
      </c>
      <c r="K84" s="50">
        <v>0</v>
      </c>
      <c r="L84" s="51">
        <v>0</v>
      </c>
      <c r="M84" s="51">
        <v>0</v>
      </c>
      <c r="N84" s="51">
        <v>1.715980693421798</v>
      </c>
      <c r="O84" s="52">
        <v>1.961220436213855</v>
      </c>
      <c r="P84" s="50">
        <v>0.22210418071357063</v>
      </c>
      <c r="Q84" s="51">
        <v>0.24833675644063341</v>
      </c>
      <c r="R84" s="51">
        <v>0.28896176389561362</v>
      </c>
      <c r="S84" s="51">
        <v>0.33132088990026337</v>
      </c>
      <c r="T84" s="52">
        <v>0.37490377067254177</v>
      </c>
    </row>
    <row r="85" spans="1:20" ht="12.3" x14ac:dyDescent="0.35">
      <c r="D85" s="10" t="str">
        <f t="shared" si="79"/>
        <v>Metering - Dedicated CTs and VTs</v>
      </c>
      <c r="E85" s="45" t="s">
        <v>158</v>
      </c>
      <c r="F85" s="45" t="str">
        <f t="shared" si="80"/>
        <v>$Millions</v>
      </c>
      <c r="G85" s="45" t="str">
        <f t="shared" si="81"/>
        <v>Nominal</v>
      </c>
      <c r="H85" s="45" t="str">
        <f t="shared" si="82"/>
        <v>End year</v>
      </c>
      <c r="J85" s="75">
        <v>0</v>
      </c>
      <c r="K85" s="50">
        <v>0</v>
      </c>
      <c r="L85" s="51">
        <v>0</v>
      </c>
      <c r="M85" s="51">
        <v>0</v>
      </c>
      <c r="N85" s="51">
        <v>0</v>
      </c>
      <c r="O85" s="52">
        <v>0</v>
      </c>
      <c r="P85" s="50">
        <v>5.9982156263078727E-2</v>
      </c>
      <c r="Q85" s="51">
        <v>6.1780855691913876E-2</v>
      </c>
      <c r="R85" s="51">
        <v>6.3633418183866766E-2</v>
      </c>
      <c r="S85" s="51">
        <v>6.5541454684048331E-2</v>
      </c>
      <c r="T85" s="52">
        <v>6.7506624263581644E-2</v>
      </c>
    </row>
    <row r="86" spans="1:20" ht="12.3" x14ac:dyDescent="0.35">
      <c r="D86" s="10" t="str">
        <f t="shared" si="79"/>
        <v>Metering - Non-Network Other</v>
      </c>
      <c r="E86" s="45" t="s">
        <v>158</v>
      </c>
      <c r="F86" s="45" t="str">
        <f t="shared" si="80"/>
        <v>$Millions</v>
      </c>
      <c r="G86" s="45" t="str">
        <f t="shared" si="81"/>
        <v>Nominal</v>
      </c>
      <c r="H86" s="45" t="str">
        <f t="shared" si="82"/>
        <v>End year</v>
      </c>
      <c r="J86" s="75">
        <v>0</v>
      </c>
      <c r="K86" s="50">
        <v>4.5787038800831986E-2</v>
      </c>
      <c r="L86" s="51">
        <v>0.11409403738472366</v>
      </c>
      <c r="M86" s="51">
        <v>8.5708791661903178E-2</v>
      </c>
      <c r="N86" s="51">
        <v>0.16615738963973492</v>
      </c>
      <c r="O86" s="52">
        <v>0.12993417476695221</v>
      </c>
      <c r="P86" s="50">
        <v>0.1387143505123366</v>
      </c>
      <c r="Q86" s="51">
        <v>0.14213578215090594</v>
      </c>
      <c r="R86" s="51">
        <v>0.23517759838320632</v>
      </c>
      <c r="S86" s="51">
        <v>2.2280820039688054</v>
      </c>
      <c r="T86" s="52">
        <v>3.3314636139326517</v>
      </c>
    </row>
    <row r="87" spans="1:20" ht="12.3" x14ac:dyDescent="0.35">
      <c r="D87" s="10" t="str">
        <f t="shared" si="79"/>
        <v>Metering - Non-Network IT &amp; Communications</v>
      </c>
      <c r="E87" s="45" t="s">
        <v>158</v>
      </c>
      <c r="F87" s="45" t="str">
        <f t="shared" si="80"/>
        <v>$Millions</v>
      </c>
      <c r="G87" s="45" t="str">
        <f t="shared" si="81"/>
        <v>Nominal</v>
      </c>
      <c r="H87" s="45" t="str">
        <f t="shared" si="82"/>
        <v>End year</v>
      </c>
      <c r="J87" s="75">
        <v>0</v>
      </c>
      <c r="K87" s="50">
        <v>0.24876335357553153</v>
      </c>
      <c r="L87" s="51">
        <v>8.3433505405496294E-2</v>
      </c>
      <c r="M87" s="51">
        <v>0.24771824537500858</v>
      </c>
      <c r="N87" s="51">
        <v>0.62272815992901898</v>
      </c>
      <c r="O87" s="52">
        <v>0.75627348958990293</v>
      </c>
      <c r="P87" s="50">
        <v>0.67909915385315256</v>
      </c>
      <c r="Q87" s="51">
        <v>0.83594429211276966</v>
      </c>
      <c r="R87" s="51">
        <v>0.51688585703133572</v>
      </c>
      <c r="S87" s="51">
        <v>0.57793384427596806</v>
      </c>
      <c r="T87" s="52">
        <v>0.66844479257931189</v>
      </c>
    </row>
    <row r="88" spans="1:20" ht="12.3" x14ac:dyDescent="0.35">
      <c r="D88" s="10" t="str">
        <f t="shared" si="79"/>
        <v>Fleet leases</v>
      </c>
      <c r="E88" s="45" t="s">
        <v>158</v>
      </c>
      <c r="F88" s="45" t="str">
        <f t="shared" si="80"/>
        <v>$Millions</v>
      </c>
      <c r="G88" s="45" t="str">
        <f t="shared" si="81"/>
        <v>Nominal</v>
      </c>
      <c r="H88" s="45" t="str">
        <f t="shared" si="82"/>
        <v>End year</v>
      </c>
      <c r="J88" s="75">
        <v>0</v>
      </c>
      <c r="K88" s="50">
        <v>0.55328554740029001</v>
      </c>
      <c r="L88" s="51">
        <v>0.1019992998393271</v>
      </c>
      <c r="M88" s="51">
        <v>0.12205141116585083</v>
      </c>
      <c r="N88" s="51">
        <v>0.12600439613618025</v>
      </c>
      <c r="O88" s="52">
        <v>8.2232698856772063E-2</v>
      </c>
      <c r="P88" s="50">
        <v>7.6282736845679489E-2</v>
      </c>
      <c r="Q88" s="51">
        <v>0.16172064187461302</v>
      </c>
      <c r="R88" s="51">
        <v>0.16682730908915822</v>
      </c>
      <c r="S88" s="51">
        <v>0.15565110906785604</v>
      </c>
      <c r="T88" s="52">
        <v>0.12517451154602763</v>
      </c>
    </row>
    <row r="89" spans="1:20" ht="12.3" x14ac:dyDescent="0.35">
      <c r="D89" s="10" t="str">
        <f t="shared" si="79"/>
        <v>Property Leases</v>
      </c>
      <c r="E89" s="45" t="s">
        <v>158</v>
      </c>
      <c r="F89" s="45" t="str">
        <f t="shared" si="80"/>
        <v>$Millions</v>
      </c>
      <c r="G89" s="45" t="str">
        <f t="shared" si="81"/>
        <v>Nominal</v>
      </c>
      <c r="H89" s="45" t="str">
        <f t="shared" si="82"/>
        <v>End year</v>
      </c>
      <c r="J89" s="75">
        <v>0</v>
      </c>
      <c r="K89" s="50">
        <v>0.12670699945879238</v>
      </c>
      <c r="L89" s="51">
        <v>4.1727011704051437E-2</v>
      </c>
      <c r="M89" s="51">
        <v>0.48501126604626732</v>
      </c>
      <c r="N89" s="51">
        <v>0</v>
      </c>
      <c r="O89" s="52">
        <v>0.20677278560366619</v>
      </c>
      <c r="P89" s="50">
        <v>0</v>
      </c>
      <c r="Q89" s="51">
        <v>0</v>
      </c>
      <c r="R89" s="51">
        <v>0.30570319738536805</v>
      </c>
      <c r="S89" s="51">
        <v>0</v>
      </c>
      <c r="T89" s="52">
        <v>4.2417231539218947E-2</v>
      </c>
    </row>
    <row r="90" spans="1:20" ht="12.3" x14ac:dyDescent="0.35">
      <c r="D90" s="10" t="str">
        <f t="shared" si="79"/>
        <v>Buildings</v>
      </c>
      <c r="E90" s="45" t="s">
        <v>158</v>
      </c>
      <c r="F90" s="45" t="str">
        <f t="shared" si="80"/>
        <v>$Millions</v>
      </c>
      <c r="G90" s="45" t="str">
        <f t="shared" si="81"/>
        <v>Nominal</v>
      </c>
      <c r="H90" s="45" t="str">
        <f t="shared" si="82"/>
        <v>End year</v>
      </c>
      <c r="J90" s="75">
        <v>0</v>
      </c>
      <c r="K90" s="50">
        <v>1.689217183341285E-2</v>
      </c>
      <c r="L90" s="51">
        <v>5.9753403194667577E-2</v>
      </c>
      <c r="M90" s="51">
        <v>0.12887665455341485</v>
      </c>
      <c r="N90" s="51">
        <v>0</v>
      </c>
      <c r="O90" s="52">
        <v>0</v>
      </c>
      <c r="P90" s="50">
        <v>0</v>
      </c>
      <c r="Q90" s="51">
        <v>0</v>
      </c>
      <c r="R90" s="51">
        <v>0</v>
      </c>
      <c r="S90" s="51">
        <v>0</v>
      </c>
      <c r="T90" s="52">
        <v>0</v>
      </c>
    </row>
    <row r="91" spans="1:20" ht="12.3" x14ac:dyDescent="0.35">
      <c r="D91" s="10" t="str">
        <f t="shared" si="79"/>
        <v>in-house software</v>
      </c>
      <c r="E91" s="45" t="s">
        <v>158</v>
      </c>
      <c r="F91" s="45" t="str">
        <f t="shared" si="80"/>
        <v>$Millions</v>
      </c>
      <c r="G91" s="45" t="str">
        <f t="shared" si="81"/>
        <v>Nominal</v>
      </c>
      <c r="H91" s="45" t="str">
        <f t="shared" si="82"/>
        <v>End year</v>
      </c>
      <c r="J91" s="75">
        <v>0</v>
      </c>
      <c r="K91" s="50">
        <v>0</v>
      </c>
      <c r="L91" s="51">
        <v>0</v>
      </c>
      <c r="M91" s="51">
        <v>0</v>
      </c>
      <c r="N91" s="51">
        <v>0</v>
      </c>
      <c r="O91" s="52">
        <v>0</v>
      </c>
      <c r="P91" s="50">
        <v>0</v>
      </c>
      <c r="Q91" s="51">
        <v>0</v>
      </c>
      <c r="R91" s="51">
        <v>0</v>
      </c>
      <c r="S91" s="51">
        <v>0</v>
      </c>
      <c r="T91" s="52">
        <v>0</v>
      </c>
    </row>
    <row r="92" spans="1:20" ht="12.3" x14ac:dyDescent="0.35">
      <c r="D92" s="10" t="str">
        <f t="shared" ref="D92" si="83">D28</f>
        <v>Equity Raising Costs</v>
      </c>
      <c r="E92" s="45" t="s">
        <v>158</v>
      </c>
      <c r="F92" s="45" t="str">
        <f t="shared" si="80"/>
        <v>$Millions</v>
      </c>
      <c r="G92" s="45" t="str">
        <f t="shared" si="81"/>
        <v>Nominal</v>
      </c>
      <c r="H92" s="45" t="str">
        <f t="shared" si="82"/>
        <v>End year</v>
      </c>
      <c r="J92" s="75">
        <v>0</v>
      </c>
      <c r="K92" s="50">
        <v>0.15860280233141474</v>
      </c>
      <c r="L92" s="51">
        <v>0</v>
      </c>
      <c r="M92" s="51">
        <v>0</v>
      </c>
      <c r="N92" s="51">
        <v>0</v>
      </c>
      <c r="O92" s="52">
        <v>0</v>
      </c>
      <c r="P92" s="50">
        <v>4.3866632158517271E-2</v>
      </c>
      <c r="Q92" s="51">
        <v>0</v>
      </c>
      <c r="R92" s="51">
        <v>0</v>
      </c>
      <c r="S92" s="51">
        <v>0</v>
      </c>
      <c r="T92" s="52">
        <v>0</v>
      </c>
    </row>
    <row r="93" spans="1:20" x14ac:dyDescent="0.35">
      <c r="J93" s="73"/>
      <c r="K93" s="48"/>
      <c r="O93" s="49"/>
      <c r="P93" s="48"/>
      <c r="T93" s="49"/>
    </row>
    <row r="94" spans="1:20" ht="12.3" x14ac:dyDescent="0.35">
      <c r="D94" s="44" t="str">
        <f>"Total "&amp;D80</f>
        <v>Total RAB asset class</v>
      </c>
      <c r="E94" s="40" t="s">
        <v>91</v>
      </c>
      <c r="F94" s="40" t="str">
        <f>F82</f>
        <v>$Millions</v>
      </c>
      <c r="G94" s="40" t="str">
        <f>G82</f>
        <v>Nominal</v>
      </c>
      <c r="H94" s="40" t="str">
        <f>H82</f>
        <v>End year</v>
      </c>
      <c r="J94" s="74">
        <f t="shared" ref="J94:T94" si="84">SUM(J82:J92)</f>
        <v>0</v>
      </c>
      <c r="K94" s="53">
        <f t="shared" si="84"/>
        <v>2.7802278369086704</v>
      </c>
      <c r="L94" s="39">
        <f t="shared" si="84"/>
        <v>2.0784847004727522</v>
      </c>
      <c r="M94" s="39">
        <f t="shared" si="84"/>
        <v>3.3162447275763207</v>
      </c>
      <c r="N94" s="39">
        <f t="shared" si="84"/>
        <v>11.815893687683294</v>
      </c>
      <c r="O94" s="54">
        <f t="shared" si="84"/>
        <v>13.678799867129388</v>
      </c>
      <c r="P94" s="53">
        <f t="shared" si="84"/>
        <v>6.0218051823080687</v>
      </c>
      <c r="Q94" s="39">
        <f t="shared" si="84"/>
        <v>6.1878442131794182</v>
      </c>
      <c r="R94" s="39">
        <f t="shared" si="84"/>
        <v>9.6517403433825617</v>
      </c>
      <c r="S94" s="39">
        <f t="shared" si="84"/>
        <v>11.609860667987425</v>
      </c>
      <c r="T94" s="54">
        <f t="shared" si="84"/>
        <v>13.009691485932152</v>
      </c>
    </row>
    <row r="95" spans="1:20" ht="11.25" customHeight="1" x14ac:dyDescent="0.35"/>
    <row r="96" spans="1:20" ht="11.25" customHeight="1" x14ac:dyDescent="0.35">
      <c r="A96" s="42">
        <f>IF(SUM($J96:$T96)&lt;&gt;0,1,0)</f>
        <v>0</v>
      </c>
      <c r="D96" s="10" t="s">
        <v>155</v>
      </c>
      <c r="J96" s="42">
        <f t="shared" ref="J96:K96" si="85">IF(ISERROR(J94),1,0)</f>
        <v>0</v>
      </c>
      <c r="K96" s="42">
        <f t="shared" si="85"/>
        <v>0</v>
      </c>
      <c r="L96" s="42">
        <f>IF(ISERROR(L94),1,0)</f>
        <v>0</v>
      </c>
      <c r="M96" s="42">
        <f t="shared" ref="M96:P96" si="86">IF(ISERROR(M94),1,0)</f>
        <v>0</v>
      </c>
      <c r="N96" s="42">
        <f t="shared" si="86"/>
        <v>0</v>
      </c>
      <c r="O96" s="42">
        <f t="shared" si="86"/>
        <v>0</v>
      </c>
      <c r="P96" s="42">
        <f t="shared" si="86"/>
        <v>0</v>
      </c>
      <c r="Q96" s="42">
        <f>IF(ISERROR(Q94),1,0)</f>
        <v>0</v>
      </c>
      <c r="R96" s="42">
        <f t="shared" ref="R96:T96" si="87">IF(ISERROR(R94),1,0)</f>
        <v>0</v>
      </c>
      <c r="S96" s="42">
        <f t="shared" si="87"/>
        <v>0</v>
      </c>
      <c r="T96" s="42">
        <f t="shared" si="87"/>
        <v>0</v>
      </c>
    </row>
    <row r="97" spans="1:20" ht="11.25" customHeight="1" x14ac:dyDescent="0.35">
      <c r="A97" s="42"/>
      <c r="D97" s="67" t="s">
        <v>50</v>
      </c>
      <c r="J97" s="75">
        <v>0</v>
      </c>
      <c r="K97" s="284">
        <v>2.7802278369086704</v>
      </c>
      <c r="L97" s="282">
        <v>2.0784847004727522</v>
      </c>
      <c r="M97" s="51">
        <v>3.3162447275763207</v>
      </c>
      <c r="N97" s="51">
        <v>11.815893687683294</v>
      </c>
      <c r="O97" s="52">
        <v>13.678799867129388</v>
      </c>
      <c r="P97" s="50">
        <v>6.0218051823080687</v>
      </c>
      <c r="Q97" s="51">
        <v>6.1878442131794182</v>
      </c>
      <c r="R97" s="51">
        <v>9.6517403433825617</v>
      </c>
      <c r="S97" s="51">
        <v>11.609860667987425</v>
      </c>
      <c r="T97" s="52">
        <v>13.009691485932152</v>
      </c>
    </row>
    <row r="98" spans="1:20" ht="11.25" customHeight="1" x14ac:dyDescent="0.35">
      <c r="A98" s="42">
        <f>IF(SUM($J98:$T98)&lt;&gt;0,1,0)</f>
        <v>0</v>
      </c>
      <c r="D98" s="67" t="s">
        <v>156</v>
      </c>
      <c r="J98" s="71">
        <f>IF(ROUND(J97-J116-J94,3)=0,0,1)</f>
        <v>0</v>
      </c>
      <c r="K98" s="69">
        <f t="shared" ref="K98:T98" si="88">IF(ROUND(K97-K116-K94,3)=0,0,1)</f>
        <v>0</v>
      </c>
      <c r="L98" s="66">
        <f t="shared" si="88"/>
        <v>0</v>
      </c>
      <c r="M98" s="66">
        <f t="shared" si="88"/>
        <v>0</v>
      </c>
      <c r="N98" s="66">
        <f t="shared" si="88"/>
        <v>0</v>
      </c>
      <c r="O98" s="70">
        <f t="shared" si="88"/>
        <v>0</v>
      </c>
      <c r="P98" s="69">
        <f t="shared" si="88"/>
        <v>0</v>
      </c>
      <c r="Q98" s="66">
        <f t="shared" si="88"/>
        <v>0</v>
      </c>
      <c r="R98" s="66">
        <f t="shared" si="88"/>
        <v>0</v>
      </c>
      <c r="S98" s="66">
        <f t="shared" si="88"/>
        <v>0</v>
      </c>
      <c r="T98" s="70">
        <f t="shared" si="88"/>
        <v>0</v>
      </c>
    </row>
    <row r="100" spans="1:20" s="8" customFormat="1" ht="14.1" x14ac:dyDescent="0.35">
      <c r="C100" s="89" t="s">
        <v>211</v>
      </c>
      <c r="D100" s="89"/>
    </row>
    <row r="101" spans="1:20" ht="11.25" customHeight="1" x14ac:dyDescent="0.35">
      <c r="C101" s="77"/>
    </row>
    <row r="102" spans="1:20" ht="12.3" x14ac:dyDescent="0.35">
      <c r="D102" s="43" t="str">
        <f>D$16</f>
        <v>RAB asset class</v>
      </c>
      <c r="E102" s="38" t="str">
        <f>Lookup!E$20</f>
        <v>Source</v>
      </c>
      <c r="F102" s="38" t="str">
        <f>Lookup!F$20</f>
        <v>Unit</v>
      </c>
      <c r="G102" s="38" t="str">
        <f>Lookup!G$20</f>
        <v>Basis</v>
      </c>
      <c r="H102" s="38" t="str">
        <f>Lookup!H$20</f>
        <v>Timing</v>
      </c>
      <c r="J102" s="275" t="str">
        <f t="shared" ref="J102:T102" si="89">J$10</f>
        <v>RY19</v>
      </c>
      <c r="K102" s="271" t="str">
        <f t="shared" si="89"/>
        <v>RY20</v>
      </c>
      <c r="L102" s="272" t="str">
        <f>L$10</f>
        <v>RY21</v>
      </c>
      <c r="M102" s="272" t="str">
        <f t="shared" si="89"/>
        <v>RY22</v>
      </c>
      <c r="N102" s="272" t="str">
        <f t="shared" si="89"/>
        <v>RY23</v>
      </c>
      <c r="O102" s="273" t="str">
        <f t="shared" si="89"/>
        <v>RY24</v>
      </c>
      <c r="P102" s="271" t="str">
        <f t="shared" si="89"/>
        <v>RY25</v>
      </c>
      <c r="Q102" s="272" t="str">
        <f>Q$10</f>
        <v>RY26</v>
      </c>
      <c r="R102" s="272" t="str">
        <f t="shared" si="89"/>
        <v>RY27</v>
      </c>
      <c r="S102" s="272" t="str">
        <f t="shared" si="89"/>
        <v>RY28</v>
      </c>
      <c r="T102" s="273" t="str">
        <f t="shared" si="89"/>
        <v>RY29</v>
      </c>
    </row>
    <row r="103" spans="1:20" x14ac:dyDescent="0.35">
      <c r="J103" s="73"/>
      <c r="K103" s="48"/>
      <c r="O103" s="49"/>
      <c r="P103" s="48"/>
      <c r="T103" s="49"/>
    </row>
    <row r="104" spans="1:20" ht="12.3" x14ac:dyDescent="0.35">
      <c r="D104" s="10" t="str">
        <f t="shared" ref="D104:D113" si="90">D18</f>
        <v>Mechanical meters - General</v>
      </c>
      <c r="E104" s="45" t="s">
        <v>158</v>
      </c>
      <c r="F104" s="45" t="str">
        <f t="shared" ref="F104:F114" si="91">Millions</f>
        <v>$Millions</v>
      </c>
      <c r="G104" s="45" t="str">
        <f t="shared" ref="G104:G114" si="92">Nominal</f>
        <v>Nominal</v>
      </c>
      <c r="H104" s="45" t="str">
        <f t="shared" ref="H104:H114" si="93">End_year</f>
        <v>End year</v>
      </c>
      <c r="J104" s="75">
        <v>0</v>
      </c>
      <c r="K104" s="50">
        <v>0</v>
      </c>
      <c r="L104" s="51">
        <v>0</v>
      </c>
      <c r="M104" s="51">
        <v>0</v>
      </c>
      <c r="N104" s="51">
        <v>0</v>
      </c>
      <c r="O104" s="52">
        <v>0</v>
      </c>
      <c r="P104" s="50">
        <v>0</v>
      </c>
      <c r="Q104" s="51">
        <v>0</v>
      </c>
      <c r="R104" s="51">
        <v>0</v>
      </c>
      <c r="S104" s="51">
        <v>0</v>
      </c>
      <c r="T104" s="52">
        <v>0</v>
      </c>
    </row>
    <row r="105" spans="1:20" ht="12.3" x14ac:dyDescent="0.35">
      <c r="D105" s="10" t="str">
        <f t="shared" si="90"/>
        <v>Electronic Meters</v>
      </c>
      <c r="E105" s="45" t="s">
        <v>158</v>
      </c>
      <c r="F105" s="45" t="str">
        <f t="shared" si="91"/>
        <v>$Millions</v>
      </c>
      <c r="G105" s="45" t="str">
        <f t="shared" si="92"/>
        <v>Nominal</v>
      </c>
      <c r="H105" s="45" t="str">
        <f t="shared" si="93"/>
        <v>End year</v>
      </c>
      <c r="J105" s="75">
        <v>0</v>
      </c>
      <c r="K105" s="50">
        <v>0</v>
      </c>
      <c r="L105" s="51">
        <v>0</v>
      </c>
      <c r="M105" s="51">
        <v>0</v>
      </c>
      <c r="N105" s="51">
        <v>0</v>
      </c>
      <c r="O105" s="52">
        <v>0</v>
      </c>
      <c r="P105" s="50">
        <v>0</v>
      </c>
      <c r="Q105" s="51">
        <v>0</v>
      </c>
      <c r="R105" s="51">
        <v>0</v>
      </c>
      <c r="S105" s="51">
        <v>0</v>
      </c>
      <c r="T105" s="52">
        <v>0</v>
      </c>
    </row>
    <row r="106" spans="1:20" ht="12.3" x14ac:dyDescent="0.35">
      <c r="D106" s="10" t="str">
        <f t="shared" si="90"/>
        <v>Metering Communications</v>
      </c>
      <c r="E106" s="45" t="s">
        <v>158</v>
      </c>
      <c r="F106" s="45" t="str">
        <f t="shared" si="91"/>
        <v>$Millions</v>
      </c>
      <c r="G106" s="45" t="str">
        <f t="shared" si="92"/>
        <v>Nominal</v>
      </c>
      <c r="H106" s="45" t="str">
        <f t="shared" si="93"/>
        <v>End year</v>
      </c>
      <c r="J106" s="75">
        <v>0</v>
      </c>
      <c r="K106" s="50">
        <v>0</v>
      </c>
      <c r="L106" s="51">
        <v>0</v>
      </c>
      <c r="M106" s="51">
        <v>0</v>
      </c>
      <c r="N106" s="51">
        <v>0</v>
      </c>
      <c r="O106" s="52">
        <v>0</v>
      </c>
      <c r="P106" s="50">
        <v>0</v>
      </c>
      <c r="Q106" s="51">
        <v>0</v>
      </c>
      <c r="R106" s="51">
        <v>0</v>
      </c>
      <c r="S106" s="51">
        <v>0</v>
      </c>
      <c r="T106" s="52">
        <v>0</v>
      </c>
    </row>
    <row r="107" spans="1:20" ht="12.3" x14ac:dyDescent="0.35">
      <c r="D107" s="10" t="str">
        <f t="shared" si="90"/>
        <v>Metering - Dedicated CTs and VTs</v>
      </c>
      <c r="E107" s="45" t="s">
        <v>158</v>
      </c>
      <c r="F107" s="45" t="str">
        <f t="shared" si="91"/>
        <v>$Millions</v>
      </c>
      <c r="G107" s="45" t="str">
        <f t="shared" si="92"/>
        <v>Nominal</v>
      </c>
      <c r="H107" s="45" t="str">
        <f t="shared" si="93"/>
        <v>End year</v>
      </c>
      <c r="J107" s="75">
        <v>0</v>
      </c>
      <c r="K107" s="50">
        <v>0</v>
      </c>
      <c r="L107" s="51">
        <v>0</v>
      </c>
      <c r="M107" s="51">
        <v>0</v>
      </c>
      <c r="N107" s="51">
        <v>0</v>
      </c>
      <c r="O107" s="52">
        <v>0</v>
      </c>
      <c r="P107" s="50">
        <v>0</v>
      </c>
      <c r="Q107" s="51">
        <v>0</v>
      </c>
      <c r="R107" s="51">
        <v>0</v>
      </c>
      <c r="S107" s="51">
        <v>0</v>
      </c>
      <c r="T107" s="52">
        <v>0</v>
      </c>
    </row>
    <row r="108" spans="1:20" ht="12.3" x14ac:dyDescent="0.35">
      <c r="D108" s="10" t="str">
        <f t="shared" si="90"/>
        <v>Metering - Non-Network Other</v>
      </c>
      <c r="E108" s="45" t="s">
        <v>158</v>
      </c>
      <c r="F108" s="45" t="str">
        <f t="shared" si="91"/>
        <v>$Millions</v>
      </c>
      <c r="G108" s="45" t="str">
        <f t="shared" si="92"/>
        <v>Nominal</v>
      </c>
      <c r="H108" s="45" t="str">
        <f t="shared" si="93"/>
        <v>End year</v>
      </c>
      <c r="J108" s="75">
        <v>0</v>
      </c>
      <c r="K108" s="50">
        <v>0</v>
      </c>
      <c r="L108" s="51">
        <v>0</v>
      </c>
      <c r="M108" s="51">
        <v>0</v>
      </c>
      <c r="N108" s="51">
        <v>0</v>
      </c>
      <c r="O108" s="52">
        <v>0</v>
      </c>
      <c r="P108" s="50">
        <v>0</v>
      </c>
      <c r="Q108" s="51">
        <v>0</v>
      </c>
      <c r="R108" s="51">
        <v>0</v>
      </c>
      <c r="S108" s="51">
        <v>0</v>
      </c>
      <c r="T108" s="52">
        <v>0</v>
      </c>
    </row>
    <row r="109" spans="1:20" ht="12.3" x14ac:dyDescent="0.35">
      <c r="D109" s="10" t="str">
        <f t="shared" si="90"/>
        <v>Metering - Non-Network IT &amp; Communications</v>
      </c>
      <c r="E109" s="45" t="s">
        <v>158</v>
      </c>
      <c r="F109" s="45" t="str">
        <f t="shared" si="91"/>
        <v>$Millions</v>
      </c>
      <c r="G109" s="45" t="str">
        <f t="shared" si="92"/>
        <v>Nominal</v>
      </c>
      <c r="H109" s="45" t="str">
        <f t="shared" si="93"/>
        <v>End year</v>
      </c>
      <c r="J109" s="75">
        <v>0</v>
      </c>
      <c r="K109" s="50">
        <v>0</v>
      </c>
      <c r="L109" s="51">
        <v>0</v>
      </c>
      <c r="M109" s="51">
        <v>0</v>
      </c>
      <c r="N109" s="51">
        <v>0</v>
      </c>
      <c r="O109" s="52">
        <v>0</v>
      </c>
      <c r="P109" s="50">
        <v>0</v>
      </c>
      <c r="Q109" s="51">
        <v>0</v>
      </c>
      <c r="R109" s="51">
        <v>0</v>
      </c>
      <c r="S109" s="51">
        <v>0</v>
      </c>
      <c r="T109" s="52">
        <v>0</v>
      </c>
    </row>
    <row r="110" spans="1:20" ht="12.3" x14ac:dyDescent="0.35">
      <c r="D110" s="10" t="str">
        <f t="shared" si="90"/>
        <v>Fleet leases</v>
      </c>
      <c r="E110" s="45" t="s">
        <v>158</v>
      </c>
      <c r="F110" s="45" t="str">
        <f t="shared" si="91"/>
        <v>$Millions</v>
      </c>
      <c r="G110" s="45" t="str">
        <f t="shared" si="92"/>
        <v>Nominal</v>
      </c>
      <c r="H110" s="45" t="str">
        <f t="shared" si="93"/>
        <v>End year</v>
      </c>
      <c r="J110" s="75">
        <v>0</v>
      </c>
      <c r="K110" s="50">
        <v>0</v>
      </c>
      <c r="L110" s="51">
        <v>0</v>
      </c>
      <c r="M110" s="51">
        <v>0</v>
      </c>
      <c r="N110" s="51">
        <v>0</v>
      </c>
      <c r="O110" s="52">
        <v>0</v>
      </c>
      <c r="P110" s="50">
        <v>0</v>
      </c>
      <c r="Q110" s="51">
        <v>0</v>
      </c>
      <c r="R110" s="51">
        <v>0</v>
      </c>
      <c r="S110" s="51">
        <v>0</v>
      </c>
      <c r="T110" s="52">
        <v>0</v>
      </c>
    </row>
    <row r="111" spans="1:20" ht="12.3" x14ac:dyDescent="0.35">
      <c r="D111" s="10" t="str">
        <f t="shared" si="90"/>
        <v>Property Leases</v>
      </c>
      <c r="E111" s="45" t="s">
        <v>158</v>
      </c>
      <c r="F111" s="45" t="str">
        <f t="shared" si="91"/>
        <v>$Millions</v>
      </c>
      <c r="G111" s="45" t="str">
        <f t="shared" si="92"/>
        <v>Nominal</v>
      </c>
      <c r="H111" s="45" t="str">
        <f t="shared" si="93"/>
        <v>End year</v>
      </c>
      <c r="J111" s="75">
        <v>0</v>
      </c>
      <c r="K111" s="50">
        <v>0</v>
      </c>
      <c r="L111" s="51">
        <v>0</v>
      </c>
      <c r="M111" s="51">
        <v>0</v>
      </c>
      <c r="N111" s="51">
        <v>0</v>
      </c>
      <c r="O111" s="52">
        <v>0</v>
      </c>
      <c r="P111" s="50">
        <v>0</v>
      </c>
      <c r="Q111" s="51">
        <v>0</v>
      </c>
      <c r="R111" s="51">
        <v>0</v>
      </c>
      <c r="S111" s="51">
        <v>0</v>
      </c>
      <c r="T111" s="52">
        <v>0</v>
      </c>
    </row>
    <row r="112" spans="1:20" ht="12.3" x14ac:dyDescent="0.35">
      <c r="D112" s="10" t="str">
        <f t="shared" si="90"/>
        <v>Buildings</v>
      </c>
      <c r="E112" s="45" t="s">
        <v>158</v>
      </c>
      <c r="F112" s="45" t="str">
        <f t="shared" si="91"/>
        <v>$Millions</v>
      </c>
      <c r="G112" s="45" t="str">
        <f t="shared" si="92"/>
        <v>Nominal</v>
      </c>
      <c r="H112" s="45" t="str">
        <f t="shared" si="93"/>
        <v>End year</v>
      </c>
      <c r="J112" s="75">
        <v>0</v>
      </c>
      <c r="K112" s="50">
        <v>0</v>
      </c>
      <c r="L112" s="51">
        <v>0</v>
      </c>
      <c r="M112" s="51">
        <v>0</v>
      </c>
      <c r="N112" s="51">
        <v>0</v>
      </c>
      <c r="O112" s="52">
        <v>0</v>
      </c>
      <c r="P112" s="50">
        <v>0</v>
      </c>
      <c r="Q112" s="51">
        <v>0</v>
      </c>
      <c r="R112" s="51">
        <v>0</v>
      </c>
      <c r="S112" s="51">
        <v>0</v>
      </c>
      <c r="T112" s="52">
        <v>0</v>
      </c>
    </row>
    <row r="113" spans="1:20" ht="12.3" x14ac:dyDescent="0.35">
      <c r="D113" s="10" t="str">
        <f t="shared" si="90"/>
        <v>in-house software</v>
      </c>
      <c r="E113" s="45" t="s">
        <v>158</v>
      </c>
      <c r="F113" s="45" t="str">
        <f t="shared" si="91"/>
        <v>$Millions</v>
      </c>
      <c r="G113" s="45" t="str">
        <f t="shared" si="92"/>
        <v>Nominal</v>
      </c>
      <c r="H113" s="45" t="str">
        <f t="shared" si="93"/>
        <v>End year</v>
      </c>
      <c r="J113" s="75">
        <v>0</v>
      </c>
      <c r="K113" s="50">
        <v>0</v>
      </c>
      <c r="L113" s="51">
        <v>0</v>
      </c>
      <c r="M113" s="51">
        <v>0</v>
      </c>
      <c r="N113" s="51">
        <v>0</v>
      </c>
      <c r="O113" s="52">
        <v>0</v>
      </c>
      <c r="P113" s="50">
        <v>0</v>
      </c>
      <c r="Q113" s="51">
        <v>0</v>
      </c>
      <c r="R113" s="51">
        <v>0</v>
      </c>
      <c r="S113" s="51">
        <v>0</v>
      </c>
      <c r="T113" s="52">
        <v>0</v>
      </c>
    </row>
    <row r="114" spans="1:20" ht="12.3" x14ac:dyDescent="0.35">
      <c r="D114" s="10" t="str">
        <f t="shared" ref="D114" si="94">D28</f>
        <v>Equity Raising Costs</v>
      </c>
      <c r="E114" s="45" t="s">
        <v>158</v>
      </c>
      <c r="F114" s="45" t="str">
        <f t="shared" si="91"/>
        <v>$Millions</v>
      </c>
      <c r="G114" s="45" t="str">
        <f t="shared" si="92"/>
        <v>Nominal</v>
      </c>
      <c r="H114" s="45" t="str">
        <f t="shared" si="93"/>
        <v>End year</v>
      </c>
      <c r="J114" s="75">
        <v>0</v>
      </c>
      <c r="K114" s="50">
        <v>0</v>
      </c>
      <c r="L114" s="51">
        <v>0</v>
      </c>
      <c r="M114" s="51">
        <v>0</v>
      </c>
      <c r="N114" s="51">
        <v>0</v>
      </c>
      <c r="O114" s="52">
        <v>0</v>
      </c>
      <c r="P114" s="50">
        <v>0</v>
      </c>
      <c r="Q114" s="51">
        <v>0</v>
      </c>
      <c r="R114" s="51">
        <v>0</v>
      </c>
      <c r="S114" s="51">
        <v>0</v>
      </c>
      <c r="T114" s="52">
        <v>0</v>
      </c>
    </row>
    <row r="115" spans="1:20" x14ac:dyDescent="0.35">
      <c r="J115" s="73"/>
      <c r="K115" s="48"/>
      <c r="O115" s="49"/>
      <c r="P115" s="48"/>
      <c r="T115" s="49"/>
    </row>
    <row r="116" spans="1:20" ht="12.3" x14ac:dyDescent="0.35">
      <c r="D116" s="44" t="str">
        <f>"Total "&amp;D102</f>
        <v>Total RAB asset class</v>
      </c>
      <c r="E116" s="40" t="s">
        <v>91</v>
      </c>
      <c r="F116" s="40" t="str">
        <f>F104</f>
        <v>$Millions</v>
      </c>
      <c r="G116" s="40" t="str">
        <f>G104</f>
        <v>Nominal</v>
      </c>
      <c r="H116" s="40" t="str">
        <f>H104</f>
        <v>End year</v>
      </c>
      <c r="J116" s="74">
        <f t="shared" ref="J116:T116" si="95">SUM(J104:J114)</f>
        <v>0</v>
      </c>
      <c r="K116" s="53">
        <f t="shared" si="95"/>
        <v>0</v>
      </c>
      <c r="L116" s="39">
        <f t="shared" si="95"/>
        <v>0</v>
      </c>
      <c r="M116" s="39">
        <f t="shared" si="95"/>
        <v>0</v>
      </c>
      <c r="N116" s="39">
        <f t="shared" si="95"/>
        <v>0</v>
      </c>
      <c r="O116" s="54">
        <f t="shared" si="95"/>
        <v>0</v>
      </c>
      <c r="P116" s="53">
        <f t="shared" si="95"/>
        <v>0</v>
      </c>
      <c r="Q116" s="39">
        <f t="shared" si="95"/>
        <v>0</v>
      </c>
      <c r="R116" s="39">
        <f t="shared" si="95"/>
        <v>0</v>
      </c>
      <c r="S116" s="39">
        <f t="shared" si="95"/>
        <v>0</v>
      </c>
      <c r="T116" s="54">
        <f t="shared" si="95"/>
        <v>0</v>
      </c>
    </row>
    <row r="117" spans="1:20" ht="11.25" customHeight="1" x14ac:dyDescent="0.35"/>
    <row r="118" spans="1:20" ht="11.25" customHeight="1" x14ac:dyDescent="0.35">
      <c r="A118" s="42">
        <f>IF(SUM($J118:$T118)&lt;&gt;0,1,0)</f>
        <v>0</v>
      </c>
      <c r="D118" s="10" t="s">
        <v>155</v>
      </c>
      <c r="J118" s="42">
        <f t="shared" ref="J118:K118" si="96">IF(ISERROR(J116),1,0)</f>
        <v>0</v>
      </c>
      <c r="K118" s="42">
        <f t="shared" si="96"/>
        <v>0</v>
      </c>
      <c r="L118" s="42">
        <f>IF(ISERROR(L116),1,0)</f>
        <v>0</v>
      </c>
      <c r="M118" s="42">
        <f t="shared" ref="M118:P118" si="97">IF(ISERROR(M116),1,0)</f>
        <v>0</v>
      </c>
      <c r="N118" s="42">
        <f t="shared" si="97"/>
        <v>0</v>
      </c>
      <c r="O118" s="42">
        <f t="shared" si="97"/>
        <v>0</v>
      </c>
      <c r="P118" s="42">
        <f t="shared" si="97"/>
        <v>0</v>
      </c>
      <c r="Q118" s="42">
        <f>IF(ISERROR(Q116),1,0)</f>
        <v>0</v>
      </c>
      <c r="R118" s="42">
        <f t="shared" ref="R118:T118" si="98">IF(ISERROR(R116),1,0)</f>
        <v>0</v>
      </c>
      <c r="S118" s="42">
        <f t="shared" si="98"/>
        <v>0</v>
      </c>
      <c r="T118" s="42">
        <f t="shared" si="98"/>
        <v>0</v>
      </c>
    </row>
    <row r="119" spans="1:20" ht="11.25" customHeight="1" x14ac:dyDescent="0.35">
      <c r="A119" s="42"/>
      <c r="D119" s="67" t="s">
        <v>50</v>
      </c>
      <c r="J119" s="75">
        <v>0</v>
      </c>
      <c r="K119" s="284">
        <v>0</v>
      </c>
      <c r="L119" s="282">
        <v>0</v>
      </c>
      <c r="M119" s="51">
        <v>0</v>
      </c>
      <c r="N119" s="51">
        <v>0</v>
      </c>
      <c r="O119" s="52">
        <v>0</v>
      </c>
      <c r="P119" s="50">
        <v>0</v>
      </c>
      <c r="Q119" s="51">
        <v>0</v>
      </c>
      <c r="R119" s="51">
        <v>0</v>
      </c>
      <c r="S119" s="51">
        <v>0</v>
      </c>
      <c r="T119" s="52">
        <v>0</v>
      </c>
    </row>
    <row r="120" spans="1:20" ht="11.25" customHeight="1" x14ac:dyDescent="0.35">
      <c r="A120" s="42">
        <f>IF(SUM($J120:$T120)&lt;&gt;0,1,0)</f>
        <v>0</v>
      </c>
      <c r="D120" s="67" t="s">
        <v>156</v>
      </c>
      <c r="J120" s="71">
        <f>IF(ROUND(J119-J116,3)=0,0,1)</f>
        <v>0</v>
      </c>
      <c r="K120" s="69">
        <f t="shared" ref="K120:T120" si="99">IF(ROUND(K119-K116,3)=0,0,1)</f>
        <v>0</v>
      </c>
      <c r="L120" s="66">
        <f t="shared" si="99"/>
        <v>0</v>
      </c>
      <c r="M120" s="66">
        <f t="shared" si="99"/>
        <v>0</v>
      </c>
      <c r="N120" s="66">
        <f t="shared" si="99"/>
        <v>0</v>
      </c>
      <c r="O120" s="70">
        <f t="shared" si="99"/>
        <v>0</v>
      </c>
      <c r="P120" s="69">
        <f t="shared" si="99"/>
        <v>0</v>
      </c>
      <c r="Q120" s="66">
        <f t="shared" si="99"/>
        <v>0</v>
      </c>
      <c r="R120" s="66">
        <f t="shared" si="99"/>
        <v>0</v>
      </c>
      <c r="S120" s="66">
        <f t="shared" si="99"/>
        <v>0</v>
      </c>
      <c r="T120" s="70">
        <f t="shared" si="99"/>
        <v>0</v>
      </c>
    </row>
    <row r="122" spans="1:20" s="8" customFormat="1" ht="14.1" x14ac:dyDescent="0.35">
      <c r="C122" s="8" t="s">
        <v>406</v>
      </c>
    </row>
    <row r="123" spans="1:20" ht="11.25" customHeight="1" x14ac:dyDescent="0.35"/>
    <row r="124" spans="1:20" ht="12.3" x14ac:dyDescent="0.35">
      <c r="D124" s="43" t="str">
        <f>D$16</f>
        <v>RAB asset class</v>
      </c>
      <c r="E124" s="38" t="str">
        <f>Lookup!E$20</f>
        <v>Source</v>
      </c>
      <c r="F124" s="38" t="str">
        <f>Lookup!F$20</f>
        <v>Unit</v>
      </c>
      <c r="G124" s="38" t="str">
        <f>Lookup!G$20</f>
        <v>Basis</v>
      </c>
      <c r="H124" s="38" t="str">
        <f>Lookup!H$20</f>
        <v>Timing</v>
      </c>
      <c r="J124" s="46" t="str">
        <f t="shared" ref="J124:T124" si="100">J$10</f>
        <v>RY19</v>
      </c>
      <c r="K124" s="38" t="str">
        <f t="shared" si="100"/>
        <v>RY20</v>
      </c>
      <c r="L124" s="38" t="str">
        <f>L$10</f>
        <v>RY21</v>
      </c>
      <c r="M124" s="38" t="str">
        <f t="shared" si="100"/>
        <v>RY22</v>
      </c>
      <c r="N124" s="38" t="str">
        <f t="shared" si="100"/>
        <v>RY23</v>
      </c>
      <c r="O124" s="47" t="str">
        <f t="shared" si="100"/>
        <v>RY24</v>
      </c>
      <c r="P124" s="46" t="str">
        <f t="shared" si="100"/>
        <v>RY25</v>
      </c>
      <c r="Q124" s="38" t="str">
        <f>Q$10</f>
        <v>RY26</v>
      </c>
      <c r="R124" s="38" t="str">
        <f t="shared" si="100"/>
        <v>RY27</v>
      </c>
      <c r="S124" s="38" t="str">
        <f t="shared" si="100"/>
        <v>RY28</v>
      </c>
      <c r="T124" s="47" t="str">
        <f t="shared" si="100"/>
        <v>RY29</v>
      </c>
    </row>
    <row r="125" spans="1:20" x14ac:dyDescent="0.35">
      <c r="J125" s="48"/>
      <c r="O125" s="49"/>
      <c r="P125" s="48"/>
      <c r="T125" s="49"/>
    </row>
    <row r="126" spans="1:20" ht="12.3" x14ac:dyDescent="0.35">
      <c r="D126" s="10" t="str">
        <f t="shared" ref="D126:D135" si="101">D18</f>
        <v>Mechanical meters - General</v>
      </c>
      <c r="E126" s="45" t="s">
        <v>91</v>
      </c>
      <c r="F126" s="45" t="str">
        <f t="shared" ref="F126:F136" si="102">Millions</f>
        <v>$Millions</v>
      </c>
      <c r="G126" s="45" t="str">
        <f t="shared" ref="G126:G136" si="103">Nominal</f>
        <v>Nominal</v>
      </c>
      <c r="H126" s="45" t="str">
        <f t="shared" ref="H126:H136" si="104">End_year</f>
        <v>End year</v>
      </c>
      <c r="J126" s="56">
        <f t="shared" ref="J126:P126" si="105">J18+J38+J60+J82+J104</f>
        <v>8.528290626415659</v>
      </c>
      <c r="K126" s="57">
        <f t="shared" si="105"/>
        <v>9.302038485245042</v>
      </c>
      <c r="L126" s="57">
        <f t="shared" si="105"/>
        <v>8.7758265703789213</v>
      </c>
      <c r="M126" s="57">
        <f t="shared" si="105"/>
        <v>8.4713494438114374</v>
      </c>
      <c r="N126" s="57">
        <f t="shared" si="105"/>
        <v>8.5161846903087142</v>
      </c>
      <c r="O126" s="58">
        <f t="shared" si="105"/>
        <v>8.2329428450249758</v>
      </c>
      <c r="P126" s="56">
        <f t="shared" si="105"/>
        <v>7.8657879961075068</v>
      </c>
      <c r="Q126" s="57">
        <f t="shared" ref="Q126:T126" si="106">Q18+Q38+Q60+Q82+Q104</f>
        <v>7.4701759413220667</v>
      </c>
      <c r="R126" s="57">
        <f t="shared" si="106"/>
        <v>7.0447579584446611</v>
      </c>
      <c r="S126" s="57">
        <f t="shared" si="106"/>
        <v>6.5881308273532353</v>
      </c>
      <c r="T126" s="58">
        <f t="shared" si="106"/>
        <v>6.098834797433776</v>
      </c>
    </row>
    <row r="127" spans="1:20" ht="12.3" x14ac:dyDescent="0.35">
      <c r="D127" s="10" t="str">
        <f t="shared" si="101"/>
        <v>Electronic Meters</v>
      </c>
      <c r="E127" s="45" t="s">
        <v>91</v>
      </c>
      <c r="F127" s="45" t="str">
        <f t="shared" si="102"/>
        <v>$Millions</v>
      </c>
      <c r="G127" s="45" t="str">
        <f t="shared" si="103"/>
        <v>Nominal</v>
      </c>
      <c r="H127" s="45" t="str">
        <f t="shared" si="104"/>
        <v>End year</v>
      </c>
      <c r="J127" s="56">
        <f t="shared" ref="J127:T127" si="107">J19+J39+J61+J83+J105</f>
        <v>4.761312201091882</v>
      </c>
      <c r="K127" s="57">
        <f t="shared" si="107"/>
        <v>5.7909819175359374</v>
      </c>
      <c r="L127" s="57">
        <f t="shared" si="107"/>
        <v>7.1483294325053901</v>
      </c>
      <c r="M127" s="57">
        <f t="shared" si="107"/>
        <v>9.1593329625184925</v>
      </c>
      <c r="N127" s="57">
        <f t="shared" si="107"/>
        <v>18.419126463226874</v>
      </c>
      <c r="O127" s="58">
        <f t="shared" si="107"/>
        <v>28.455255749963072</v>
      </c>
      <c r="P127" s="56">
        <f t="shared" si="107"/>
        <v>37.325038512324063</v>
      </c>
      <c r="Q127" s="57">
        <f t="shared" si="107"/>
        <v>40.334569944369626</v>
      </c>
      <c r="R127" s="57">
        <f t="shared" si="107"/>
        <v>46.361230552961672</v>
      </c>
      <c r="S127" s="57">
        <f t="shared" si="107"/>
        <v>52.0924347663479</v>
      </c>
      <c r="T127" s="58">
        <f t="shared" si="107"/>
        <v>57.460171382933702</v>
      </c>
    </row>
    <row r="128" spans="1:20" ht="12.3" x14ac:dyDescent="0.35">
      <c r="D128" s="10" t="str">
        <f t="shared" si="101"/>
        <v>Metering Communications</v>
      </c>
      <c r="E128" s="45" t="s">
        <v>91</v>
      </c>
      <c r="F128" s="45" t="str">
        <f t="shared" si="102"/>
        <v>$Millions</v>
      </c>
      <c r="G128" s="45" t="str">
        <f t="shared" si="103"/>
        <v>Nominal</v>
      </c>
      <c r="H128" s="45" t="str">
        <f t="shared" si="104"/>
        <v>End year</v>
      </c>
      <c r="J128" s="56">
        <f t="shared" ref="J128:T128" si="108">J20+J40+J62+J84+J106</f>
        <v>0</v>
      </c>
      <c r="K128" s="57">
        <f t="shared" si="108"/>
        <v>0</v>
      </c>
      <c r="L128" s="57">
        <f t="shared" si="108"/>
        <v>0</v>
      </c>
      <c r="M128" s="57">
        <f t="shared" si="108"/>
        <v>0</v>
      </c>
      <c r="N128" s="57">
        <f t="shared" si="108"/>
        <v>1.715980693421798</v>
      </c>
      <c r="O128" s="58">
        <f t="shared" si="108"/>
        <v>3.6343016123001082</v>
      </c>
      <c r="P128" s="56">
        <f t="shared" si="108"/>
        <v>3.7048065126764005</v>
      </c>
      <c r="Q128" s="57">
        <f t="shared" si="108"/>
        <v>3.780839082891744</v>
      </c>
      <c r="R128" s="57">
        <f t="shared" si="108"/>
        <v>3.8744886353660282</v>
      </c>
      <c r="S128" s="57">
        <f t="shared" si="108"/>
        <v>3.9844796697419191</v>
      </c>
      <c r="T128" s="58">
        <f t="shared" si="108"/>
        <v>4.1087672113431566</v>
      </c>
    </row>
    <row r="129" spans="1:20" ht="12.3" x14ac:dyDescent="0.35">
      <c r="D129" s="10" t="str">
        <f t="shared" si="101"/>
        <v>Metering - Dedicated CTs and VTs</v>
      </c>
      <c r="E129" s="45" t="s">
        <v>91</v>
      </c>
      <c r="F129" s="45" t="str">
        <f t="shared" si="102"/>
        <v>$Millions</v>
      </c>
      <c r="G129" s="45" t="str">
        <f t="shared" si="103"/>
        <v>Nominal</v>
      </c>
      <c r="H129" s="45" t="str">
        <f t="shared" si="104"/>
        <v>End year</v>
      </c>
      <c r="J129" s="56">
        <f t="shared" ref="J129:T129" si="109">J21+J41+J63+J85+J107</f>
        <v>0</v>
      </c>
      <c r="K129" s="57">
        <f t="shared" si="109"/>
        <v>0</v>
      </c>
      <c r="L129" s="57">
        <f t="shared" si="109"/>
        <v>0</v>
      </c>
      <c r="M129" s="57">
        <f t="shared" si="109"/>
        <v>0</v>
      </c>
      <c r="N129" s="57">
        <f t="shared" si="109"/>
        <v>0</v>
      </c>
      <c r="O129" s="58">
        <f t="shared" si="109"/>
        <v>0</v>
      </c>
      <c r="P129" s="56">
        <f t="shared" si="109"/>
        <v>5.9982156263078727E-2</v>
      </c>
      <c r="Q129" s="57">
        <f t="shared" si="109"/>
        <v>0.11939871372401664</v>
      </c>
      <c r="R129" s="57">
        <f t="shared" si="109"/>
        <v>0.17804344808929201</v>
      </c>
      <c r="S129" s="57">
        <f t="shared" si="109"/>
        <v>0.23569491781069496</v>
      </c>
      <c r="T129" s="58">
        <f t="shared" si="109"/>
        <v>0.29211564185922267</v>
      </c>
    </row>
    <row r="130" spans="1:20" ht="12.3" x14ac:dyDescent="0.35">
      <c r="D130" s="10" t="str">
        <f t="shared" si="101"/>
        <v>Metering - Non-Network Other</v>
      </c>
      <c r="E130" s="45" t="s">
        <v>91</v>
      </c>
      <c r="F130" s="45" t="str">
        <f t="shared" si="102"/>
        <v>$Millions</v>
      </c>
      <c r="G130" s="45" t="str">
        <f t="shared" si="103"/>
        <v>Nominal</v>
      </c>
      <c r="H130" s="45" t="str">
        <f t="shared" si="104"/>
        <v>End year</v>
      </c>
      <c r="J130" s="56">
        <f t="shared" ref="J130:T130" si="110">J22+J42+J64+J86+J108</f>
        <v>0</v>
      </c>
      <c r="K130" s="57">
        <f t="shared" si="110"/>
        <v>4.5787038800831986E-2</v>
      </c>
      <c r="L130" s="57">
        <f t="shared" si="110"/>
        <v>0.15716646299495285</v>
      </c>
      <c r="M130" s="57">
        <f t="shared" si="110"/>
        <v>0.23756626900664449</v>
      </c>
      <c r="N130" s="57">
        <f t="shared" si="110"/>
        <v>0.4056299560937543</v>
      </c>
      <c r="O130" s="58">
        <f t="shared" si="110"/>
        <v>0.52419848234404287</v>
      </c>
      <c r="P130" s="56">
        <f t="shared" si="110"/>
        <v>0.63780692791435067</v>
      </c>
      <c r="Q130" s="57">
        <f t="shared" si="110"/>
        <v>0.75322452562387188</v>
      </c>
      <c r="R130" s="57">
        <f t="shared" si="110"/>
        <v>0.95988808490256683</v>
      </c>
      <c r="S130" s="57">
        <f t="shared" si="110"/>
        <v>3.1576585482407635</v>
      </c>
      <c r="T130" s="58">
        <f t="shared" si="110"/>
        <v>6.4610502289569247</v>
      </c>
    </row>
    <row r="131" spans="1:20" ht="12.3" x14ac:dyDescent="0.35">
      <c r="D131" s="10" t="str">
        <f t="shared" si="101"/>
        <v>Metering - Non-Network IT &amp; Communications</v>
      </c>
      <c r="E131" s="45" t="s">
        <v>91</v>
      </c>
      <c r="F131" s="45" t="str">
        <f t="shared" si="102"/>
        <v>$Millions</v>
      </c>
      <c r="G131" s="45" t="str">
        <f t="shared" si="103"/>
        <v>Nominal</v>
      </c>
      <c r="H131" s="45" t="str">
        <f t="shared" si="104"/>
        <v>End year</v>
      </c>
      <c r="J131" s="56">
        <f t="shared" ref="J131:T131" si="111">J23+J43+J65+J87+J109</f>
        <v>0</v>
      </c>
      <c r="K131" s="57">
        <f t="shared" si="111"/>
        <v>0.24876335357553153</v>
      </c>
      <c r="L131" s="57">
        <f t="shared" si="111"/>
        <v>0.30900349755920892</v>
      </c>
      <c r="M131" s="57">
        <f t="shared" si="111"/>
        <v>0.53356423583018597</v>
      </c>
      <c r="N131" s="57">
        <f t="shared" si="111"/>
        <v>1.1381834847082841</v>
      </c>
      <c r="O131" s="58">
        <f t="shared" si="111"/>
        <v>1.81503938289642</v>
      </c>
      <c r="P131" s="56">
        <f t="shared" si="111"/>
        <v>2.3331227821328762</v>
      </c>
      <c r="Q131" s="57">
        <f t="shared" si="111"/>
        <v>2.9470365754517234</v>
      </c>
      <c r="R131" s="57">
        <f t="shared" si="111"/>
        <v>3.1653096062674404</v>
      </c>
      <c r="S131" s="57">
        <f t="shared" si="111"/>
        <v>3.3865751433280464</v>
      </c>
      <c r="T131" s="58">
        <f t="shared" si="111"/>
        <v>3.6322194077192171</v>
      </c>
    </row>
    <row r="132" spans="1:20" ht="12.3" x14ac:dyDescent="0.35">
      <c r="D132" s="10" t="str">
        <f t="shared" si="101"/>
        <v>Fleet leases</v>
      </c>
      <c r="E132" s="45" t="s">
        <v>91</v>
      </c>
      <c r="F132" s="45" t="str">
        <f t="shared" si="102"/>
        <v>$Millions</v>
      </c>
      <c r="G132" s="45" t="str">
        <f t="shared" si="103"/>
        <v>Nominal</v>
      </c>
      <c r="H132" s="45" t="str">
        <f t="shared" si="104"/>
        <v>End year</v>
      </c>
      <c r="J132" s="56">
        <f t="shared" ref="J132:T132" si="112">J24+J44+J66+J88+J110</f>
        <v>0</v>
      </c>
      <c r="K132" s="57">
        <f t="shared" si="112"/>
        <v>0.55328554740029001</v>
      </c>
      <c r="L132" s="57">
        <f t="shared" si="112"/>
        <v>0.56063300483699807</v>
      </c>
      <c r="M132" s="57">
        <f t="shared" si="112"/>
        <v>0.58387742610905558</v>
      </c>
      <c r="N132" s="57">
        <f t="shared" si="112"/>
        <v>0.61174281405477959</v>
      </c>
      <c r="O132" s="58">
        <f t="shared" si="112"/>
        <v>0.54228072177411724</v>
      </c>
      <c r="P132" s="56">
        <f t="shared" si="112"/>
        <v>0.42661576887161651</v>
      </c>
      <c r="Q132" s="57">
        <f t="shared" si="112"/>
        <v>0.41652443803815409</v>
      </c>
      <c r="R132" s="57">
        <f t="shared" si="112"/>
        <v>0.4741463610070093</v>
      </c>
      <c r="S132" s="57">
        <f t="shared" si="112"/>
        <v>0.51917220720769397</v>
      </c>
      <c r="T132" s="58">
        <f t="shared" si="112"/>
        <v>0.53721782846128296</v>
      </c>
    </row>
    <row r="133" spans="1:20" ht="12.3" x14ac:dyDescent="0.35">
      <c r="D133" s="10" t="str">
        <f t="shared" si="101"/>
        <v>Property Leases</v>
      </c>
      <c r="E133" s="45" t="s">
        <v>91</v>
      </c>
      <c r="F133" s="45" t="str">
        <f t="shared" si="102"/>
        <v>$Millions</v>
      </c>
      <c r="G133" s="45" t="str">
        <f t="shared" si="103"/>
        <v>Nominal</v>
      </c>
      <c r="H133" s="45" t="str">
        <f t="shared" si="104"/>
        <v>End year</v>
      </c>
      <c r="J133" s="56">
        <f t="shared" ref="J133:T133" si="113">J25+J45+J67+J89+J111</f>
        <v>0</v>
      </c>
      <c r="K133" s="57">
        <f t="shared" si="113"/>
        <v>0.12670699945879238</v>
      </c>
      <c r="L133" s="57">
        <f t="shared" si="113"/>
        <v>0.16135691303172972</v>
      </c>
      <c r="M133" s="57">
        <f t="shared" si="113"/>
        <v>0.6411112708314517</v>
      </c>
      <c r="N133" s="57">
        <f t="shared" si="113"/>
        <v>0.64934445420920339</v>
      </c>
      <c r="O133" s="58">
        <f t="shared" si="113"/>
        <v>0.84013625340883658</v>
      </c>
      <c r="P133" s="56">
        <f t="shared" si="113"/>
        <v>0.80236626568098146</v>
      </c>
      <c r="Q133" s="57">
        <f t="shared" si="113"/>
        <v>0.76167462539584763</v>
      </c>
      <c r="R133" s="57">
        <f t="shared" si="113"/>
        <v>1.023626122725606</v>
      </c>
      <c r="S133" s="57">
        <f t="shared" si="113"/>
        <v>0.91519481732204566</v>
      </c>
      <c r="T133" s="58">
        <f t="shared" si="113"/>
        <v>0.84197656640619134</v>
      </c>
    </row>
    <row r="134" spans="1:20" ht="12.3" x14ac:dyDescent="0.35">
      <c r="D134" s="10" t="str">
        <f t="shared" si="101"/>
        <v>Buildings</v>
      </c>
      <c r="E134" s="45" t="s">
        <v>91</v>
      </c>
      <c r="F134" s="45" t="str">
        <f t="shared" si="102"/>
        <v>$Millions</v>
      </c>
      <c r="G134" s="45" t="str">
        <f t="shared" si="103"/>
        <v>Nominal</v>
      </c>
      <c r="H134" s="45" t="str">
        <f t="shared" si="104"/>
        <v>End year</v>
      </c>
      <c r="J134" s="56">
        <f t="shared" ref="J134:T134" si="114">J26+J46+J68+J90+J112</f>
        <v>0</v>
      </c>
      <c r="K134" s="57">
        <f t="shared" si="114"/>
        <v>1.689217183341285E-2</v>
      </c>
      <c r="L134" s="57">
        <f t="shared" si="114"/>
        <v>7.6360869790950636E-2</v>
      </c>
      <c r="M134" s="57">
        <f t="shared" si="114"/>
        <v>0.20596838295254899</v>
      </c>
      <c r="N134" s="57">
        <f t="shared" si="114"/>
        <v>0.21710287309332835</v>
      </c>
      <c r="O134" s="58">
        <f t="shared" si="114"/>
        <v>0.22153628919365626</v>
      </c>
      <c r="P134" s="56">
        <f t="shared" si="114"/>
        <v>0.22193072804431024</v>
      </c>
      <c r="Q134" s="57">
        <f t="shared" si="114"/>
        <v>0.22215935514912535</v>
      </c>
      <c r="R134" s="57">
        <f t="shared" si="114"/>
        <v>0.22221215206439238</v>
      </c>
      <c r="S134" s="57">
        <f t="shared" si="114"/>
        <v>0.222078656684286</v>
      </c>
      <c r="T134" s="58">
        <f t="shared" si="114"/>
        <v>0.22174794587421109</v>
      </c>
    </row>
    <row r="135" spans="1:20" ht="12.3" x14ac:dyDescent="0.35">
      <c r="D135" s="10" t="str">
        <f t="shared" si="101"/>
        <v>in-house software</v>
      </c>
      <c r="E135" s="45" t="s">
        <v>91</v>
      </c>
      <c r="F135" s="45" t="str">
        <f t="shared" si="102"/>
        <v>$Millions</v>
      </c>
      <c r="G135" s="45" t="str">
        <f t="shared" si="103"/>
        <v>Nominal</v>
      </c>
      <c r="H135" s="45" t="str">
        <f t="shared" si="104"/>
        <v>End year</v>
      </c>
      <c r="J135" s="56">
        <f t="shared" ref="J135:T135" si="115">J27+J47+J69+J91+J113</f>
        <v>0</v>
      </c>
      <c r="K135" s="57">
        <f t="shared" si="115"/>
        <v>0</v>
      </c>
      <c r="L135" s="57">
        <f t="shared" si="115"/>
        <v>0</v>
      </c>
      <c r="M135" s="57">
        <f t="shared" si="115"/>
        <v>0</v>
      </c>
      <c r="N135" s="57">
        <f t="shared" si="115"/>
        <v>0</v>
      </c>
      <c r="O135" s="58">
        <f t="shared" si="115"/>
        <v>0</v>
      </c>
      <c r="P135" s="56">
        <f t="shared" si="115"/>
        <v>0</v>
      </c>
      <c r="Q135" s="57">
        <f t="shared" si="115"/>
        <v>0</v>
      </c>
      <c r="R135" s="57">
        <f t="shared" si="115"/>
        <v>0</v>
      </c>
      <c r="S135" s="57">
        <f t="shared" si="115"/>
        <v>0</v>
      </c>
      <c r="T135" s="58">
        <f t="shared" si="115"/>
        <v>0</v>
      </c>
    </row>
    <row r="136" spans="1:20" ht="12.3" x14ac:dyDescent="0.35">
      <c r="D136" s="10" t="str">
        <f t="shared" ref="D136" si="116">D28</f>
        <v>Equity Raising Costs</v>
      </c>
      <c r="E136" s="45" t="s">
        <v>91</v>
      </c>
      <c r="F136" s="45" t="str">
        <f t="shared" si="102"/>
        <v>$Millions</v>
      </c>
      <c r="G136" s="45" t="str">
        <f t="shared" si="103"/>
        <v>Nominal</v>
      </c>
      <c r="H136" s="45" t="str">
        <f t="shared" si="104"/>
        <v>End year</v>
      </c>
      <c r="J136" s="56">
        <f t="shared" ref="J136:T136" si="117">J28+J48+J70+J92+J114</f>
        <v>0</v>
      </c>
      <c r="K136" s="57">
        <f t="shared" si="117"/>
        <v>0.15860280233141474</v>
      </c>
      <c r="L136" s="57">
        <f t="shared" si="117"/>
        <v>0.14896694935046589</v>
      </c>
      <c r="M136" s="57">
        <f t="shared" si="117"/>
        <v>0.14308281430114372</v>
      </c>
      <c r="N136" s="57">
        <f t="shared" si="117"/>
        <v>0.14304585234242617</v>
      </c>
      <c r="O136" s="58">
        <f t="shared" si="117"/>
        <v>0.13736673333148641</v>
      </c>
      <c r="P136" s="56">
        <f t="shared" si="117"/>
        <v>0.17200985152780116</v>
      </c>
      <c r="Q136" s="57">
        <f t="shared" si="117"/>
        <v>0.16081300605855012</v>
      </c>
      <c r="R136" s="57">
        <f t="shared" si="117"/>
        <v>0.1488157190963213</v>
      </c>
      <c r="S136" s="57">
        <f t="shared" si="117"/>
        <v>0.1359807951450725</v>
      </c>
      <c r="T136" s="58">
        <f t="shared" si="117"/>
        <v>0.12226954907974653</v>
      </c>
    </row>
    <row r="137" spans="1:20" x14ac:dyDescent="0.35">
      <c r="J137" s="48"/>
      <c r="O137" s="49"/>
      <c r="P137" s="48"/>
      <c r="T137" s="49"/>
    </row>
    <row r="138" spans="1:20" ht="12.3" x14ac:dyDescent="0.35">
      <c r="D138" s="44" t="str">
        <f>"Total "&amp;D124</f>
        <v>Total RAB asset class</v>
      </c>
      <c r="E138" s="40" t="s">
        <v>91</v>
      </c>
      <c r="F138" s="40" t="str">
        <f>F126</f>
        <v>$Millions</v>
      </c>
      <c r="G138" s="40" t="str">
        <f>G126</f>
        <v>Nominal</v>
      </c>
      <c r="H138" s="40" t="str">
        <f>H126</f>
        <v>End year</v>
      </c>
      <c r="J138" s="53">
        <f t="shared" ref="J138:T138" si="118">SUM(J126:J136)</f>
        <v>13.28960282750754</v>
      </c>
      <c r="K138" s="39">
        <f t="shared" si="118"/>
        <v>16.243058316181251</v>
      </c>
      <c r="L138" s="39">
        <f t="shared" si="118"/>
        <v>17.337643700448616</v>
      </c>
      <c r="M138" s="39">
        <f t="shared" si="118"/>
        <v>19.975852805360965</v>
      </c>
      <c r="N138" s="39">
        <f t="shared" si="118"/>
        <v>31.81634128145916</v>
      </c>
      <c r="O138" s="54">
        <f t="shared" si="118"/>
        <v>44.403058070236725</v>
      </c>
      <c r="P138" s="53">
        <f t="shared" si="118"/>
        <v>53.549467501542985</v>
      </c>
      <c r="Q138" s="39">
        <f t="shared" si="118"/>
        <v>56.966416208024725</v>
      </c>
      <c r="R138" s="39">
        <f t="shared" si="118"/>
        <v>63.452518640924993</v>
      </c>
      <c r="S138" s="39">
        <f t="shared" si="118"/>
        <v>71.237400349181655</v>
      </c>
      <c r="T138" s="54">
        <f t="shared" si="118"/>
        <v>79.77637056006742</v>
      </c>
    </row>
    <row r="139" spans="1:20" ht="11.25" customHeight="1" x14ac:dyDescent="0.35"/>
    <row r="140" spans="1:20" ht="11.25" customHeight="1" x14ac:dyDescent="0.35">
      <c r="A140" s="42">
        <f>IF(SUM($J140:$T140)&lt;&gt;0,1,0)</f>
        <v>0</v>
      </c>
      <c r="D140" s="10" t="s">
        <v>155</v>
      </c>
      <c r="J140" s="42">
        <f t="shared" ref="J140:K140" si="119">IF(ISERROR(J138),1,0)</f>
        <v>0</v>
      </c>
      <c r="K140" s="42">
        <f t="shared" si="119"/>
        <v>0</v>
      </c>
      <c r="L140" s="42">
        <f>IF(ISERROR(L138),1,0)</f>
        <v>0</v>
      </c>
      <c r="M140" s="42">
        <f t="shared" ref="M140:P140" si="120">IF(ISERROR(M138),1,0)</f>
        <v>0</v>
      </c>
      <c r="N140" s="42">
        <f t="shared" si="120"/>
        <v>0</v>
      </c>
      <c r="O140" s="42">
        <f t="shared" si="120"/>
        <v>0</v>
      </c>
      <c r="P140" s="42">
        <f t="shared" si="120"/>
        <v>0</v>
      </c>
      <c r="Q140" s="42">
        <f>IF(ISERROR(Q138),1,0)</f>
        <v>0</v>
      </c>
      <c r="R140" s="42">
        <f t="shared" ref="R140:T140" si="121">IF(ISERROR(R138),1,0)</f>
        <v>0</v>
      </c>
      <c r="S140" s="42">
        <f t="shared" si="121"/>
        <v>0</v>
      </c>
      <c r="T140" s="42">
        <f t="shared" si="121"/>
        <v>0</v>
      </c>
    </row>
    <row r="142" spans="1:20" s="8" customFormat="1" ht="14.1" x14ac:dyDescent="0.35">
      <c r="C142" s="89" t="s">
        <v>407</v>
      </c>
    </row>
    <row r="143" spans="1:20" ht="11.25" customHeight="1" x14ac:dyDescent="0.35"/>
    <row r="144" spans="1:20" ht="12.3" x14ac:dyDescent="0.35">
      <c r="D144" s="43" t="str">
        <f>D$16</f>
        <v>RAB asset class</v>
      </c>
      <c r="E144" s="38" t="str">
        <f>Lookup!E$20</f>
        <v>Source</v>
      </c>
      <c r="F144" s="38" t="str">
        <f>Lookup!F$20</f>
        <v>Unit</v>
      </c>
      <c r="G144" s="38" t="str">
        <f>Lookup!G$20</f>
        <v>Basis</v>
      </c>
      <c r="H144" s="38" t="str">
        <f>Lookup!H$20</f>
        <v>Timing</v>
      </c>
      <c r="J144" s="275" t="str">
        <f t="shared" ref="J144:T144" si="122">J$10</f>
        <v>RY19</v>
      </c>
      <c r="K144" s="38" t="str">
        <f t="shared" si="122"/>
        <v>RY20</v>
      </c>
      <c r="L144" s="38" t="str">
        <f>L$10</f>
        <v>RY21</v>
      </c>
      <c r="M144" s="38" t="str">
        <f t="shared" si="122"/>
        <v>RY22</v>
      </c>
      <c r="N144" s="38" t="str">
        <f t="shared" si="122"/>
        <v>RY23</v>
      </c>
      <c r="O144" s="273" t="str">
        <f t="shared" si="122"/>
        <v>RY24</v>
      </c>
      <c r="P144" s="46" t="str">
        <f t="shared" si="122"/>
        <v>RY25</v>
      </c>
      <c r="Q144" s="38" t="str">
        <f>Q$10</f>
        <v>RY26</v>
      </c>
      <c r="R144" s="38" t="str">
        <f t="shared" si="122"/>
        <v>RY27</v>
      </c>
      <c r="S144" s="38" t="str">
        <f t="shared" si="122"/>
        <v>RY28</v>
      </c>
      <c r="T144" s="47" t="str">
        <f t="shared" si="122"/>
        <v>RY29</v>
      </c>
    </row>
    <row r="145" spans="1:20" x14ac:dyDescent="0.35">
      <c r="J145" s="73"/>
      <c r="O145" s="49"/>
      <c r="P145" s="48"/>
      <c r="T145" s="49"/>
    </row>
    <row r="146" spans="1:20" ht="12.3" x14ac:dyDescent="0.35">
      <c r="D146" s="10" t="str">
        <f t="shared" ref="D146:D155" si="123">D18</f>
        <v>Mechanical meters - General</v>
      </c>
      <c r="E146" s="45" t="s">
        <v>158</v>
      </c>
      <c r="F146" s="45" t="str">
        <f t="shared" ref="F146:F156" si="124">Millions</f>
        <v>$Millions</v>
      </c>
      <c r="G146" s="45" t="str">
        <f t="shared" ref="G146:G156" si="125">Nominal</f>
        <v>Nominal</v>
      </c>
      <c r="H146" s="45" t="str">
        <f t="shared" ref="H146:H156" si="126">End_year</f>
        <v>End year</v>
      </c>
      <c r="J146" s="75">
        <v>1.1901874688352447</v>
      </c>
      <c r="K146" s="298"/>
      <c r="L146" s="299"/>
      <c r="M146" s="299"/>
      <c r="N146" s="299"/>
      <c r="O146" s="52">
        <v>0</v>
      </c>
      <c r="P146" s="298"/>
      <c r="Q146" s="299"/>
      <c r="R146" s="299"/>
      <c r="S146" s="299"/>
      <c r="T146" s="300"/>
    </row>
    <row r="147" spans="1:20" ht="12.3" x14ac:dyDescent="0.35">
      <c r="D147" s="10" t="str">
        <f t="shared" si="123"/>
        <v>Electronic Meters</v>
      </c>
      <c r="E147" s="45" t="s">
        <v>158</v>
      </c>
      <c r="F147" s="45" t="str">
        <f t="shared" si="124"/>
        <v>$Millions</v>
      </c>
      <c r="G147" s="45" t="str">
        <f t="shared" si="125"/>
        <v>Nominal</v>
      </c>
      <c r="H147" s="45" t="str">
        <f t="shared" si="126"/>
        <v>End year</v>
      </c>
      <c r="J147" s="75">
        <v>-0.42571566661175242</v>
      </c>
      <c r="K147" s="298"/>
      <c r="L147" s="299"/>
      <c r="M147" s="299"/>
      <c r="N147" s="299"/>
      <c r="O147" s="52">
        <v>5.4948930657848472</v>
      </c>
      <c r="P147" s="298"/>
      <c r="Q147" s="299"/>
      <c r="R147" s="299"/>
      <c r="S147" s="299"/>
      <c r="T147" s="300"/>
    </row>
    <row r="148" spans="1:20" ht="12.3" x14ac:dyDescent="0.35">
      <c r="D148" s="10" t="str">
        <f t="shared" si="123"/>
        <v>Metering Communications</v>
      </c>
      <c r="E148" s="45" t="s">
        <v>158</v>
      </c>
      <c r="F148" s="45" t="str">
        <f t="shared" si="124"/>
        <v>$Millions</v>
      </c>
      <c r="G148" s="45" t="str">
        <f t="shared" si="125"/>
        <v>Nominal</v>
      </c>
      <c r="H148" s="45" t="str">
        <f t="shared" si="126"/>
        <v>End year</v>
      </c>
      <c r="J148" s="75">
        <v>0</v>
      </c>
      <c r="K148" s="298"/>
      <c r="L148" s="299"/>
      <c r="M148" s="299"/>
      <c r="N148" s="299"/>
      <c r="O148" s="52">
        <v>0</v>
      </c>
      <c r="P148" s="298"/>
      <c r="Q148" s="299"/>
      <c r="R148" s="299"/>
      <c r="S148" s="299"/>
      <c r="T148" s="300"/>
    </row>
    <row r="149" spans="1:20" ht="12.3" x14ac:dyDescent="0.35">
      <c r="D149" s="10" t="str">
        <f t="shared" si="123"/>
        <v>Metering - Dedicated CTs and VTs</v>
      </c>
      <c r="E149" s="45" t="s">
        <v>158</v>
      </c>
      <c r="F149" s="45" t="str">
        <f t="shared" si="124"/>
        <v>$Millions</v>
      </c>
      <c r="G149" s="45" t="str">
        <f t="shared" si="125"/>
        <v>Nominal</v>
      </c>
      <c r="H149" s="45" t="str">
        <f t="shared" si="126"/>
        <v>End year</v>
      </c>
      <c r="J149" s="75">
        <v>0</v>
      </c>
      <c r="K149" s="298"/>
      <c r="L149" s="299"/>
      <c r="M149" s="299"/>
      <c r="N149" s="299"/>
      <c r="O149" s="52">
        <v>0</v>
      </c>
      <c r="P149" s="298"/>
      <c r="Q149" s="299"/>
      <c r="R149" s="299"/>
      <c r="S149" s="299"/>
      <c r="T149" s="300"/>
    </row>
    <row r="150" spans="1:20" ht="12.3" x14ac:dyDescent="0.35">
      <c r="D150" s="10" t="str">
        <f t="shared" si="123"/>
        <v>Metering - Non-Network Other</v>
      </c>
      <c r="E150" s="45" t="s">
        <v>158</v>
      </c>
      <c r="F150" s="45" t="str">
        <f t="shared" si="124"/>
        <v>$Millions</v>
      </c>
      <c r="G150" s="45" t="str">
        <f t="shared" si="125"/>
        <v>Nominal</v>
      </c>
      <c r="H150" s="45" t="str">
        <f t="shared" si="126"/>
        <v>End year</v>
      </c>
      <c r="J150" s="75">
        <v>0</v>
      </c>
      <c r="K150" s="298"/>
      <c r="L150" s="299"/>
      <c r="M150" s="299"/>
      <c r="N150" s="299"/>
      <c r="O150" s="52">
        <v>0</v>
      </c>
      <c r="P150" s="298"/>
      <c r="Q150" s="299"/>
      <c r="R150" s="299"/>
      <c r="S150" s="299"/>
      <c r="T150" s="300"/>
    </row>
    <row r="151" spans="1:20" ht="12.3" x14ac:dyDescent="0.35">
      <c r="D151" s="10" t="str">
        <f t="shared" si="123"/>
        <v>Metering - Non-Network IT &amp; Communications</v>
      </c>
      <c r="E151" s="45" t="s">
        <v>158</v>
      </c>
      <c r="F151" s="45" t="str">
        <f t="shared" si="124"/>
        <v>$Millions</v>
      </c>
      <c r="G151" s="45" t="str">
        <f t="shared" si="125"/>
        <v>Nominal</v>
      </c>
      <c r="H151" s="45" t="str">
        <f t="shared" si="126"/>
        <v>End year</v>
      </c>
      <c r="J151" s="75">
        <v>0</v>
      </c>
      <c r="K151" s="298"/>
      <c r="L151" s="299"/>
      <c r="M151" s="299"/>
      <c r="N151" s="299"/>
      <c r="O151" s="52">
        <v>0</v>
      </c>
      <c r="P151" s="298"/>
      <c r="Q151" s="299"/>
      <c r="R151" s="299"/>
      <c r="S151" s="299"/>
      <c r="T151" s="300"/>
    </row>
    <row r="152" spans="1:20" ht="12.3" x14ac:dyDescent="0.35">
      <c r="D152" s="10" t="str">
        <f t="shared" si="123"/>
        <v>Fleet leases</v>
      </c>
      <c r="E152" s="45" t="s">
        <v>158</v>
      </c>
      <c r="F152" s="45" t="str">
        <f t="shared" si="124"/>
        <v>$Millions</v>
      </c>
      <c r="G152" s="45" t="str">
        <f t="shared" si="125"/>
        <v>Nominal</v>
      </c>
      <c r="H152" s="45" t="str">
        <f t="shared" si="126"/>
        <v>End year</v>
      </c>
      <c r="J152" s="75">
        <v>0</v>
      </c>
      <c r="K152" s="298"/>
      <c r="L152" s="299"/>
      <c r="M152" s="299"/>
      <c r="N152" s="299"/>
      <c r="O152" s="52">
        <v>0</v>
      </c>
      <c r="P152" s="298"/>
      <c r="Q152" s="299"/>
      <c r="R152" s="299"/>
      <c r="S152" s="299"/>
      <c r="T152" s="300"/>
    </row>
    <row r="153" spans="1:20" ht="12.3" x14ac:dyDescent="0.35">
      <c r="D153" s="10" t="str">
        <f t="shared" si="123"/>
        <v>Property Leases</v>
      </c>
      <c r="E153" s="45" t="s">
        <v>158</v>
      </c>
      <c r="F153" s="45" t="str">
        <f t="shared" si="124"/>
        <v>$Millions</v>
      </c>
      <c r="G153" s="45" t="str">
        <f t="shared" si="125"/>
        <v>Nominal</v>
      </c>
      <c r="H153" s="45" t="str">
        <f t="shared" si="126"/>
        <v>End year</v>
      </c>
      <c r="J153" s="75">
        <v>0</v>
      </c>
      <c r="K153" s="298"/>
      <c r="L153" s="299"/>
      <c r="M153" s="299"/>
      <c r="N153" s="299"/>
      <c r="O153" s="52">
        <v>0</v>
      </c>
      <c r="P153" s="298"/>
      <c r="Q153" s="299"/>
      <c r="R153" s="299"/>
      <c r="S153" s="299"/>
      <c r="T153" s="300"/>
    </row>
    <row r="154" spans="1:20" ht="12.3" x14ac:dyDescent="0.35">
      <c r="D154" s="10" t="str">
        <f t="shared" si="123"/>
        <v>Buildings</v>
      </c>
      <c r="E154" s="45" t="s">
        <v>158</v>
      </c>
      <c r="F154" s="45" t="str">
        <f t="shared" si="124"/>
        <v>$Millions</v>
      </c>
      <c r="G154" s="45" t="str">
        <f t="shared" si="125"/>
        <v>Nominal</v>
      </c>
      <c r="H154" s="45" t="str">
        <f t="shared" si="126"/>
        <v>End year</v>
      </c>
      <c r="J154" s="75">
        <v>0</v>
      </c>
      <c r="K154" s="298"/>
      <c r="L154" s="299"/>
      <c r="M154" s="299"/>
      <c r="N154" s="299"/>
      <c r="O154" s="52"/>
      <c r="P154" s="298"/>
      <c r="Q154" s="299"/>
      <c r="R154" s="299"/>
      <c r="S154" s="299"/>
      <c r="T154" s="300"/>
    </row>
    <row r="155" spans="1:20" ht="12.3" x14ac:dyDescent="0.35">
      <c r="D155" s="10" t="str">
        <f t="shared" si="123"/>
        <v>in-house software</v>
      </c>
      <c r="E155" s="45" t="s">
        <v>158</v>
      </c>
      <c r="F155" s="45" t="str">
        <f t="shared" si="124"/>
        <v>$Millions</v>
      </c>
      <c r="G155" s="45" t="str">
        <f t="shared" si="125"/>
        <v>Nominal</v>
      </c>
      <c r="H155" s="45" t="str">
        <f t="shared" si="126"/>
        <v>End year</v>
      </c>
      <c r="J155" s="75">
        <v>0</v>
      </c>
      <c r="K155" s="298"/>
      <c r="L155" s="299"/>
      <c r="M155" s="299"/>
      <c r="N155" s="299"/>
      <c r="O155" s="52"/>
      <c r="P155" s="298"/>
      <c r="Q155" s="299"/>
      <c r="R155" s="299"/>
      <c r="S155" s="299"/>
      <c r="T155" s="300"/>
    </row>
    <row r="156" spans="1:20" ht="12.3" x14ac:dyDescent="0.35">
      <c r="D156" s="10" t="str">
        <f t="shared" ref="D156" si="127">D28</f>
        <v>Equity Raising Costs</v>
      </c>
      <c r="E156" s="45" t="s">
        <v>158</v>
      </c>
      <c r="F156" s="45" t="str">
        <f t="shared" si="124"/>
        <v>$Millions</v>
      </c>
      <c r="G156" s="45" t="str">
        <f t="shared" si="125"/>
        <v>Nominal</v>
      </c>
      <c r="H156" s="45" t="str">
        <f t="shared" si="126"/>
        <v>End year</v>
      </c>
      <c r="J156" s="75">
        <v>0</v>
      </c>
      <c r="K156" s="298"/>
      <c r="L156" s="299"/>
      <c r="M156" s="299"/>
      <c r="N156" s="299"/>
      <c r="O156" s="52"/>
      <c r="P156" s="298"/>
      <c r="Q156" s="299"/>
      <c r="R156" s="299"/>
      <c r="S156" s="299"/>
      <c r="T156" s="300"/>
    </row>
    <row r="157" spans="1:20" x14ac:dyDescent="0.35">
      <c r="J157" s="73"/>
      <c r="O157" s="49"/>
      <c r="P157" s="48"/>
      <c r="T157" s="49"/>
    </row>
    <row r="158" spans="1:20" ht="12.3" x14ac:dyDescent="0.35">
      <c r="D158" s="44" t="str">
        <f>"Total "&amp;D144</f>
        <v>Total RAB asset class</v>
      </c>
      <c r="E158" s="40" t="s">
        <v>91</v>
      </c>
      <c r="F158" s="40" t="str">
        <f>F146</f>
        <v>$Millions</v>
      </c>
      <c r="G158" s="40" t="str">
        <f>G146</f>
        <v>Nominal</v>
      </c>
      <c r="H158" s="40" t="str">
        <f>H146</f>
        <v>End year</v>
      </c>
      <c r="J158" s="74">
        <f t="shared" ref="J158:T158" si="128">SUM(J146:J156)</f>
        <v>0.76447180222349231</v>
      </c>
      <c r="K158" s="39">
        <f t="shared" si="128"/>
        <v>0</v>
      </c>
      <c r="L158" s="39">
        <f t="shared" si="128"/>
        <v>0</v>
      </c>
      <c r="M158" s="39">
        <f t="shared" si="128"/>
        <v>0</v>
      </c>
      <c r="N158" s="39">
        <f t="shared" si="128"/>
        <v>0</v>
      </c>
      <c r="O158" s="54">
        <f t="shared" si="128"/>
        <v>5.4948930657848472</v>
      </c>
      <c r="P158" s="53">
        <f t="shared" si="128"/>
        <v>0</v>
      </c>
      <c r="Q158" s="39">
        <f t="shared" si="128"/>
        <v>0</v>
      </c>
      <c r="R158" s="39">
        <f t="shared" si="128"/>
        <v>0</v>
      </c>
      <c r="S158" s="39">
        <f t="shared" si="128"/>
        <v>0</v>
      </c>
      <c r="T158" s="54">
        <f t="shared" si="128"/>
        <v>0</v>
      </c>
    </row>
    <row r="159" spans="1:20" ht="11.25" customHeight="1" x14ac:dyDescent="0.35"/>
    <row r="160" spans="1:20" ht="11.25" customHeight="1" x14ac:dyDescent="0.35">
      <c r="A160" s="42">
        <f>IF(SUM($J160:$T160)&lt;&gt;0,1,0)</f>
        <v>0</v>
      </c>
      <c r="D160" s="10" t="s">
        <v>155</v>
      </c>
      <c r="J160" s="42">
        <f t="shared" ref="J160:K160" si="129">IF(ISERROR(J158),1,0)</f>
        <v>0</v>
      </c>
      <c r="K160" s="42">
        <f t="shared" si="129"/>
        <v>0</v>
      </c>
      <c r="L160" s="42">
        <f>IF(ISERROR(L158),1,0)</f>
        <v>0</v>
      </c>
      <c r="M160" s="42">
        <f t="shared" ref="M160:P160" si="130">IF(ISERROR(M158),1,0)</f>
        <v>0</v>
      </c>
      <c r="N160" s="42">
        <f t="shared" si="130"/>
        <v>0</v>
      </c>
      <c r="O160" s="42">
        <f t="shared" si="130"/>
        <v>0</v>
      </c>
      <c r="P160" s="42">
        <f t="shared" si="130"/>
        <v>0</v>
      </c>
      <c r="Q160" s="42">
        <f>IF(ISERROR(Q158),1,0)</f>
        <v>0</v>
      </c>
      <c r="R160" s="42">
        <f t="shared" ref="R160:T160" si="131">IF(ISERROR(R158),1,0)</f>
        <v>0</v>
      </c>
      <c r="S160" s="42">
        <f t="shared" si="131"/>
        <v>0</v>
      </c>
      <c r="T160" s="42">
        <f t="shared" si="131"/>
        <v>0</v>
      </c>
    </row>
    <row r="161" spans="1:20" ht="11.25" customHeight="1" x14ac:dyDescent="0.35">
      <c r="A161" s="42"/>
      <c r="D161" s="67" t="s">
        <v>50</v>
      </c>
      <c r="J161" s="75">
        <v>0.76447180222349242</v>
      </c>
      <c r="K161" s="76" t="str">
        <f t="shared" ref="K161:N162" si="132">NA</f>
        <v>N/A</v>
      </c>
      <c r="L161" s="76" t="str">
        <f t="shared" si="132"/>
        <v>N/A</v>
      </c>
      <c r="M161" s="76" t="str">
        <f t="shared" si="132"/>
        <v>N/A</v>
      </c>
      <c r="N161" s="76" t="str">
        <f t="shared" si="132"/>
        <v>N/A</v>
      </c>
      <c r="O161" s="52">
        <v>5.4948930657848472</v>
      </c>
      <c r="P161" s="113" t="str">
        <f t="shared" ref="P161:T162" si="133">NA</f>
        <v>N/A</v>
      </c>
      <c r="Q161" s="76" t="str">
        <f t="shared" si="133"/>
        <v>N/A</v>
      </c>
      <c r="R161" s="76" t="str">
        <f t="shared" si="133"/>
        <v>N/A</v>
      </c>
      <c r="S161" s="76" t="str">
        <f t="shared" si="133"/>
        <v>N/A</v>
      </c>
      <c r="T161" s="114" t="str">
        <f t="shared" si="133"/>
        <v>N/A</v>
      </c>
    </row>
    <row r="162" spans="1:20" ht="11.25" customHeight="1" x14ac:dyDescent="0.35">
      <c r="A162" s="42">
        <f>IF(SUM($J162:$T162)&lt;&gt;0,1,0)</f>
        <v>0</v>
      </c>
      <c r="D162" s="67" t="s">
        <v>156</v>
      </c>
      <c r="J162" s="71">
        <f>IF(ROUND(J161-J158,3)=0,0,1)</f>
        <v>0</v>
      </c>
      <c r="K162" s="76" t="str">
        <f t="shared" si="132"/>
        <v>N/A</v>
      </c>
      <c r="L162" s="76" t="str">
        <f t="shared" si="132"/>
        <v>N/A</v>
      </c>
      <c r="M162" s="76" t="str">
        <f t="shared" si="132"/>
        <v>N/A</v>
      </c>
      <c r="N162" s="76" t="str">
        <f t="shared" si="132"/>
        <v>N/A</v>
      </c>
      <c r="O162" s="70">
        <f t="shared" ref="O162" si="134">IF(ROUND(O161-O158,3)=0,0,1)</f>
        <v>0</v>
      </c>
      <c r="P162" s="113" t="str">
        <f t="shared" si="133"/>
        <v>N/A</v>
      </c>
      <c r="Q162" s="76" t="str">
        <f t="shared" si="133"/>
        <v>N/A</v>
      </c>
      <c r="R162" s="76" t="str">
        <f t="shared" si="133"/>
        <v>N/A</v>
      </c>
      <c r="S162" s="76" t="str">
        <f t="shared" si="133"/>
        <v>N/A</v>
      </c>
      <c r="T162" s="114" t="str">
        <f t="shared" si="133"/>
        <v>N/A</v>
      </c>
    </row>
    <row r="164" spans="1:20" s="8" customFormat="1" ht="14.1" x14ac:dyDescent="0.35">
      <c r="C164" s="8" t="s">
        <v>414</v>
      </c>
    </row>
    <row r="165" spans="1:20" ht="11.25" customHeight="1" x14ac:dyDescent="0.35"/>
    <row r="166" spans="1:20" ht="12.3" x14ac:dyDescent="0.35">
      <c r="D166" s="43" t="str">
        <f>D$16</f>
        <v>RAB asset class</v>
      </c>
      <c r="E166" s="38" t="str">
        <f>Lookup!E$20</f>
        <v>Source</v>
      </c>
      <c r="F166" s="38" t="str">
        <f>Lookup!F$20</f>
        <v>Unit</v>
      </c>
      <c r="G166" s="38" t="str">
        <f>Lookup!G$20</f>
        <v>Basis</v>
      </c>
      <c r="H166" s="38" t="str">
        <f>Lookup!H$20</f>
        <v>Timing</v>
      </c>
      <c r="J166" s="46" t="str">
        <f t="shared" ref="J166:T166" si="135">J$10</f>
        <v>RY19</v>
      </c>
      <c r="K166" s="38" t="str">
        <f t="shared" si="135"/>
        <v>RY20</v>
      </c>
      <c r="L166" s="38" t="str">
        <f>L$10</f>
        <v>RY21</v>
      </c>
      <c r="M166" s="38" t="str">
        <f t="shared" si="135"/>
        <v>RY22</v>
      </c>
      <c r="N166" s="38" t="str">
        <f t="shared" si="135"/>
        <v>RY23</v>
      </c>
      <c r="O166" s="47" t="str">
        <f t="shared" si="135"/>
        <v>RY24</v>
      </c>
      <c r="P166" s="46" t="str">
        <f t="shared" si="135"/>
        <v>RY25</v>
      </c>
      <c r="Q166" s="38" t="str">
        <f>Q$10</f>
        <v>RY26</v>
      </c>
      <c r="R166" s="38" t="str">
        <f t="shared" si="135"/>
        <v>RY27</v>
      </c>
      <c r="S166" s="38" t="str">
        <f t="shared" si="135"/>
        <v>RY28</v>
      </c>
      <c r="T166" s="47" t="str">
        <f t="shared" si="135"/>
        <v>RY29</v>
      </c>
    </row>
    <row r="167" spans="1:20" x14ac:dyDescent="0.35">
      <c r="J167" s="48"/>
      <c r="O167" s="49"/>
      <c r="P167" s="48"/>
      <c r="T167" s="49"/>
    </row>
    <row r="168" spans="1:20" ht="12.3" x14ac:dyDescent="0.35">
      <c r="D168" s="10" t="str">
        <f t="shared" ref="D168:D177" si="136">D18</f>
        <v>Mechanical meters - General</v>
      </c>
      <c r="E168" s="45" t="s">
        <v>91</v>
      </c>
      <c r="F168" s="45" t="str">
        <f t="shared" ref="F168:F178" si="137">Millions</f>
        <v>$Millions</v>
      </c>
      <c r="G168" s="45" t="str">
        <f t="shared" ref="G168:G178" si="138">Nominal</f>
        <v>Nominal</v>
      </c>
      <c r="H168" s="45" t="str">
        <f t="shared" ref="H168:H178" si="139">End_year</f>
        <v>End year</v>
      </c>
      <c r="J168" s="56">
        <f t="shared" ref="J168:P168" si="140">J126+J146</f>
        <v>9.7184780952509033</v>
      </c>
      <c r="K168" s="57">
        <f t="shared" si="140"/>
        <v>9.302038485245042</v>
      </c>
      <c r="L168" s="57">
        <f t="shared" si="140"/>
        <v>8.7758265703789213</v>
      </c>
      <c r="M168" s="57">
        <f t="shared" si="140"/>
        <v>8.4713494438114374</v>
      </c>
      <c r="N168" s="57">
        <f t="shared" si="140"/>
        <v>8.5161846903087142</v>
      </c>
      <c r="O168" s="58">
        <f t="shared" si="140"/>
        <v>8.2329428450249758</v>
      </c>
      <c r="P168" s="56">
        <f t="shared" si="140"/>
        <v>7.8657879961075068</v>
      </c>
      <c r="Q168" s="57">
        <f t="shared" ref="Q168:T168" si="141">Q126+Q146</f>
        <v>7.4701759413220667</v>
      </c>
      <c r="R168" s="57">
        <f t="shared" si="141"/>
        <v>7.0447579584446611</v>
      </c>
      <c r="S168" s="57">
        <f t="shared" si="141"/>
        <v>6.5881308273532353</v>
      </c>
      <c r="T168" s="58">
        <f t="shared" si="141"/>
        <v>6.098834797433776</v>
      </c>
    </row>
    <row r="169" spans="1:20" ht="12.3" x14ac:dyDescent="0.35">
      <c r="D169" s="10" t="str">
        <f t="shared" si="136"/>
        <v>Electronic Meters</v>
      </c>
      <c r="E169" s="45" t="s">
        <v>91</v>
      </c>
      <c r="F169" s="45" t="str">
        <f t="shared" si="137"/>
        <v>$Millions</v>
      </c>
      <c r="G169" s="45" t="str">
        <f t="shared" si="138"/>
        <v>Nominal</v>
      </c>
      <c r="H169" s="45" t="str">
        <f t="shared" si="139"/>
        <v>End year</v>
      </c>
      <c r="J169" s="56">
        <f t="shared" ref="J169:T169" si="142">J127+J147</f>
        <v>4.3355965344801293</v>
      </c>
      <c r="K169" s="57">
        <f t="shared" si="142"/>
        <v>5.7909819175359374</v>
      </c>
      <c r="L169" s="57">
        <f t="shared" si="142"/>
        <v>7.1483294325053901</v>
      </c>
      <c r="M169" s="57">
        <f t="shared" si="142"/>
        <v>9.1593329625184925</v>
      </c>
      <c r="N169" s="57">
        <f t="shared" si="142"/>
        <v>18.419126463226874</v>
      </c>
      <c r="O169" s="58">
        <f t="shared" si="142"/>
        <v>33.950148815747923</v>
      </c>
      <c r="P169" s="56">
        <f t="shared" si="142"/>
        <v>37.325038512324063</v>
      </c>
      <c r="Q169" s="57">
        <f t="shared" si="142"/>
        <v>40.334569944369626</v>
      </c>
      <c r="R169" s="57">
        <f t="shared" si="142"/>
        <v>46.361230552961672</v>
      </c>
      <c r="S169" s="57">
        <f t="shared" si="142"/>
        <v>52.0924347663479</v>
      </c>
      <c r="T169" s="58">
        <f t="shared" si="142"/>
        <v>57.460171382933702</v>
      </c>
    </row>
    <row r="170" spans="1:20" ht="12.3" x14ac:dyDescent="0.35">
      <c r="D170" s="10" t="str">
        <f t="shared" si="136"/>
        <v>Metering Communications</v>
      </c>
      <c r="E170" s="45" t="s">
        <v>91</v>
      </c>
      <c r="F170" s="45" t="str">
        <f t="shared" si="137"/>
        <v>$Millions</v>
      </c>
      <c r="G170" s="45" t="str">
        <f t="shared" si="138"/>
        <v>Nominal</v>
      </c>
      <c r="H170" s="45" t="str">
        <f t="shared" si="139"/>
        <v>End year</v>
      </c>
      <c r="J170" s="56">
        <f t="shared" ref="J170:T170" si="143">J128+J148</f>
        <v>0</v>
      </c>
      <c r="K170" s="57">
        <f t="shared" si="143"/>
        <v>0</v>
      </c>
      <c r="L170" s="57">
        <f t="shared" si="143"/>
        <v>0</v>
      </c>
      <c r="M170" s="57">
        <f t="shared" si="143"/>
        <v>0</v>
      </c>
      <c r="N170" s="57">
        <f t="shared" si="143"/>
        <v>1.715980693421798</v>
      </c>
      <c r="O170" s="58">
        <f t="shared" si="143"/>
        <v>3.6343016123001082</v>
      </c>
      <c r="P170" s="56">
        <f t="shared" si="143"/>
        <v>3.7048065126764005</v>
      </c>
      <c r="Q170" s="57">
        <f t="shared" si="143"/>
        <v>3.780839082891744</v>
      </c>
      <c r="R170" s="57">
        <f t="shared" si="143"/>
        <v>3.8744886353660282</v>
      </c>
      <c r="S170" s="57">
        <f t="shared" si="143"/>
        <v>3.9844796697419191</v>
      </c>
      <c r="T170" s="58">
        <f t="shared" si="143"/>
        <v>4.1087672113431566</v>
      </c>
    </row>
    <row r="171" spans="1:20" ht="12.3" x14ac:dyDescent="0.35">
      <c r="D171" s="10" t="str">
        <f t="shared" si="136"/>
        <v>Metering - Dedicated CTs and VTs</v>
      </c>
      <c r="E171" s="45" t="s">
        <v>91</v>
      </c>
      <c r="F171" s="45" t="str">
        <f t="shared" si="137"/>
        <v>$Millions</v>
      </c>
      <c r="G171" s="45" t="str">
        <f t="shared" si="138"/>
        <v>Nominal</v>
      </c>
      <c r="H171" s="45" t="str">
        <f t="shared" si="139"/>
        <v>End year</v>
      </c>
      <c r="J171" s="56">
        <f t="shared" ref="J171:T171" si="144">J129+J149</f>
        <v>0</v>
      </c>
      <c r="K171" s="57">
        <f t="shared" si="144"/>
        <v>0</v>
      </c>
      <c r="L171" s="57">
        <f t="shared" si="144"/>
        <v>0</v>
      </c>
      <c r="M171" s="57">
        <f t="shared" si="144"/>
        <v>0</v>
      </c>
      <c r="N171" s="57">
        <f t="shared" si="144"/>
        <v>0</v>
      </c>
      <c r="O171" s="58">
        <f t="shared" si="144"/>
        <v>0</v>
      </c>
      <c r="P171" s="56">
        <f t="shared" si="144"/>
        <v>5.9982156263078727E-2</v>
      </c>
      <c r="Q171" s="57">
        <f t="shared" si="144"/>
        <v>0.11939871372401664</v>
      </c>
      <c r="R171" s="57">
        <f t="shared" si="144"/>
        <v>0.17804344808929201</v>
      </c>
      <c r="S171" s="57">
        <f t="shared" si="144"/>
        <v>0.23569491781069496</v>
      </c>
      <c r="T171" s="58">
        <f t="shared" si="144"/>
        <v>0.29211564185922267</v>
      </c>
    </row>
    <row r="172" spans="1:20" ht="12.3" x14ac:dyDescent="0.35">
      <c r="D172" s="10" t="str">
        <f t="shared" si="136"/>
        <v>Metering - Non-Network Other</v>
      </c>
      <c r="E172" s="45" t="s">
        <v>91</v>
      </c>
      <c r="F172" s="45" t="str">
        <f t="shared" si="137"/>
        <v>$Millions</v>
      </c>
      <c r="G172" s="45" t="str">
        <f t="shared" si="138"/>
        <v>Nominal</v>
      </c>
      <c r="H172" s="45" t="str">
        <f t="shared" si="139"/>
        <v>End year</v>
      </c>
      <c r="J172" s="56">
        <f t="shared" ref="J172:T172" si="145">J130+J150</f>
        <v>0</v>
      </c>
      <c r="K172" s="57">
        <f t="shared" si="145"/>
        <v>4.5787038800831986E-2</v>
      </c>
      <c r="L172" s="57">
        <f t="shared" si="145"/>
        <v>0.15716646299495285</v>
      </c>
      <c r="M172" s="57">
        <f t="shared" si="145"/>
        <v>0.23756626900664449</v>
      </c>
      <c r="N172" s="57">
        <f t="shared" si="145"/>
        <v>0.4056299560937543</v>
      </c>
      <c r="O172" s="58">
        <f t="shared" si="145"/>
        <v>0.52419848234404287</v>
      </c>
      <c r="P172" s="56">
        <f t="shared" si="145"/>
        <v>0.63780692791435067</v>
      </c>
      <c r="Q172" s="57">
        <f t="shared" si="145"/>
        <v>0.75322452562387188</v>
      </c>
      <c r="R172" s="57">
        <f t="shared" si="145"/>
        <v>0.95988808490256683</v>
      </c>
      <c r="S172" s="57">
        <f t="shared" si="145"/>
        <v>3.1576585482407635</v>
      </c>
      <c r="T172" s="58">
        <f t="shared" si="145"/>
        <v>6.4610502289569247</v>
      </c>
    </row>
    <row r="173" spans="1:20" ht="12.3" x14ac:dyDescent="0.35">
      <c r="D173" s="10" t="str">
        <f t="shared" si="136"/>
        <v>Metering - Non-Network IT &amp; Communications</v>
      </c>
      <c r="E173" s="45" t="s">
        <v>91</v>
      </c>
      <c r="F173" s="45" t="str">
        <f t="shared" si="137"/>
        <v>$Millions</v>
      </c>
      <c r="G173" s="45" t="str">
        <f t="shared" si="138"/>
        <v>Nominal</v>
      </c>
      <c r="H173" s="45" t="str">
        <f t="shared" si="139"/>
        <v>End year</v>
      </c>
      <c r="J173" s="56">
        <f t="shared" ref="J173:T173" si="146">J131+J151</f>
        <v>0</v>
      </c>
      <c r="K173" s="57">
        <f t="shared" si="146"/>
        <v>0.24876335357553153</v>
      </c>
      <c r="L173" s="57">
        <f t="shared" si="146"/>
        <v>0.30900349755920892</v>
      </c>
      <c r="M173" s="57">
        <f t="shared" si="146"/>
        <v>0.53356423583018597</v>
      </c>
      <c r="N173" s="57">
        <f t="shared" si="146"/>
        <v>1.1381834847082841</v>
      </c>
      <c r="O173" s="58">
        <f t="shared" si="146"/>
        <v>1.81503938289642</v>
      </c>
      <c r="P173" s="56">
        <f t="shared" si="146"/>
        <v>2.3331227821328762</v>
      </c>
      <c r="Q173" s="57">
        <f t="shared" si="146"/>
        <v>2.9470365754517234</v>
      </c>
      <c r="R173" s="57">
        <f t="shared" si="146"/>
        <v>3.1653096062674404</v>
      </c>
      <c r="S173" s="57">
        <f t="shared" si="146"/>
        <v>3.3865751433280464</v>
      </c>
      <c r="T173" s="58">
        <f t="shared" si="146"/>
        <v>3.6322194077192171</v>
      </c>
    </row>
    <row r="174" spans="1:20" ht="12.3" x14ac:dyDescent="0.35">
      <c r="D174" s="10" t="str">
        <f t="shared" si="136"/>
        <v>Fleet leases</v>
      </c>
      <c r="E174" s="45" t="s">
        <v>91</v>
      </c>
      <c r="F174" s="45" t="str">
        <f t="shared" si="137"/>
        <v>$Millions</v>
      </c>
      <c r="G174" s="45" t="str">
        <f t="shared" si="138"/>
        <v>Nominal</v>
      </c>
      <c r="H174" s="45" t="str">
        <f t="shared" si="139"/>
        <v>End year</v>
      </c>
      <c r="J174" s="56">
        <f t="shared" ref="J174:T174" si="147">J132+J152</f>
        <v>0</v>
      </c>
      <c r="K174" s="57">
        <f t="shared" si="147"/>
        <v>0.55328554740029001</v>
      </c>
      <c r="L174" s="57">
        <f t="shared" si="147"/>
        <v>0.56063300483699807</v>
      </c>
      <c r="M174" s="57">
        <f t="shared" si="147"/>
        <v>0.58387742610905558</v>
      </c>
      <c r="N174" s="57">
        <f t="shared" si="147"/>
        <v>0.61174281405477959</v>
      </c>
      <c r="O174" s="58">
        <f t="shared" si="147"/>
        <v>0.54228072177411724</v>
      </c>
      <c r="P174" s="56">
        <f t="shared" si="147"/>
        <v>0.42661576887161651</v>
      </c>
      <c r="Q174" s="57">
        <f t="shared" si="147"/>
        <v>0.41652443803815409</v>
      </c>
      <c r="R174" s="57">
        <f t="shared" si="147"/>
        <v>0.4741463610070093</v>
      </c>
      <c r="S174" s="57">
        <f t="shared" si="147"/>
        <v>0.51917220720769397</v>
      </c>
      <c r="T174" s="58">
        <f t="shared" si="147"/>
        <v>0.53721782846128296</v>
      </c>
    </row>
    <row r="175" spans="1:20" ht="12.3" x14ac:dyDescent="0.35">
      <c r="D175" s="10" t="str">
        <f t="shared" si="136"/>
        <v>Property Leases</v>
      </c>
      <c r="E175" s="45" t="s">
        <v>91</v>
      </c>
      <c r="F175" s="45" t="str">
        <f t="shared" si="137"/>
        <v>$Millions</v>
      </c>
      <c r="G175" s="45" t="str">
        <f t="shared" si="138"/>
        <v>Nominal</v>
      </c>
      <c r="H175" s="45" t="str">
        <f t="shared" si="139"/>
        <v>End year</v>
      </c>
      <c r="J175" s="56">
        <f t="shared" ref="J175:T175" si="148">J133+J153</f>
        <v>0</v>
      </c>
      <c r="K175" s="57">
        <f t="shared" si="148"/>
        <v>0.12670699945879238</v>
      </c>
      <c r="L175" s="57">
        <f t="shared" si="148"/>
        <v>0.16135691303172972</v>
      </c>
      <c r="M175" s="57">
        <f t="shared" si="148"/>
        <v>0.6411112708314517</v>
      </c>
      <c r="N175" s="57">
        <f t="shared" si="148"/>
        <v>0.64934445420920339</v>
      </c>
      <c r="O175" s="58">
        <f t="shared" si="148"/>
        <v>0.84013625340883658</v>
      </c>
      <c r="P175" s="56">
        <f t="shared" si="148"/>
        <v>0.80236626568098146</v>
      </c>
      <c r="Q175" s="57">
        <f t="shared" si="148"/>
        <v>0.76167462539584763</v>
      </c>
      <c r="R175" s="57">
        <f t="shared" si="148"/>
        <v>1.023626122725606</v>
      </c>
      <c r="S175" s="57">
        <f t="shared" si="148"/>
        <v>0.91519481732204566</v>
      </c>
      <c r="T175" s="58">
        <f t="shared" si="148"/>
        <v>0.84197656640619134</v>
      </c>
    </row>
    <row r="176" spans="1:20" ht="12.3" x14ac:dyDescent="0.35">
      <c r="D176" s="10" t="str">
        <f t="shared" si="136"/>
        <v>Buildings</v>
      </c>
      <c r="E176" s="45" t="s">
        <v>91</v>
      </c>
      <c r="F176" s="45" t="str">
        <f t="shared" si="137"/>
        <v>$Millions</v>
      </c>
      <c r="G176" s="45" t="str">
        <f t="shared" si="138"/>
        <v>Nominal</v>
      </c>
      <c r="H176" s="45" t="str">
        <f t="shared" si="139"/>
        <v>End year</v>
      </c>
      <c r="J176" s="56">
        <f t="shared" ref="J176:T176" si="149">J134+J154</f>
        <v>0</v>
      </c>
      <c r="K176" s="57">
        <f t="shared" si="149"/>
        <v>1.689217183341285E-2</v>
      </c>
      <c r="L176" s="57">
        <f t="shared" si="149"/>
        <v>7.6360869790950636E-2</v>
      </c>
      <c r="M176" s="57">
        <f t="shared" si="149"/>
        <v>0.20596838295254899</v>
      </c>
      <c r="N176" s="57">
        <f t="shared" si="149"/>
        <v>0.21710287309332835</v>
      </c>
      <c r="O176" s="58">
        <f t="shared" si="149"/>
        <v>0.22153628919365626</v>
      </c>
      <c r="P176" s="56">
        <f t="shared" si="149"/>
        <v>0.22193072804431024</v>
      </c>
      <c r="Q176" s="57">
        <f t="shared" si="149"/>
        <v>0.22215935514912535</v>
      </c>
      <c r="R176" s="57">
        <f t="shared" si="149"/>
        <v>0.22221215206439238</v>
      </c>
      <c r="S176" s="57">
        <f t="shared" si="149"/>
        <v>0.222078656684286</v>
      </c>
      <c r="T176" s="58">
        <f t="shared" si="149"/>
        <v>0.22174794587421109</v>
      </c>
    </row>
    <row r="177" spans="1:20" ht="12.3" x14ac:dyDescent="0.35">
      <c r="D177" s="10" t="str">
        <f t="shared" si="136"/>
        <v>in-house software</v>
      </c>
      <c r="E177" s="45" t="s">
        <v>91</v>
      </c>
      <c r="F177" s="45" t="str">
        <f t="shared" si="137"/>
        <v>$Millions</v>
      </c>
      <c r="G177" s="45" t="str">
        <f t="shared" si="138"/>
        <v>Nominal</v>
      </c>
      <c r="H177" s="45" t="str">
        <f t="shared" si="139"/>
        <v>End year</v>
      </c>
      <c r="J177" s="56">
        <f t="shared" ref="J177:T177" si="150">J135+J155</f>
        <v>0</v>
      </c>
      <c r="K177" s="57">
        <f t="shared" si="150"/>
        <v>0</v>
      </c>
      <c r="L177" s="57">
        <f t="shared" si="150"/>
        <v>0</v>
      </c>
      <c r="M177" s="57">
        <f t="shared" si="150"/>
        <v>0</v>
      </c>
      <c r="N177" s="57">
        <f t="shared" si="150"/>
        <v>0</v>
      </c>
      <c r="O177" s="58">
        <f t="shared" si="150"/>
        <v>0</v>
      </c>
      <c r="P177" s="56">
        <f t="shared" si="150"/>
        <v>0</v>
      </c>
      <c r="Q177" s="57">
        <f t="shared" si="150"/>
        <v>0</v>
      </c>
      <c r="R177" s="57">
        <f t="shared" si="150"/>
        <v>0</v>
      </c>
      <c r="S177" s="57">
        <f t="shared" si="150"/>
        <v>0</v>
      </c>
      <c r="T177" s="58">
        <f t="shared" si="150"/>
        <v>0</v>
      </c>
    </row>
    <row r="178" spans="1:20" ht="12.3" x14ac:dyDescent="0.35">
      <c r="D178" s="10" t="str">
        <f t="shared" ref="D178" si="151">D28</f>
        <v>Equity Raising Costs</v>
      </c>
      <c r="E178" s="45" t="s">
        <v>91</v>
      </c>
      <c r="F178" s="45" t="str">
        <f t="shared" si="137"/>
        <v>$Millions</v>
      </c>
      <c r="G178" s="45" t="str">
        <f t="shared" si="138"/>
        <v>Nominal</v>
      </c>
      <c r="H178" s="45" t="str">
        <f t="shared" si="139"/>
        <v>End year</v>
      </c>
      <c r="J178" s="56">
        <f t="shared" ref="J178:T178" si="152">J136+J156</f>
        <v>0</v>
      </c>
      <c r="K178" s="57">
        <f t="shared" si="152"/>
        <v>0.15860280233141474</v>
      </c>
      <c r="L178" s="57">
        <f t="shared" si="152"/>
        <v>0.14896694935046589</v>
      </c>
      <c r="M178" s="57">
        <f t="shared" si="152"/>
        <v>0.14308281430114372</v>
      </c>
      <c r="N178" s="57">
        <f t="shared" si="152"/>
        <v>0.14304585234242617</v>
      </c>
      <c r="O178" s="58">
        <f t="shared" si="152"/>
        <v>0.13736673333148641</v>
      </c>
      <c r="P178" s="56">
        <f t="shared" si="152"/>
        <v>0.17200985152780116</v>
      </c>
      <c r="Q178" s="57">
        <f t="shared" si="152"/>
        <v>0.16081300605855012</v>
      </c>
      <c r="R178" s="57">
        <f t="shared" si="152"/>
        <v>0.1488157190963213</v>
      </c>
      <c r="S178" s="57">
        <f t="shared" si="152"/>
        <v>0.1359807951450725</v>
      </c>
      <c r="T178" s="58">
        <f t="shared" si="152"/>
        <v>0.12226954907974653</v>
      </c>
    </row>
    <row r="179" spans="1:20" x14ac:dyDescent="0.35">
      <c r="J179" s="48"/>
      <c r="O179" s="49"/>
      <c r="P179" s="48"/>
      <c r="T179" s="49"/>
    </row>
    <row r="180" spans="1:20" ht="12.3" x14ac:dyDescent="0.35">
      <c r="D180" s="44" t="str">
        <f>"Total "&amp;D166</f>
        <v>Total RAB asset class</v>
      </c>
      <c r="E180" s="40" t="s">
        <v>91</v>
      </c>
      <c r="F180" s="40" t="str">
        <f>F168</f>
        <v>$Millions</v>
      </c>
      <c r="G180" s="40" t="str">
        <f>G168</f>
        <v>Nominal</v>
      </c>
      <c r="H180" s="40" t="str">
        <f>H168</f>
        <v>End year</v>
      </c>
      <c r="J180" s="53">
        <f t="shared" ref="J180:T180" si="153">SUM(J168:J178)</f>
        <v>14.054074629731033</v>
      </c>
      <c r="K180" s="39">
        <f t="shared" si="153"/>
        <v>16.243058316181251</v>
      </c>
      <c r="L180" s="39">
        <f t="shared" si="153"/>
        <v>17.337643700448616</v>
      </c>
      <c r="M180" s="39">
        <f t="shared" si="153"/>
        <v>19.975852805360965</v>
      </c>
      <c r="N180" s="39">
        <f t="shared" si="153"/>
        <v>31.81634128145916</v>
      </c>
      <c r="O180" s="54">
        <f t="shared" si="153"/>
        <v>49.897951136021575</v>
      </c>
      <c r="P180" s="53">
        <f t="shared" si="153"/>
        <v>53.549467501542985</v>
      </c>
      <c r="Q180" s="39">
        <f t="shared" si="153"/>
        <v>56.966416208024725</v>
      </c>
      <c r="R180" s="39">
        <f t="shared" si="153"/>
        <v>63.452518640924993</v>
      </c>
      <c r="S180" s="39">
        <f t="shared" si="153"/>
        <v>71.237400349181655</v>
      </c>
      <c r="T180" s="54">
        <f t="shared" si="153"/>
        <v>79.77637056006742</v>
      </c>
    </row>
    <row r="181" spans="1:20" ht="11.25" customHeight="1" x14ac:dyDescent="0.35"/>
    <row r="182" spans="1:20" ht="12.3" x14ac:dyDescent="0.35">
      <c r="A182" s="42">
        <f>IF(SUM($J182:$T182)&lt;&gt;0,1,0)</f>
        <v>0</v>
      </c>
      <c r="D182" s="10" t="s">
        <v>155</v>
      </c>
      <c r="J182" s="42">
        <f t="shared" ref="J182:T182" si="154">IF(ROUND(SUM(J30,J50,J72,J94,J116,J158)-J180,5)&lt;&gt;0,1,0)</f>
        <v>0</v>
      </c>
      <c r="K182" s="42">
        <f t="shared" si="154"/>
        <v>0</v>
      </c>
      <c r="L182" s="42">
        <f t="shared" si="154"/>
        <v>0</v>
      </c>
      <c r="M182" s="42">
        <f t="shared" si="154"/>
        <v>0</v>
      </c>
      <c r="N182" s="42">
        <f t="shared" si="154"/>
        <v>0</v>
      </c>
      <c r="O182" s="42">
        <f t="shared" si="154"/>
        <v>0</v>
      </c>
      <c r="P182" s="42">
        <f t="shared" si="154"/>
        <v>0</v>
      </c>
      <c r="Q182" s="42">
        <f t="shared" si="154"/>
        <v>0</v>
      </c>
      <c r="R182" s="42">
        <f t="shared" si="154"/>
        <v>0</v>
      </c>
      <c r="S182" s="42">
        <f t="shared" si="154"/>
        <v>0</v>
      </c>
      <c r="T182" s="42">
        <f t="shared" si="154"/>
        <v>0</v>
      </c>
    </row>
    <row r="183" spans="1:20" ht="12.3" x14ac:dyDescent="0.35">
      <c r="A183" s="42"/>
      <c r="D183" s="67" t="s">
        <v>50</v>
      </c>
      <c r="J183" s="75">
        <v>14.054074629731032</v>
      </c>
      <c r="K183" s="284">
        <v>16.243058316181251</v>
      </c>
      <c r="L183" s="282">
        <v>17.337643700448616</v>
      </c>
      <c r="M183" s="51">
        <v>19.975852805360962</v>
      </c>
      <c r="N183" s="51">
        <v>31.81634128145916</v>
      </c>
      <c r="O183" s="52">
        <v>49.897951136021568</v>
      </c>
      <c r="P183" s="50">
        <v>53.549467501542978</v>
      </c>
      <c r="Q183" s="51">
        <v>56.966416208024718</v>
      </c>
      <c r="R183" s="51">
        <v>63.452518640924986</v>
      </c>
      <c r="S183" s="51">
        <v>71.237400349181655</v>
      </c>
      <c r="T183" s="52">
        <v>79.776370560067434</v>
      </c>
    </row>
    <row r="184" spans="1:20" s="68" customFormat="1" ht="12.3" x14ac:dyDescent="0.35">
      <c r="A184" s="66">
        <f>IF(SUM($J184:$T184)&lt;&gt;0,1,0)</f>
        <v>0</v>
      </c>
      <c r="D184" s="67" t="s">
        <v>156</v>
      </c>
      <c r="J184" s="113">
        <f>IF(ROUND(J183-J180,2)&lt;&gt;0,1,0)</f>
        <v>0</v>
      </c>
      <c r="K184" s="76">
        <f t="shared" ref="K184:T184" si="155">IF(ROUND(K183-K180,2)&lt;&gt;0,1,0)</f>
        <v>0</v>
      </c>
      <c r="L184" s="76">
        <f t="shared" si="155"/>
        <v>0</v>
      </c>
      <c r="M184" s="76">
        <f t="shared" si="155"/>
        <v>0</v>
      </c>
      <c r="N184" s="76">
        <f t="shared" si="155"/>
        <v>0</v>
      </c>
      <c r="O184" s="114">
        <f t="shared" si="155"/>
        <v>0</v>
      </c>
      <c r="P184" s="113">
        <f t="shared" si="155"/>
        <v>0</v>
      </c>
      <c r="Q184" s="76">
        <f t="shared" si="155"/>
        <v>0</v>
      </c>
      <c r="R184" s="76">
        <f t="shared" si="155"/>
        <v>0</v>
      </c>
      <c r="S184" s="76">
        <f t="shared" si="155"/>
        <v>0</v>
      </c>
      <c r="T184" s="114">
        <f t="shared" si="155"/>
        <v>0</v>
      </c>
    </row>
    <row r="185" spans="1:20" ht="12.3" x14ac:dyDescent="0.35">
      <c r="A185" s="42">
        <f>IF(SUM($J185:$T185)&lt;&gt;0,1,0)</f>
        <v>0</v>
      </c>
      <c r="D185" s="10" t="s">
        <v>408</v>
      </c>
      <c r="J185" s="42">
        <f t="shared" ref="J185:T185" si="156">IF(COUNTIF(J168:J178,"&lt;"&amp;0)&gt;0,1,0)</f>
        <v>0</v>
      </c>
      <c r="K185" s="42">
        <f t="shared" si="156"/>
        <v>0</v>
      </c>
      <c r="L185" s="42">
        <f t="shared" si="156"/>
        <v>0</v>
      </c>
      <c r="M185" s="42">
        <f t="shared" si="156"/>
        <v>0</v>
      </c>
      <c r="N185" s="42">
        <f t="shared" si="156"/>
        <v>0</v>
      </c>
      <c r="O185" s="42">
        <f t="shared" si="156"/>
        <v>0</v>
      </c>
      <c r="P185" s="42">
        <f t="shared" si="156"/>
        <v>0</v>
      </c>
      <c r="Q185" s="42">
        <f t="shared" si="156"/>
        <v>0</v>
      </c>
      <c r="R185" s="42">
        <f t="shared" si="156"/>
        <v>0</v>
      </c>
      <c r="S185" s="42">
        <f t="shared" si="156"/>
        <v>0</v>
      </c>
      <c r="T185" s="42">
        <f t="shared" si="156"/>
        <v>0</v>
      </c>
    </row>
    <row r="187" spans="1:20" s="88" customFormat="1" ht="15" x14ac:dyDescent="0.35">
      <c r="B187" s="88" t="s">
        <v>409</v>
      </c>
      <c r="H187" s="2"/>
    </row>
    <row r="188" spans="1:20" s="77" customFormat="1" x14ac:dyDescent="0.35">
      <c r="H188"/>
    </row>
    <row r="189" spans="1:20" s="77" customFormat="1" ht="12.3" x14ac:dyDescent="0.35">
      <c r="D189" s="90" t="s">
        <v>355</v>
      </c>
      <c r="E189" s="91" t="str">
        <f>Lookup!E$20</f>
        <v>Source</v>
      </c>
      <c r="F189" s="91" t="str">
        <f>Lookup!F$20</f>
        <v>Unit</v>
      </c>
      <c r="G189" s="91" t="str">
        <f>Lookup!G$20</f>
        <v>Basis</v>
      </c>
      <c r="H189" s="38" t="str">
        <f>Lookup!H$20</f>
        <v>Timing</v>
      </c>
      <c r="J189" s="92" t="str">
        <f t="shared" ref="J189:T189" si="157">J$10</f>
        <v>RY19</v>
      </c>
      <c r="K189" s="91" t="str">
        <f t="shared" si="157"/>
        <v>RY20</v>
      </c>
      <c r="L189" s="91" t="str">
        <f>L$10</f>
        <v>RY21</v>
      </c>
      <c r="M189" s="91" t="str">
        <f t="shared" si="157"/>
        <v>RY22</v>
      </c>
      <c r="N189" s="91" t="str">
        <f t="shared" si="157"/>
        <v>RY23</v>
      </c>
      <c r="O189" s="93" t="str">
        <f t="shared" si="157"/>
        <v>RY24</v>
      </c>
      <c r="P189" s="92" t="str">
        <f t="shared" si="157"/>
        <v>RY25</v>
      </c>
      <c r="Q189" s="91" t="str">
        <f>Q$10</f>
        <v>RY26</v>
      </c>
      <c r="R189" s="91" t="str">
        <f t="shared" si="157"/>
        <v>RY27</v>
      </c>
      <c r="S189" s="91" t="str">
        <f t="shared" si="157"/>
        <v>RY28</v>
      </c>
      <c r="T189" s="93" t="str">
        <f t="shared" si="157"/>
        <v>RY29</v>
      </c>
    </row>
    <row r="190" spans="1:20" s="77" customFormat="1" x14ac:dyDescent="0.35">
      <c r="H190"/>
      <c r="J190" s="94"/>
      <c r="O190" s="96"/>
      <c r="P190" s="94"/>
      <c r="T190" s="96"/>
    </row>
    <row r="191" spans="1:20" s="77" customFormat="1" ht="12.3" x14ac:dyDescent="0.35">
      <c r="D191" s="82" t="str">
        <f>Input_Inflation!D$18</f>
        <v>CPI Input</v>
      </c>
      <c r="E191" s="97" t="s">
        <v>410</v>
      </c>
      <c r="F191" s="97" t="str">
        <f>Input_Inflation!F$18</f>
        <v>Percent</v>
      </c>
      <c r="G191" s="97" t="str">
        <f>Input_Inflation!G$18</f>
        <v>N/A</v>
      </c>
      <c r="H191" s="45" t="str">
        <f>Input_Inflation!H$18</f>
        <v>N/A</v>
      </c>
      <c r="J191" s="263">
        <f>Input_Inflation!J$18</f>
        <v>1.7841213202497874E-2</v>
      </c>
      <c r="K191" s="264">
        <f>Input_Inflation!K$18</f>
        <v>1.8404907975460238E-2</v>
      </c>
      <c r="L191" s="264">
        <f>Input_Inflation!L$18</f>
        <v>8.6058519793459354E-3</v>
      </c>
      <c r="M191" s="264">
        <f>Input_Inflation!M$18</f>
        <v>3.4982935153583528E-2</v>
      </c>
      <c r="N191" s="264">
        <f>Input_Inflation!N$18</f>
        <v>0.08</v>
      </c>
      <c r="O191" s="265">
        <f>Input_Inflation!O$18</f>
        <v>4.7E-2</v>
      </c>
      <c r="P191" s="263">
        <f>Input_Inflation!P$18</f>
        <v>2.9196400498682218E-2</v>
      </c>
      <c r="Q191" s="264">
        <f>Input_Inflation!Q$18</f>
        <v>2.9196400498682218E-2</v>
      </c>
      <c r="R191" s="264">
        <f>Input_Inflation!R$18</f>
        <v>2.9196400498682218E-2</v>
      </c>
      <c r="S191" s="264">
        <f>Input_Inflation!S$18</f>
        <v>2.9196400498682218E-2</v>
      </c>
      <c r="T191" s="265">
        <f>Input_Inflation!T$18</f>
        <v>2.9196400498682218E-2</v>
      </c>
    </row>
    <row r="192" spans="1:20" s="77" customFormat="1" x14ac:dyDescent="0.35">
      <c r="H192"/>
    </row>
    <row r="193" spans="1:20" s="88" customFormat="1" ht="15" x14ac:dyDescent="0.35">
      <c r="B193" s="88" t="s">
        <v>411</v>
      </c>
      <c r="H193" s="2"/>
    </row>
    <row r="194" spans="1:20" s="77" customFormat="1" x14ac:dyDescent="0.35">
      <c r="H194"/>
    </row>
    <row r="195" spans="1:20" s="77" customFormat="1" ht="12.3" x14ac:dyDescent="0.35">
      <c r="D195" s="90" t="s">
        <v>355</v>
      </c>
      <c r="E195" s="91" t="str">
        <f>Lookup!E$20</f>
        <v>Source</v>
      </c>
      <c r="F195" s="91" t="str">
        <f>Lookup!F$20</f>
        <v>Unit</v>
      </c>
      <c r="G195" s="91" t="str">
        <f>Lookup!G$20</f>
        <v>Basis</v>
      </c>
      <c r="H195" s="38" t="str">
        <f>Lookup!H$20</f>
        <v>Timing</v>
      </c>
      <c r="J195" s="92" t="str">
        <f t="shared" ref="J195:T195" si="158">J$10</f>
        <v>RY19</v>
      </c>
      <c r="K195" s="91" t="str">
        <f t="shared" si="158"/>
        <v>RY20</v>
      </c>
      <c r="L195" s="91" t="str">
        <f>L$10</f>
        <v>RY21</v>
      </c>
      <c r="M195" s="91" t="str">
        <f t="shared" si="158"/>
        <v>RY22</v>
      </c>
      <c r="N195" s="91" t="str">
        <f t="shared" si="158"/>
        <v>RY23</v>
      </c>
      <c r="O195" s="93" t="str">
        <f t="shared" si="158"/>
        <v>RY24</v>
      </c>
      <c r="P195" s="92" t="str">
        <f t="shared" si="158"/>
        <v>RY25</v>
      </c>
      <c r="Q195" s="91" t="str">
        <f>Q$10</f>
        <v>RY26</v>
      </c>
      <c r="R195" s="91" t="str">
        <f t="shared" si="158"/>
        <v>RY27</v>
      </c>
      <c r="S195" s="91" t="str">
        <f t="shared" si="158"/>
        <v>RY28</v>
      </c>
      <c r="T195" s="93" t="str">
        <f t="shared" si="158"/>
        <v>RY29</v>
      </c>
    </row>
    <row r="196" spans="1:20" s="77" customFormat="1" x14ac:dyDescent="0.35">
      <c r="H196"/>
    </row>
    <row r="197" spans="1:20" s="77" customFormat="1" ht="11.25" customHeight="1" x14ac:dyDescent="0.35">
      <c r="A197" s="76"/>
      <c r="D197" s="82" t="s">
        <v>412</v>
      </c>
      <c r="E197" s="97" t="s">
        <v>158</v>
      </c>
      <c r="F197" s="97" t="str">
        <f t="shared" ref="F197" si="159">Dollars</f>
        <v>Dollars</v>
      </c>
      <c r="G197" s="97" t="str">
        <f t="shared" ref="G197" si="160">Nominal</f>
        <v>Nominal</v>
      </c>
      <c r="H197" s="45" t="str">
        <f t="shared" ref="H197" si="161">End_year</f>
        <v>End year</v>
      </c>
      <c r="J197" s="109">
        <v>0</v>
      </c>
      <c r="K197" s="110">
        <v>0</v>
      </c>
      <c r="L197" s="108">
        <v>0</v>
      </c>
      <c r="M197" s="108">
        <v>0</v>
      </c>
      <c r="N197" s="108">
        <v>0</v>
      </c>
      <c r="O197" s="111">
        <v>0</v>
      </c>
      <c r="P197" s="110">
        <v>0</v>
      </c>
      <c r="Q197" s="108">
        <v>0</v>
      </c>
      <c r="R197" s="108">
        <v>0</v>
      </c>
      <c r="S197" s="108">
        <v>0</v>
      </c>
      <c r="T197" s="111">
        <v>0</v>
      </c>
    </row>
    <row r="198" spans="1:20" s="77" customFormat="1" x14ac:dyDescent="0.35">
      <c r="H198"/>
    </row>
    <row r="199" spans="1:20" s="88" customFormat="1" ht="15" x14ac:dyDescent="0.35">
      <c r="B199" s="88" t="s">
        <v>26</v>
      </c>
      <c r="H199" s="2"/>
    </row>
  </sheetData>
  <conditionalFormatting sqref="B2">
    <cfRule type="cellIs" dxfId="18" priority="1" operator="notEqual">
      <formula>"No Errors Found"</formula>
    </cfRule>
  </conditionalFormatting>
  <hyperlinks>
    <hyperlink ref="B3:E3" location="TOC!A1" display="TOC!A1"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79998168889431442"/>
  </sheetPr>
  <dimension ref="A1:U46"/>
  <sheetViews>
    <sheetView showGridLines="0" zoomScaleNormal="100" workbookViewId="0">
      <pane xSplit="1" ySplit="10" topLeftCell="B11" activePane="bottomRight" state="frozen"/>
      <selection activeCell="D44" sqref="D44"/>
      <selection pane="topRight" activeCell="D44" sqref="D44"/>
      <selection pane="bottomLeft" activeCell="D44" sqref="D44"/>
      <selection pane="bottomRight" activeCell="B11" sqref="B11"/>
    </sheetView>
  </sheetViews>
  <sheetFormatPr defaultColWidth="9.33203125" defaultRowHeight="10.199999999999999" outlineLevelRow="1" x14ac:dyDescent="0.35"/>
  <cols>
    <col min="1" max="1" width="3.33203125" customWidth="1"/>
    <col min="2" max="3" width="2.796875" customWidth="1"/>
    <col min="4" max="4" width="37.46484375" customWidth="1"/>
    <col min="5" max="5" width="27.1328125" customWidth="1"/>
    <col min="6" max="6" width="9.1328125" customWidth="1"/>
    <col min="7" max="7" width="12" customWidth="1"/>
    <col min="8" max="8" width="10" customWidth="1"/>
    <col min="9" max="9" width="10.796875" customWidth="1"/>
    <col min="10" max="13" width="12.796875" customWidth="1"/>
    <col min="14" max="14" width="14.19921875" customWidth="1"/>
    <col min="15" max="16" width="10.796875" customWidth="1"/>
  </cols>
  <sheetData>
    <row r="1" spans="1:21" ht="18.899999999999999" x14ac:dyDescent="0.35">
      <c r="A1" s="42">
        <f>IF(SUM($A11:$A46)&gt;0,1,0)</f>
        <v>0</v>
      </c>
      <c r="B1" s="3" t="s">
        <v>415</v>
      </c>
    </row>
    <row r="2" spans="1:21" x14ac:dyDescent="0.35">
      <c r="B2" s="13" t="str">
        <f>Title_Msg</f>
        <v>No Errors Found</v>
      </c>
    </row>
    <row r="3" spans="1:21" x14ac:dyDescent="0.35">
      <c r="B3" s="30" t="str">
        <f>TOC!B1</f>
        <v>Table of Contents</v>
      </c>
      <c r="C3" s="28"/>
      <c r="D3" s="28"/>
      <c r="E3" s="28"/>
    </row>
    <row r="4" spans="1:21" ht="12.3" x14ac:dyDescent="0.35">
      <c r="B4" s="27" t="str">
        <f>Model_Name</f>
        <v>Power and Water Corporation (PWC) - RAB Allocation - EB RIN</v>
      </c>
    </row>
    <row r="5" spans="1:21" ht="12.3" hidden="1" outlineLevel="1" x14ac:dyDescent="0.35">
      <c r="B5" s="10" t="str">
        <f>Lookup!B15</f>
        <v>Period start date</v>
      </c>
      <c r="J5" s="35">
        <f>Lookup!R15</f>
        <v>43282</v>
      </c>
      <c r="K5" s="35">
        <f>Lookup!S15</f>
        <v>43647</v>
      </c>
      <c r="L5" s="35">
        <f>Lookup!T15</f>
        <v>44013</v>
      </c>
      <c r="M5" s="35">
        <f>Lookup!U15</f>
        <v>44378</v>
      </c>
    </row>
    <row r="6" spans="1:21" ht="12.3" hidden="1" outlineLevel="1" x14ac:dyDescent="0.35">
      <c r="B6" s="10" t="str">
        <f>Lookup!B16</f>
        <v>Period end date</v>
      </c>
      <c r="J6" s="35">
        <f>Lookup!R16</f>
        <v>43646</v>
      </c>
      <c r="K6" s="35">
        <f>Lookup!S16</f>
        <v>44012</v>
      </c>
      <c r="L6" s="35">
        <f>Lookup!T16</f>
        <v>44377</v>
      </c>
      <c r="M6" s="35">
        <f>Lookup!U16</f>
        <v>44742</v>
      </c>
    </row>
    <row r="7" spans="1:21" ht="12.3" hidden="1" outlineLevel="1" x14ac:dyDescent="0.35">
      <c r="B7" s="10" t="str">
        <f>Lookup!B17</f>
        <v>Period counter</v>
      </c>
      <c r="J7" s="36">
        <f>Lookup!R17</f>
        <v>9</v>
      </c>
      <c r="K7" s="36">
        <f>Lookup!S17</f>
        <v>10</v>
      </c>
      <c r="L7" s="36">
        <f>Lookup!T17</f>
        <v>11</v>
      </c>
      <c r="M7" s="36">
        <f>Lookup!U17</f>
        <v>12</v>
      </c>
    </row>
    <row r="8" spans="1:21" ht="12.3" hidden="1" outlineLevel="1" x14ac:dyDescent="0.35">
      <c r="B8" s="10" t="str">
        <f>Lookup!B18</f>
        <v>Year</v>
      </c>
      <c r="J8" s="37">
        <f>Lookup!R18</f>
        <v>2019</v>
      </c>
      <c r="K8" s="37">
        <f>Lookup!S18</f>
        <v>2020</v>
      </c>
      <c r="L8" s="37">
        <f>Lookup!T18</f>
        <v>2021</v>
      </c>
      <c r="M8" s="37">
        <f>Lookup!U18</f>
        <v>2022</v>
      </c>
    </row>
    <row r="9" spans="1:21" ht="12.3" hidden="1" outlineLevel="1" x14ac:dyDescent="0.35">
      <c r="B9" s="10" t="str">
        <f>Lookup!B19</f>
        <v>Period type</v>
      </c>
      <c r="J9" s="37" t="str">
        <f>Lookup!R19</f>
        <v>Actual</v>
      </c>
      <c r="K9" s="37" t="str">
        <f>Lookup!S19</f>
        <v>Actual</v>
      </c>
      <c r="L9" s="37" t="str">
        <f>Lookup!T19</f>
        <v>Actual</v>
      </c>
      <c r="M9" s="37" t="str">
        <f>Lookup!U19</f>
        <v>Base Year</v>
      </c>
    </row>
    <row r="10" spans="1:21" ht="12.3" collapsed="1" x14ac:dyDescent="0.35">
      <c r="B10" s="5" t="str">
        <f>Lookup!B20</f>
        <v>Regulatory year</v>
      </c>
      <c r="E10" s="34" t="str">
        <f>Lookup!E20</f>
        <v>Source</v>
      </c>
      <c r="F10" s="34" t="str">
        <f>Lookup!F20</f>
        <v>Unit</v>
      </c>
      <c r="G10" s="34" t="str">
        <f>Lookup!G20</f>
        <v>Basis</v>
      </c>
      <c r="H10" s="34" t="str">
        <f>Lookup!H20</f>
        <v>Timing</v>
      </c>
      <c r="I10" s="34"/>
      <c r="J10" s="34" t="str">
        <f>Lookup!R20</f>
        <v>RY19</v>
      </c>
      <c r="K10" s="34" t="str">
        <f>Lookup!S20</f>
        <v>RY20</v>
      </c>
      <c r="L10" s="34" t="str">
        <f>Lookup!T20</f>
        <v>RY21</v>
      </c>
      <c r="M10" s="34" t="str">
        <f>Lookup!U20</f>
        <v>RY22</v>
      </c>
      <c r="N10" s="34" t="str">
        <f>Lookup!V20</f>
        <v>RY23</v>
      </c>
      <c r="O10" s="34" t="str">
        <f>Lookup!W20</f>
        <v>RY24</v>
      </c>
      <c r="P10" s="34" t="str">
        <f>Lookup!X20</f>
        <v>RY25</v>
      </c>
      <c r="Q10" s="34" t="str">
        <f>Lookup!Y20</f>
        <v>RY26</v>
      </c>
      <c r="R10" s="34" t="str">
        <f>Lookup!Z20</f>
        <v>RY27</v>
      </c>
      <c r="S10" s="34" t="str">
        <f>Lookup!AA20</f>
        <v>RY28</v>
      </c>
      <c r="T10" s="34" t="str">
        <f>Lookup!AB20</f>
        <v>RY29</v>
      </c>
      <c r="U10" s="34"/>
    </row>
    <row r="12" spans="1:21" s="2" customFormat="1" ht="15" x14ac:dyDescent="0.35">
      <c r="B12" s="2" t="s">
        <v>416</v>
      </c>
    </row>
    <row r="13" spans="1:21" ht="4.5" customHeight="1" x14ac:dyDescent="0.35"/>
    <row r="14" spans="1:21" s="8" customFormat="1" ht="14.1" x14ac:dyDescent="0.35">
      <c r="C14" s="8" t="s">
        <v>417</v>
      </c>
    </row>
    <row r="15" spans="1:21" ht="11.25" customHeight="1" x14ac:dyDescent="0.35">
      <c r="N15" s="38" t="s">
        <v>367</v>
      </c>
    </row>
    <row r="16" spans="1:21" ht="11.25" customHeight="1" x14ac:dyDescent="0.35">
      <c r="D16" s="11" t="s">
        <v>418</v>
      </c>
      <c r="J16" s="63">
        <v>0.2488385666223705</v>
      </c>
      <c r="K16" s="62">
        <f t="shared" ref="K16:M16" si="0">IF(K40=0,0,K27/K40)</f>
        <v>6.4822251434554223E-2</v>
      </c>
      <c r="L16" s="62">
        <f t="shared" si="0"/>
        <v>0.14756409848479826</v>
      </c>
      <c r="M16" s="62">
        <f t="shared" si="0"/>
        <v>8.8445736451841034E-2</v>
      </c>
      <c r="N16" s="64">
        <f>IF(SUM(J40:M40)=0,0,SUM(J27:M27)/SUM(J40:M40))</f>
        <v>8.7628570677108872E-2</v>
      </c>
      <c r="O16" s="62">
        <f>N16</f>
        <v>8.7628570677108872E-2</v>
      </c>
      <c r="P16" s="62">
        <f t="shared" ref="P16:T16" si="1">O16</f>
        <v>8.7628570677108872E-2</v>
      </c>
      <c r="Q16" s="62">
        <f t="shared" si="1"/>
        <v>8.7628570677108872E-2</v>
      </c>
      <c r="R16" s="62">
        <f t="shared" si="1"/>
        <v>8.7628570677108872E-2</v>
      </c>
      <c r="S16" s="62">
        <f t="shared" si="1"/>
        <v>8.7628570677108872E-2</v>
      </c>
      <c r="T16" s="62">
        <f t="shared" si="1"/>
        <v>8.7628570677108872E-2</v>
      </c>
    </row>
    <row r="17" spans="1:14" ht="11.25" customHeight="1" x14ac:dyDescent="0.35"/>
    <row r="18" spans="1:14" s="8" customFormat="1" ht="14.1" x14ac:dyDescent="0.35">
      <c r="C18" s="8" t="s">
        <v>419</v>
      </c>
    </row>
    <row r="19" spans="1:14" ht="11.25" customHeight="1" x14ac:dyDescent="0.35"/>
    <row r="20" spans="1:14" ht="12.3" x14ac:dyDescent="0.35">
      <c r="D20" s="43" t="s">
        <v>399</v>
      </c>
      <c r="E20" s="38" t="str">
        <f>Lookup!E$20</f>
        <v>Source</v>
      </c>
      <c r="F20" s="38" t="str">
        <f>Lookup!F$20</f>
        <v>Unit</v>
      </c>
      <c r="G20" s="38" t="str">
        <f>Lookup!G$20</f>
        <v>Basis</v>
      </c>
      <c r="H20" s="38" t="str">
        <f>Lookup!H$20</f>
        <v>Timing</v>
      </c>
      <c r="J20" s="47" t="str">
        <f t="shared" ref="J20:M20" si="2">J$10</f>
        <v>RY19</v>
      </c>
      <c r="K20" s="46" t="str">
        <f t="shared" si="2"/>
        <v>RY20</v>
      </c>
      <c r="L20" s="38" t="str">
        <f>L$10</f>
        <v>RY21</v>
      </c>
      <c r="M20" s="38" t="str">
        <f t="shared" si="2"/>
        <v>RY22</v>
      </c>
    </row>
    <row r="21" spans="1:14" x14ac:dyDescent="0.35">
      <c r="J21" s="49"/>
      <c r="K21" s="48"/>
    </row>
    <row r="22" spans="1:14" ht="12.3" x14ac:dyDescent="0.35">
      <c r="D22" s="20" t="s">
        <v>361</v>
      </c>
      <c r="E22" s="45" t="s">
        <v>191</v>
      </c>
      <c r="F22" s="45" t="str">
        <f>Millions</f>
        <v>$Millions</v>
      </c>
      <c r="G22" s="45" t="str">
        <f t="shared" ref="G22:G25" si="3">Nominal</f>
        <v>Nominal</v>
      </c>
      <c r="H22" s="45" t="str">
        <f t="shared" ref="H22:H25" si="4">Mid_year</f>
        <v>Mid year</v>
      </c>
      <c r="J22" s="55">
        <v>3.0179767400000004</v>
      </c>
      <c r="K22" s="50">
        <v>3.1408066299999997</v>
      </c>
      <c r="L22" s="51">
        <v>7.6787599999999996</v>
      </c>
      <c r="M22" s="51">
        <v>3.378898</v>
      </c>
    </row>
    <row r="23" spans="1:14" ht="12.6" x14ac:dyDescent="0.4">
      <c r="C23" s="126"/>
      <c r="D23" s="321" t="s">
        <v>388</v>
      </c>
      <c r="E23" s="45" t="s">
        <v>356</v>
      </c>
      <c r="F23" s="45" t="str">
        <f>Millions</f>
        <v>$Millions</v>
      </c>
      <c r="G23" s="45" t="str">
        <f t="shared" si="3"/>
        <v>Nominal</v>
      </c>
      <c r="H23" s="45" t="str">
        <f t="shared" si="4"/>
        <v>Mid year</v>
      </c>
      <c r="J23" s="55">
        <v>-0.39632415010657202</v>
      </c>
      <c r="K23" s="50">
        <v>-1.3004654151425099</v>
      </c>
      <c r="L23" s="51">
        <v>-3.9971386889561198</v>
      </c>
      <c r="M23" s="51">
        <v>0</v>
      </c>
    </row>
    <row r="24" spans="1:14" ht="12.6" x14ac:dyDescent="0.4">
      <c r="C24" s="126"/>
      <c r="D24" s="321" t="s">
        <v>389</v>
      </c>
      <c r="E24" s="45" t="s">
        <v>368</v>
      </c>
      <c r="F24" s="45" t="str">
        <f>Millions</f>
        <v>$Millions</v>
      </c>
      <c r="G24" s="45" t="str">
        <f t="shared" si="3"/>
        <v>Nominal</v>
      </c>
      <c r="H24" s="45" t="str">
        <f t="shared" si="4"/>
        <v>Mid year</v>
      </c>
      <c r="J24" s="55">
        <v>3.0977283199999999</v>
      </c>
      <c r="K24" s="50">
        <v>2.2323295299999999</v>
      </c>
      <c r="L24" s="51">
        <v>2.6075811363368606</v>
      </c>
      <c r="M24" s="51">
        <v>1.693655234333324</v>
      </c>
    </row>
    <row r="25" spans="1:14" ht="12.6" x14ac:dyDescent="0.35">
      <c r="D25" s="321" t="s">
        <v>387</v>
      </c>
      <c r="E25" s="45" t="s">
        <v>192</v>
      </c>
      <c r="F25" s="45" t="str">
        <f>Millions</f>
        <v>$Millions</v>
      </c>
      <c r="G25" s="45" t="str">
        <f t="shared" si="3"/>
        <v>Nominal</v>
      </c>
      <c r="H25" s="45" t="str">
        <f t="shared" si="4"/>
        <v>Mid year</v>
      </c>
      <c r="J25" s="55">
        <v>-4.8382646500000002</v>
      </c>
      <c r="K25" s="50">
        <v>-3.0951852500000001</v>
      </c>
      <c r="L25" s="51">
        <v>-3.6217630000000001</v>
      </c>
      <c r="M25" s="51">
        <v>-2.525585</v>
      </c>
      <c r="N25" s="320" t="s">
        <v>386</v>
      </c>
    </row>
    <row r="26" spans="1:14" x14ac:dyDescent="0.35">
      <c r="J26" s="49"/>
      <c r="K26" s="48"/>
    </row>
    <row r="27" spans="1:14" ht="12.3" x14ac:dyDescent="0.35">
      <c r="D27" s="44" t="s">
        <v>145</v>
      </c>
      <c r="E27" s="40" t="s">
        <v>91</v>
      </c>
      <c r="F27" s="40" t="str">
        <f>F22</f>
        <v>$Millions</v>
      </c>
      <c r="G27" s="40" t="str">
        <f>G22</f>
        <v>Nominal</v>
      </c>
      <c r="H27" s="40" t="str">
        <f>H22</f>
        <v>Mid year</v>
      </c>
      <c r="J27" s="54">
        <f t="shared" ref="J27:M27" si="5">SUM(J22:J25)</f>
        <v>0.88111625989342812</v>
      </c>
      <c r="K27" s="53">
        <f t="shared" si="5"/>
        <v>0.97748549485748981</v>
      </c>
      <c r="L27" s="39">
        <f t="shared" si="5"/>
        <v>2.6674394473807399</v>
      </c>
      <c r="M27" s="39">
        <f t="shared" si="5"/>
        <v>2.5469682343333235</v>
      </c>
    </row>
    <row r="28" spans="1:14" ht="11.25" customHeight="1" x14ac:dyDescent="0.35"/>
    <row r="29" spans="1:14" ht="11.25" customHeight="1" x14ac:dyDescent="0.35">
      <c r="A29" s="42">
        <f>IF(SUM($J29:$M29)&lt;&gt;0,1,0)</f>
        <v>0</v>
      </c>
      <c r="D29" s="10" t="s">
        <v>94</v>
      </c>
      <c r="J29" s="42">
        <f t="shared" ref="J29:M29" si="6">IF(ISERROR(J27),1,0)</f>
        <v>0</v>
      </c>
      <c r="K29" s="42">
        <f t="shared" si="6"/>
        <v>0</v>
      </c>
      <c r="L29" s="42">
        <f t="shared" si="6"/>
        <v>0</v>
      </c>
      <c r="M29" s="42">
        <f t="shared" si="6"/>
        <v>0</v>
      </c>
    </row>
    <row r="30" spans="1:14" ht="11.25" customHeight="1" x14ac:dyDescent="0.35"/>
    <row r="31" spans="1:14" s="8" customFormat="1" ht="14.1" x14ac:dyDescent="0.35">
      <c r="C31" s="8" t="s">
        <v>209</v>
      </c>
    </row>
    <row r="32" spans="1:14" ht="11.25" customHeight="1" x14ac:dyDescent="0.35"/>
    <row r="33" spans="1:13" ht="12.3" x14ac:dyDescent="0.35">
      <c r="D33" s="43" t="str">
        <f>D20</f>
        <v>Category heading</v>
      </c>
      <c r="E33" s="38" t="str">
        <f>Lookup!E$20</f>
        <v>Source</v>
      </c>
      <c r="F33" s="38" t="str">
        <f>Lookup!F$20</f>
        <v>Unit</v>
      </c>
      <c r="G33" s="38" t="str">
        <f>Lookup!G$20</f>
        <v>Basis</v>
      </c>
      <c r="H33" s="38" t="str">
        <f>Lookup!H$20</f>
        <v>Timing</v>
      </c>
      <c r="J33" s="47" t="str">
        <f t="shared" ref="J33:M33" si="7">J$10</f>
        <v>RY19</v>
      </c>
      <c r="K33" s="46" t="str">
        <f t="shared" si="7"/>
        <v>RY20</v>
      </c>
      <c r="L33" s="38" t="str">
        <f>L$10</f>
        <v>RY21</v>
      </c>
      <c r="M33" s="38" t="str">
        <f t="shared" si="7"/>
        <v>RY22</v>
      </c>
    </row>
    <row r="34" spans="1:13" x14ac:dyDescent="0.35">
      <c r="J34" s="49"/>
      <c r="K34" s="48"/>
    </row>
    <row r="35" spans="1:13" ht="12.3" x14ac:dyDescent="0.35">
      <c r="D35" s="20" t="s">
        <v>207</v>
      </c>
      <c r="E35" s="45" t="s">
        <v>152</v>
      </c>
      <c r="F35" s="45" t="str">
        <f>Millions</f>
        <v>$Millions</v>
      </c>
      <c r="G35" s="45" t="str">
        <f t="shared" ref="G35:G38" si="8">Nominal</f>
        <v>Nominal</v>
      </c>
      <c r="H35" s="45" t="str">
        <f t="shared" ref="H35:H38" si="9">Mid_year</f>
        <v>Mid year</v>
      </c>
      <c r="J35" s="55">
        <f>Input_RAB_SCS!J110</f>
        <v>10.905797865040878</v>
      </c>
      <c r="K35" s="50">
        <f>Input_RAB_SCS!K110</f>
        <v>8.4582828614806438</v>
      </c>
      <c r="L35" s="51">
        <f>Input_RAB_SCS!L110</f>
        <v>9.9641049676141602</v>
      </c>
      <c r="M35" s="51">
        <f>Input_RAB_SCS!M110</f>
        <v>18.604691862763559</v>
      </c>
    </row>
    <row r="36" spans="1:13" ht="12.3" x14ac:dyDescent="0.35">
      <c r="D36" s="20" t="s">
        <v>352</v>
      </c>
      <c r="E36" s="45" t="s">
        <v>152</v>
      </c>
      <c r="F36" s="45" t="str">
        <f>Millions</f>
        <v>$Millions</v>
      </c>
      <c r="G36" s="45" t="str">
        <f t="shared" si="8"/>
        <v>Nominal</v>
      </c>
      <c r="H36" s="45" t="str">
        <f t="shared" si="9"/>
        <v>Mid year</v>
      </c>
      <c r="J36" s="55">
        <f>Input_RAB_SCS!J112</f>
        <v>0.51163504994381981</v>
      </c>
      <c r="K36" s="50">
        <f>Input_RAB_SCS!K112</f>
        <v>0.65746596705412452</v>
      </c>
      <c r="L36" s="51">
        <f>Input_RAB_SCS!L112</f>
        <v>1.087842968603342</v>
      </c>
      <c r="M36" s="51">
        <f>Input_RAB_SCS!M112</f>
        <v>2.1769366457234298</v>
      </c>
    </row>
    <row r="37" spans="1:13" ht="12.3" x14ac:dyDescent="0.35">
      <c r="D37" s="20" t="s">
        <v>208</v>
      </c>
      <c r="E37" s="45" t="s">
        <v>152</v>
      </c>
      <c r="F37" s="45" t="str">
        <f>Millions</f>
        <v>$Millions</v>
      </c>
      <c r="G37" s="45" t="str">
        <f t="shared" si="8"/>
        <v>Nominal</v>
      </c>
      <c r="H37" s="45" t="str">
        <f t="shared" si="9"/>
        <v>Mid year</v>
      </c>
      <c r="J37" s="55">
        <f>Input_RAB_SCS!J113</f>
        <v>3.8365502060993699</v>
      </c>
      <c r="K37" s="50">
        <f>Input_RAB_SCS!K113</f>
        <v>4.3181774979593142</v>
      </c>
      <c r="L37" s="51">
        <f>Input_RAB_SCS!L113</f>
        <v>4.3238048247236529</v>
      </c>
      <c r="M37" s="51">
        <f>Input_RAB_SCS!M113</f>
        <v>5.6333704602078702</v>
      </c>
    </row>
    <row r="38" spans="1:13" ht="12.3" x14ac:dyDescent="0.35">
      <c r="D38" s="20" t="s">
        <v>347</v>
      </c>
      <c r="E38" s="45" t="s">
        <v>152</v>
      </c>
      <c r="F38" s="45" t="str">
        <f>Millions</f>
        <v>$Millions</v>
      </c>
      <c r="G38" s="45" t="str">
        <f t="shared" si="8"/>
        <v>Nominal</v>
      </c>
      <c r="H38" s="45" t="str">
        <f t="shared" si="9"/>
        <v>Mid year</v>
      </c>
      <c r="J38" s="55">
        <f>Input_RAB_SCS!J114</f>
        <v>3.5088950458613626</v>
      </c>
      <c r="K38" s="50">
        <f>Input_RAB_SCS!K114</f>
        <v>1.6455482863921702</v>
      </c>
      <c r="L38" s="51">
        <f>Input_RAB_SCS!L114</f>
        <v>2.7007270520367537</v>
      </c>
      <c r="M38" s="51">
        <f>Input_RAB_SCS!M114</f>
        <v>2.3819598956835861</v>
      </c>
    </row>
    <row r="39" spans="1:13" x14ac:dyDescent="0.35">
      <c r="J39" s="49"/>
      <c r="K39" s="48"/>
    </row>
    <row r="40" spans="1:13" ht="12.3" x14ac:dyDescent="0.35">
      <c r="D40" s="44" t="s">
        <v>146</v>
      </c>
      <c r="E40" s="40" t="s">
        <v>91</v>
      </c>
      <c r="F40" s="40" t="str">
        <f>F35</f>
        <v>$Millions</v>
      </c>
      <c r="G40" s="40" t="str">
        <f>G35</f>
        <v>Nominal</v>
      </c>
      <c r="H40" s="40" t="str">
        <f>H35</f>
        <v>Mid year</v>
      </c>
      <c r="J40" s="54">
        <f t="shared" ref="J40:M40" si="10">SUM(J35:J38)</f>
        <v>18.762878166945431</v>
      </c>
      <c r="K40" s="53">
        <f t="shared" si="10"/>
        <v>15.079474612886251</v>
      </c>
      <c r="L40" s="39">
        <f t="shared" si="10"/>
        <v>18.076479812977908</v>
      </c>
      <c r="M40" s="39">
        <f t="shared" si="10"/>
        <v>28.796958864378446</v>
      </c>
    </row>
    <row r="41" spans="1:13" ht="11.25" customHeight="1" x14ac:dyDescent="0.35"/>
    <row r="42" spans="1:13" ht="11.25" customHeight="1" x14ac:dyDescent="0.35">
      <c r="A42" s="42">
        <f>IF(SUM($J42:$M42)&lt;&gt;0,1,0)</f>
        <v>0</v>
      </c>
      <c r="D42" s="10" t="s">
        <v>94</v>
      </c>
      <c r="J42" s="42">
        <f t="shared" ref="J42:K42" si="11">IF(ISERROR(J40),1,0)</f>
        <v>0</v>
      </c>
      <c r="K42" s="42">
        <f t="shared" si="11"/>
        <v>0</v>
      </c>
      <c r="L42" s="42">
        <f>IF(ISERROR(L40),1,0)</f>
        <v>0</v>
      </c>
      <c r="M42" s="42">
        <f t="shared" ref="M42" si="12">IF(ISERROR(M40),1,0)</f>
        <v>0</v>
      </c>
    </row>
    <row r="43" spans="1:13" ht="11.25" customHeight="1" x14ac:dyDescent="0.35"/>
    <row r="44" spans="1:13" ht="12.3" x14ac:dyDescent="0.35">
      <c r="D44" s="248" t="s">
        <v>420</v>
      </c>
    </row>
    <row r="45" spans="1:13" ht="11.25" customHeight="1" x14ac:dyDescent="0.35"/>
    <row r="46" spans="1:13" s="2" customFormat="1" ht="15" x14ac:dyDescent="0.35">
      <c r="B46" s="2" t="s">
        <v>26</v>
      </c>
    </row>
  </sheetData>
  <conditionalFormatting sqref="B2">
    <cfRule type="cellIs" dxfId="17" priority="1" operator="notEqual">
      <formula>"No Errors Found"</formula>
    </cfRule>
  </conditionalFormatting>
  <hyperlinks>
    <hyperlink ref="B3:E3" location="TOC!A1" display="TOC!A1" xr:uid="{00000000-0004-0000-06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A8D32-A0AE-4165-A2B6-D3041622A563}">
  <sheetPr codeName="Sheet8">
    <tabColor theme="4" tint="0.79998168889431442"/>
  </sheetPr>
  <dimension ref="A1:N71"/>
  <sheetViews>
    <sheetView showGridLines="0" zoomScaleNormal="100" workbookViewId="0">
      <pane xSplit="1" ySplit="10" topLeftCell="B11" activePane="bottomRight" state="frozen"/>
      <selection activeCell="D44" sqref="D44"/>
      <selection pane="topRight" activeCell="D44" sqref="D44"/>
      <selection pane="bottomLeft" activeCell="D44" sqref="D44"/>
      <selection pane="bottomRight" activeCell="B11" sqref="B11"/>
    </sheetView>
  </sheetViews>
  <sheetFormatPr defaultColWidth="9.33203125" defaultRowHeight="10.199999999999999" outlineLevelRow="1" x14ac:dyDescent="0.35"/>
  <cols>
    <col min="1" max="1" width="3.33203125" customWidth="1"/>
    <col min="2" max="3" width="2.796875" customWidth="1"/>
    <col min="4" max="4" width="48.46484375" customWidth="1"/>
    <col min="5" max="5" width="18" customWidth="1"/>
    <col min="6" max="6" width="9.1328125" customWidth="1"/>
    <col min="7" max="7" width="12" customWidth="1"/>
    <col min="8" max="8" width="10" customWidth="1"/>
    <col min="9" max="9" width="4.1328125" customWidth="1"/>
    <col min="10" max="15" width="13.1328125" customWidth="1"/>
    <col min="16" max="16" width="4" customWidth="1"/>
    <col min="17" max="19" width="13.1328125" customWidth="1"/>
  </cols>
  <sheetData>
    <row r="1" spans="1:14" ht="18.899999999999999" x14ac:dyDescent="0.35">
      <c r="A1" s="42">
        <f>IF(SUM($A11:$A71)&gt;0,1,0)</f>
        <v>0</v>
      </c>
      <c r="B1" s="3" t="s">
        <v>421</v>
      </c>
    </row>
    <row r="2" spans="1:14" x14ac:dyDescent="0.35">
      <c r="B2" s="13" t="str">
        <f>Title_Msg</f>
        <v>No Errors Found</v>
      </c>
    </row>
    <row r="3" spans="1:14" x14ac:dyDescent="0.35">
      <c r="B3" s="30" t="str">
        <f>TOC!B1</f>
        <v>Table of Contents</v>
      </c>
      <c r="C3" s="28"/>
      <c r="D3" s="28"/>
      <c r="E3" s="28"/>
    </row>
    <row r="4" spans="1:14" ht="12.3" x14ac:dyDescent="0.35">
      <c r="B4" s="27" t="str">
        <f>Model_Name</f>
        <v>Power and Water Corporation (PWC) - RAB Allocation - EB RIN</v>
      </c>
    </row>
    <row r="5" spans="1:14" ht="12.3" hidden="1" outlineLevel="1" x14ac:dyDescent="0.35">
      <c r="B5" s="10" t="str">
        <f>Lookup!B15</f>
        <v>Period start date</v>
      </c>
      <c r="J5" s="35">
        <f>Lookup!Q15</f>
        <v>42917</v>
      </c>
      <c r="K5" s="35">
        <f>Lookup!R15</f>
        <v>43282</v>
      </c>
      <c r="L5" s="35">
        <f>Lookup!S15</f>
        <v>43647</v>
      </c>
      <c r="M5" s="35">
        <f>Lookup!T15</f>
        <v>44013</v>
      </c>
      <c r="N5" s="35">
        <f>Lookup!U15</f>
        <v>44378</v>
      </c>
    </row>
    <row r="6" spans="1:14" ht="12.3" hidden="1" outlineLevel="1" x14ac:dyDescent="0.35">
      <c r="B6" s="10" t="str">
        <f>Lookup!B16</f>
        <v>Period end date</v>
      </c>
      <c r="J6" s="35">
        <f>Lookup!Q16</f>
        <v>43281</v>
      </c>
      <c r="K6" s="35">
        <f>Lookup!R16</f>
        <v>43646</v>
      </c>
      <c r="L6" s="35">
        <f>Lookup!S16</f>
        <v>44012</v>
      </c>
      <c r="M6" s="35">
        <f>Lookup!T16</f>
        <v>44377</v>
      </c>
      <c r="N6" s="35">
        <f>Lookup!U16</f>
        <v>44742</v>
      </c>
    </row>
    <row r="7" spans="1:14" ht="12.3" hidden="1" outlineLevel="1" x14ac:dyDescent="0.35">
      <c r="B7" s="10" t="str">
        <f>Lookup!B17</f>
        <v>Period counter</v>
      </c>
      <c r="J7" s="36">
        <f>Lookup!Q17</f>
        <v>8</v>
      </c>
      <c r="K7" s="36">
        <f>Lookup!R17</f>
        <v>9</v>
      </c>
      <c r="L7" s="36">
        <f>Lookup!S17</f>
        <v>10</v>
      </c>
      <c r="M7" s="36">
        <f>Lookup!T17</f>
        <v>11</v>
      </c>
      <c r="N7" s="36">
        <f>Lookup!U17</f>
        <v>12</v>
      </c>
    </row>
    <row r="8" spans="1:14" ht="12.3" hidden="1" outlineLevel="1" x14ac:dyDescent="0.35">
      <c r="B8" s="10" t="str">
        <f>Lookup!B18</f>
        <v>Year</v>
      </c>
      <c r="J8" s="37">
        <f>Lookup!Q18</f>
        <v>2018</v>
      </c>
      <c r="K8" s="37">
        <f>Lookup!R18</f>
        <v>2019</v>
      </c>
      <c r="L8" s="37">
        <f>Lookup!S18</f>
        <v>2020</v>
      </c>
      <c r="M8" s="37">
        <f>Lookup!T18</f>
        <v>2021</v>
      </c>
      <c r="N8" s="37">
        <f>Lookup!U18</f>
        <v>2022</v>
      </c>
    </row>
    <row r="9" spans="1:14" ht="12.3" hidden="1" outlineLevel="1" x14ac:dyDescent="0.35">
      <c r="B9" s="10" t="str">
        <f>Lookup!B19</f>
        <v>Period type</v>
      </c>
      <c r="J9" s="37" t="str">
        <f>Lookup!Q19</f>
        <v>Actual</v>
      </c>
      <c r="K9" s="37" t="str">
        <f>Lookup!R19</f>
        <v>Actual</v>
      </c>
      <c r="L9" s="37" t="str">
        <f>Lookup!S19</f>
        <v>Actual</v>
      </c>
      <c r="M9" s="37" t="str">
        <f>Lookup!T19</f>
        <v>Actual</v>
      </c>
      <c r="N9" s="37" t="str">
        <f>Lookup!U19</f>
        <v>Base Year</v>
      </c>
    </row>
    <row r="10" spans="1:14" ht="12.3" collapsed="1" x14ac:dyDescent="0.35">
      <c r="B10" s="5" t="str">
        <f>Lookup!B20</f>
        <v>Regulatory year</v>
      </c>
      <c r="E10" s="34" t="str">
        <f>Lookup!E20</f>
        <v>Source</v>
      </c>
      <c r="F10" s="34" t="str">
        <f>Lookup!F20</f>
        <v>Unit</v>
      </c>
      <c r="G10" s="34" t="str">
        <f>Lookup!G20</f>
        <v>Basis</v>
      </c>
      <c r="H10" s="34" t="str">
        <f>Lookup!H20</f>
        <v>Timing</v>
      </c>
      <c r="I10" s="34"/>
      <c r="J10" s="34" t="str">
        <f>Lookup!Q20</f>
        <v>RY18</v>
      </c>
      <c r="K10" s="34" t="str">
        <f>Lookup!R20</f>
        <v>RY19</v>
      </c>
      <c r="L10" s="34" t="str">
        <f>Lookup!S20</f>
        <v>RY20</v>
      </c>
      <c r="M10" s="34" t="str">
        <f>Lookup!T20</f>
        <v>RY21</v>
      </c>
      <c r="N10" s="34" t="str">
        <f>Lookup!U20</f>
        <v>RY22</v>
      </c>
    </row>
    <row r="12" spans="1:14" s="2" customFormat="1" ht="15" x14ac:dyDescent="0.35">
      <c r="B12" s="2" t="s">
        <v>422</v>
      </c>
    </row>
    <row r="13" spans="1:14" ht="4.5" customHeight="1" x14ac:dyDescent="0.35"/>
    <row r="14" spans="1:14" s="8" customFormat="1" ht="14.1" x14ac:dyDescent="0.35">
      <c r="C14" s="8" t="s">
        <v>424</v>
      </c>
    </row>
    <row r="15" spans="1:14" ht="11.25" customHeight="1" x14ac:dyDescent="0.35"/>
    <row r="16" spans="1:14" ht="12.3" x14ac:dyDescent="0.35">
      <c r="D16" s="214" t="s">
        <v>399</v>
      </c>
      <c r="E16" s="215" t="str">
        <f>Lookup!E$20</f>
        <v>Source</v>
      </c>
      <c r="F16" s="215" t="str">
        <f>Lookup!F$20</f>
        <v>Unit</v>
      </c>
      <c r="G16" s="215" t="str">
        <f>Lookup!G$20</f>
        <v>Basis</v>
      </c>
      <c r="H16" s="215" t="str">
        <f>Lookup!H$20</f>
        <v>Timing</v>
      </c>
      <c r="J16" s="215" t="str">
        <f t="shared" ref="J16:M16" si="0">J$10</f>
        <v>RY18</v>
      </c>
      <c r="K16" s="215" t="str">
        <f t="shared" si="0"/>
        <v>RY19</v>
      </c>
      <c r="L16" s="215" t="str">
        <f t="shared" si="0"/>
        <v>RY20</v>
      </c>
      <c r="M16" s="215" t="str">
        <f t="shared" si="0"/>
        <v>RY21</v>
      </c>
      <c r="N16" s="215" t="str">
        <f>N$10</f>
        <v>RY22</v>
      </c>
    </row>
    <row r="17" spans="1:14" ht="11.25" customHeight="1" x14ac:dyDescent="0.35">
      <c r="D17" s="201"/>
      <c r="E17" s="201"/>
      <c r="F17" s="201"/>
      <c r="G17" s="201"/>
      <c r="H17" s="201"/>
      <c r="N17" s="201"/>
    </row>
    <row r="18" spans="1:14" ht="12.3" x14ac:dyDescent="0.35">
      <c r="D18" s="206" t="str">
        <f>Lookup!$D$106</f>
        <v>Overhead network assets less than 33kV</v>
      </c>
      <c r="E18" s="322" t="s">
        <v>423</v>
      </c>
      <c r="F18" s="216" t="s">
        <v>204</v>
      </c>
      <c r="G18" s="216" t="str">
        <f t="shared" ref="G18:H27" si="1">NA</f>
        <v>N/A</v>
      </c>
      <c r="H18" s="216" t="str">
        <f t="shared" si="1"/>
        <v>N/A</v>
      </c>
      <c r="J18" s="220">
        <v>50</v>
      </c>
      <c r="K18" s="220">
        <v>50</v>
      </c>
      <c r="L18" s="220">
        <v>50</v>
      </c>
      <c r="M18" s="220">
        <v>50</v>
      </c>
      <c r="N18" s="222">
        <f>AVERAGE(J18:M18)</f>
        <v>50</v>
      </c>
    </row>
    <row r="19" spans="1:14" ht="12.3" x14ac:dyDescent="0.35">
      <c r="D19" s="206" t="str">
        <f>Lookup!$D$107</f>
        <v>Underground network assets less than 33kV</v>
      </c>
      <c r="E19" s="216" t="str">
        <f>E18</f>
        <v>EB RIN</v>
      </c>
      <c r="F19" s="216" t="s">
        <v>204</v>
      </c>
      <c r="G19" s="216" t="str">
        <f t="shared" si="1"/>
        <v>N/A</v>
      </c>
      <c r="H19" s="216" t="str">
        <f t="shared" si="1"/>
        <v>N/A</v>
      </c>
      <c r="J19" s="220">
        <v>52</v>
      </c>
      <c r="K19" s="220">
        <v>52</v>
      </c>
      <c r="L19" s="220">
        <v>52</v>
      </c>
      <c r="M19" s="220">
        <v>52</v>
      </c>
      <c r="N19" s="222">
        <f t="shared" ref="N19:N27" si="2">AVERAGE(J19:M19)</f>
        <v>52</v>
      </c>
    </row>
    <row r="20" spans="1:14" ht="12.3" x14ac:dyDescent="0.35">
      <c r="D20" s="206" t="str">
        <f>Lookup!$D$108</f>
        <v>Distribution substations and transformers</v>
      </c>
      <c r="E20" s="216" t="str">
        <f t="shared" ref="E20:E27" si="3">E19</f>
        <v>EB RIN</v>
      </c>
      <c r="F20" s="216" t="s">
        <v>204</v>
      </c>
      <c r="G20" s="216" t="str">
        <f t="shared" si="1"/>
        <v>N/A</v>
      </c>
      <c r="H20" s="216" t="str">
        <f t="shared" si="1"/>
        <v>N/A</v>
      </c>
      <c r="J20" s="220">
        <v>45</v>
      </c>
      <c r="K20" s="220">
        <v>45</v>
      </c>
      <c r="L20" s="220">
        <v>45</v>
      </c>
      <c r="M20" s="220">
        <v>45</v>
      </c>
      <c r="N20" s="222">
        <f t="shared" si="2"/>
        <v>45</v>
      </c>
    </row>
    <row r="21" spans="1:14" ht="12.3" x14ac:dyDescent="0.35">
      <c r="D21" s="206" t="str">
        <f>Lookup!$D$109</f>
        <v>Overhead network assets 33kV and above</v>
      </c>
      <c r="E21" s="216" t="str">
        <f t="shared" si="3"/>
        <v>EB RIN</v>
      </c>
      <c r="F21" s="216" t="s">
        <v>204</v>
      </c>
      <c r="G21" s="216" t="str">
        <f t="shared" si="1"/>
        <v>N/A</v>
      </c>
      <c r="H21" s="216" t="str">
        <f t="shared" si="1"/>
        <v>N/A</v>
      </c>
      <c r="J21" s="220">
        <v>54</v>
      </c>
      <c r="K21" s="220">
        <v>54</v>
      </c>
      <c r="L21" s="220">
        <v>54</v>
      </c>
      <c r="M21" s="220">
        <v>54</v>
      </c>
      <c r="N21" s="222">
        <f t="shared" si="2"/>
        <v>54</v>
      </c>
    </row>
    <row r="22" spans="1:14" ht="12.3" x14ac:dyDescent="0.35">
      <c r="D22" s="206" t="str">
        <f>Lookup!$D$110</f>
        <v>Underground network assets 33kV and above</v>
      </c>
      <c r="E22" s="216" t="str">
        <f t="shared" si="3"/>
        <v>EB RIN</v>
      </c>
      <c r="F22" s="216" t="s">
        <v>204</v>
      </c>
      <c r="G22" s="216" t="str">
        <f t="shared" si="1"/>
        <v>N/A</v>
      </c>
      <c r="H22" s="216" t="str">
        <f t="shared" si="1"/>
        <v>N/A</v>
      </c>
      <c r="J22" s="220">
        <v>50</v>
      </c>
      <c r="K22" s="220">
        <v>50</v>
      </c>
      <c r="L22" s="220">
        <v>50</v>
      </c>
      <c r="M22" s="220">
        <v>50</v>
      </c>
      <c r="N22" s="222">
        <f t="shared" si="2"/>
        <v>50</v>
      </c>
    </row>
    <row r="23" spans="1:14" ht="12.3" x14ac:dyDescent="0.35">
      <c r="D23" s="206" t="str">
        <f>Lookup!$D$111</f>
        <v>Zone substations and transformers</v>
      </c>
      <c r="E23" s="216" t="str">
        <f t="shared" si="3"/>
        <v>EB RIN</v>
      </c>
      <c r="F23" s="216" t="s">
        <v>204</v>
      </c>
      <c r="G23" s="216" t="str">
        <f t="shared" si="1"/>
        <v>N/A</v>
      </c>
      <c r="H23" s="216" t="str">
        <f t="shared" si="1"/>
        <v>N/A</v>
      </c>
      <c r="J23" s="220">
        <v>46</v>
      </c>
      <c r="K23" s="220">
        <v>46</v>
      </c>
      <c r="L23" s="220">
        <v>46</v>
      </c>
      <c r="M23" s="220">
        <v>46</v>
      </c>
      <c r="N23" s="222">
        <f t="shared" si="2"/>
        <v>46</v>
      </c>
    </row>
    <row r="24" spans="1:14" ht="12.3" x14ac:dyDescent="0.35">
      <c r="D24" s="206" t="str">
        <f>Lookup!$D$112</f>
        <v>Easements</v>
      </c>
      <c r="E24" s="216" t="str">
        <f t="shared" si="3"/>
        <v>EB RIN</v>
      </c>
      <c r="F24" s="216" t="s">
        <v>204</v>
      </c>
      <c r="G24" s="216" t="str">
        <f t="shared" si="1"/>
        <v>N/A</v>
      </c>
      <c r="H24" s="216" t="str">
        <f t="shared" si="1"/>
        <v>N/A</v>
      </c>
      <c r="J24" s="301"/>
      <c r="K24" s="301"/>
      <c r="L24" s="301"/>
      <c r="M24" s="301"/>
      <c r="N24" s="222" t="str">
        <f>NA</f>
        <v>N/A</v>
      </c>
    </row>
    <row r="25" spans="1:14" ht="12.3" x14ac:dyDescent="0.35">
      <c r="D25" s="206" t="str">
        <f>Lookup!$D$113</f>
        <v>Meters</v>
      </c>
      <c r="E25" s="216" t="str">
        <f t="shared" si="3"/>
        <v>EB RIN</v>
      </c>
      <c r="F25" s="216" t="s">
        <v>204</v>
      </c>
      <c r="G25" s="216" t="str">
        <f t="shared" si="1"/>
        <v>N/A</v>
      </c>
      <c r="H25" s="216" t="str">
        <f t="shared" si="1"/>
        <v>N/A</v>
      </c>
      <c r="J25" s="220">
        <v>16</v>
      </c>
      <c r="K25" s="220">
        <v>16</v>
      </c>
      <c r="L25" s="220">
        <v>16</v>
      </c>
      <c r="M25" s="220">
        <v>16</v>
      </c>
      <c r="N25" s="222">
        <f t="shared" si="2"/>
        <v>16</v>
      </c>
    </row>
    <row r="26" spans="1:14" ht="12.3" x14ac:dyDescent="0.35">
      <c r="D26" s="206" t="str">
        <f>Lookup!$D$114</f>
        <v>“Other” asset items with long lives</v>
      </c>
      <c r="E26" s="216" t="str">
        <f t="shared" si="3"/>
        <v>EB RIN</v>
      </c>
      <c r="F26" s="216" t="s">
        <v>204</v>
      </c>
      <c r="G26" s="216" t="str">
        <f t="shared" si="1"/>
        <v>N/A</v>
      </c>
      <c r="H26" s="216" t="str">
        <f t="shared" si="1"/>
        <v>N/A</v>
      </c>
      <c r="J26" s="220">
        <v>29</v>
      </c>
      <c r="K26" s="220">
        <v>29</v>
      </c>
      <c r="L26" s="220">
        <v>29</v>
      </c>
      <c r="M26" s="220">
        <v>29</v>
      </c>
      <c r="N26" s="222">
        <f t="shared" si="2"/>
        <v>29</v>
      </c>
    </row>
    <row r="27" spans="1:14" ht="12.3" x14ac:dyDescent="0.35">
      <c r="D27" s="206" t="str">
        <f>Lookup!$D$115</f>
        <v>“Other” asset items with short lives</v>
      </c>
      <c r="E27" s="216" t="str">
        <f t="shared" si="3"/>
        <v>EB RIN</v>
      </c>
      <c r="F27" s="216" t="s">
        <v>204</v>
      </c>
      <c r="G27" s="216" t="str">
        <f t="shared" si="1"/>
        <v>N/A</v>
      </c>
      <c r="H27" s="216" t="str">
        <f t="shared" si="1"/>
        <v>N/A</v>
      </c>
      <c r="J27" s="220">
        <v>7</v>
      </c>
      <c r="K27" s="220">
        <v>7</v>
      </c>
      <c r="L27" s="220">
        <v>7</v>
      </c>
      <c r="M27" s="220">
        <v>7</v>
      </c>
      <c r="N27" s="222">
        <f t="shared" si="2"/>
        <v>7</v>
      </c>
    </row>
    <row r="28" spans="1:14" ht="11.25" customHeight="1" x14ac:dyDescent="0.35">
      <c r="D28" s="201"/>
      <c r="E28" s="201"/>
      <c r="F28" s="201"/>
      <c r="G28" s="201"/>
      <c r="H28" s="201"/>
      <c r="N28" s="201"/>
    </row>
    <row r="29" spans="1:14" ht="12.3" x14ac:dyDescent="0.35">
      <c r="D29" s="217" t="s">
        <v>90</v>
      </c>
      <c r="E29" s="218" t="s">
        <v>28</v>
      </c>
      <c r="F29" s="218" t="str">
        <f>F18</f>
        <v>Years</v>
      </c>
      <c r="G29" s="218" t="str">
        <f>G18</f>
        <v>N/A</v>
      </c>
      <c r="H29" s="218" t="str">
        <f>H18</f>
        <v>N/A</v>
      </c>
      <c r="J29" s="219" t="s">
        <v>28</v>
      </c>
      <c r="K29" s="219" t="s">
        <v>28</v>
      </c>
      <c r="L29" s="219" t="s">
        <v>28</v>
      </c>
      <c r="M29" s="219" t="s">
        <v>28</v>
      </c>
      <c r="N29" s="219" t="s">
        <v>28</v>
      </c>
    </row>
    <row r="30" spans="1:14" ht="4.5" customHeight="1" x14ac:dyDescent="0.35"/>
    <row r="31" spans="1:14" ht="11.25" customHeight="1" x14ac:dyDescent="0.35">
      <c r="A31" s="199">
        <f>IF(SUM($J31:$N31)&lt;&gt;0,1,0)</f>
        <v>0</v>
      </c>
      <c r="D31" s="206" t="s">
        <v>94</v>
      </c>
      <c r="E31" s="201"/>
      <c r="F31" s="201"/>
      <c r="G31" s="201"/>
      <c r="H31" s="201"/>
      <c r="N31" s="199">
        <f>IF(ISERROR(SUM(N18:N27)),1,0)</f>
        <v>0</v>
      </c>
    </row>
    <row r="32" spans="1:14" ht="11.25" customHeight="1" x14ac:dyDescent="0.35"/>
    <row r="33" spans="3:14" s="8" customFormat="1" ht="14.1" x14ac:dyDescent="0.35">
      <c r="C33" s="8" t="s">
        <v>425</v>
      </c>
    </row>
    <row r="34" spans="3:14" ht="11.25" customHeight="1" x14ac:dyDescent="0.35"/>
    <row r="35" spans="3:14" ht="11.25" customHeight="1" x14ac:dyDescent="0.35">
      <c r="D35" s="214" t="str">
        <f>D$16</f>
        <v>Category heading</v>
      </c>
      <c r="E35" s="215" t="str">
        <f>Lookup!E$20</f>
        <v>Source</v>
      </c>
      <c r="F35" s="215" t="str">
        <f>Lookup!F$20</f>
        <v>Unit</v>
      </c>
      <c r="G35" s="215" t="str">
        <f>Lookup!G$20</f>
        <v>Basis</v>
      </c>
      <c r="H35" s="215" t="str">
        <f>Lookup!H$20</f>
        <v>Timing</v>
      </c>
      <c r="J35" s="215" t="str">
        <f t="shared" ref="J35:M35" si="4">J$10</f>
        <v>RY18</v>
      </c>
      <c r="K35" s="215" t="str">
        <f t="shared" si="4"/>
        <v>RY19</v>
      </c>
      <c r="L35" s="215" t="str">
        <f t="shared" si="4"/>
        <v>RY20</v>
      </c>
      <c r="M35" s="215" t="str">
        <f t="shared" si="4"/>
        <v>RY21</v>
      </c>
      <c r="N35" s="215" t="str">
        <f>N$10</f>
        <v>RY22</v>
      </c>
    </row>
    <row r="36" spans="3:14" ht="11.25" customHeight="1" x14ac:dyDescent="0.35">
      <c r="D36" s="201"/>
      <c r="E36" s="201"/>
      <c r="F36" s="201"/>
      <c r="G36" s="201"/>
      <c r="H36" s="201"/>
      <c r="N36" s="201"/>
    </row>
    <row r="37" spans="3:14" ht="12.3" x14ac:dyDescent="0.35">
      <c r="D37" s="206" t="str">
        <f>Lookup!$D$106</f>
        <v>Overhead network assets less than 33kV</v>
      </c>
      <c r="E37" s="216" t="str">
        <f>E18</f>
        <v>EB RIN</v>
      </c>
      <c r="F37" s="216" t="s">
        <v>204</v>
      </c>
      <c r="G37" s="216" t="str">
        <f t="shared" ref="G37:H46" si="5">NA</f>
        <v>N/A</v>
      </c>
      <c r="H37" s="216" t="str">
        <f t="shared" si="5"/>
        <v>N/A</v>
      </c>
      <c r="J37" s="220">
        <v>50</v>
      </c>
      <c r="K37" s="220">
        <v>50</v>
      </c>
      <c r="L37" s="220">
        <v>50</v>
      </c>
      <c r="M37" s="220">
        <v>50</v>
      </c>
      <c r="N37" s="222">
        <f>AVERAGE(J37:M37)</f>
        <v>50</v>
      </c>
    </row>
    <row r="38" spans="3:14" ht="12.3" x14ac:dyDescent="0.35">
      <c r="D38" s="206" t="str">
        <f>Lookup!$D$107</f>
        <v>Underground network assets less than 33kV</v>
      </c>
      <c r="E38" s="216" t="str">
        <f t="shared" ref="E38:E46" si="6">E19</f>
        <v>EB RIN</v>
      </c>
      <c r="F38" s="216" t="s">
        <v>204</v>
      </c>
      <c r="G38" s="216" t="str">
        <f t="shared" si="5"/>
        <v>N/A</v>
      </c>
      <c r="H38" s="216" t="str">
        <f t="shared" si="5"/>
        <v>N/A</v>
      </c>
      <c r="J38" s="220">
        <v>52</v>
      </c>
      <c r="K38" s="220">
        <v>52</v>
      </c>
      <c r="L38" s="220">
        <v>52</v>
      </c>
      <c r="M38" s="220">
        <v>52</v>
      </c>
      <c r="N38" s="222">
        <f t="shared" ref="N38:N46" si="7">AVERAGE(J38:M38)</f>
        <v>52</v>
      </c>
    </row>
    <row r="39" spans="3:14" ht="12.3" x14ac:dyDescent="0.35">
      <c r="D39" s="206" t="str">
        <f>Lookup!$D$108</f>
        <v>Distribution substations and transformers</v>
      </c>
      <c r="E39" s="216" t="str">
        <f t="shared" si="6"/>
        <v>EB RIN</v>
      </c>
      <c r="F39" s="216" t="s">
        <v>204</v>
      </c>
      <c r="G39" s="216" t="str">
        <f t="shared" si="5"/>
        <v>N/A</v>
      </c>
      <c r="H39" s="216" t="str">
        <f t="shared" si="5"/>
        <v>N/A</v>
      </c>
      <c r="J39" s="220">
        <v>45</v>
      </c>
      <c r="K39" s="220">
        <v>45</v>
      </c>
      <c r="L39" s="220">
        <v>45</v>
      </c>
      <c r="M39" s="220">
        <v>45</v>
      </c>
      <c r="N39" s="222">
        <f t="shared" si="7"/>
        <v>45</v>
      </c>
    </row>
    <row r="40" spans="3:14" ht="12.3" x14ac:dyDescent="0.35">
      <c r="D40" s="206" t="str">
        <f>Lookup!$D$109</f>
        <v>Overhead network assets 33kV and above</v>
      </c>
      <c r="E40" s="216" t="str">
        <f t="shared" si="6"/>
        <v>EB RIN</v>
      </c>
      <c r="F40" s="216" t="s">
        <v>204</v>
      </c>
      <c r="G40" s="216" t="str">
        <f t="shared" si="5"/>
        <v>N/A</v>
      </c>
      <c r="H40" s="216" t="str">
        <f t="shared" si="5"/>
        <v>N/A</v>
      </c>
      <c r="J40" s="220">
        <v>54</v>
      </c>
      <c r="K40" s="220">
        <v>54</v>
      </c>
      <c r="L40" s="220">
        <v>54</v>
      </c>
      <c r="M40" s="220">
        <v>54</v>
      </c>
      <c r="N40" s="222">
        <f t="shared" si="7"/>
        <v>54</v>
      </c>
    </row>
    <row r="41" spans="3:14" ht="12.3" x14ac:dyDescent="0.35">
      <c r="D41" s="206" t="str">
        <f>Lookup!$D$110</f>
        <v>Underground network assets 33kV and above</v>
      </c>
      <c r="E41" s="216" t="str">
        <f t="shared" si="6"/>
        <v>EB RIN</v>
      </c>
      <c r="F41" s="216" t="s">
        <v>204</v>
      </c>
      <c r="G41" s="216" t="str">
        <f t="shared" si="5"/>
        <v>N/A</v>
      </c>
      <c r="H41" s="216" t="str">
        <f t="shared" si="5"/>
        <v>N/A</v>
      </c>
      <c r="J41" s="220">
        <v>50</v>
      </c>
      <c r="K41" s="220">
        <v>50</v>
      </c>
      <c r="L41" s="220">
        <v>50</v>
      </c>
      <c r="M41" s="220">
        <v>50</v>
      </c>
      <c r="N41" s="222">
        <f t="shared" si="7"/>
        <v>50</v>
      </c>
    </row>
    <row r="42" spans="3:14" ht="12.3" x14ac:dyDescent="0.35">
      <c r="D42" s="206" t="str">
        <f>Lookup!$D$111</f>
        <v>Zone substations and transformers</v>
      </c>
      <c r="E42" s="216" t="str">
        <f t="shared" si="6"/>
        <v>EB RIN</v>
      </c>
      <c r="F42" s="216" t="s">
        <v>204</v>
      </c>
      <c r="G42" s="216" t="str">
        <f t="shared" si="5"/>
        <v>N/A</v>
      </c>
      <c r="H42" s="216" t="str">
        <f t="shared" si="5"/>
        <v>N/A</v>
      </c>
      <c r="J42" s="220">
        <v>46</v>
      </c>
      <c r="K42" s="220">
        <v>46</v>
      </c>
      <c r="L42" s="220">
        <v>46</v>
      </c>
      <c r="M42" s="220">
        <v>46</v>
      </c>
      <c r="N42" s="222">
        <f t="shared" si="7"/>
        <v>46</v>
      </c>
    </row>
    <row r="43" spans="3:14" ht="12.3" x14ac:dyDescent="0.35">
      <c r="D43" s="206" t="str">
        <f>Lookup!$D$112</f>
        <v>Easements</v>
      </c>
      <c r="E43" s="216" t="str">
        <f t="shared" si="6"/>
        <v>EB RIN</v>
      </c>
      <c r="F43" s="216" t="s">
        <v>204</v>
      </c>
      <c r="G43" s="216" t="str">
        <f t="shared" si="5"/>
        <v>N/A</v>
      </c>
      <c r="H43" s="216" t="str">
        <f t="shared" si="5"/>
        <v>N/A</v>
      </c>
      <c r="J43" s="301"/>
      <c r="K43" s="301"/>
      <c r="L43" s="301"/>
      <c r="M43" s="301"/>
      <c r="N43" s="222" t="str">
        <f>NA</f>
        <v>N/A</v>
      </c>
    </row>
    <row r="44" spans="3:14" ht="12.3" x14ac:dyDescent="0.35">
      <c r="D44" s="206" t="str">
        <f>Lookup!$D$113</f>
        <v>Meters</v>
      </c>
      <c r="E44" s="216" t="str">
        <f t="shared" si="6"/>
        <v>EB RIN</v>
      </c>
      <c r="F44" s="216" t="s">
        <v>204</v>
      </c>
      <c r="G44" s="216" t="str">
        <f t="shared" si="5"/>
        <v>N/A</v>
      </c>
      <c r="H44" s="216" t="str">
        <f t="shared" si="5"/>
        <v>N/A</v>
      </c>
      <c r="J44" s="220">
        <v>16</v>
      </c>
      <c r="K44" s="220">
        <v>16</v>
      </c>
      <c r="L44" s="220">
        <v>16</v>
      </c>
      <c r="M44" s="220">
        <v>16</v>
      </c>
      <c r="N44" s="222">
        <f t="shared" si="7"/>
        <v>16</v>
      </c>
    </row>
    <row r="45" spans="3:14" ht="12.3" x14ac:dyDescent="0.35">
      <c r="D45" s="206" t="str">
        <f>Lookup!$D$114</f>
        <v>“Other” asset items with long lives</v>
      </c>
      <c r="E45" s="216" t="str">
        <f t="shared" si="6"/>
        <v>EB RIN</v>
      </c>
      <c r="F45" s="216" t="s">
        <v>204</v>
      </c>
      <c r="G45" s="216" t="str">
        <f t="shared" si="5"/>
        <v>N/A</v>
      </c>
      <c r="H45" s="216" t="str">
        <f t="shared" si="5"/>
        <v>N/A</v>
      </c>
      <c r="J45" s="220">
        <v>29</v>
      </c>
      <c r="K45" s="220">
        <v>29</v>
      </c>
      <c r="L45" s="220">
        <v>29</v>
      </c>
      <c r="M45" s="220">
        <v>29</v>
      </c>
      <c r="N45" s="222">
        <f t="shared" si="7"/>
        <v>29</v>
      </c>
    </row>
    <row r="46" spans="3:14" ht="12.3" x14ac:dyDescent="0.35">
      <c r="D46" s="206" t="str">
        <f>Lookup!$D$115</f>
        <v>“Other” asset items with short lives</v>
      </c>
      <c r="E46" s="216" t="str">
        <f t="shared" si="6"/>
        <v>EB RIN</v>
      </c>
      <c r="F46" s="216" t="s">
        <v>204</v>
      </c>
      <c r="G46" s="216" t="str">
        <f t="shared" si="5"/>
        <v>N/A</v>
      </c>
      <c r="H46" s="216" t="str">
        <f t="shared" si="5"/>
        <v>N/A</v>
      </c>
      <c r="J46" s="220">
        <v>7</v>
      </c>
      <c r="K46" s="220">
        <v>7</v>
      </c>
      <c r="L46" s="220">
        <v>7</v>
      </c>
      <c r="M46" s="220">
        <v>7</v>
      </c>
      <c r="N46" s="222">
        <f t="shared" si="7"/>
        <v>7</v>
      </c>
    </row>
    <row r="47" spans="3:14" x14ac:dyDescent="0.35">
      <c r="D47" s="201"/>
      <c r="E47" s="201"/>
      <c r="F47" s="201"/>
      <c r="G47" s="201"/>
      <c r="H47" s="201"/>
      <c r="N47" s="201"/>
    </row>
    <row r="48" spans="3:14" ht="11.25" customHeight="1" x14ac:dyDescent="0.35">
      <c r="D48" s="217" t="s">
        <v>90</v>
      </c>
      <c r="E48" s="218" t="s">
        <v>28</v>
      </c>
      <c r="F48" s="218" t="str">
        <f>F37</f>
        <v>Years</v>
      </c>
      <c r="G48" s="218" t="str">
        <f>G37</f>
        <v>N/A</v>
      </c>
      <c r="H48" s="218" t="str">
        <f>H37</f>
        <v>N/A</v>
      </c>
      <c r="J48" s="219" t="s">
        <v>28</v>
      </c>
      <c r="K48" s="219" t="s">
        <v>28</v>
      </c>
      <c r="L48" s="219" t="s">
        <v>28</v>
      </c>
      <c r="M48" s="219" t="s">
        <v>28</v>
      </c>
      <c r="N48" s="219" t="s">
        <v>28</v>
      </c>
    </row>
    <row r="49" spans="1:14" ht="4.5" customHeight="1" x14ac:dyDescent="0.35"/>
    <row r="50" spans="1:14" ht="11.25" customHeight="1" x14ac:dyDescent="0.35">
      <c r="A50" s="199">
        <f>IF(SUM($J50:$N50)&lt;&gt;0,1,0)</f>
        <v>0</v>
      </c>
      <c r="D50" s="206" t="s">
        <v>94</v>
      </c>
      <c r="E50" s="201"/>
      <c r="F50" s="201"/>
      <c r="G50" s="201"/>
      <c r="H50" s="201"/>
      <c r="N50" s="199">
        <f>IF(ISERROR(SUM(N37:N46)),1,0)</f>
        <v>0</v>
      </c>
    </row>
    <row r="51" spans="1:14" ht="11.25" customHeight="1" x14ac:dyDescent="0.35"/>
    <row r="52" spans="1:14" s="8" customFormat="1" ht="14.1" x14ac:dyDescent="0.35">
      <c r="C52" s="8" t="s">
        <v>426</v>
      </c>
    </row>
    <row r="53" spans="1:14" ht="11.25" customHeight="1" x14ac:dyDescent="0.35"/>
    <row r="54" spans="1:14" ht="12.3" x14ac:dyDescent="0.35">
      <c r="D54" s="214" t="str">
        <f>D$16</f>
        <v>Category heading</v>
      </c>
      <c r="E54" s="215" t="str">
        <f>Lookup!E$20</f>
        <v>Source</v>
      </c>
      <c r="F54" s="215" t="str">
        <f>Lookup!F$20</f>
        <v>Unit</v>
      </c>
      <c r="G54" s="215" t="str">
        <f>Lookup!G$20</f>
        <v>Basis</v>
      </c>
      <c r="H54" s="215" t="str">
        <f>Lookup!H$20</f>
        <v>Timing</v>
      </c>
      <c r="J54" s="215" t="str">
        <f t="shared" ref="J54:M54" si="8">J$10</f>
        <v>RY18</v>
      </c>
      <c r="K54" s="215" t="str">
        <f t="shared" si="8"/>
        <v>RY19</v>
      </c>
      <c r="L54" s="215" t="str">
        <f t="shared" si="8"/>
        <v>RY20</v>
      </c>
      <c r="M54" s="215" t="str">
        <f t="shared" si="8"/>
        <v>RY21</v>
      </c>
      <c r="N54" s="215" t="str">
        <f>N$10</f>
        <v>RY22</v>
      </c>
    </row>
    <row r="55" spans="1:14" ht="11.25" customHeight="1" x14ac:dyDescent="0.35">
      <c r="D55" s="201"/>
      <c r="E55" s="201"/>
      <c r="F55" s="201"/>
      <c r="G55" s="201"/>
      <c r="H55" s="201"/>
      <c r="N55" s="201"/>
    </row>
    <row r="56" spans="1:14" ht="12.3" x14ac:dyDescent="0.35">
      <c r="D56" s="206" t="str">
        <f>Lookup!$D$106</f>
        <v>Overhead network assets less than 33kV</v>
      </c>
      <c r="E56" s="216" t="str">
        <f>E18</f>
        <v>EB RIN</v>
      </c>
      <c r="F56" s="216" t="s">
        <v>204</v>
      </c>
      <c r="G56" s="216" t="str">
        <f t="shared" ref="G56:H65" si="9">NA</f>
        <v>N/A</v>
      </c>
      <c r="H56" s="216" t="str">
        <f t="shared" si="9"/>
        <v>N/A</v>
      </c>
      <c r="J56" s="220">
        <v>0</v>
      </c>
      <c r="K56" s="220"/>
      <c r="L56" s="220"/>
      <c r="M56" s="220"/>
      <c r="N56" s="222">
        <f>AVERAGE(J56:M56)</f>
        <v>0</v>
      </c>
    </row>
    <row r="57" spans="1:14" ht="12.3" x14ac:dyDescent="0.35">
      <c r="D57" s="206" t="str">
        <f>Lookup!$D$107</f>
        <v>Underground network assets less than 33kV</v>
      </c>
      <c r="E57" s="216" t="str">
        <f t="shared" ref="E57:E65" si="10">E19</f>
        <v>EB RIN</v>
      </c>
      <c r="F57" s="216" t="s">
        <v>204</v>
      </c>
      <c r="G57" s="216" t="str">
        <f t="shared" si="9"/>
        <v>N/A</v>
      </c>
      <c r="H57" s="216" t="str">
        <f t="shared" si="9"/>
        <v>N/A</v>
      </c>
      <c r="J57" s="220">
        <v>0</v>
      </c>
      <c r="K57" s="220"/>
      <c r="L57" s="220"/>
      <c r="M57" s="220"/>
      <c r="N57" s="222">
        <f t="shared" ref="N57:N65" si="11">AVERAGE(J57:M57)</f>
        <v>0</v>
      </c>
    </row>
    <row r="58" spans="1:14" ht="12.3" x14ac:dyDescent="0.35">
      <c r="D58" s="206" t="str">
        <f>Lookup!$D$108</f>
        <v>Distribution substations and transformers</v>
      </c>
      <c r="E58" s="216" t="str">
        <f t="shared" si="10"/>
        <v>EB RIN</v>
      </c>
      <c r="F58" s="216" t="s">
        <v>204</v>
      </c>
      <c r="G58" s="216" t="str">
        <f t="shared" si="9"/>
        <v>N/A</v>
      </c>
      <c r="H58" s="216" t="str">
        <f t="shared" si="9"/>
        <v>N/A</v>
      </c>
      <c r="J58" s="220">
        <v>0</v>
      </c>
      <c r="K58" s="220"/>
      <c r="L58" s="220"/>
      <c r="M58" s="220"/>
      <c r="N58" s="222">
        <f t="shared" si="11"/>
        <v>0</v>
      </c>
    </row>
    <row r="59" spans="1:14" ht="12.3" x14ac:dyDescent="0.35">
      <c r="D59" s="206" t="str">
        <f>Lookup!$D$109</f>
        <v>Overhead network assets 33kV and above</v>
      </c>
      <c r="E59" s="216" t="str">
        <f t="shared" si="10"/>
        <v>EB RIN</v>
      </c>
      <c r="F59" s="216" t="s">
        <v>204</v>
      </c>
      <c r="G59" s="216" t="str">
        <f t="shared" si="9"/>
        <v>N/A</v>
      </c>
      <c r="H59" s="216" t="str">
        <f t="shared" si="9"/>
        <v>N/A</v>
      </c>
      <c r="J59" s="220">
        <v>0</v>
      </c>
      <c r="K59" s="220"/>
      <c r="L59" s="220"/>
      <c r="M59" s="220"/>
      <c r="N59" s="222">
        <f t="shared" si="11"/>
        <v>0</v>
      </c>
    </row>
    <row r="60" spans="1:14" ht="12.3" x14ac:dyDescent="0.35">
      <c r="D60" s="206" t="str">
        <f>Lookup!$D$110</f>
        <v>Underground network assets 33kV and above</v>
      </c>
      <c r="E60" s="216" t="str">
        <f t="shared" si="10"/>
        <v>EB RIN</v>
      </c>
      <c r="F60" s="216" t="s">
        <v>204</v>
      </c>
      <c r="G60" s="216" t="str">
        <f t="shared" si="9"/>
        <v>N/A</v>
      </c>
      <c r="H60" s="216" t="str">
        <f t="shared" si="9"/>
        <v>N/A</v>
      </c>
      <c r="J60" s="220">
        <v>0</v>
      </c>
      <c r="K60" s="220"/>
      <c r="L60" s="220"/>
      <c r="M60" s="220"/>
      <c r="N60" s="222">
        <f t="shared" si="11"/>
        <v>0</v>
      </c>
    </row>
    <row r="61" spans="1:14" ht="12.3" x14ac:dyDescent="0.35">
      <c r="D61" s="206" t="str">
        <f>Lookup!$D$111</f>
        <v>Zone substations and transformers</v>
      </c>
      <c r="E61" s="216" t="str">
        <f t="shared" si="10"/>
        <v>EB RIN</v>
      </c>
      <c r="F61" s="216" t="s">
        <v>204</v>
      </c>
      <c r="G61" s="216" t="str">
        <f t="shared" si="9"/>
        <v>N/A</v>
      </c>
      <c r="H61" s="216" t="str">
        <f t="shared" si="9"/>
        <v>N/A</v>
      </c>
      <c r="J61" s="220">
        <v>0</v>
      </c>
      <c r="K61" s="220"/>
      <c r="L61" s="220"/>
      <c r="M61" s="220"/>
      <c r="N61" s="222">
        <f t="shared" si="11"/>
        <v>0</v>
      </c>
    </row>
    <row r="62" spans="1:14" ht="12.3" x14ac:dyDescent="0.35">
      <c r="D62" s="206" t="str">
        <f>Lookup!$D$112</f>
        <v>Easements</v>
      </c>
      <c r="E62" s="216" t="str">
        <f t="shared" si="10"/>
        <v>EB RIN</v>
      </c>
      <c r="F62" s="216" t="s">
        <v>204</v>
      </c>
      <c r="G62" s="216" t="str">
        <f t="shared" si="9"/>
        <v>N/A</v>
      </c>
      <c r="H62" s="216" t="str">
        <f t="shared" si="9"/>
        <v>N/A</v>
      </c>
      <c r="J62" s="301"/>
      <c r="K62" s="301"/>
      <c r="L62" s="301"/>
      <c r="M62" s="301"/>
      <c r="N62" s="222" t="str">
        <f>NA</f>
        <v>N/A</v>
      </c>
    </row>
    <row r="63" spans="1:14" ht="12.3" x14ac:dyDescent="0.35">
      <c r="D63" s="206" t="str">
        <f>Lookup!$D$113</f>
        <v>Meters</v>
      </c>
      <c r="E63" s="216" t="str">
        <f t="shared" si="10"/>
        <v>EB RIN</v>
      </c>
      <c r="F63" s="216" t="s">
        <v>204</v>
      </c>
      <c r="G63" s="216" t="str">
        <f t="shared" si="9"/>
        <v>N/A</v>
      </c>
      <c r="H63" s="216" t="str">
        <f t="shared" si="9"/>
        <v>N/A</v>
      </c>
      <c r="J63" s="220">
        <v>16</v>
      </c>
      <c r="K63" s="220">
        <v>16</v>
      </c>
      <c r="L63" s="220">
        <v>16</v>
      </c>
      <c r="M63" s="220">
        <v>16</v>
      </c>
      <c r="N63" s="222">
        <f t="shared" si="11"/>
        <v>16</v>
      </c>
    </row>
    <row r="64" spans="1:14" ht="12.3" x14ac:dyDescent="0.35">
      <c r="D64" s="206" t="str">
        <f>Lookup!$D$114</f>
        <v>“Other” asset items with long lives</v>
      </c>
      <c r="E64" s="216" t="str">
        <f t="shared" si="10"/>
        <v>EB RIN</v>
      </c>
      <c r="F64" s="216" t="s">
        <v>204</v>
      </c>
      <c r="G64" s="216" t="str">
        <f t="shared" si="9"/>
        <v>N/A</v>
      </c>
      <c r="H64" s="216" t="str">
        <f t="shared" si="9"/>
        <v>N/A</v>
      </c>
      <c r="J64" s="220">
        <v>29</v>
      </c>
      <c r="K64" s="220">
        <v>29</v>
      </c>
      <c r="L64" s="220">
        <v>29</v>
      </c>
      <c r="M64" s="220">
        <v>29</v>
      </c>
      <c r="N64" s="222">
        <f t="shared" si="11"/>
        <v>29</v>
      </c>
    </row>
    <row r="65" spans="1:14" ht="12.3" x14ac:dyDescent="0.35">
      <c r="D65" s="206" t="str">
        <f>Lookup!$D$115</f>
        <v>“Other” asset items with short lives</v>
      </c>
      <c r="E65" s="216" t="str">
        <f t="shared" si="10"/>
        <v>EB RIN</v>
      </c>
      <c r="F65" s="216" t="s">
        <v>204</v>
      </c>
      <c r="G65" s="216" t="str">
        <f t="shared" si="9"/>
        <v>N/A</v>
      </c>
      <c r="H65" s="216" t="str">
        <f t="shared" si="9"/>
        <v>N/A</v>
      </c>
      <c r="J65" s="220">
        <v>7</v>
      </c>
      <c r="K65" s="220">
        <v>7</v>
      </c>
      <c r="L65" s="220">
        <v>7</v>
      </c>
      <c r="M65" s="220">
        <v>7</v>
      </c>
      <c r="N65" s="222">
        <f t="shared" si="11"/>
        <v>7</v>
      </c>
    </row>
    <row r="66" spans="1:14" x14ac:dyDescent="0.35">
      <c r="D66" s="201"/>
      <c r="E66" s="201"/>
      <c r="F66" s="201"/>
      <c r="G66" s="201"/>
      <c r="H66" s="201"/>
      <c r="N66" s="201"/>
    </row>
    <row r="67" spans="1:14" ht="11.25" customHeight="1" x14ac:dyDescent="0.35">
      <c r="D67" s="217" t="s">
        <v>90</v>
      </c>
      <c r="E67" s="218" t="s">
        <v>28</v>
      </c>
      <c r="F67" s="218" t="str">
        <f>F56</f>
        <v>Years</v>
      </c>
      <c r="G67" s="218" t="str">
        <f>G56</f>
        <v>N/A</v>
      </c>
      <c r="H67" s="218" t="str">
        <f>H56</f>
        <v>N/A</v>
      </c>
      <c r="J67" s="219" t="s">
        <v>28</v>
      </c>
      <c r="K67" s="219" t="s">
        <v>28</v>
      </c>
      <c r="L67" s="219" t="s">
        <v>28</v>
      </c>
      <c r="M67" s="219" t="s">
        <v>28</v>
      </c>
      <c r="N67" s="219" t="s">
        <v>28</v>
      </c>
    </row>
    <row r="68" spans="1:14" ht="4.5" customHeight="1" x14ac:dyDescent="0.35"/>
    <row r="69" spans="1:14" ht="11.25" customHeight="1" x14ac:dyDescent="0.35">
      <c r="A69" s="199">
        <f>IF(SUM($J69:$N69)&lt;&gt;0,1,0)</f>
        <v>0</v>
      </c>
      <c r="D69" s="206" t="s">
        <v>94</v>
      </c>
      <c r="E69" s="201"/>
      <c r="F69" s="201"/>
      <c r="G69" s="201"/>
      <c r="H69" s="201"/>
      <c r="N69" s="199">
        <f>IF(ISERROR(SUM(N56:N65)),1,0)</f>
        <v>0</v>
      </c>
    </row>
    <row r="70" spans="1:14" ht="11.25" customHeight="1" x14ac:dyDescent="0.35"/>
    <row r="71" spans="1:14" s="2" customFormat="1" ht="15" x14ac:dyDescent="0.35">
      <c r="B71" s="2" t="s">
        <v>26</v>
      </c>
    </row>
  </sheetData>
  <conditionalFormatting sqref="B2">
    <cfRule type="cellIs" dxfId="16" priority="1" operator="notEqual">
      <formula>"No Errors Found"</formula>
    </cfRule>
  </conditionalFormatting>
  <hyperlinks>
    <hyperlink ref="B3:E3" location="TOC!A1" display="TOC!A1" xr:uid="{9360EBA6-893F-4272-BC58-827122D9A4FB}"/>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4" tint="0.79998168889431442"/>
  </sheetPr>
  <dimension ref="A1:W91"/>
  <sheetViews>
    <sheetView showGridLines="0" zoomScaleNormal="100" workbookViewId="0">
      <pane xSplit="1" ySplit="10" topLeftCell="B11" activePane="bottomRight" state="frozen"/>
      <selection activeCell="D44" sqref="D44"/>
      <selection pane="topRight" activeCell="D44" sqref="D44"/>
      <selection pane="bottomLeft" activeCell="D44" sqref="D44"/>
      <selection pane="bottomRight" activeCell="B11" sqref="B11"/>
    </sheetView>
  </sheetViews>
  <sheetFormatPr defaultColWidth="9.33203125" defaultRowHeight="10.199999999999999" outlineLevelRow="1" x14ac:dyDescent="0.35"/>
  <cols>
    <col min="1" max="1" width="3.33203125" style="201" customWidth="1"/>
    <col min="2" max="3" width="2.796875" style="201" customWidth="1"/>
    <col min="4" max="4" width="45.46484375" style="201" customWidth="1"/>
    <col min="5" max="5" width="15" style="201" bestFit="1" customWidth="1"/>
    <col min="6" max="6" width="9.1328125" style="201" customWidth="1"/>
    <col min="7" max="7" width="12" style="201" customWidth="1"/>
    <col min="8" max="8" width="10" style="201" customWidth="1"/>
    <col min="9" max="20" width="2.59765625" style="201" customWidth="1"/>
    <col min="21" max="21" width="12.796875" style="201" customWidth="1"/>
    <col min="22" max="22" width="3.59765625" style="201" customWidth="1"/>
    <col min="23" max="23" width="10.796875" style="201" customWidth="1"/>
    <col min="24" max="24" width="13.796875" style="201" customWidth="1"/>
    <col min="25" max="32" width="11.6640625" style="201" customWidth="1"/>
    <col min="33" max="33" width="13.796875" style="201" customWidth="1"/>
    <col min="34" max="35" width="11.6640625" style="201" customWidth="1"/>
    <col min="36" max="36" width="14.1328125" style="201" customWidth="1"/>
    <col min="37" max="16384" width="9.33203125" style="201"/>
  </cols>
  <sheetData>
    <row r="1" spans="1:23" ht="18.899999999999999" x14ac:dyDescent="0.35">
      <c r="A1" s="199">
        <f>IF(SUM($A11:$A91)&gt;0,1,0)</f>
        <v>0</v>
      </c>
      <c r="B1" s="200" t="s">
        <v>427</v>
      </c>
    </row>
    <row r="2" spans="1:23" x14ac:dyDescent="0.35">
      <c r="B2" s="202" t="str">
        <f>Title_Msg</f>
        <v>No Errors Found</v>
      </c>
    </row>
    <row r="3" spans="1:23" x14ac:dyDescent="0.35">
      <c r="B3" s="203" t="str">
        <f>TOC!B1</f>
        <v>Table of Contents</v>
      </c>
      <c r="C3" s="204"/>
      <c r="D3" s="204"/>
      <c r="E3" s="204"/>
    </row>
    <row r="4" spans="1:23" ht="12.3" x14ac:dyDescent="0.35">
      <c r="B4" s="205" t="str">
        <f>Model_Name</f>
        <v>Power and Water Corporation (PWC) - RAB Allocation - EB RIN</v>
      </c>
    </row>
    <row r="5" spans="1:23" ht="12.3" hidden="1" outlineLevel="1" x14ac:dyDescent="0.35">
      <c r="B5" s="206" t="str">
        <f>Lookup!B15</f>
        <v>Period start date</v>
      </c>
      <c r="U5" s="207">
        <f>Lookup!U15</f>
        <v>44378</v>
      </c>
    </row>
    <row r="6" spans="1:23" ht="12.3" hidden="1" outlineLevel="1" x14ac:dyDescent="0.35">
      <c r="B6" s="206" t="str">
        <f>Lookup!B16</f>
        <v>Period end date</v>
      </c>
      <c r="U6" s="207">
        <f>Lookup!U16</f>
        <v>44742</v>
      </c>
    </row>
    <row r="7" spans="1:23" ht="12.3" hidden="1" outlineLevel="1" x14ac:dyDescent="0.35">
      <c r="B7" s="206" t="str">
        <f>Lookup!B17</f>
        <v>Period counter</v>
      </c>
      <c r="U7" s="208">
        <f>Lookup!U17</f>
        <v>12</v>
      </c>
    </row>
    <row r="8" spans="1:23" ht="12.3" hidden="1" outlineLevel="1" x14ac:dyDescent="0.35">
      <c r="B8" s="206" t="str">
        <f>Lookup!B18</f>
        <v>Year</v>
      </c>
      <c r="U8" s="209">
        <f>Lookup!U18</f>
        <v>2022</v>
      </c>
    </row>
    <row r="9" spans="1:23" ht="12.3" hidden="1" outlineLevel="1" x14ac:dyDescent="0.35">
      <c r="B9" s="206" t="str">
        <f>Lookup!B19</f>
        <v>Period type</v>
      </c>
      <c r="U9" s="209" t="str">
        <f>Lookup!U19</f>
        <v>Base Year</v>
      </c>
    </row>
    <row r="10" spans="1:23" ht="12.3" collapsed="1" x14ac:dyDescent="0.35">
      <c r="B10" s="210" t="str">
        <f>Lookup!B20</f>
        <v>Regulatory year</v>
      </c>
      <c r="E10" s="211" t="str">
        <f>Lookup!E20</f>
        <v>Source</v>
      </c>
      <c r="F10" s="211" t="str">
        <f>Lookup!F20</f>
        <v>Unit</v>
      </c>
      <c r="G10" s="211" t="str">
        <f>Lookup!G20</f>
        <v>Basis</v>
      </c>
      <c r="H10" s="211" t="str">
        <f>Lookup!H20</f>
        <v>Timing</v>
      </c>
      <c r="I10" s="211"/>
      <c r="U10" s="211" t="s">
        <v>383</v>
      </c>
      <c r="W10" s="206" t="s">
        <v>384</v>
      </c>
    </row>
    <row r="12" spans="1:23" s="212" customFormat="1" ht="15" x14ac:dyDescent="0.35">
      <c r="B12" s="212" t="s">
        <v>428</v>
      </c>
    </row>
    <row r="13" spans="1:23" ht="4.5" customHeight="1" x14ac:dyDescent="0.35"/>
    <row r="14" spans="1:23" s="213" customFormat="1" ht="14.1" x14ac:dyDescent="0.35">
      <c r="C14" s="213" t="s">
        <v>210</v>
      </c>
    </row>
    <row r="15" spans="1:23" ht="11.25" customHeight="1" x14ac:dyDescent="0.35"/>
    <row r="16" spans="1:23" ht="12.3" x14ac:dyDescent="0.35">
      <c r="D16" s="214" t="s">
        <v>399</v>
      </c>
      <c r="E16" s="215" t="str">
        <f>Lookup!E$20</f>
        <v>Source</v>
      </c>
      <c r="F16" s="215" t="str">
        <f>Lookup!F$20</f>
        <v>Unit</v>
      </c>
      <c r="G16" s="215" t="str">
        <f>Lookup!G$20</f>
        <v>Basis</v>
      </c>
      <c r="H16" s="215" t="str">
        <f>Lookup!H$20</f>
        <v>Timing</v>
      </c>
      <c r="U16" s="215" t="str">
        <f t="shared" ref="U16" si="0">U$10</f>
        <v>RY17</v>
      </c>
    </row>
    <row r="18" spans="1:21" ht="12.3" x14ac:dyDescent="0.35">
      <c r="D18" s="206" t="str">
        <f>Lookup!$D$106</f>
        <v>Overhead network assets less than 33kV</v>
      </c>
      <c r="E18" s="216" t="s">
        <v>356</v>
      </c>
      <c r="F18" s="216" t="str">
        <f t="shared" ref="F18:F21" si="1">Dollars</f>
        <v>Dollars</v>
      </c>
      <c r="G18" s="216" t="str">
        <f t="shared" ref="G18:G21" si="2">Nominal</f>
        <v>Nominal</v>
      </c>
      <c r="H18" s="216" t="str">
        <f t="shared" ref="H18:H21" si="3">Mid_year</f>
        <v>Mid year</v>
      </c>
      <c r="U18" s="319">
        <v>21841.46707476749</v>
      </c>
    </row>
    <row r="19" spans="1:21" ht="12.3" x14ac:dyDescent="0.35">
      <c r="D19" s="206" t="str">
        <f>Lookup!$D$107</f>
        <v>Underground network assets less than 33kV</v>
      </c>
      <c r="E19" s="216" t="str">
        <f>E18</f>
        <v>PWC</v>
      </c>
      <c r="F19" s="216" t="str">
        <f t="shared" si="1"/>
        <v>Dollars</v>
      </c>
      <c r="G19" s="216" t="str">
        <f t="shared" si="2"/>
        <v>Nominal</v>
      </c>
      <c r="H19" s="216" t="str">
        <f t="shared" si="3"/>
        <v>Mid year</v>
      </c>
      <c r="U19" s="319">
        <v>171354.67665874504</v>
      </c>
    </row>
    <row r="20" spans="1:21" ht="12.3" x14ac:dyDescent="0.35">
      <c r="D20" s="206" t="str">
        <f>Lookup!$D$109</f>
        <v>Overhead network assets 33kV and above</v>
      </c>
      <c r="E20" s="216" t="str">
        <f t="shared" ref="E20:E21" si="4">E19</f>
        <v>PWC</v>
      </c>
      <c r="F20" s="216" t="str">
        <f t="shared" si="1"/>
        <v>Dollars</v>
      </c>
      <c r="G20" s="216" t="str">
        <f t="shared" si="2"/>
        <v>Nominal</v>
      </c>
      <c r="H20" s="216" t="str">
        <f t="shared" si="3"/>
        <v>Mid year</v>
      </c>
      <c r="U20" s="319">
        <v>9936.1669176891737</v>
      </c>
    </row>
    <row r="21" spans="1:21" ht="12.3" x14ac:dyDescent="0.35">
      <c r="D21" s="206" t="str">
        <f>Lookup!$D$110</f>
        <v>Underground network assets 33kV and above</v>
      </c>
      <c r="E21" s="216" t="str">
        <f t="shared" si="4"/>
        <v>PWC</v>
      </c>
      <c r="F21" s="216" t="str">
        <f t="shared" si="1"/>
        <v>Dollars</v>
      </c>
      <c r="G21" s="216" t="str">
        <f t="shared" si="2"/>
        <v>Nominal</v>
      </c>
      <c r="H21" s="216" t="str">
        <f t="shared" si="3"/>
        <v>Mid year</v>
      </c>
      <c r="U21" s="319">
        <v>31053.806628761675</v>
      </c>
    </row>
    <row r="23" spans="1:21" ht="12.3" x14ac:dyDescent="0.35">
      <c r="D23" s="217" t="s">
        <v>90</v>
      </c>
      <c r="E23" s="218" t="str">
        <f t="shared" ref="E23:H23" si="5">NA</f>
        <v>N/A</v>
      </c>
      <c r="F23" s="218" t="str">
        <f t="shared" si="5"/>
        <v>N/A</v>
      </c>
      <c r="G23" s="218" t="str">
        <f t="shared" si="5"/>
        <v>N/A</v>
      </c>
      <c r="H23" s="218" t="str">
        <f t="shared" si="5"/>
        <v>N/A</v>
      </c>
      <c r="U23" s="219" t="str">
        <f t="shared" ref="U23" si="6">NA</f>
        <v>N/A</v>
      </c>
    </row>
    <row r="24" spans="1:21" ht="4.5" customHeight="1" x14ac:dyDescent="0.35"/>
    <row r="25" spans="1:21" ht="11.25" customHeight="1" x14ac:dyDescent="0.35">
      <c r="A25" s="199">
        <f>IF(SUM($J25:$U25)&lt;&gt;0,1,0)</f>
        <v>0</v>
      </c>
      <c r="D25" s="206" t="s">
        <v>94</v>
      </c>
      <c r="U25" s="199">
        <f t="shared" ref="U25" si="7">IF(ISERROR(U23),1,0)</f>
        <v>0</v>
      </c>
    </row>
    <row r="26" spans="1:21" ht="4.5" customHeight="1" x14ac:dyDescent="0.35"/>
    <row r="27" spans="1:21" s="213" customFormat="1" ht="14.1" x14ac:dyDescent="0.35">
      <c r="C27" s="213" t="s">
        <v>429</v>
      </c>
    </row>
    <row r="28" spans="1:21" ht="11.25" customHeight="1" x14ac:dyDescent="0.35"/>
    <row r="29" spans="1:21" ht="12.3" x14ac:dyDescent="0.35">
      <c r="D29" s="214" t="str">
        <f>D$16</f>
        <v>Category heading</v>
      </c>
      <c r="E29" s="215" t="str">
        <f>Lookup!E$20</f>
        <v>Source</v>
      </c>
      <c r="F29" s="215" t="str">
        <f>Lookup!F$20</f>
        <v>Unit</v>
      </c>
      <c r="G29" s="215" t="str">
        <f>Lookup!G$20</f>
        <v>Basis</v>
      </c>
      <c r="H29" s="215" t="str">
        <f>Lookup!H$20</f>
        <v>Timing</v>
      </c>
      <c r="U29" s="215" t="str">
        <f t="shared" ref="U29" si="8">U$10</f>
        <v>RY17</v>
      </c>
    </row>
    <row r="31" spans="1:21" ht="12.3" x14ac:dyDescent="0.35">
      <c r="D31" s="206" t="str">
        <f>Lookup!$D$106</f>
        <v>Overhead network assets less than 33kV</v>
      </c>
      <c r="E31" s="216" t="s">
        <v>193</v>
      </c>
      <c r="F31" s="216" t="s">
        <v>96</v>
      </c>
      <c r="G31" s="216" t="str">
        <f t="shared" ref="G31:H34" si="9">NA</f>
        <v>N/A</v>
      </c>
      <c r="H31" s="216" t="str">
        <f t="shared" si="9"/>
        <v>N/A</v>
      </c>
      <c r="U31" s="319">
        <v>4667.9266079387562</v>
      </c>
    </row>
    <row r="32" spans="1:21" ht="12.3" x14ac:dyDescent="0.35">
      <c r="D32" s="206" t="str">
        <f>Lookup!$D$107</f>
        <v>Underground network assets less than 33kV</v>
      </c>
      <c r="E32" s="216" t="s">
        <v>193</v>
      </c>
      <c r="F32" s="216" t="s">
        <v>96</v>
      </c>
      <c r="G32" s="216" t="str">
        <f t="shared" si="9"/>
        <v>N/A</v>
      </c>
      <c r="H32" s="216" t="str">
        <f t="shared" si="9"/>
        <v>N/A</v>
      </c>
      <c r="U32" s="319">
        <v>1567.5252545837129</v>
      </c>
    </row>
    <row r="33" spans="1:21" ht="12.3" x14ac:dyDescent="0.35">
      <c r="D33" s="206" t="str">
        <f>Lookup!$D$109</f>
        <v>Overhead network assets 33kV and above</v>
      </c>
      <c r="E33" s="216" t="s">
        <v>193</v>
      </c>
      <c r="F33" s="216" t="s">
        <v>96</v>
      </c>
      <c r="G33" s="216" t="str">
        <f t="shared" si="9"/>
        <v>N/A</v>
      </c>
      <c r="H33" s="216" t="str">
        <f t="shared" si="9"/>
        <v>N/A</v>
      </c>
      <c r="U33" s="319">
        <v>737.13552975044047</v>
      </c>
    </row>
    <row r="34" spans="1:21" ht="12.3" x14ac:dyDescent="0.35">
      <c r="D34" s="206" t="str">
        <f>Lookup!$D$110</f>
        <v>Underground network assets 33kV and above</v>
      </c>
      <c r="E34" s="216" t="s">
        <v>193</v>
      </c>
      <c r="F34" s="216" t="s">
        <v>96</v>
      </c>
      <c r="G34" s="216" t="str">
        <f t="shared" si="9"/>
        <v>N/A</v>
      </c>
      <c r="H34" s="216" t="str">
        <f t="shared" si="9"/>
        <v>N/A</v>
      </c>
      <c r="U34" s="319">
        <v>42.21197469026</v>
      </c>
    </row>
    <row r="36" spans="1:21" ht="12.3" x14ac:dyDescent="0.35">
      <c r="D36" s="217" t="s">
        <v>90</v>
      </c>
      <c r="E36" s="218" t="s">
        <v>91</v>
      </c>
      <c r="F36" s="218" t="str">
        <f>F31</f>
        <v>Km</v>
      </c>
      <c r="G36" s="218" t="str">
        <f>G31</f>
        <v>N/A</v>
      </c>
      <c r="H36" s="218" t="str">
        <f>H31</f>
        <v>N/A</v>
      </c>
      <c r="U36" s="219">
        <f>SUM(U31:U34)</f>
        <v>7014.7993669631696</v>
      </c>
    </row>
    <row r="37" spans="1:21" ht="4.5" customHeight="1" x14ac:dyDescent="0.35"/>
    <row r="38" spans="1:21" ht="11.25" customHeight="1" x14ac:dyDescent="0.35">
      <c r="A38" s="199">
        <f>IF(SUM($J38:$U38)&lt;&gt;0,1,0)</f>
        <v>0</v>
      </c>
      <c r="D38" s="206" t="s">
        <v>94</v>
      </c>
      <c r="U38" s="199">
        <f t="shared" ref="U38" si="10">IF(ISERROR(U36),1,0)</f>
        <v>0</v>
      </c>
    </row>
    <row r="39" spans="1:21" ht="4.5" customHeight="1" x14ac:dyDescent="0.35"/>
    <row r="40" spans="1:21" s="213" customFormat="1" ht="14.1" x14ac:dyDescent="0.35">
      <c r="C40" s="213" t="s">
        <v>430</v>
      </c>
    </row>
    <row r="41" spans="1:21" ht="11.25" customHeight="1" x14ac:dyDescent="0.35"/>
    <row r="42" spans="1:21" ht="12.3" x14ac:dyDescent="0.35">
      <c r="D42" s="214" t="str">
        <f>D$16</f>
        <v>Category heading</v>
      </c>
      <c r="E42" s="215" t="str">
        <f>Lookup!E$20</f>
        <v>Source</v>
      </c>
      <c r="F42" s="215" t="str">
        <f>Lookup!F$20</f>
        <v>Unit</v>
      </c>
      <c r="G42" s="215" t="str">
        <f>Lookup!G$20</f>
        <v>Basis</v>
      </c>
      <c r="H42" s="215" t="str">
        <f>Lookup!H$20</f>
        <v>Timing</v>
      </c>
      <c r="U42" s="215" t="str">
        <f t="shared" ref="U42" si="11">U$10</f>
        <v>RY17</v>
      </c>
    </row>
    <row r="44" spans="1:21" ht="12.3" x14ac:dyDescent="0.35">
      <c r="D44" s="206" t="str">
        <f>Lookup!$D$106</f>
        <v>Overhead network assets less than 33kV</v>
      </c>
      <c r="E44" s="216" t="s">
        <v>193</v>
      </c>
      <c r="F44" s="216" t="s">
        <v>153</v>
      </c>
      <c r="G44" s="216" t="str">
        <f t="shared" ref="G44:H47" si="12">NA</f>
        <v>N/A</v>
      </c>
      <c r="H44" s="216" t="str">
        <f t="shared" si="12"/>
        <v>N/A</v>
      </c>
      <c r="U44" s="319">
        <v>17.21108301682106</v>
      </c>
    </row>
    <row r="45" spans="1:21" ht="12.3" x14ac:dyDescent="0.35">
      <c r="D45" s="206" t="str">
        <f>Lookup!$D$107</f>
        <v>Underground network assets less than 33kV</v>
      </c>
      <c r="E45" s="216" t="s">
        <v>193</v>
      </c>
      <c r="F45" s="216" t="s">
        <v>153</v>
      </c>
      <c r="G45" s="216" t="str">
        <f t="shared" si="12"/>
        <v>N/A</v>
      </c>
      <c r="H45" s="216" t="str">
        <f t="shared" si="12"/>
        <v>N/A</v>
      </c>
      <c r="U45" s="319">
        <v>20.839933648403903</v>
      </c>
    </row>
    <row r="46" spans="1:21" ht="12.3" x14ac:dyDescent="0.35">
      <c r="D46" s="206" t="str">
        <f>Lookup!$D$109</f>
        <v>Overhead network assets 33kV and above</v>
      </c>
      <c r="E46" s="216" t="s">
        <v>193</v>
      </c>
      <c r="F46" s="216" t="s">
        <v>153</v>
      </c>
      <c r="G46" s="216" t="str">
        <f t="shared" si="12"/>
        <v>N/A</v>
      </c>
      <c r="H46" s="216" t="str">
        <f t="shared" si="12"/>
        <v>N/A</v>
      </c>
      <c r="U46" s="319">
        <v>153.02016827670343</v>
      </c>
    </row>
    <row r="47" spans="1:21" ht="12.3" x14ac:dyDescent="0.35">
      <c r="D47" s="206" t="str">
        <f>Lookup!$D$110</f>
        <v>Underground network assets 33kV and above</v>
      </c>
      <c r="E47" s="216" t="s">
        <v>193</v>
      </c>
      <c r="F47" s="216" t="s">
        <v>153</v>
      </c>
      <c r="G47" s="216" t="str">
        <f t="shared" si="12"/>
        <v>N/A</v>
      </c>
      <c r="H47" s="216" t="str">
        <f t="shared" si="12"/>
        <v>N/A</v>
      </c>
      <c r="U47" s="319">
        <v>59.948319578930764</v>
      </c>
    </row>
    <row r="49" spans="1:21" ht="12.3" x14ac:dyDescent="0.35">
      <c r="D49" s="217" t="s">
        <v>90</v>
      </c>
      <c r="E49" s="218" t="s">
        <v>91</v>
      </c>
      <c r="F49" s="218" t="str">
        <f>F44</f>
        <v>MVA</v>
      </c>
      <c r="G49" s="218" t="str">
        <f>G44</f>
        <v>N/A</v>
      </c>
      <c r="H49" s="218" t="str">
        <f>H44</f>
        <v>N/A</v>
      </c>
      <c r="U49" s="219">
        <f>SUM(U44:U47)</f>
        <v>251.01950452085913</v>
      </c>
    </row>
    <row r="50" spans="1:21" ht="4.5" customHeight="1" x14ac:dyDescent="0.35"/>
    <row r="51" spans="1:21" ht="11.25" customHeight="1" x14ac:dyDescent="0.35">
      <c r="A51" s="199">
        <f>IF(SUM($J51:$U51)&lt;&gt;0,1,0)</f>
        <v>0</v>
      </c>
      <c r="D51" s="206" t="s">
        <v>94</v>
      </c>
      <c r="U51" s="199">
        <f t="shared" ref="U51" si="13">IF(ISERROR(U49),1,0)</f>
        <v>0</v>
      </c>
    </row>
    <row r="52" spans="1:21" ht="4.5" customHeight="1" x14ac:dyDescent="0.35"/>
    <row r="53" spans="1:21" s="213" customFormat="1" ht="14.1" x14ac:dyDescent="0.35">
      <c r="C53" s="213" t="s">
        <v>431</v>
      </c>
    </row>
    <row r="54" spans="1:21" ht="11.25" customHeight="1" x14ac:dyDescent="0.35"/>
    <row r="55" spans="1:21" ht="12.3" x14ac:dyDescent="0.35">
      <c r="D55" s="214" t="str">
        <f>D$16</f>
        <v>Category heading</v>
      </c>
      <c r="E55" s="215" t="str">
        <f>Lookup!E$20</f>
        <v>Source</v>
      </c>
      <c r="F55" s="215" t="str">
        <f>Lookup!F$20</f>
        <v>Unit</v>
      </c>
      <c r="G55" s="215" t="str">
        <f>Lookup!G$20</f>
        <v>Basis</v>
      </c>
      <c r="H55" s="215" t="str">
        <f>Lookup!H$20</f>
        <v>Timing</v>
      </c>
      <c r="U55" s="215" t="str">
        <f t="shared" ref="U55" si="14">U$10</f>
        <v>RY17</v>
      </c>
    </row>
    <row r="57" spans="1:21" ht="12.3" x14ac:dyDescent="0.35">
      <c r="C57" s="221">
        <f>N(C56)+1</f>
        <v>1</v>
      </c>
      <c r="D57" s="206" t="str">
        <f>Lookup!$D$106</f>
        <v>Overhead network assets less than 33kV</v>
      </c>
      <c r="E57" s="216" t="s">
        <v>205</v>
      </c>
      <c r="F57" s="216" t="s">
        <v>204</v>
      </c>
      <c r="G57" s="216" t="str">
        <f t="shared" ref="G57:H66" si="15">NA</f>
        <v>N/A</v>
      </c>
      <c r="H57" s="216" t="str">
        <f t="shared" si="15"/>
        <v>N/A</v>
      </c>
      <c r="U57" s="319">
        <v>24.321539217915245</v>
      </c>
    </row>
    <row r="58" spans="1:21" ht="12.3" x14ac:dyDescent="0.35">
      <c r="C58" s="221">
        <f t="shared" ref="C58:C66" si="16">N(C57)+1</f>
        <v>2</v>
      </c>
      <c r="D58" s="206" t="str">
        <f>Lookup!$D$107</f>
        <v>Underground network assets less than 33kV</v>
      </c>
      <c r="E58" s="216" t="s">
        <v>205</v>
      </c>
      <c r="F58" s="216" t="s">
        <v>204</v>
      </c>
      <c r="G58" s="216" t="str">
        <f t="shared" si="15"/>
        <v>N/A</v>
      </c>
      <c r="H58" s="216" t="str">
        <f t="shared" si="15"/>
        <v>N/A</v>
      </c>
      <c r="U58" s="319">
        <v>24.321478316570534</v>
      </c>
    </row>
    <row r="59" spans="1:21" ht="12.3" x14ac:dyDescent="0.35">
      <c r="C59" s="221">
        <f t="shared" si="16"/>
        <v>3</v>
      </c>
      <c r="D59" s="206" t="str">
        <f>Lookup!$D$108</f>
        <v>Distribution substations and transformers</v>
      </c>
      <c r="E59" s="216" t="s">
        <v>205</v>
      </c>
      <c r="F59" s="216" t="s">
        <v>204</v>
      </c>
      <c r="G59" s="216" t="str">
        <f t="shared" si="15"/>
        <v>N/A</v>
      </c>
      <c r="H59" s="216" t="str">
        <f t="shared" si="15"/>
        <v>N/A</v>
      </c>
      <c r="U59" s="319">
        <v>27.625996366173247</v>
      </c>
    </row>
    <row r="60" spans="1:21" ht="12.3" x14ac:dyDescent="0.35">
      <c r="C60" s="221">
        <f t="shared" si="16"/>
        <v>4</v>
      </c>
      <c r="D60" s="206" t="str">
        <f>Lookup!$D$109</f>
        <v>Overhead network assets 33kV and above</v>
      </c>
      <c r="E60" s="216" t="s">
        <v>205</v>
      </c>
      <c r="F60" s="216" t="s">
        <v>204</v>
      </c>
      <c r="G60" s="216" t="str">
        <f t="shared" si="15"/>
        <v>N/A</v>
      </c>
      <c r="H60" s="216" t="str">
        <f t="shared" si="15"/>
        <v>N/A</v>
      </c>
      <c r="U60" s="319">
        <v>28.032955981447742</v>
      </c>
    </row>
    <row r="61" spans="1:21" ht="12.3" x14ac:dyDescent="0.35">
      <c r="C61" s="221">
        <f t="shared" si="16"/>
        <v>5</v>
      </c>
      <c r="D61" s="206" t="str">
        <f>Lookup!$D$110</f>
        <v>Underground network assets 33kV and above</v>
      </c>
      <c r="E61" s="216" t="s">
        <v>205</v>
      </c>
      <c r="F61" s="216" t="s">
        <v>204</v>
      </c>
      <c r="G61" s="216" t="str">
        <f t="shared" si="15"/>
        <v>N/A</v>
      </c>
      <c r="H61" s="216" t="str">
        <f t="shared" si="15"/>
        <v>N/A</v>
      </c>
      <c r="U61" s="319">
        <v>28.032955981447738</v>
      </c>
    </row>
    <row r="62" spans="1:21" ht="12.3" x14ac:dyDescent="0.35">
      <c r="C62" s="221">
        <f t="shared" si="16"/>
        <v>6</v>
      </c>
      <c r="D62" s="206" t="str">
        <f>Lookup!$D$111</f>
        <v>Zone substations and transformers</v>
      </c>
      <c r="E62" s="216" t="s">
        <v>205</v>
      </c>
      <c r="F62" s="216" t="s">
        <v>204</v>
      </c>
      <c r="G62" s="216" t="str">
        <f t="shared" si="15"/>
        <v>N/A</v>
      </c>
      <c r="H62" s="216" t="str">
        <f t="shared" si="15"/>
        <v>N/A</v>
      </c>
      <c r="U62" s="319">
        <v>13.56155807084672</v>
      </c>
    </row>
    <row r="63" spans="1:21" ht="12.3" x14ac:dyDescent="0.35">
      <c r="C63" s="221">
        <f t="shared" si="16"/>
        <v>7</v>
      </c>
      <c r="D63" s="206" t="str">
        <f>Lookup!$D$112</f>
        <v>Easements</v>
      </c>
      <c r="E63" s="216" t="s">
        <v>205</v>
      </c>
      <c r="F63" s="216" t="s">
        <v>204</v>
      </c>
      <c r="G63" s="216" t="str">
        <f t="shared" si="15"/>
        <v>N/A</v>
      </c>
      <c r="H63" s="216" t="str">
        <f t="shared" si="15"/>
        <v>N/A</v>
      </c>
      <c r="U63" s="323"/>
    </row>
    <row r="64" spans="1:21" ht="12.3" x14ac:dyDescent="0.35">
      <c r="C64" s="221">
        <f t="shared" si="16"/>
        <v>8</v>
      </c>
      <c r="D64" s="206" t="str">
        <f>Lookup!$D$113</f>
        <v>Meters</v>
      </c>
      <c r="E64" s="216" t="s">
        <v>205</v>
      </c>
      <c r="F64" s="216" t="s">
        <v>204</v>
      </c>
      <c r="G64" s="216" t="str">
        <f t="shared" si="15"/>
        <v>N/A</v>
      </c>
      <c r="H64" s="216" t="str">
        <f t="shared" si="15"/>
        <v>N/A</v>
      </c>
      <c r="U64" s="319" t="s">
        <v>460</v>
      </c>
    </row>
    <row r="65" spans="1:21" ht="12.3" x14ac:dyDescent="0.35">
      <c r="C65" s="221">
        <f t="shared" si="16"/>
        <v>9</v>
      </c>
      <c r="D65" s="206" t="str">
        <f>Lookup!$D$114</f>
        <v>“Other” asset items with long lives</v>
      </c>
      <c r="E65" s="216" t="s">
        <v>205</v>
      </c>
      <c r="F65" s="216" t="s">
        <v>204</v>
      </c>
      <c r="G65" s="216" t="str">
        <f t="shared" si="15"/>
        <v>N/A</v>
      </c>
      <c r="H65" s="216" t="str">
        <f t="shared" si="15"/>
        <v>N/A</v>
      </c>
      <c r="U65" s="319">
        <v>9.800283268795237</v>
      </c>
    </row>
    <row r="66" spans="1:21" ht="12.3" x14ac:dyDescent="0.35">
      <c r="C66" s="221">
        <f t="shared" si="16"/>
        <v>10</v>
      </c>
      <c r="D66" s="206" t="str">
        <f>Lookup!$D$115</f>
        <v>“Other” asset items with short lives</v>
      </c>
      <c r="E66" s="216" t="s">
        <v>205</v>
      </c>
      <c r="F66" s="216" t="s">
        <v>204</v>
      </c>
      <c r="G66" s="216" t="str">
        <f t="shared" si="15"/>
        <v>N/A</v>
      </c>
      <c r="H66" s="216" t="str">
        <f t="shared" si="15"/>
        <v>N/A</v>
      </c>
      <c r="U66" s="319">
        <v>2.0669674762453107</v>
      </c>
    </row>
    <row r="68" spans="1:21" ht="12.3" x14ac:dyDescent="0.35">
      <c r="D68" s="217" t="s">
        <v>90</v>
      </c>
      <c r="E68" s="218" t="s">
        <v>28</v>
      </c>
      <c r="F68" s="218" t="str">
        <f>F57</f>
        <v>Years</v>
      </c>
      <c r="G68" s="218" t="str">
        <f>G57</f>
        <v>N/A</v>
      </c>
      <c r="H68" s="218" t="str">
        <f>H57</f>
        <v>N/A</v>
      </c>
      <c r="U68" s="219" t="str">
        <f t="shared" ref="U68" si="17">NA</f>
        <v>N/A</v>
      </c>
    </row>
    <row r="69" spans="1:21" ht="4.5" customHeight="1" x14ac:dyDescent="0.35"/>
    <row r="70" spans="1:21" ht="11.25" customHeight="1" x14ac:dyDescent="0.35">
      <c r="A70" s="199">
        <f>IF(SUM($J70:$U70)&lt;&gt;0,1,0)</f>
        <v>0</v>
      </c>
      <c r="D70" s="206" t="s">
        <v>94</v>
      </c>
      <c r="U70" s="199">
        <f t="shared" ref="U70" si="18">IF(ISERROR(U68),1,0)</f>
        <v>0</v>
      </c>
    </row>
    <row r="71" spans="1:21" ht="4.5" customHeight="1" x14ac:dyDescent="0.35"/>
    <row r="72" spans="1:21" s="213" customFormat="1" ht="14.1" x14ac:dyDescent="0.35">
      <c r="C72" s="213" t="s">
        <v>432</v>
      </c>
    </row>
    <row r="73" spans="1:21" ht="11.25" customHeight="1" x14ac:dyDescent="0.35"/>
    <row r="74" spans="1:21" ht="12.3" x14ac:dyDescent="0.35">
      <c r="D74" s="214" t="str">
        <f>D$16</f>
        <v>Category heading</v>
      </c>
      <c r="E74" s="215" t="str">
        <f>Lookup!E$20</f>
        <v>Source</v>
      </c>
      <c r="F74" s="215" t="str">
        <f>Lookup!F$20</f>
        <v>Unit</v>
      </c>
      <c r="G74" s="215" t="str">
        <f>Lookup!G$20</f>
        <v>Basis</v>
      </c>
      <c r="H74" s="215" t="str">
        <f>Lookup!H$20</f>
        <v>Timing</v>
      </c>
      <c r="U74" s="215" t="str">
        <f t="shared" ref="U74" si="19">U$10</f>
        <v>RY17</v>
      </c>
    </row>
    <row r="76" spans="1:21" ht="12.3" x14ac:dyDescent="0.35">
      <c r="D76" s="206" t="str">
        <f>Lookup!$D$106</f>
        <v>Overhead network assets less than 33kV</v>
      </c>
      <c r="E76" s="216" t="s">
        <v>205</v>
      </c>
      <c r="F76" s="216" t="s">
        <v>204</v>
      </c>
      <c r="G76" s="216" t="str">
        <f t="shared" ref="G76:H85" si="20">NA</f>
        <v>N/A</v>
      </c>
      <c r="H76" s="216" t="str">
        <f t="shared" si="20"/>
        <v>N/A</v>
      </c>
      <c r="U76" s="319">
        <v>49.792725031645205</v>
      </c>
    </row>
    <row r="77" spans="1:21" ht="12.3" x14ac:dyDescent="0.35">
      <c r="D77" s="206" t="str">
        <f>Lookup!$D$107</f>
        <v>Underground network assets less than 33kV</v>
      </c>
      <c r="E77" s="216" t="s">
        <v>205</v>
      </c>
      <c r="F77" s="216" t="s">
        <v>204</v>
      </c>
      <c r="G77" s="216" t="str">
        <f t="shared" si="20"/>
        <v>N/A</v>
      </c>
      <c r="H77" s="216" t="str">
        <f t="shared" si="20"/>
        <v>N/A</v>
      </c>
      <c r="U77" s="319">
        <v>52.300284796833004</v>
      </c>
    </row>
    <row r="78" spans="1:21" ht="12.3" x14ac:dyDescent="0.35">
      <c r="D78" s="206" t="str">
        <f>Lookup!$D$108</f>
        <v>Distribution substations and transformers</v>
      </c>
      <c r="E78" s="216" t="s">
        <v>205</v>
      </c>
      <c r="F78" s="216" t="s">
        <v>204</v>
      </c>
      <c r="G78" s="216" t="str">
        <f t="shared" si="20"/>
        <v>N/A</v>
      </c>
      <c r="H78" s="216" t="str">
        <f t="shared" si="20"/>
        <v>N/A</v>
      </c>
      <c r="U78" s="319">
        <v>44.555321903731347</v>
      </c>
    </row>
    <row r="79" spans="1:21" ht="12.3" x14ac:dyDescent="0.35">
      <c r="D79" s="206" t="str">
        <f>Lookup!$D$109</f>
        <v>Overhead network assets 33kV and above</v>
      </c>
      <c r="E79" s="216" t="s">
        <v>205</v>
      </c>
      <c r="F79" s="216" t="s">
        <v>204</v>
      </c>
      <c r="G79" s="216" t="str">
        <f t="shared" si="20"/>
        <v>N/A</v>
      </c>
      <c r="H79" s="216" t="str">
        <f t="shared" si="20"/>
        <v>N/A</v>
      </c>
      <c r="U79" s="319">
        <v>54.343924174110775</v>
      </c>
    </row>
    <row r="80" spans="1:21" ht="12.3" x14ac:dyDescent="0.35">
      <c r="D80" s="206" t="str">
        <f>Lookup!$D$110</f>
        <v>Underground network assets 33kV and above</v>
      </c>
      <c r="E80" s="216" t="s">
        <v>205</v>
      </c>
      <c r="F80" s="216" t="s">
        <v>204</v>
      </c>
      <c r="G80" s="216" t="str">
        <f t="shared" si="20"/>
        <v>N/A</v>
      </c>
      <c r="H80" s="216" t="str">
        <f t="shared" si="20"/>
        <v>N/A</v>
      </c>
      <c r="U80" s="319">
        <v>49.613725933874562</v>
      </c>
    </row>
    <row r="81" spans="1:21" ht="12.3" x14ac:dyDescent="0.35">
      <c r="D81" s="206" t="str">
        <f>Lookup!$D$111</f>
        <v>Zone substations and transformers</v>
      </c>
      <c r="E81" s="216" t="s">
        <v>205</v>
      </c>
      <c r="F81" s="216" t="s">
        <v>204</v>
      </c>
      <c r="G81" s="216" t="str">
        <f t="shared" si="20"/>
        <v>N/A</v>
      </c>
      <c r="H81" s="216" t="str">
        <f t="shared" si="20"/>
        <v>N/A</v>
      </c>
      <c r="U81" s="319">
        <v>45.619061322390586</v>
      </c>
    </row>
    <row r="82" spans="1:21" ht="12.3" x14ac:dyDescent="0.35">
      <c r="D82" s="206" t="str">
        <f>Lookup!$D$112</f>
        <v>Easements</v>
      </c>
      <c r="E82" s="216" t="s">
        <v>205</v>
      </c>
      <c r="F82" s="216" t="s">
        <v>204</v>
      </c>
      <c r="G82" s="216" t="str">
        <f t="shared" si="20"/>
        <v>N/A</v>
      </c>
      <c r="H82" s="216" t="str">
        <f t="shared" si="20"/>
        <v>N/A</v>
      </c>
      <c r="U82" s="319" t="s">
        <v>28</v>
      </c>
    </row>
    <row r="83" spans="1:21" ht="12.3" x14ac:dyDescent="0.35">
      <c r="D83" s="206" t="str">
        <f>Lookup!$D$113</f>
        <v>Meters</v>
      </c>
      <c r="E83" s="216" t="s">
        <v>205</v>
      </c>
      <c r="F83" s="216" t="s">
        <v>204</v>
      </c>
      <c r="G83" s="216" t="str">
        <f t="shared" si="20"/>
        <v>N/A</v>
      </c>
      <c r="H83" s="216" t="str">
        <f t="shared" si="20"/>
        <v>N/A</v>
      </c>
      <c r="U83" s="319">
        <v>16</v>
      </c>
    </row>
    <row r="84" spans="1:21" ht="12.3" x14ac:dyDescent="0.35">
      <c r="D84" s="206" t="str">
        <f>Lookup!$D$114</f>
        <v>“Other” asset items with long lives</v>
      </c>
      <c r="E84" s="216" t="s">
        <v>205</v>
      </c>
      <c r="F84" s="216" t="s">
        <v>204</v>
      </c>
      <c r="G84" s="216" t="str">
        <f t="shared" si="20"/>
        <v>N/A</v>
      </c>
      <c r="H84" s="216" t="str">
        <f t="shared" si="20"/>
        <v>N/A</v>
      </c>
      <c r="U84" s="319">
        <v>29.023808433625259</v>
      </c>
    </row>
    <row r="85" spans="1:21" ht="12.3" x14ac:dyDescent="0.35">
      <c r="D85" s="206" t="str">
        <f>Lookup!$D$115</f>
        <v>“Other” asset items with short lives</v>
      </c>
      <c r="E85" s="216" t="s">
        <v>205</v>
      </c>
      <c r="F85" s="216" t="s">
        <v>204</v>
      </c>
      <c r="G85" s="216" t="str">
        <f t="shared" si="20"/>
        <v>N/A</v>
      </c>
      <c r="H85" s="216" t="str">
        <f t="shared" si="20"/>
        <v>N/A</v>
      </c>
      <c r="U85" s="319">
        <v>6.9300161354856167</v>
      </c>
    </row>
    <row r="87" spans="1:21" ht="12.3" x14ac:dyDescent="0.35">
      <c r="D87" s="217" t="s">
        <v>90</v>
      </c>
      <c r="E87" s="218" t="s">
        <v>28</v>
      </c>
      <c r="F87" s="218" t="str">
        <f>F76</f>
        <v>Years</v>
      </c>
      <c r="G87" s="218" t="str">
        <f>G76</f>
        <v>N/A</v>
      </c>
      <c r="H87" s="218" t="str">
        <f>H76</f>
        <v>N/A</v>
      </c>
      <c r="U87" s="219" t="str">
        <f t="shared" ref="U87" si="21">NA</f>
        <v>N/A</v>
      </c>
    </row>
    <row r="88" spans="1:21" ht="4.5" customHeight="1" x14ac:dyDescent="0.35"/>
    <row r="89" spans="1:21" ht="11.25" customHeight="1" x14ac:dyDescent="0.35">
      <c r="A89" s="199">
        <f>IF(SUM($J89:$U89)&lt;&gt;0,1,0)</f>
        <v>0</v>
      </c>
      <c r="D89" s="206" t="s">
        <v>94</v>
      </c>
      <c r="U89" s="199">
        <f t="shared" ref="U89" si="22">IF(ISERROR(U87),1,0)</f>
        <v>0</v>
      </c>
    </row>
    <row r="90" spans="1:21" ht="4.5" customHeight="1" x14ac:dyDescent="0.35"/>
    <row r="91" spans="1:21" s="212" customFormat="1" ht="15" x14ac:dyDescent="0.35">
      <c r="B91" s="212" t="s">
        <v>26</v>
      </c>
    </row>
  </sheetData>
  <conditionalFormatting sqref="B2">
    <cfRule type="cellIs" dxfId="15" priority="1" operator="notEqual">
      <formula>"No Errors Found"</formula>
    </cfRule>
  </conditionalFormatting>
  <hyperlinks>
    <hyperlink ref="B3:E3" location="TOC!A1" display="TOC!A1" xr:uid="{00000000-0004-0000-0700-000000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6" tint="0.59999389629810485"/>
  </sheetPr>
  <dimension ref="A1:N86"/>
  <sheetViews>
    <sheetView showGridLines="0" zoomScaleNormal="100" workbookViewId="0">
      <pane xSplit="1" ySplit="4" topLeftCell="B5" activePane="bottomRight" state="frozen"/>
      <selection activeCell="D44" sqref="D44"/>
      <selection pane="topRight" activeCell="D44" sqref="D44"/>
      <selection pane="bottomLeft" activeCell="D44" sqref="D44"/>
      <selection pane="bottomRight" activeCell="B5" sqref="B5"/>
    </sheetView>
  </sheetViews>
  <sheetFormatPr defaultColWidth="9.33203125" defaultRowHeight="10.199999999999999" x14ac:dyDescent="0.35"/>
  <cols>
    <col min="1" max="1" width="3.6640625" customWidth="1"/>
    <col min="2" max="2" width="2.796875" customWidth="1"/>
    <col min="3" max="3" width="5.46484375" customWidth="1"/>
    <col min="4" max="4" width="45.33203125" customWidth="1"/>
    <col min="5" max="14" width="15.6640625" customWidth="1"/>
    <col min="15" max="24" width="10.796875" customWidth="1"/>
  </cols>
  <sheetData>
    <row r="1" spans="1:14" ht="18.899999999999999" x14ac:dyDescent="0.35">
      <c r="A1" s="42">
        <f>IF(SUM($A5:$A86)&lt;&gt;0,1,0)</f>
        <v>0</v>
      </c>
      <c r="B1" s="287" t="s">
        <v>433</v>
      </c>
    </row>
    <row r="2" spans="1:14" x14ac:dyDescent="0.35">
      <c r="B2" s="13" t="str">
        <f>Title_Msg</f>
        <v>No Errors Found</v>
      </c>
    </row>
    <row r="3" spans="1:14" x14ac:dyDescent="0.35">
      <c r="B3" s="30" t="str">
        <f>TOC!B1</f>
        <v>Table of Contents</v>
      </c>
      <c r="C3" s="28"/>
      <c r="D3" s="28"/>
      <c r="E3" s="28"/>
    </row>
    <row r="4" spans="1:14" ht="12.3" x14ac:dyDescent="0.35">
      <c r="B4" s="27" t="str">
        <f>Model_Name</f>
        <v>Power and Water Corporation (PWC) - RAB Allocation - EB RIN</v>
      </c>
    </row>
    <row r="6" spans="1:14" s="2" customFormat="1" ht="15" x14ac:dyDescent="0.35">
      <c r="B6" s="2" t="s">
        <v>434</v>
      </c>
    </row>
    <row r="7" spans="1:14" ht="4.5" customHeight="1" x14ac:dyDescent="0.35"/>
    <row r="8" spans="1:14" s="8" customFormat="1" ht="14.1" x14ac:dyDescent="0.35">
      <c r="C8" s="8" t="s">
        <v>350</v>
      </c>
    </row>
    <row r="9" spans="1:14" ht="11.25" customHeight="1" x14ac:dyDescent="0.35"/>
    <row r="10" spans="1:14" ht="54" customHeight="1" x14ac:dyDescent="0.4">
      <c r="D10" s="65" t="s">
        <v>150</v>
      </c>
      <c r="E10" s="59" t="str">
        <f t="array" ref="E10:N10">TRANSPOSE(LU_EB_RIN_Assets)</f>
        <v>Overhead network assets less than 33kV</v>
      </c>
      <c r="F10" s="59" t="str">
        <v>Underground network assets less than 33kV</v>
      </c>
      <c r="G10" s="59" t="str">
        <v>Distribution substations and transformers</v>
      </c>
      <c r="H10" s="59" t="str">
        <v>Overhead network assets 33kV and above</v>
      </c>
      <c r="I10" s="59" t="str">
        <v>Underground network assets 33kV and above</v>
      </c>
      <c r="J10" s="59" t="str">
        <v>Zone substations and transformers</v>
      </c>
      <c r="K10" s="59" t="str">
        <v>Easements</v>
      </c>
      <c r="L10" s="127" t="str">
        <v>Meters</v>
      </c>
      <c r="M10" s="59" t="str">
        <v>“Other” asset items with long lives</v>
      </c>
      <c r="N10" s="59" t="str">
        <v>“Other” asset items with short lives</v>
      </c>
    </row>
    <row r="11" spans="1:14" ht="12.3" x14ac:dyDescent="0.35">
      <c r="A11" s="24">
        <f>IF(SUM(E11:N11)&lt;&gt;1,1,0)</f>
        <v>0</v>
      </c>
      <c r="C11" s="325" t="s">
        <v>100</v>
      </c>
      <c r="D11" s="10" t="str">
        <f>Lookup!D71</f>
        <v>Substations</v>
      </c>
      <c r="E11" s="251">
        <v>0</v>
      </c>
      <c r="F11" s="251">
        <v>0</v>
      </c>
      <c r="G11" s="63">
        <v>0</v>
      </c>
      <c r="H11" s="63">
        <v>0</v>
      </c>
      <c r="I11" s="63">
        <v>0</v>
      </c>
      <c r="J11" s="63">
        <v>1</v>
      </c>
      <c r="K11" s="63">
        <v>0</v>
      </c>
      <c r="L11" s="63">
        <v>0</v>
      </c>
      <c r="M11" s="63">
        <v>0</v>
      </c>
      <c r="N11" s="63">
        <v>0</v>
      </c>
    </row>
    <row r="12" spans="1:14" ht="12.3" x14ac:dyDescent="0.35">
      <c r="A12" s="24">
        <f t="shared" ref="A12:A30" si="0">IF(SUM(E12:N12)&lt;&gt;1,1,0)</f>
        <v>0</v>
      </c>
      <c r="C12" s="326"/>
      <c r="D12" s="10" t="str">
        <f>Lookup!D72</f>
        <v>Distribution Lines</v>
      </c>
      <c r="E12" s="253">
        <v>0.32557768340354193</v>
      </c>
      <c r="F12" s="254">
        <v>0.67442231659645802</v>
      </c>
      <c r="G12" s="250">
        <v>0</v>
      </c>
      <c r="H12" s="251">
        <v>0</v>
      </c>
      <c r="I12" s="251">
        <v>0</v>
      </c>
      <c r="J12" s="63">
        <v>0</v>
      </c>
      <c r="K12" s="63">
        <v>0</v>
      </c>
      <c r="L12" s="63">
        <v>0</v>
      </c>
      <c r="M12" s="63">
        <v>0</v>
      </c>
      <c r="N12" s="63">
        <v>0</v>
      </c>
    </row>
    <row r="13" spans="1:14" ht="12.3" x14ac:dyDescent="0.35">
      <c r="A13" s="24">
        <f t="shared" si="0"/>
        <v>0</v>
      </c>
      <c r="C13" s="326"/>
      <c r="D13" s="10" t="str">
        <f>Lookup!D73</f>
        <v>Transmission Lines</v>
      </c>
      <c r="E13" s="281">
        <v>0</v>
      </c>
      <c r="F13" s="281">
        <v>0</v>
      </c>
      <c r="G13" s="255">
        <v>0</v>
      </c>
      <c r="H13" s="253">
        <v>0.66649517898784005</v>
      </c>
      <c r="I13" s="254">
        <v>0.33350482101216006</v>
      </c>
      <c r="J13" s="250">
        <v>0</v>
      </c>
      <c r="K13" s="63">
        <f t="shared" ref="K13:M13" si="1">K53</f>
        <v>0</v>
      </c>
      <c r="L13" s="63">
        <f t="shared" si="1"/>
        <v>0</v>
      </c>
      <c r="M13" s="63">
        <f t="shared" si="1"/>
        <v>0</v>
      </c>
      <c r="N13" s="63">
        <v>0</v>
      </c>
    </row>
    <row r="14" spans="1:14" ht="12.3" x14ac:dyDescent="0.35">
      <c r="A14" s="24">
        <f t="shared" si="0"/>
        <v>0</v>
      </c>
      <c r="C14" s="326"/>
      <c r="D14" s="10" t="str">
        <f>Lookup!D74</f>
        <v>LV Services</v>
      </c>
      <c r="E14" s="253">
        <v>0.32557768340354193</v>
      </c>
      <c r="F14" s="254">
        <v>0.67442231659645802</v>
      </c>
      <c r="G14" s="250">
        <v>0</v>
      </c>
      <c r="H14" s="252">
        <v>0</v>
      </c>
      <c r="I14" s="252">
        <v>0</v>
      </c>
      <c r="J14" s="63">
        <v>0</v>
      </c>
      <c r="K14" s="63">
        <v>0</v>
      </c>
      <c r="L14" s="63">
        <v>0</v>
      </c>
      <c r="M14" s="63">
        <v>0</v>
      </c>
      <c r="N14" s="63">
        <v>0</v>
      </c>
    </row>
    <row r="15" spans="1:14" ht="12.3" x14ac:dyDescent="0.35">
      <c r="A15" s="24">
        <f t="shared" si="0"/>
        <v>0</v>
      </c>
      <c r="C15" s="326"/>
      <c r="D15" s="10" t="str">
        <f>Lookup!D75</f>
        <v>Distribution Substations</v>
      </c>
      <c r="E15" s="252">
        <v>0</v>
      </c>
      <c r="F15" s="252">
        <v>0</v>
      </c>
      <c r="G15" s="63">
        <v>1</v>
      </c>
      <c r="H15" s="63">
        <v>0</v>
      </c>
      <c r="I15" s="63">
        <v>0</v>
      </c>
      <c r="J15" s="63">
        <v>0</v>
      </c>
      <c r="K15" s="63">
        <v>0</v>
      </c>
      <c r="L15" s="63">
        <v>0</v>
      </c>
      <c r="M15" s="63">
        <v>0</v>
      </c>
      <c r="N15" s="63">
        <v>0</v>
      </c>
    </row>
    <row r="16" spans="1:14" ht="12.3" x14ac:dyDescent="0.35">
      <c r="A16" s="24">
        <f t="shared" si="0"/>
        <v>0</v>
      </c>
      <c r="C16" s="326"/>
      <c r="D16" s="10" t="str">
        <f>Lookup!D76</f>
        <v>Distribution Switchgear</v>
      </c>
      <c r="E16" s="63">
        <v>0</v>
      </c>
      <c r="F16" s="63">
        <v>0</v>
      </c>
      <c r="G16" s="63">
        <v>1</v>
      </c>
      <c r="H16" s="63">
        <v>0</v>
      </c>
      <c r="I16" s="63">
        <v>0</v>
      </c>
      <c r="J16" s="63">
        <v>0</v>
      </c>
      <c r="K16" s="63">
        <v>0</v>
      </c>
      <c r="L16" s="63">
        <v>0</v>
      </c>
      <c r="M16" s="63">
        <v>0</v>
      </c>
      <c r="N16" s="63">
        <v>0</v>
      </c>
    </row>
    <row r="17" spans="1:14" ht="12.3" x14ac:dyDescent="0.35">
      <c r="A17" s="24">
        <f t="shared" si="0"/>
        <v>0</v>
      </c>
      <c r="C17" s="326"/>
      <c r="D17" s="10" t="str">
        <f>Lookup!D77</f>
        <v>Protection</v>
      </c>
      <c r="E17" s="63">
        <v>0</v>
      </c>
      <c r="F17" s="63">
        <v>0</v>
      </c>
      <c r="G17" s="63">
        <v>0</v>
      </c>
      <c r="H17" s="63">
        <v>0</v>
      </c>
      <c r="I17" s="63">
        <v>0</v>
      </c>
      <c r="J17" s="63">
        <v>1</v>
      </c>
      <c r="K17" s="63">
        <v>0</v>
      </c>
      <c r="L17" s="63">
        <v>0</v>
      </c>
      <c r="M17" s="63">
        <v>0</v>
      </c>
      <c r="N17" s="63">
        <v>0</v>
      </c>
    </row>
    <row r="18" spans="1:14" ht="12.3" x14ac:dyDescent="0.35">
      <c r="A18" s="24">
        <f t="shared" si="0"/>
        <v>0</v>
      </c>
      <c r="C18" s="326"/>
      <c r="D18" s="10" t="str">
        <f>Lookup!D78</f>
        <v>SCADA</v>
      </c>
      <c r="E18" s="63">
        <v>0</v>
      </c>
      <c r="F18" s="63">
        <v>0</v>
      </c>
      <c r="G18" s="63">
        <v>0</v>
      </c>
      <c r="H18" s="63">
        <v>0</v>
      </c>
      <c r="I18" s="63">
        <v>0</v>
      </c>
      <c r="J18" s="63">
        <v>1</v>
      </c>
      <c r="K18" s="63">
        <v>0</v>
      </c>
      <c r="L18" s="63">
        <v>0</v>
      </c>
      <c r="M18" s="63">
        <v>0</v>
      </c>
      <c r="N18" s="63">
        <v>0</v>
      </c>
    </row>
    <row r="19" spans="1:14" ht="12.3" x14ac:dyDescent="0.35">
      <c r="A19" s="24">
        <f t="shared" si="0"/>
        <v>0</v>
      </c>
      <c r="C19" s="326"/>
      <c r="D19" s="10" t="str">
        <f>Lookup!D79</f>
        <v>Communications</v>
      </c>
      <c r="E19" s="63">
        <v>0</v>
      </c>
      <c r="F19" s="63">
        <v>0</v>
      </c>
      <c r="G19" s="63">
        <v>0</v>
      </c>
      <c r="H19" s="63">
        <v>0</v>
      </c>
      <c r="I19" s="63">
        <v>0</v>
      </c>
      <c r="J19" s="63">
        <v>1</v>
      </c>
      <c r="K19" s="63">
        <v>0</v>
      </c>
      <c r="L19" s="63">
        <v>0</v>
      </c>
      <c r="M19" s="63">
        <v>0</v>
      </c>
      <c r="N19" s="63">
        <v>0</v>
      </c>
    </row>
    <row r="20" spans="1:14" ht="12.3" x14ac:dyDescent="0.35">
      <c r="A20" s="24">
        <f t="shared" si="0"/>
        <v>0</v>
      </c>
      <c r="C20" s="326"/>
      <c r="D20" s="10" t="str">
        <f>Lookup!D80</f>
        <v>Land and Easements</v>
      </c>
      <c r="E20" s="63">
        <v>0</v>
      </c>
      <c r="F20" s="63">
        <v>0</v>
      </c>
      <c r="G20" s="63">
        <v>0</v>
      </c>
      <c r="H20" s="63">
        <v>0</v>
      </c>
      <c r="I20" s="63">
        <v>0</v>
      </c>
      <c r="J20" s="63">
        <v>0</v>
      </c>
      <c r="K20" s="63">
        <v>1</v>
      </c>
      <c r="L20" s="63">
        <v>0</v>
      </c>
      <c r="M20" s="63">
        <v>0</v>
      </c>
      <c r="N20" s="63">
        <v>0</v>
      </c>
    </row>
    <row r="21" spans="1:14" ht="12.3" x14ac:dyDescent="0.35">
      <c r="A21" s="24">
        <f t="shared" si="0"/>
        <v>0</v>
      </c>
      <c r="C21" s="327" t="s">
        <v>109</v>
      </c>
      <c r="D21" s="10" t="str">
        <f>Lookup!D81</f>
        <v>Property</v>
      </c>
      <c r="E21" s="63">
        <v>0</v>
      </c>
      <c r="F21" s="63">
        <v>0</v>
      </c>
      <c r="G21" s="63">
        <v>0</v>
      </c>
      <c r="H21" s="63">
        <v>0</v>
      </c>
      <c r="I21" s="63">
        <v>0</v>
      </c>
      <c r="J21" s="63">
        <v>0</v>
      </c>
      <c r="K21" s="63">
        <v>0</v>
      </c>
      <c r="L21" s="63">
        <v>0</v>
      </c>
      <c r="M21" s="63">
        <v>1</v>
      </c>
      <c r="N21" s="63">
        <v>0</v>
      </c>
    </row>
    <row r="22" spans="1:14" ht="12.3" x14ac:dyDescent="0.35">
      <c r="A22" s="24">
        <f t="shared" si="0"/>
        <v>0</v>
      </c>
      <c r="C22" s="328"/>
      <c r="D22" s="10" t="str">
        <f>Lookup!D82</f>
        <v>IT and Communications</v>
      </c>
      <c r="E22" s="63">
        <v>0</v>
      </c>
      <c r="F22" s="63">
        <v>0</v>
      </c>
      <c r="G22" s="63">
        <v>0</v>
      </c>
      <c r="H22" s="63">
        <v>0</v>
      </c>
      <c r="I22" s="63">
        <v>0</v>
      </c>
      <c r="J22" s="63">
        <v>0</v>
      </c>
      <c r="K22" s="63">
        <v>0</v>
      </c>
      <c r="L22" s="63">
        <v>0</v>
      </c>
      <c r="M22" s="63">
        <f t="shared" ref="M22:N22" si="2">1-SUM(D22:L22)</f>
        <v>1</v>
      </c>
      <c r="N22" s="63">
        <f t="shared" si="2"/>
        <v>0</v>
      </c>
    </row>
    <row r="23" spans="1:14" ht="12.3" x14ac:dyDescent="0.35">
      <c r="A23" s="24">
        <f t="shared" si="0"/>
        <v>0</v>
      </c>
      <c r="C23" s="328"/>
      <c r="D23" s="10" t="str">
        <f>Lookup!D83</f>
        <v>Motor Vehicles</v>
      </c>
      <c r="E23" s="63">
        <v>0</v>
      </c>
      <c r="F23" s="63">
        <v>0</v>
      </c>
      <c r="G23" s="63">
        <v>0</v>
      </c>
      <c r="H23" s="63">
        <v>0</v>
      </c>
      <c r="I23" s="63">
        <v>0</v>
      </c>
      <c r="J23" s="63">
        <v>0</v>
      </c>
      <c r="K23" s="63">
        <v>0</v>
      </c>
      <c r="L23" s="63">
        <v>0</v>
      </c>
      <c r="M23" s="63">
        <v>0</v>
      </c>
      <c r="N23" s="63">
        <f t="shared" ref="N23" si="3">1-SUM(E23:M23)</f>
        <v>1</v>
      </c>
    </row>
    <row r="24" spans="1:14" ht="12.3" x14ac:dyDescent="0.35">
      <c r="A24" s="24">
        <f t="shared" si="0"/>
        <v>0</v>
      </c>
      <c r="C24" s="328"/>
      <c r="D24" s="10" t="str">
        <f>Lookup!D84</f>
        <v>Plant and Equipment</v>
      </c>
      <c r="E24" s="63">
        <v>0</v>
      </c>
      <c r="F24" s="63">
        <v>0</v>
      </c>
      <c r="G24" s="63">
        <v>0</v>
      </c>
      <c r="H24" s="63">
        <v>0</v>
      </c>
      <c r="I24" s="63">
        <v>0</v>
      </c>
      <c r="J24" s="63">
        <v>0</v>
      </c>
      <c r="K24" s="63">
        <v>0</v>
      </c>
      <c r="L24" s="63">
        <v>0</v>
      </c>
      <c r="M24" s="63">
        <v>0</v>
      </c>
      <c r="N24" s="63">
        <f t="shared" ref="N24" si="4">1-SUM(E24:M24)</f>
        <v>1</v>
      </c>
    </row>
    <row r="25" spans="1:14" ht="12.3" x14ac:dyDescent="0.35">
      <c r="A25" s="24">
        <f t="shared" si="0"/>
        <v>0</v>
      </c>
      <c r="C25" s="328"/>
      <c r="D25" s="10" t="str">
        <f>Lookup!D85</f>
        <v>Property Leases</v>
      </c>
      <c r="E25" s="63">
        <v>0</v>
      </c>
      <c r="F25" s="63">
        <v>0</v>
      </c>
      <c r="G25" s="63">
        <v>0</v>
      </c>
      <c r="H25" s="63">
        <v>0</v>
      </c>
      <c r="I25" s="63">
        <v>0</v>
      </c>
      <c r="J25" s="63">
        <v>0</v>
      </c>
      <c r="K25" s="63">
        <v>0</v>
      </c>
      <c r="L25" s="63">
        <v>0</v>
      </c>
      <c r="M25" s="63">
        <v>0</v>
      </c>
      <c r="N25" s="63">
        <f t="shared" ref="N25:N29" si="5">1-SUM(E25:M25)</f>
        <v>1</v>
      </c>
    </row>
    <row r="26" spans="1:14" ht="12.3" x14ac:dyDescent="0.35">
      <c r="A26" s="24">
        <f t="shared" si="0"/>
        <v>0</v>
      </c>
      <c r="C26" s="328"/>
      <c r="D26" s="10" t="str">
        <f>Lookup!D86</f>
        <v>Fleet Leases</v>
      </c>
      <c r="E26" s="63">
        <v>0</v>
      </c>
      <c r="F26" s="63">
        <v>0</v>
      </c>
      <c r="G26" s="63">
        <v>0</v>
      </c>
      <c r="H26" s="63">
        <v>0</v>
      </c>
      <c r="I26" s="63">
        <v>0</v>
      </c>
      <c r="J26" s="63">
        <v>0</v>
      </c>
      <c r="K26" s="63">
        <v>0</v>
      </c>
      <c r="L26" s="63">
        <v>0</v>
      </c>
      <c r="M26" s="63">
        <v>0</v>
      </c>
      <c r="N26" s="63">
        <f t="shared" si="5"/>
        <v>1</v>
      </c>
    </row>
    <row r="27" spans="1:14" ht="12.3" x14ac:dyDescent="0.35">
      <c r="A27" s="24">
        <f t="shared" si="0"/>
        <v>0</v>
      </c>
      <c r="C27" s="328"/>
      <c r="D27" s="10" t="str">
        <f>Lookup!D87</f>
        <v>Community Batteries</v>
      </c>
      <c r="E27" s="63">
        <v>0</v>
      </c>
      <c r="F27" s="63">
        <v>0</v>
      </c>
      <c r="G27" s="63">
        <v>0</v>
      </c>
      <c r="H27" s="63">
        <v>0</v>
      </c>
      <c r="I27" s="63">
        <v>0</v>
      </c>
      <c r="J27" s="63">
        <v>0</v>
      </c>
      <c r="K27" s="63">
        <v>0</v>
      </c>
      <c r="L27" s="63">
        <v>0</v>
      </c>
      <c r="M27" s="63">
        <v>1</v>
      </c>
      <c r="N27" s="63">
        <f t="shared" si="5"/>
        <v>0</v>
      </c>
    </row>
    <row r="28" spans="1:14" ht="12.3" x14ac:dyDescent="0.35">
      <c r="A28" s="24">
        <f t="shared" si="0"/>
        <v>0</v>
      </c>
      <c r="C28" s="328"/>
      <c r="D28" s="10" t="str">
        <f>Lookup!D88</f>
        <v>Buildings</v>
      </c>
      <c r="E28" s="63">
        <v>0</v>
      </c>
      <c r="F28" s="63">
        <v>0</v>
      </c>
      <c r="G28" s="63">
        <v>0</v>
      </c>
      <c r="H28" s="63">
        <v>0</v>
      </c>
      <c r="I28" s="63">
        <v>0</v>
      </c>
      <c r="J28" s="63">
        <v>0</v>
      </c>
      <c r="K28" s="63">
        <v>0</v>
      </c>
      <c r="L28" s="63">
        <v>0</v>
      </c>
      <c r="M28" s="63">
        <v>1</v>
      </c>
      <c r="N28" s="63">
        <f t="shared" si="5"/>
        <v>0</v>
      </c>
    </row>
    <row r="29" spans="1:14" ht="12.3" x14ac:dyDescent="0.35">
      <c r="A29" s="24">
        <f t="shared" si="0"/>
        <v>0</v>
      </c>
      <c r="C29" s="328"/>
      <c r="D29" s="10" t="str">
        <f>Lookup!D89</f>
        <v>in-house software</v>
      </c>
      <c r="E29" s="63">
        <v>0</v>
      </c>
      <c r="F29" s="63">
        <v>0</v>
      </c>
      <c r="G29" s="63">
        <v>0</v>
      </c>
      <c r="H29" s="63">
        <v>0</v>
      </c>
      <c r="I29" s="63">
        <v>0</v>
      </c>
      <c r="J29" s="63">
        <v>0</v>
      </c>
      <c r="K29" s="63">
        <v>0</v>
      </c>
      <c r="L29" s="63">
        <v>0</v>
      </c>
      <c r="M29" s="63">
        <v>0</v>
      </c>
      <c r="N29" s="63">
        <f t="shared" si="5"/>
        <v>1</v>
      </c>
    </row>
    <row r="30" spans="1:14" ht="12.3" x14ac:dyDescent="0.35">
      <c r="A30" s="24">
        <f t="shared" si="0"/>
        <v>0</v>
      </c>
      <c r="C30" s="328"/>
      <c r="D30" s="10" t="str">
        <f>Lookup!D90</f>
        <v>Equity Raising Costs</v>
      </c>
      <c r="E30" s="63">
        <v>0</v>
      </c>
      <c r="F30" s="63">
        <v>0</v>
      </c>
      <c r="G30" s="63">
        <v>0</v>
      </c>
      <c r="H30" s="63">
        <v>0</v>
      </c>
      <c r="I30" s="63">
        <v>0</v>
      </c>
      <c r="J30" s="63">
        <v>0</v>
      </c>
      <c r="K30" s="63">
        <v>0</v>
      </c>
      <c r="L30" s="63">
        <v>0</v>
      </c>
      <c r="M30" s="63">
        <v>0</v>
      </c>
      <c r="N30" s="63">
        <f t="shared" ref="N30" si="6">1-SUM(E30:M30)</f>
        <v>1</v>
      </c>
    </row>
    <row r="31" spans="1:14" ht="11.25" customHeight="1" x14ac:dyDescent="0.35"/>
    <row r="32" spans="1:14" s="8" customFormat="1" ht="14.1" x14ac:dyDescent="0.35">
      <c r="C32" s="8" t="s">
        <v>349</v>
      </c>
    </row>
    <row r="34" spans="1:14" ht="53.1" customHeight="1" x14ac:dyDescent="0.35">
      <c r="D34" s="59" t="str">
        <f>D$10</f>
        <v>RAB Asset Category</v>
      </c>
      <c r="E34" s="59" t="str">
        <f t="shared" ref="E34:N34" si="7">E$10</f>
        <v>Overhead network assets less than 33kV</v>
      </c>
      <c r="F34" s="59" t="str">
        <f t="shared" si="7"/>
        <v>Underground network assets less than 33kV</v>
      </c>
      <c r="G34" s="59" t="str">
        <f t="shared" si="7"/>
        <v>Distribution substations and transformers</v>
      </c>
      <c r="H34" s="59" t="str">
        <f t="shared" si="7"/>
        <v>Overhead network assets 33kV and above</v>
      </c>
      <c r="I34" s="59" t="str">
        <f t="shared" si="7"/>
        <v>Underground network assets 33kV and above</v>
      </c>
      <c r="J34" s="59" t="str">
        <f t="shared" si="7"/>
        <v>Zone substations and transformers</v>
      </c>
      <c r="K34" s="59" t="str">
        <f t="shared" si="7"/>
        <v>Easements</v>
      </c>
      <c r="L34" s="59" t="str">
        <f t="shared" si="7"/>
        <v>Meters</v>
      </c>
      <c r="M34" s="59" t="str">
        <f t="shared" si="7"/>
        <v>“Other” asset items with long lives</v>
      </c>
      <c r="N34" s="59" t="str">
        <f t="shared" si="7"/>
        <v>“Other” asset items with short lives</v>
      </c>
    </row>
    <row r="35" spans="1:14" ht="12.3" x14ac:dyDescent="0.35">
      <c r="A35" s="24">
        <f t="shared" ref="A35" si="8">IF(SUM(E35:N35)&lt;&gt;1,1,0)</f>
        <v>0</v>
      </c>
      <c r="D35" s="10" t="str">
        <f>Lookup!D91</f>
        <v>ACS Metering</v>
      </c>
      <c r="E35" s="249"/>
      <c r="F35" s="249"/>
      <c r="G35" s="249"/>
      <c r="H35" s="249"/>
      <c r="I35" s="249"/>
      <c r="J35" s="249"/>
      <c r="K35" s="249"/>
      <c r="L35" s="61">
        <f>$G$82</f>
        <v>0.88259973569680816</v>
      </c>
      <c r="M35" s="61">
        <f>$G$83</f>
        <v>5.6076789962624142E-2</v>
      </c>
      <c r="N35" s="61">
        <f>IF(SUM(E35:M35)=0,1,$G$84)</f>
        <v>6.1323474340567542E-2</v>
      </c>
    </row>
    <row r="37" spans="1:14" s="2" customFormat="1" ht="15" x14ac:dyDescent="0.35">
      <c r="B37" s="2" t="s">
        <v>435</v>
      </c>
    </row>
    <row r="39" spans="1:14" s="8" customFormat="1" ht="14.1" x14ac:dyDescent="0.35">
      <c r="C39" s="8" t="s">
        <v>194</v>
      </c>
    </row>
    <row r="41" spans="1:14" ht="49.2" x14ac:dyDescent="0.35">
      <c r="D41" s="116" t="s">
        <v>206</v>
      </c>
      <c r="E41" s="117" t="str">
        <f t="shared" ref="E41:F41" si="9">E$10</f>
        <v>Overhead network assets less than 33kV</v>
      </c>
      <c r="F41" s="118" t="str">
        <f t="shared" si="9"/>
        <v>Underground network assets less than 33kV</v>
      </c>
      <c r="G41" s="117" t="str">
        <f>H$10</f>
        <v>Overhead network assets 33kV and above</v>
      </c>
      <c r="H41" s="119" t="str">
        <f>I$10</f>
        <v>Underground network assets 33kV and above</v>
      </c>
      <c r="K41" s="59"/>
      <c r="L41" s="59"/>
      <c r="M41" s="59"/>
      <c r="N41" s="59"/>
    </row>
    <row r="42" spans="1:14" ht="12.3" x14ac:dyDescent="0.35">
      <c r="D42" s="116"/>
      <c r="E42" s="117"/>
      <c r="F42" s="118"/>
      <c r="G42" s="117"/>
      <c r="H42" s="119"/>
      <c r="K42" s="59"/>
      <c r="L42" s="59"/>
      <c r="M42" s="59"/>
      <c r="N42" s="59"/>
    </row>
    <row r="43" spans="1:14" ht="12.3" x14ac:dyDescent="0.35">
      <c r="D43" s="10" t="s">
        <v>195</v>
      </c>
      <c r="E43" s="56">
        <f>INDEX(Input_DRC!$U$18:$U$21,MATCH(E$41,Input_DRC!$D$18:$D$21,0))</f>
        <v>21841.46707476749</v>
      </c>
      <c r="F43" s="57">
        <f>INDEX(Input_DRC!$U$18:$U$21,MATCH(F$41,Input_DRC!$D$18:$D$21,0))</f>
        <v>171354.67665874504</v>
      </c>
      <c r="G43" s="56">
        <f>INDEX(Input_DRC!$U$18:$U$21,MATCH(G$41,Input_DRC!$D$18:$D$21,0))</f>
        <v>9936.1669176891737</v>
      </c>
      <c r="H43" s="58">
        <f>INDEX(Input_DRC!$U$18:$U$21,MATCH(H$41,Input_DRC!$D$18:$D$21,0))</f>
        <v>31053.806628761675</v>
      </c>
      <c r="K43" s="59"/>
      <c r="L43" s="59"/>
      <c r="M43" s="59"/>
      <c r="N43" s="59"/>
    </row>
    <row r="44" spans="1:14" ht="12.3" x14ac:dyDescent="0.35">
      <c r="D44" s="124" t="s">
        <v>202</v>
      </c>
      <c r="E44" s="56">
        <f>INDEX(Input_DRC!$U$31:$U$34,MATCH(E$41,Input_DRC!$D$31:$D$34,0))</f>
        <v>4667.9266079387562</v>
      </c>
      <c r="F44" s="57">
        <f>INDEX(Input_DRC!$U$31:$U$34,MATCH(F$41,Input_DRC!$D$31:$D$34,0))</f>
        <v>1567.5252545837129</v>
      </c>
      <c r="G44" s="56">
        <f>INDEX(Input_DRC!$U$31:$U$34,MATCH(G$41,Input_DRC!$D$31:$D$34,0))</f>
        <v>737.13552975044047</v>
      </c>
      <c r="H44" s="58">
        <f>INDEX(Input_DRC!$U$31:$U$34,MATCH(H$41,Input_DRC!$D$31:$D$34,0))</f>
        <v>42.21197469026</v>
      </c>
      <c r="K44" s="59"/>
      <c r="L44" s="59"/>
      <c r="M44" s="59"/>
      <c r="N44" s="59"/>
    </row>
    <row r="45" spans="1:14" ht="12.3" x14ac:dyDescent="0.35">
      <c r="D45" s="124" t="s">
        <v>203</v>
      </c>
      <c r="E45" s="56">
        <f>INDEX(Input_DRC!$U$44:$U$47,MATCH(E$41,Input_DRC!$D$44:$D$48,0))</f>
        <v>17.21108301682106</v>
      </c>
      <c r="F45" s="57">
        <f>INDEX(Input_DRC!$U$44:$U$47,MATCH(F$41,Input_DRC!$D$44:$D$48,0))</f>
        <v>20.839933648403903</v>
      </c>
      <c r="G45" s="56">
        <f>INDEX(Input_DRC!$U$44:$U$47,MATCH(G$41,Input_DRC!$D$44:$D$48,0))</f>
        <v>153.02016827670343</v>
      </c>
      <c r="H45" s="58">
        <f>INDEX(Input_DRC!$U$44:$U$47,MATCH(H$41,Input_DRC!$D$44:$D$48,0))</f>
        <v>59.948319578930764</v>
      </c>
      <c r="K45" s="59"/>
      <c r="L45" s="59"/>
      <c r="M45" s="59"/>
      <c r="N45" s="59"/>
    </row>
    <row r="46" spans="1:14" ht="12.3" x14ac:dyDescent="0.35">
      <c r="D46" s="10" t="s">
        <v>196</v>
      </c>
      <c r="E46" s="56">
        <f t="shared" ref="E46" si="10">IF(E45=0,0,
IF(E44=0,E45,E44/E45))</f>
        <v>271.21632051722776</v>
      </c>
      <c r="F46" s="57">
        <f t="shared" ref="F46" si="11">IF(F45=0,0,
IF(F44=0,F45,F44/F45))</f>
        <v>75.21738221579065</v>
      </c>
      <c r="G46" s="56">
        <f>IF(G45=0,0,
IF(G44=0,G45,G44/G45))</f>
        <v>4.8172442760453151</v>
      </c>
      <c r="H46" s="58">
        <f>IF(H45=0,0,
IF(H44=0,H45,H44/H45))</f>
        <v>0.70413941519547918</v>
      </c>
      <c r="K46" s="59"/>
      <c r="L46" s="59"/>
      <c r="M46" s="59"/>
      <c r="N46" s="59"/>
    </row>
    <row r="47" spans="1:14" ht="12.3" x14ac:dyDescent="0.35">
      <c r="D47" s="10" t="s">
        <v>197</v>
      </c>
      <c r="E47" s="56">
        <f>INDEX(Input_DRC!$U$57:$U$66,MATCH(E$41,Input_DRC!$D$57:$D$66,0))</f>
        <v>24.321539217915245</v>
      </c>
      <c r="F47" s="57">
        <f>INDEX(Input_DRC!$U$57:$U$66,MATCH(F$41,Input_DRC!$D$57:$D$66,0))</f>
        <v>24.321478316570534</v>
      </c>
      <c r="G47" s="56">
        <f>INDEX(Input_DRC!$U$57:$U$66,MATCH(G$41,Input_DRC!$D$57:$D$66,0))</f>
        <v>28.032955981447742</v>
      </c>
      <c r="H47" s="58">
        <f>INDEX(Input_DRC!$U$57:$U$66,MATCH(H$41,Input_DRC!$D$57:$D$66,0))</f>
        <v>28.032955981447738</v>
      </c>
      <c r="K47" s="59"/>
      <c r="L47" s="59"/>
      <c r="M47" s="59"/>
      <c r="N47" s="59"/>
    </row>
    <row r="48" spans="1:14" ht="12.3" x14ac:dyDescent="0.35">
      <c r="D48" s="10" t="s">
        <v>198</v>
      </c>
      <c r="E48" s="56">
        <f>INDEX(Input_DRC!$U$76:$U$85,MATCH(E$41,Input_DRC!$D$76:$D$85,0))</f>
        <v>49.792725031645205</v>
      </c>
      <c r="F48" s="57">
        <f>INDEX(Input_DRC!$U$76:$U$85,MATCH(F$41,Input_DRC!$D$76:$D$85,0))</f>
        <v>52.300284796833004</v>
      </c>
      <c r="G48" s="56">
        <f>INDEX(Input_DRC!$U$76:$U$85,MATCH(G$41,Input_DRC!$D$76:$D$85,0))</f>
        <v>54.343924174110775</v>
      </c>
      <c r="H48" s="58">
        <f>INDEX(Input_DRC!$U$76:$U$85,MATCH(H$41,Input_DRC!$D$76:$D$85,0))</f>
        <v>49.613725933874562</v>
      </c>
      <c r="K48" s="59"/>
      <c r="L48" s="59"/>
      <c r="M48" s="59"/>
      <c r="N48" s="59"/>
    </row>
    <row r="49" spans="1:14" ht="12.3" x14ac:dyDescent="0.35">
      <c r="D49" s="10"/>
      <c r="E49" s="56"/>
      <c r="F49" s="57"/>
      <c r="G49" s="56"/>
      <c r="H49" s="58"/>
      <c r="K49" s="59"/>
      <c r="L49" s="59"/>
      <c r="M49" s="59"/>
      <c r="N49" s="59"/>
    </row>
    <row r="50" spans="1:14" ht="12.3" x14ac:dyDescent="0.35">
      <c r="D50" s="44" t="s">
        <v>199</v>
      </c>
      <c r="E50" s="53">
        <f>IF(E48=0,0,E43*E46*E47/E48)</f>
        <v>2893495.3419370824</v>
      </c>
      <c r="F50" s="39">
        <f t="shared" ref="F50" si="12">IF(F48=0,0,F43*F46*F47/F48)</f>
        <v>5993770.2460752809</v>
      </c>
      <c r="G50" s="53">
        <f>IF(G48=0,0,G43*G46*G47/G48)</f>
        <v>24690.816249548392</v>
      </c>
      <c r="H50" s="54">
        <f>IF(H48=0,0,H43*H46*H47/H48)</f>
        <v>12354.937460245314</v>
      </c>
      <c r="K50" s="59"/>
      <c r="L50" s="59"/>
      <c r="M50" s="59"/>
      <c r="N50" s="59"/>
    </row>
    <row r="51" spans="1:14" ht="12.3" x14ac:dyDescent="0.35">
      <c r="K51" s="59"/>
      <c r="L51" s="59"/>
      <c r="M51" s="59"/>
      <c r="N51" s="59"/>
    </row>
    <row r="52" spans="1:14" ht="12.3" x14ac:dyDescent="0.35">
      <c r="D52" s="120" t="s">
        <v>201</v>
      </c>
      <c r="E52" s="121">
        <f>IF(SUM($E$50:$F$50)=0,0,E50/SUM($E$50:$F$50))</f>
        <v>0.32557768340354193</v>
      </c>
      <c r="F52" s="122">
        <f>IF(SUM($E$50:$F$50)=0,0,F50/SUM($E$50:$F$50))</f>
        <v>0.67442231659645802</v>
      </c>
      <c r="G52" s="56" t="str">
        <f>NA</f>
        <v>N/A</v>
      </c>
      <c r="H52" s="58" t="str">
        <f>NA</f>
        <v>N/A</v>
      </c>
      <c r="K52" s="59"/>
      <c r="L52" s="59"/>
      <c r="M52" s="59"/>
      <c r="N52" s="59"/>
    </row>
    <row r="53" spans="1:14" ht="12.3" x14ac:dyDescent="0.35">
      <c r="D53" s="120" t="s">
        <v>200</v>
      </c>
      <c r="E53" s="56" t="str">
        <f>NA</f>
        <v>N/A</v>
      </c>
      <c r="F53" s="57" t="str">
        <f>NA</f>
        <v>N/A</v>
      </c>
      <c r="G53" s="121">
        <f>IF(SUM($G$50:$J$50)=0,0,G50/SUM($G$50:$J$50))</f>
        <v>0.66649517898784005</v>
      </c>
      <c r="H53" s="123">
        <f>IF(SUM($G$50:$J$50)=0,0,H50/SUM($G$50:$J$50))</f>
        <v>0.33350482101216006</v>
      </c>
      <c r="K53" s="59"/>
      <c r="L53" s="59"/>
      <c r="M53" s="59"/>
      <c r="N53" s="59"/>
    </row>
    <row r="54" spans="1:14" ht="12.3" x14ac:dyDescent="0.35">
      <c r="K54" s="59"/>
      <c r="L54" s="59"/>
      <c r="M54" s="59"/>
      <c r="N54" s="59"/>
    </row>
    <row r="55" spans="1:14" ht="12.3" x14ac:dyDescent="0.35">
      <c r="A55" s="24">
        <f>IF(SUM(E55:N55)&lt;&gt;0,1,0)</f>
        <v>0</v>
      </c>
      <c r="E55" s="197">
        <f>IF(ROUND(E52-E12,4)&lt;&gt;0,1,0)</f>
        <v>0</v>
      </c>
      <c r="F55" s="42">
        <f t="shared" ref="F55" si="13">IF(ROUND(F52-F12,4)&lt;&gt;0,1,0)</f>
        <v>0</v>
      </c>
      <c r="G55" s="197">
        <f>IF(ROUND(G53-H13,4)&lt;&gt;0,1,0)</f>
        <v>0</v>
      </c>
      <c r="H55" s="198">
        <f>IF(ROUND(H53-I13,4)&lt;&gt;0,1,0)</f>
        <v>0</v>
      </c>
      <c r="K55" s="59"/>
      <c r="L55" s="59"/>
      <c r="M55" s="59"/>
      <c r="N55" s="59"/>
    </row>
    <row r="56" spans="1:14" ht="12.3" x14ac:dyDescent="0.35">
      <c r="K56" s="59"/>
      <c r="L56" s="59"/>
      <c r="M56" s="59"/>
      <c r="N56" s="59"/>
    </row>
    <row r="57" spans="1:14" s="8" customFormat="1" ht="14.1" x14ac:dyDescent="0.35">
      <c r="C57" s="8" t="s">
        <v>85</v>
      </c>
    </row>
    <row r="59" spans="1:14" ht="12.3" x14ac:dyDescent="0.35">
      <c r="D59" s="43" t="s">
        <v>151</v>
      </c>
      <c r="G59" s="38" t="str">
        <f>Input_RAB_ACS!$M$166</f>
        <v>RY22</v>
      </c>
      <c r="H59" s="38" t="s">
        <v>141</v>
      </c>
    </row>
    <row r="61" spans="1:14" ht="12.3" x14ac:dyDescent="0.35">
      <c r="D61" s="10" t="str">
        <f>Input_RAB_ACS!$D$168</f>
        <v>Mechanical meters - General</v>
      </c>
      <c r="G61" s="57">
        <f>Input_RAB_ACS!M168</f>
        <v>8.4713494438114374</v>
      </c>
      <c r="H61" s="57" t="str">
        <f>NA</f>
        <v>N/A</v>
      </c>
    </row>
    <row r="62" spans="1:14" ht="12.3" x14ac:dyDescent="0.35">
      <c r="D62" s="10" t="str">
        <f>Input_RAB_ACS!$D$169</f>
        <v>Electronic Meters</v>
      </c>
      <c r="G62" s="57">
        <f>Input_RAB_ACS!M169</f>
        <v>9.1593329625184925</v>
      </c>
      <c r="H62" s="57" t="str">
        <f>NA</f>
        <v>N/A</v>
      </c>
    </row>
    <row r="63" spans="1:14" ht="12.3" x14ac:dyDescent="0.35">
      <c r="D63" s="10" t="str">
        <f>Input_RAB_ACS!$D$170</f>
        <v>Metering Communications</v>
      </c>
      <c r="G63" s="57">
        <f>Input_RAB_ACS!M170</f>
        <v>0</v>
      </c>
      <c r="H63" s="57" t="str">
        <f>NA</f>
        <v>N/A</v>
      </c>
    </row>
    <row r="64" spans="1:14" ht="12.3" x14ac:dyDescent="0.35">
      <c r="D64" s="10" t="str">
        <f>Input_RAB_ACS!$D$171</f>
        <v>Metering - Dedicated CTs and VTs</v>
      </c>
      <c r="G64" s="57">
        <f>Input_RAB_ACS!M171</f>
        <v>0</v>
      </c>
      <c r="H64" s="51">
        <v>15</v>
      </c>
    </row>
    <row r="65" spans="1:8" ht="12.3" x14ac:dyDescent="0.35">
      <c r="D65" s="10" t="str">
        <f>Input_RAB_ACS!$D$172</f>
        <v>Metering - Non-Network Other</v>
      </c>
      <c r="G65" s="57">
        <f>Input_RAB_ACS!M172</f>
        <v>0.23756626900664449</v>
      </c>
      <c r="H65" s="51">
        <v>38.07664899511397</v>
      </c>
    </row>
    <row r="66" spans="1:8" ht="12.3" x14ac:dyDescent="0.35">
      <c r="D66" s="10" t="str">
        <f>Input_RAB_ACS!$D$173</f>
        <v>Metering - Non-Network IT &amp; Communications</v>
      </c>
      <c r="G66" s="57">
        <f>Input_RAB_ACS!M173</f>
        <v>0.53356423583018597</v>
      </c>
      <c r="H66" s="51">
        <v>10</v>
      </c>
    </row>
    <row r="67" spans="1:8" ht="12.3" x14ac:dyDescent="0.35">
      <c r="D67" s="10" t="str">
        <f>Input_RAB_ACS!$D$174</f>
        <v>Fleet leases</v>
      </c>
      <c r="G67" s="57">
        <f>Input_RAB_ACS!M174</f>
        <v>0.58387742610905558</v>
      </c>
      <c r="H67" s="51">
        <v>6.9822332393634099</v>
      </c>
    </row>
    <row r="68" spans="1:8" ht="12.3" x14ac:dyDescent="0.35">
      <c r="D68" s="10" t="str">
        <f>Input_RAB_ACS!$D$175</f>
        <v>Property Leases</v>
      </c>
      <c r="G68" s="57">
        <f>Input_RAB_ACS!M175</f>
        <v>0.6411112708314517</v>
      </c>
      <c r="H68" s="51">
        <v>4.4690944779620621</v>
      </c>
    </row>
    <row r="69" spans="1:8" ht="12.3" x14ac:dyDescent="0.35">
      <c r="D69" s="10" t="str">
        <f>Input_RAB_ACS!$D$176</f>
        <v>Buildings</v>
      </c>
      <c r="G69" s="57">
        <f>Input_RAB_ACS!M176</f>
        <v>0.20596838295254899</v>
      </c>
      <c r="H69" s="51">
        <v>40</v>
      </c>
    </row>
    <row r="70" spans="1:8" ht="12.3" x14ac:dyDescent="0.35">
      <c r="D70" s="10" t="str">
        <f>Input_RAB_ACS!$D$177</f>
        <v>in-house software</v>
      </c>
      <c r="G70" s="57">
        <f>Input_RAB_ACS!M177</f>
        <v>0</v>
      </c>
      <c r="H70" s="51">
        <v>5</v>
      </c>
    </row>
    <row r="71" spans="1:8" ht="12.3" x14ac:dyDescent="0.35">
      <c r="D71" s="10" t="str">
        <f>Input_RAB_ACS!$D$178</f>
        <v>Equity Raising Costs</v>
      </c>
      <c r="G71" s="57">
        <f>Input_RAB_ACS!M178</f>
        <v>0.14308281430114372</v>
      </c>
      <c r="H71" s="51">
        <v>17.375089600662157</v>
      </c>
    </row>
    <row r="73" spans="1:8" ht="12.3" x14ac:dyDescent="0.35">
      <c r="D73" s="44" t="str">
        <f>"Total "&amp;D59</f>
        <v>Total Closing Balances</v>
      </c>
      <c r="G73" s="39">
        <f>SUM(G61:G71)</f>
        <v>19.975852805360965</v>
      </c>
    </row>
    <row r="75" spans="1:8" ht="12.3" x14ac:dyDescent="0.35">
      <c r="A75" s="24">
        <f>IF(SUM(E75:N75)&lt;&gt;0,1,0)</f>
        <v>0</v>
      </c>
      <c r="D75" s="10" t="str">
        <f>Input_RAB_ACS!$D$182</f>
        <v>Check - Calculation</v>
      </c>
      <c r="G75" s="42">
        <f>IF(G73=Input_RAB_ACS!M180,0,1)</f>
        <v>0</v>
      </c>
    </row>
    <row r="77" spans="1:8" ht="12.3" x14ac:dyDescent="0.35">
      <c r="D77" s="7" t="s">
        <v>142</v>
      </c>
      <c r="G77" s="51">
        <v>10</v>
      </c>
      <c r="H77" s="7" t="s">
        <v>154</v>
      </c>
    </row>
    <row r="80" spans="1:8" ht="12.3" x14ac:dyDescent="0.35">
      <c r="D80" s="43" t="s">
        <v>89</v>
      </c>
      <c r="G80" s="38" t="str">
        <f>Input_RAB_ACS!$M$166</f>
        <v>RY22</v>
      </c>
    </row>
    <row r="82" spans="2:7" ht="12.3" x14ac:dyDescent="0.35">
      <c r="D82" s="10" t="str">
        <f>Lookup!$D$113</f>
        <v>Meters</v>
      </c>
      <c r="G82" s="62">
        <f>IF($G$73=0,0,SUM(G61:G63)/$G$73)</f>
        <v>0.88259973569680816</v>
      </c>
    </row>
    <row r="83" spans="2:7" ht="12.3" x14ac:dyDescent="0.35">
      <c r="D83" s="10" t="str">
        <f>Lookup!$D$114</f>
        <v>“Other” asset items with long lives</v>
      </c>
      <c r="G83" s="62">
        <f>IF($G$73=0,0,SUMIF($H$64:$H$71,"&gt;="&amp;$G$77,$G$64:$G$71)/$G$73)</f>
        <v>5.6076789962624142E-2</v>
      </c>
    </row>
    <row r="84" spans="2:7" ht="12.3" x14ac:dyDescent="0.35">
      <c r="D84" s="10" t="str">
        <f>Lookup!$D$115</f>
        <v>“Other” asset items with short lives</v>
      </c>
      <c r="G84" s="62">
        <f>IF($G$73=0,0,SUMIF($H$64:$H$71,"&lt;"&amp;$G$77,$G$64:$G$71)/$G$73)</f>
        <v>6.1323474340567542E-2</v>
      </c>
    </row>
    <row r="86" spans="2:7" s="2" customFormat="1" ht="15" x14ac:dyDescent="0.35">
      <c r="B86" s="2" t="s">
        <v>26</v>
      </c>
    </row>
  </sheetData>
  <mergeCells count="2">
    <mergeCell ref="C11:C20"/>
    <mergeCell ref="C21:C30"/>
  </mergeCells>
  <conditionalFormatting sqref="B2">
    <cfRule type="cellIs" dxfId="14" priority="2" operator="notEqual">
      <formula>"No Errors Found"</formula>
    </cfRule>
  </conditionalFormatting>
  <hyperlinks>
    <hyperlink ref="B3:E3" location="TOC!A1" display="TOC!A1" xr:uid="{00000000-0004-0000-0800-000000000000}"/>
  </hyperlink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6" tint="0.59999389629810485"/>
  </sheetPr>
  <dimension ref="A1:T246"/>
  <sheetViews>
    <sheetView showGridLines="0" zoomScaleNormal="100" workbookViewId="0">
      <pane xSplit="1" ySplit="10" topLeftCell="B11" activePane="bottomRight" state="frozen"/>
      <selection activeCell="D44" sqref="D44"/>
      <selection pane="topRight" activeCell="D44" sqref="D44"/>
      <selection pane="bottomLeft" activeCell="D44" sqref="D44"/>
      <selection pane="bottomRight" activeCell="B11" sqref="B11"/>
    </sheetView>
  </sheetViews>
  <sheetFormatPr defaultColWidth="9.33203125" defaultRowHeight="10.199999999999999" outlineLevelRow="1" x14ac:dyDescent="0.35"/>
  <cols>
    <col min="1" max="1" width="3.33203125" customWidth="1"/>
    <col min="2" max="3" width="2.796875" customWidth="1"/>
    <col min="4" max="4" width="47.46484375" customWidth="1"/>
    <col min="5" max="5" width="19.33203125" customWidth="1"/>
    <col min="6" max="6" width="9.1328125" customWidth="1"/>
    <col min="7" max="7" width="12" customWidth="1"/>
    <col min="8" max="8" width="10" customWidth="1"/>
    <col min="9" max="9" width="4.46484375" customWidth="1"/>
    <col min="10" max="20" width="12.796875" customWidth="1"/>
    <col min="21" max="21" width="4.33203125" customWidth="1"/>
    <col min="22" max="23" width="10.796875" customWidth="1"/>
  </cols>
  <sheetData>
    <row r="1" spans="1:20" ht="18.899999999999999" x14ac:dyDescent="0.35">
      <c r="A1" s="42">
        <f>IF(SUM($A11:$A246)&gt;0,1,0)</f>
        <v>0</v>
      </c>
      <c r="B1" s="287" t="s">
        <v>436</v>
      </c>
    </row>
    <row r="2" spans="1:20" x14ac:dyDescent="0.35">
      <c r="B2" s="13" t="str">
        <f>Title_Msg</f>
        <v>No Errors Found</v>
      </c>
    </row>
    <row r="3" spans="1:20" x14ac:dyDescent="0.35">
      <c r="B3" s="30" t="str">
        <f>TOC!B1</f>
        <v>Table of Contents</v>
      </c>
      <c r="C3" s="28"/>
      <c r="D3" s="28"/>
      <c r="E3" s="28"/>
    </row>
    <row r="4" spans="1:20" ht="12.3" x14ac:dyDescent="0.35">
      <c r="B4" s="27" t="str">
        <f>Model_Name</f>
        <v>Power and Water Corporation (PWC) - RAB Allocation - EB RIN</v>
      </c>
    </row>
    <row r="5" spans="1:20" ht="12.3" hidden="1" outlineLevel="1" x14ac:dyDescent="0.35">
      <c r="B5" s="10" t="str">
        <f>Lookup!B15</f>
        <v>Period start date</v>
      </c>
      <c r="J5" s="35">
        <f>Lookup!R15</f>
        <v>43282</v>
      </c>
      <c r="K5" s="35">
        <f>Lookup!S15</f>
        <v>43647</v>
      </c>
      <c r="L5" s="35">
        <f>Lookup!T15</f>
        <v>44013</v>
      </c>
      <c r="M5" s="35">
        <f>Lookup!U15</f>
        <v>44378</v>
      </c>
      <c r="N5" s="35">
        <f>Lookup!V15</f>
        <v>44743</v>
      </c>
      <c r="O5" s="35">
        <f>Lookup!W15</f>
        <v>45108</v>
      </c>
      <c r="P5" s="35">
        <f>Lookup!X15</f>
        <v>45474</v>
      </c>
      <c r="Q5" s="35">
        <f>Lookup!Y15</f>
        <v>45839</v>
      </c>
      <c r="R5" s="35">
        <f>Lookup!Z15</f>
        <v>46204</v>
      </c>
      <c r="S5" s="35">
        <f>Lookup!AA15</f>
        <v>46569</v>
      </c>
      <c r="T5" s="35">
        <f>Lookup!AB15</f>
        <v>46935</v>
      </c>
    </row>
    <row r="6" spans="1:20" ht="12.3" hidden="1" outlineLevel="1" x14ac:dyDescent="0.35">
      <c r="B6" s="10" t="str">
        <f>Lookup!B16</f>
        <v>Period end date</v>
      </c>
      <c r="J6" s="35">
        <f>Lookup!R16</f>
        <v>43646</v>
      </c>
      <c r="K6" s="35">
        <f>Lookup!S16</f>
        <v>44012</v>
      </c>
      <c r="L6" s="35">
        <f>Lookup!T16</f>
        <v>44377</v>
      </c>
      <c r="M6" s="35">
        <f>Lookup!U16</f>
        <v>44742</v>
      </c>
      <c r="N6" s="35">
        <f>Lookup!V16</f>
        <v>45107</v>
      </c>
      <c r="O6" s="35">
        <f>Lookup!W16</f>
        <v>45473</v>
      </c>
      <c r="P6" s="35">
        <f>Lookup!X16</f>
        <v>45838</v>
      </c>
      <c r="Q6" s="35">
        <f>Lookup!Y16</f>
        <v>46203</v>
      </c>
      <c r="R6" s="35">
        <f>Lookup!Z16</f>
        <v>46568</v>
      </c>
      <c r="S6" s="35">
        <f>Lookup!AA16</f>
        <v>46934</v>
      </c>
      <c r="T6" s="35">
        <f>Lookup!AB16</f>
        <v>47299</v>
      </c>
    </row>
    <row r="7" spans="1:20" ht="12.3" hidden="1" outlineLevel="1" x14ac:dyDescent="0.35">
      <c r="B7" s="10" t="str">
        <f>Lookup!B17</f>
        <v>Period counter</v>
      </c>
      <c r="J7" s="36">
        <f>Lookup!R17</f>
        <v>9</v>
      </c>
      <c r="K7" s="36">
        <f>Lookup!S17</f>
        <v>10</v>
      </c>
      <c r="L7" s="36">
        <f>Lookup!T17</f>
        <v>11</v>
      </c>
      <c r="M7" s="36">
        <f>Lookup!U17</f>
        <v>12</v>
      </c>
      <c r="N7" s="36">
        <f>Lookup!V17</f>
        <v>13</v>
      </c>
      <c r="O7" s="36">
        <f>Lookup!W17</f>
        <v>14</v>
      </c>
      <c r="P7" s="36">
        <f>Lookup!X17</f>
        <v>15</v>
      </c>
      <c r="Q7" s="36">
        <f>Lookup!Y17</f>
        <v>16</v>
      </c>
      <c r="R7" s="36">
        <f>Lookup!Z17</f>
        <v>17</v>
      </c>
      <c r="S7" s="36">
        <f>Lookup!AA17</f>
        <v>18</v>
      </c>
      <c r="T7" s="36">
        <f>Lookup!AB17</f>
        <v>19</v>
      </c>
    </row>
    <row r="8" spans="1:20" ht="12.3" hidden="1" outlineLevel="1" x14ac:dyDescent="0.35">
      <c r="B8" s="10" t="str">
        <f>Lookup!B18</f>
        <v>Year</v>
      </c>
      <c r="J8" s="37">
        <f>Lookup!R18</f>
        <v>2019</v>
      </c>
      <c r="K8" s="37">
        <f>Lookup!S18</f>
        <v>2020</v>
      </c>
      <c r="L8" s="37">
        <f>Lookup!T18</f>
        <v>2021</v>
      </c>
      <c r="M8" s="37">
        <f>Lookup!U18</f>
        <v>2022</v>
      </c>
      <c r="N8" s="37">
        <f>Lookup!V18</f>
        <v>2023</v>
      </c>
      <c r="O8" s="37">
        <f>Lookup!W18</f>
        <v>2024</v>
      </c>
      <c r="P8" s="37">
        <f>Lookup!X18</f>
        <v>2025</v>
      </c>
      <c r="Q8" s="37">
        <f>Lookup!Y18</f>
        <v>2026</v>
      </c>
      <c r="R8" s="37">
        <f>Lookup!Z18</f>
        <v>2027</v>
      </c>
      <c r="S8" s="37">
        <f>Lookup!AA18</f>
        <v>2028</v>
      </c>
      <c r="T8" s="37">
        <f>Lookup!AB18</f>
        <v>2029</v>
      </c>
    </row>
    <row r="9" spans="1:20" ht="12.3" hidden="1" outlineLevel="1" x14ac:dyDescent="0.35">
      <c r="B9" s="10" t="str">
        <f>Lookup!B19</f>
        <v>Period type</v>
      </c>
      <c r="J9" s="37" t="str">
        <f>Lookup!R19</f>
        <v>Actual</v>
      </c>
      <c r="K9" s="37" t="str">
        <f>Lookup!S19</f>
        <v>Actual</v>
      </c>
      <c r="L9" s="37" t="str">
        <f>Lookup!T19</f>
        <v>Actual</v>
      </c>
      <c r="M9" s="37" t="str">
        <f>Lookup!U19</f>
        <v>Base Year</v>
      </c>
      <c r="N9" s="37" t="str">
        <f>Lookup!V19</f>
        <v>Estimate</v>
      </c>
      <c r="O9" s="37" t="str">
        <f>Lookup!W19</f>
        <v>Estimate</v>
      </c>
      <c r="P9" s="37" t="str">
        <f>Lookup!X19</f>
        <v>Forecast</v>
      </c>
      <c r="Q9" s="37" t="str">
        <f>Lookup!Y19</f>
        <v>Forecast</v>
      </c>
      <c r="R9" s="37" t="str">
        <f>Lookup!Z19</f>
        <v>Forecast</v>
      </c>
      <c r="S9" s="37" t="str">
        <f>Lookup!AA19</f>
        <v>Forecast</v>
      </c>
      <c r="T9" s="37" t="str">
        <f>Lookup!AB19</f>
        <v>Forecast</v>
      </c>
    </row>
    <row r="10" spans="1:20" ht="12.3" collapsed="1" x14ac:dyDescent="0.35">
      <c r="B10" s="5" t="str">
        <f>Lookup!B20</f>
        <v>Regulatory year</v>
      </c>
      <c r="E10" s="34" t="str">
        <f>Lookup!E20</f>
        <v>Source</v>
      </c>
      <c r="F10" s="34" t="str">
        <f>Lookup!F20</f>
        <v>Unit</v>
      </c>
      <c r="G10" s="34" t="str">
        <f>Lookup!G20</f>
        <v>Basis</v>
      </c>
      <c r="H10" s="34" t="str">
        <f>Lookup!H20</f>
        <v>Timing</v>
      </c>
      <c r="I10" s="34"/>
      <c r="J10" s="34" t="str">
        <f>Lookup!R20</f>
        <v>RY19</v>
      </c>
      <c r="K10" s="34" t="str">
        <f>Lookup!S20</f>
        <v>RY20</v>
      </c>
      <c r="L10" s="34" t="str">
        <f>Lookup!T20</f>
        <v>RY21</v>
      </c>
      <c r="M10" s="34" t="str">
        <f>Lookup!U20</f>
        <v>RY22</v>
      </c>
      <c r="N10" s="34" t="str">
        <f>Lookup!V20</f>
        <v>RY23</v>
      </c>
      <c r="O10" s="34" t="str">
        <f>Lookup!W20</f>
        <v>RY24</v>
      </c>
      <c r="P10" s="34" t="str">
        <f>Lookup!X20</f>
        <v>RY25</v>
      </c>
      <c r="Q10" s="34" t="str">
        <f>Lookup!Y20</f>
        <v>RY26</v>
      </c>
      <c r="R10" s="34" t="str">
        <f>Lookup!Z20</f>
        <v>RY27</v>
      </c>
      <c r="S10" s="34" t="str">
        <f>Lookup!AA20</f>
        <v>RY28</v>
      </c>
      <c r="T10" s="34" t="str">
        <f>Lookup!AB20</f>
        <v>RY29</v>
      </c>
    </row>
    <row r="12" spans="1:20" s="2" customFormat="1" ht="15" x14ac:dyDescent="0.35">
      <c r="B12" s="2" t="s">
        <v>437</v>
      </c>
    </row>
    <row r="13" spans="1:20" ht="4.5" customHeight="1" x14ac:dyDescent="0.35"/>
    <row r="14" spans="1:20" s="8" customFormat="1" ht="14.1" x14ac:dyDescent="0.35">
      <c r="C14" s="8" t="s">
        <v>402</v>
      </c>
    </row>
    <row r="15" spans="1:20" ht="11.25" customHeight="1" x14ac:dyDescent="0.35"/>
    <row r="16" spans="1:20" ht="12.3" x14ac:dyDescent="0.35">
      <c r="D16" s="43" t="s">
        <v>401</v>
      </c>
      <c r="E16" s="38" t="str">
        <f>Lookup!E$20</f>
        <v>Source</v>
      </c>
      <c r="F16" s="38" t="str">
        <f>Lookup!F$20</f>
        <v>Unit</v>
      </c>
      <c r="G16" s="38" t="str">
        <f>Lookup!G$20</f>
        <v>Basis</v>
      </c>
      <c r="H16" s="38" t="str">
        <f>Lookup!H$20</f>
        <v>Timing</v>
      </c>
      <c r="J16" s="47" t="str">
        <f t="shared" ref="J16:T16" si="0">J$10</f>
        <v>RY19</v>
      </c>
      <c r="K16" s="46" t="str">
        <f t="shared" si="0"/>
        <v>RY20</v>
      </c>
      <c r="L16" s="38" t="str">
        <f>L$10</f>
        <v>RY21</v>
      </c>
      <c r="M16" s="38" t="str">
        <f t="shared" si="0"/>
        <v>RY22</v>
      </c>
      <c r="N16" s="38" t="str">
        <f t="shared" si="0"/>
        <v>RY23</v>
      </c>
      <c r="O16" s="47" t="str">
        <f t="shared" si="0"/>
        <v>RY24</v>
      </c>
      <c r="P16" s="46" t="str">
        <f t="shared" si="0"/>
        <v>RY25</v>
      </c>
      <c r="Q16" s="38" t="str">
        <f>Q$10</f>
        <v>RY26</v>
      </c>
      <c r="R16" s="38" t="str">
        <f t="shared" si="0"/>
        <v>RY27</v>
      </c>
      <c r="S16" s="38" t="str">
        <f t="shared" si="0"/>
        <v>RY28</v>
      </c>
      <c r="T16" s="47" t="str">
        <f t="shared" si="0"/>
        <v>RY29</v>
      </c>
    </row>
    <row r="17" spans="4:20" x14ac:dyDescent="0.35">
      <c r="J17" s="49"/>
      <c r="K17" s="48"/>
      <c r="O17" s="49"/>
      <c r="P17" s="48"/>
      <c r="T17" s="49"/>
    </row>
    <row r="18" spans="4:20" ht="12.3" x14ac:dyDescent="0.35">
      <c r="D18" s="10" t="str">
        <f>Lookup!D71</f>
        <v>Substations</v>
      </c>
      <c r="E18" s="45" t="s">
        <v>152</v>
      </c>
      <c r="F18" s="45" t="str">
        <f t="shared" ref="F18:F37" si="1">Millions</f>
        <v>$Millions</v>
      </c>
      <c r="G18" s="45" t="str">
        <f t="shared" ref="G18:G37" si="2">Nominal</f>
        <v>Nominal</v>
      </c>
      <c r="H18" s="45" t="str">
        <f t="shared" ref="H18:H37" si="3">Start_year</f>
        <v>Start year</v>
      </c>
      <c r="J18" s="289"/>
      <c r="K18" s="56">
        <f t="shared" ref="K18:T18" si="4">J221</f>
        <v>0</v>
      </c>
      <c r="L18" s="57">
        <f t="shared" si="4"/>
        <v>0</v>
      </c>
      <c r="M18" s="57">
        <f t="shared" si="4"/>
        <v>0</v>
      </c>
      <c r="N18" s="57">
        <f t="shared" si="4"/>
        <v>0</v>
      </c>
      <c r="O18" s="58">
        <f t="shared" si="4"/>
        <v>0</v>
      </c>
      <c r="P18" s="56">
        <f t="shared" si="4"/>
        <v>0</v>
      </c>
      <c r="Q18" s="57">
        <f t="shared" si="4"/>
        <v>0</v>
      </c>
      <c r="R18" s="57">
        <f t="shared" si="4"/>
        <v>0</v>
      </c>
      <c r="S18" s="57">
        <f t="shared" si="4"/>
        <v>0</v>
      </c>
      <c r="T18" s="58">
        <f t="shared" si="4"/>
        <v>0</v>
      </c>
    </row>
    <row r="19" spans="4:20" ht="12.3" x14ac:dyDescent="0.35">
      <c r="D19" s="10" t="str">
        <f>Lookup!D72</f>
        <v>Distribution Lines</v>
      </c>
      <c r="E19" s="45" t="str">
        <f>E18</f>
        <v>Input_RAB_SCS</v>
      </c>
      <c r="F19" s="45" t="str">
        <f t="shared" si="1"/>
        <v>$Millions</v>
      </c>
      <c r="G19" s="45" t="str">
        <f t="shared" si="2"/>
        <v>Nominal</v>
      </c>
      <c r="H19" s="45" t="str">
        <f t="shared" si="3"/>
        <v>Start year</v>
      </c>
      <c r="J19" s="58">
        <f>Input_RAB_SCS!J19*Input_Connections!J$16</f>
        <v>60.510133303342904</v>
      </c>
      <c r="K19" s="56">
        <f t="shared" ref="K19:T19" si="5">J222</f>
        <v>60.211742213736066</v>
      </c>
      <c r="L19" s="57">
        <f t="shared" si="5"/>
        <v>60.51744425821996</v>
      </c>
      <c r="M19" s="57">
        <f t="shared" si="5"/>
        <v>61.009315033206498</v>
      </c>
      <c r="N19" s="57">
        <f t="shared" si="5"/>
        <v>62.61088379406069</v>
      </c>
      <c r="O19" s="58">
        <f t="shared" si="5"/>
        <v>66.057467852357647</v>
      </c>
      <c r="P19" s="56">
        <f t="shared" si="5"/>
        <v>68.468318889359452</v>
      </c>
      <c r="Q19" s="57">
        <f t="shared" si="5"/>
        <v>70.024096305393684</v>
      </c>
      <c r="R19" s="57">
        <f t="shared" si="5"/>
        <v>71.795353078019104</v>
      </c>
      <c r="S19" s="57">
        <f t="shared" si="5"/>
        <v>73.613597609506343</v>
      </c>
      <c r="T19" s="58">
        <f t="shared" si="5"/>
        <v>75.180325571651991</v>
      </c>
    </row>
    <row r="20" spans="4:20" ht="12.3" x14ac:dyDescent="0.35">
      <c r="D20" s="10" t="str">
        <f>Lookup!D73</f>
        <v>Transmission Lines</v>
      </c>
      <c r="E20" s="45" t="str">
        <f t="shared" ref="E20:E36" si="6">E19</f>
        <v>Input_RAB_SCS</v>
      </c>
      <c r="F20" s="45" t="str">
        <f t="shared" si="1"/>
        <v>$Millions</v>
      </c>
      <c r="G20" s="45" t="str">
        <f t="shared" si="2"/>
        <v>Nominal</v>
      </c>
      <c r="H20" s="45" t="str">
        <f t="shared" si="3"/>
        <v>Start year</v>
      </c>
      <c r="J20" s="289"/>
      <c r="K20" s="56">
        <f t="shared" ref="K20:T20" si="7">J223</f>
        <v>0</v>
      </c>
      <c r="L20" s="57">
        <f t="shared" si="7"/>
        <v>0</v>
      </c>
      <c r="M20" s="57">
        <f t="shared" si="7"/>
        <v>0</v>
      </c>
      <c r="N20" s="57">
        <f t="shared" si="7"/>
        <v>0</v>
      </c>
      <c r="O20" s="58">
        <f t="shared" si="7"/>
        <v>0</v>
      </c>
      <c r="P20" s="56">
        <f t="shared" si="7"/>
        <v>0</v>
      </c>
      <c r="Q20" s="57">
        <f t="shared" si="7"/>
        <v>0</v>
      </c>
      <c r="R20" s="57">
        <f t="shared" si="7"/>
        <v>0</v>
      </c>
      <c r="S20" s="57">
        <f t="shared" si="7"/>
        <v>0</v>
      </c>
      <c r="T20" s="58">
        <f t="shared" si="7"/>
        <v>0</v>
      </c>
    </row>
    <row r="21" spans="4:20" ht="12.3" x14ac:dyDescent="0.35">
      <c r="D21" s="10" t="str">
        <f>Lookup!D74</f>
        <v>LV Services</v>
      </c>
      <c r="E21" s="45" t="str">
        <f t="shared" si="6"/>
        <v>Input_RAB_SCS</v>
      </c>
      <c r="F21" s="45" t="str">
        <f t="shared" si="1"/>
        <v>$Millions</v>
      </c>
      <c r="G21" s="45" t="str">
        <f t="shared" si="2"/>
        <v>Nominal</v>
      </c>
      <c r="H21" s="45" t="str">
        <f t="shared" si="3"/>
        <v>Start year</v>
      </c>
      <c r="J21" s="58">
        <f>Input_RAB_SCS!J21*Input_Connections!J$16</f>
        <v>1.5539218020833747</v>
      </c>
      <c r="K21" s="56">
        <f t="shared" ref="K21:T21" si="8">J224</f>
        <v>2.0649372246077111</v>
      </c>
      <c r="L21" s="57">
        <f t="shared" si="8"/>
        <v>2.1068349716292603</v>
      </c>
      <c r="M21" s="57">
        <f t="shared" si="8"/>
        <v>2.2528830202297119</v>
      </c>
      <c r="N21" s="57">
        <f t="shared" si="8"/>
        <v>2.4596751670853543</v>
      </c>
      <c r="O21" s="58">
        <f t="shared" si="8"/>
        <v>2.6588844080034479</v>
      </c>
      <c r="P21" s="56">
        <f t="shared" si="8"/>
        <v>2.8467209537141813</v>
      </c>
      <c r="Q21" s="57">
        <f t="shared" si="8"/>
        <v>3.252497616683991</v>
      </c>
      <c r="R21" s="57">
        <f t="shared" si="8"/>
        <v>3.6817510192779839</v>
      </c>
      <c r="S21" s="57">
        <f t="shared" si="8"/>
        <v>4.1331434034914789</v>
      </c>
      <c r="T21" s="58">
        <f t="shared" si="8"/>
        <v>4.6066136611357997</v>
      </c>
    </row>
    <row r="22" spans="4:20" ht="12.3" x14ac:dyDescent="0.35">
      <c r="D22" s="10" t="str">
        <f>Lookup!D75</f>
        <v>Distribution Substations</v>
      </c>
      <c r="E22" s="45" t="str">
        <f t="shared" si="6"/>
        <v>Input_RAB_SCS</v>
      </c>
      <c r="F22" s="45" t="str">
        <f t="shared" si="1"/>
        <v>$Millions</v>
      </c>
      <c r="G22" s="45" t="str">
        <f t="shared" si="2"/>
        <v>Nominal</v>
      </c>
      <c r="H22" s="45" t="str">
        <f t="shared" si="3"/>
        <v>Start year</v>
      </c>
      <c r="J22" s="58">
        <f>Input_RAB_SCS!J22*Input_Connections!J$16</f>
        <v>23.732692094128133</v>
      </c>
      <c r="K22" s="56">
        <f t="shared" ref="K22" si="9">J225</f>
        <v>25.055872719531401</v>
      </c>
      <c r="L22" s="57">
        <f t="shared" ref="L22" si="10">K225</f>
        <v>25.16344213386294</v>
      </c>
      <c r="M22" s="57">
        <f t="shared" ref="M22" si="11">L225</f>
        <v>25.243718908576295</v>
      </c>
      <c r="N22" s="57">
        <f t="shared" ref="N22" si="12">M225</f>
        <v>25.635209860299856</v>
      </c>
      <c r="O22" s="58">
        <f t="shared" ref="O22" si="13">N225</f>
        <v>26.242369555155985</v>
      </c>
      <c r="P22" s="56">
        <f t="shared" ref="P22" si="14">O225</f>
        <v>26.585498095309216</v>
      </c>
      <c r="Q22" s="57">
        <f t="shared" ref="Q22" si="15">P225</f>
        <v>26.812415318451254</v>
      </c>
      <c r="R22" s="57">
        <f t="shared" ref="R22" si="16">Q225</f>
        <v>27.05212525195806</v>
      </c>
      <c r="S22" s="57">
        <f t="shared" ref="S22" si="17">R225</f>
        <v>27.303025255619989</v>
      </c>
      <c r="T22" s="58">
        <f t="shared" ref="T22" si="18">S225</f>
        <v>27.564736355149481</v>
      </c>
    </row>
    <row r="23" spans="4:20" ht="12.3" x14ac:dyDescent="0.35">
      <c r="D23" s="10" t="str">
        <f>Lookup!D76</f>
        <v>Distribution Switchgear</v>
      </c>
      <c r="E23" s="45" t="str">
        <f t="shared" si="6"/>
        <v>Input_RAB_SCS</v>
      </c>
      <c r="F23" s="45" t="str">
        <f t="shared" si="1"/>
        <v>$Millions</v>
      </c>
      <c r="G23" s="45" t="str">
        <f t="shared" si="2"/>
        <v>Nominal</v>
      </c>
      <c r="H23" s="45" t="str">
        <f t="shared" si="3"/>
        <v>Start year</v>
      </c>
      <c r="J23" s="58">
        <f>Input_RAB_SCS!J23*Input_Connections!J$16</f>
        <v>8.3918535148373419</v>
      </c>
      <c r="K23" s="56">
        <f t="shared" ref="K23" si="19">J226</f>
        <v>10.234106009760188</v>
      </c>
      <c r="L23" s="57">
        <f t="shared" ref="L23" si="20">K226</f>
        <v>10.3172428667463</v>
      </c>
      <c r="M23" s="57">
        <f t="shared" ref="M23" si="21">L226</f>
        <v>10.587645083373902</v>
      </c>
      <c r="N23" s="57">
        <f t="shared" ref="N23" si="22">M226</f>
        <v>10.816439535688058</v>
      </c>
      <c r="O23" s="58">
        <f t="shared" ref="O23" si="23">N226</f>
        <v>11.351094484060969</v>
      </c>
      <c r="P23" s="56">
        <f t="shared" ref="P23" si="24">O226</f>
        <v>11.615819940186883</v>
      </c>
      <c r="Q23" s="57">
        <f t="shared" ref="Q23" si="25">P226</f>
        <v>12.073994140470889</v>
      </c>
      <c r="R23" s="57">
        <f t="shared" ref="R23" si="26">Q226</f>
        <v>12.559886753206939</v>
      </c>
      <c r="S23" s="57">
        <f t="shared" ref="S23" si="27">R226</f>
        <v>13.072371795893496</v>
      </c>
      <c r="T23" s="58">
        <f t="shared" ref="T23" si="28">S226</f>
        <v>13.611660678853694</v>
      </c>
    </row>
    <row r="24" spans="4:20" ht="12.3" x14ac:dyDescent="0.35">
      <c r="D24" s="10" t="str">
        <f>Lookup!D77</f>
        <v>Protection</v>
      </c>
      <c r="E24" s="45" t="str">
        <f t="shared" si="6"/>
        <v>Input_RAB_SCS</v>
      </c>
      <c r="F24" s="45" t="str">
        <f t="shared" si="1"/>
        <v>$Millions</v>
      </c>
      <c r="G24" s="45" t="str">
        <f t="shared" si="2"/>
        <v>Nominal</v>
      </c>
      <c r="H24" s="45" t="str">
        <f t="shared" si="3"/>
        <v>Start year</v>
      </c>
      <c r="J24" s="289"/>
      <c r="K24" s="56">
        <f t="shared" ref="K24:T24" si="29">J227</f>
        <v>0</v>
      </c>
      <c r="L24" s="57">
        <f t="shared" si="29"/>
        <v>0</v>
      </c>
      <c r="M24" s="57">
        <f t="shared" si="29"/>
        <v>0</v>
      </c>
      <c r="N24" s="57">
        <f t="shared" si="29"/>
        <v>0</v>
      </c>
      <c r="O24" s="58">
        <f t="shared" si="29"/>
        <v>0</v>
      </c>
      <c r="P24" s="56">
        <f t="shared" si="29"/>
        <v>0</v>
      </c>
      <c r="Q24" s="57">
        <f t="shared" si="29"/>
        <v>0</v>
      </c>
      <c r="R24" s="57">
        <f t="shared" si="29"/>
        <v>0</v>
      </c>
      <c r="S24" s="57">
        <f t="shared" si="29"/>
        <v>0</v>
      </c>
      <c r="T24" s="58">
        <f t="shared" si="29"/>
        <v>0</v>
      </c>
    </row>
    <row r="25" spans="4:20" ht="12.3" x14ac:dyDescent="0.35">
      <c r="D25" s="10" t="str">
        <f>Lookup!D78</f>
        <v>SCADA</v>
      </c>
      <c r="E25" s="45" t="str">
        <f t="shared" si="6"/>
        <v>Input_RAB_SCS</v>
      </c>
      <c r="F25" s="45" t="str">
        <f t="shared" si="1"/>
        <v>$Millions</v>
      </c>
      <c r="G25" s="45" t="str">
        <f t="shared" si="2"/>
        <v>Nominal</v>
      </c>
      <c r="H25" s="45" t="str">
        <f t="shared" si="3"/>
        <v>Start year</v>
      </c>
      <c r="J25" s="289"/>
      <c r="K25" s="56">
        <f t="shared" ref="K25:T25" si="30">J228</f>
        <v>0</v>
      </c>
      <c r="L25" s="57">
        <f t="shared" si="30"/>
        <v>0</v>
      </c>
      <c r="M25" s="57">
        <f t="shared" si="30"/>
        <v>0</v>
      </c>
      <c r="N25" s="57">
        <f t="shared" si="30"/>
        <v>0</v>
      </c>
      <c r="O25" s="58">
        <f t="shared" si="30"/>
        <v>0</v>
      </c>
      <c r="P25" s="56">
        <f t="shared" si="30"/>
        <v>0</v>
      </c>
      <c r="Q25" s="57">
        <f t="shared" si="30"/>
        <v>0</v>
      </c>
      <c r="R25" s="57">
        <f t="shared" si="30"/>
        <v>0</v>
      </c>
      <c r="S25" s="57">
        <f t="shared" si="30"/>
        <v>0</v>
      </c>
      <c r="T25" s="58">
        <f t="shared" si="30"/>
        <v>0</v>
      </c>
    </row>
    <row r="26" spans="4:20" ht="12.3" x14ac:dyDescent="0.35">
      <c r="D26" s="10" t="str">
        <f>Lookup!D79</f>
        <v>Communications</v>
      </c>
      <c r="E26" s="45" t="str">
        <f t="shared" si="6"/>
        <v>Input_RAB_SCS</v>
      </c>
      <c r="F26" s="45" t="str">
        <f t="shared" si="1"/>
        <v>$Millions</v>
      </c>
      <c r="G26" s="45" t="str">
        <f t="shared" si="2"/>
        <v>Nominal</v>
      </c>
      <c r="H26" s="45" t="str">
        <f t="shared" si="3"/>
        <v>Start year</v>
      </c>
      <c r="J26" s="289"/>
      <c r="K26" s="56">
        <f t="shared" ref="K26:T26" si="31">J229</f>
        <v>0</v>
      </c>
      <c r="L26" s="57">
        <f t="shared" si="31"/>
        <v>0</v>
      </c>
      <c r="M26" s="57">
        <f t="shared" si="31"/>
        <v>0</v>
      </c>
      <c r="N26" s="57">
        <f t="shared" si="31"/>
        <v>0</v>
      </c>
      <c r="O26" s="58">
        <f t="shared" si="31"/>
        <v>0</v>
      </c>
      <c r="P26" s="56">
        <f t="shared" si="31"/>
        <v>0</v>
      </c>
      <c r="Q26" s="57">
        <f t="shared" si="31"/>
        <v>0</v>
      </c>
      <c r="R26" s="57">
        <f t="shared" si="31"/>
        <v>0</v>
      </c>
      <c r="S26" s="57">
        <f t="shared" si="31"/>
        <v>0</v>
      </c>
      <c r="T26" s="58">
        <f t="shared" si="31"/>
        <v>0</v>
      </c>
    </row>
    <row r="27" spans="4:20" ht="12.3" x14ac:dyDescent="0.35">
      <c r="D27" s="10" t="str">
        <f>Lookup!D80</f>
        <v>Land and Easements</v>
      </c>
      <c r="E27" s="45" t="str">
        <f t="shared" si="6"/>
        <v>Input_RAB_SCS</v>
      </c>
      <c r="F27" s="45" t="str">
        <f t="shared" si="1"/>
        <v>$Millions</v>
      </c>
      <c r="G27" s="45" t="str">
        <f t="shared" si="2"/>
        <v>Nominal</v>
      </c>
      <c r="H27" s="45" t="str">
        <f t="shared" si="3"/>
        <v>Start year</v>
      </c>
      <c r="J27" s="289"/>
      <c r="K27" s="56">
        <f t="shared" ref="K27:T27" si="32">J230</f>
        <v>0</v>
      </c>
      <c r="L27" s="57">
        <f t="shared" si="32"/>
        <v>0</v>
      </c>
      <c r="M27" s="57">
        <f t="shared" si="32"/>
        <v>0</v>
      </c>
      <c r="N27" s="57">
        <f t="shared" si="32"/>
        <v>0</v>
      </c>
      <c r="O27" s="58">
        <f t="shared" si="32"/>
        <v>0</v>
      </c>
      <c r="P27" s="56">
        <f t="shared" si="32"/>
        <v>0</v>
      </c>
      <c r="Q27" s="57">
        <f t="shared" si="32"/>
        <v>0</v>
      </c>
      <c r="R27" s="57">
        <f t="shared" si="32"/>
        <v>0</v>
      </c>
      <c r="S27" s="57">
        <f t="shared" si="32"/>
        <v>0</v>
      </c>
      <c r="T27" s="58">
        <f t="shared" si="32"/>
        <v>0</v>
      </c>
    </row>
    <row r="28" spans="4:20" ht="12.3" x14ac:dyDescent="0.35">
      <c r="D28" s="10" t="str">
        <f>Lookup!D81</f>
        <v>Property</v>
      </c>
      <c r="E28" s="45" t="str">
        <f t="shared" si="6"/>
        <v>Input_RAB_SCS</v>
      </c>
      <c r="F28" s="45" t="str">
        <f t="shared" si="1"/>
        <v>$Millions</v>
      </c>
      <c r="G28" s="45" t="str">
        <f t="shared" si="2"/>
        <v>Nominal</v>
      </c>
      <c r="H28" s="45" t="str">
        <f t="shared" si="3"/>
        <v>Start year</v>
      </c>
      <c r="J28" s="289"/>
      <c r="K28" s="56">
        <f t="shared" ref="K28:T28" si="33">J231</f>
        <v>0</v>
      </c>
      <c r="L28" s="57">
        <f t="shared" si="33"/>
        <v>0</v>
      </c>
      <c r="M28" s="57">
        <f t="shared" si="33"/>
        <v>0</v>
      </c>
      <c r="N28" s="57">
        <f t="shared" si="33"/>
        <v>0</v>
      </c>
      <c r="O28" s="58">
        <f t="shared" si="33"/>
        <v>0</v>
      </c>
      <c r="P28" s="56">
        <f t="shared" si="33"/>
        <v>0</v>
      </c>
      <c r="Q28" s="57">
        <f t="shared" si="33"/>
        <v>0</v>
      </c>
      <c r="R28" s="57">
        <f t="shared" si="33"/>
        <v>0</v>
      </c>
      <c r="S28" s="57">
        <f t="shared" si="33"/>
        <v>0</v>
      </c>
      <c r="T28" s="58">
        <f t="shared" si="33"/>
        <v>0</v>
      </c>
    </row>
    <row r="29" spans="4:20" ht="12.3" x14ac:dyDescent="0.35">
      <c r="D29" s="10" t="str">
        <f>Lookup!D82</f>
        <v>IT and Communications</v>
      </c>
      <c r="E29" s="45" t="str">
        <f t="shared" si="6"/>
        <v>Input_RAB_SCS</v>
      </c>
      <c r="F29" s="45" t="str">
        <f t="shared" si="1"/>
        <v>$Millions</v>
      </c>
      <c r="G29" s="45" t="str">
        <f t="shared" si="2"/>
        <v>Nominal</v>
      </c>
      <c r="H29" s="45" t="str">
        <f t="shared" si="3"/>
        <v>Start year</v>
      </c>
      <c r="J29" s="289"/>
      <c r="K29" s="56">
        <f t="shared" ref="K29:T29" si="34">J232</f>
        <v>0</v>
      </c>
      <c r="L29" s="57">
        <f t="shared" si="34"/>
        <v>0</v>
      </c>
      <c r="M29" s="57">
        <f t="shared" si="34"/>
        <v>0</v>
      </c>
      <c r="N29" s="57">
        <f t="shared" si="34"/>
        <v>0</v>
      </c>
      <c r="O29" s="58">
        <f t="shared" si="34"/>
        <v>0</v>
      </c>
      <c r="P29" s="56">
        <f t="shared" si="34"/>
        <v>0</v>
      </c>
      <c r="Q29" s="57">
        <f t="shared" si="34"/>
        <v>0</v>
      </c>
      <c r="R29" s="57">
        <f t="shared" si="34"/>
        <v>0</v>
      </c>
      <c r="S29" s="57">
        <f t="shared" si="34"/>
        <v>0</v>
      </c>
      <c r="T29" s="58">
        <f t="shared" si="34"/>
        <v>0</v>
      </c>
    </row>
    <row r="30" spans="4:20" ht="12.3" x14ac:dyDescent="0.35">
      <c r="D30" s="10" t="str">
        <f>Lookup!D83</f>
        <v>Motor Vehicles</v>
      </c>
      <c r="E30" s="45" t="str">
        <f t="shared" si="6"/>
        <v>Input_RAB_SCS</v>
      </c>
      <c r="F30" s="45" t="str">
        <f t="shared" si="1"/>
        <v>$Millions</v>
      </c>
      <c r="G30" s="45" t="str">
        <f t="shared" si="2"/>
        <v>Nominal</v>
      </c>
      <c r="H30" s="45" t="str">
        <f t="shared" si="3"/>
        <v>Start year</v>
      </c>
      <c r="J30" s="289"/>
      <c r="K30" s="56">
        <f t="shared" ref="K30:T30" si="35">J233</f>
        <v>0</v>
      </c>
      <c r="L30" s="57">
        <f t="shared" si="35"/>
        <v>0</v>
      </c>
      <c r="M30" s="57">
        <f t="shared" si="35"/>
        <v>0</v>
      </c>
      <c r="N30" s="57">
        <f t="shared" si="35"/>
        <v>0</v>
      </c>
      <c r="O30" s="58">
        <f t="shared" si="35"/>
        <v>0</v>
      </c>
      <c r="P30" s="56">
        <f t="shared" si="35"/>
        <v>0</v>
      </c>
      <c r="Q30" s="57">
        <f t="shared" si="35"/>
        <v>0</v>
      </c>
      <c r="R30" s="57">
        <f t="shared" si="35"/>
        <v>0</v>
      </c>
      <c r="S30" s="57">
        <f t="shared" si="35"/>
        <v>0</v>
      </c>
      <c r="T30" s="58">
        <f t="shared" si="35"/>
        <v>0</v>
      </c>
    </row>
    <row r="31" spans="4:20" ht="12.3" x14ac:dyDescent="0.35">
      <c r="D31" s="10" t="str">
        <f>Lookup!D84</f>
        <v>Plant and Equipment</v>
      </c>
      <c r="E31" s="45" t="str">
        <f t="shared" si="6"/>
        <v>Input_RAB_SCS</v>
      </c>
      <c r="F31" s="45" t="str">
        <f t="shared" si="1"/>
        <v>$Millions</v>
      </c>
      <c r="G31" s="45" t="str">
        <f t="shared" si="2"/>
        <v>Nominal</v>
      </c>
      <c r="H31" s="45" t="str">
        <f t="shared" si="3"/>
        <v>Start year</v>
      </c>
      <c r="J31" s="289"/>
      <c r="K31" s="56">
        <f t="shared" ref="K31:T31" si="36">J234</f>
        <v>0</v>
      </c>
      <c r="L31" s="57">
        <f t="shared" si="36"/>
        <v>0</v>
      </c>
      <c r="M31" s="57">
        <f t="shared" si="36"/>
        <v>0</v>
      </c>
      <c r="N31" s="57">
        <f t="shared" si="36"/>
        <v>0</v>
      </c>
      <c r="O31" s="58">
        <f t="shared" si="36"/>
        <v>0</v>
      </c>
      <c r="P31" s="56">
        <f t="shared" si="36"/>
        <v>0</v>
      </c>
      <c r="Q31" s="57">
        <f t="shared" si="36"/>
        <v>0</v>
      </c>
      <c r="R31" s="57">
        <f t="shared" si="36"/>
        <v>0</v>
      </c>
      <c r="S31" s="57">
        <f t="shared" si="36"/>
        <v>0</v>
      </c>
      <c r="T31" s="58">
        <f t="shared" si="36"/>
        <v>0</v>
      </c>
    </row>
    <row r="32" spans="4:20" ht="12.3" x14ac:dyDescent="0.35">
      <c r="D32" s="10" t="str">
        <f>Lookup!D85</f>
        <v>Property Leases</v>
      </c>
      <c r="E32" s="45" t="str">
        <f t="shared" si="6"/>
        <v>Input_RAB_SCS</v>
      </c>
      <c r="F32" s="45" t="str">
        <f t="shared" si="1"/>
        <v>$Millions</v>
      </c>
      <c r="G32" s="45" t="str">
        <f t="shared" si="2"/>
        <v>Nominal</v>
      </c>
      <c r="H32" s="45" t="str">
        <f t="shared" si="3"/>
        <v>Start year</v>
      </c>
      <c r="J32" s="289"/>
      <c r="K32" s="56">
        <f t="shared" ref="K32:T32" si="37">J235</f>
        <v>0</v>
      </c>
      <c r="L32" s="57">
        <f t="shared" si="37"/>
        <v>0</v>
      </c>
      <c r="M32" s="57">
        <f t="shared" si="37"/>
        <v>0</v>
      </c>
      <c r="N32" s="57">
        <f t="shared" si="37"/>
        <v>0</v>
      </c>
      <c r="O32" s="58">
        <f t="shared" si="37"/>
        <v>0</v>
      </c>
      <c r="P32" s="56">
        <f t="shared" si="37"/>
        <v>0</v>
      </c>
      <c r="Q32" s="57">
        <f t="shared" si="37"/>
        <v>0</v>
      </c>
      <c r="R32" s="57">
        <f t="shared" si="37"/>
        <v>0</v>
      </c>
      <c r="S32" s="57">
        <f t="shared" si="37"/>
        <v>0</v>
      </c>
      <c r="T32" s="58">
        <f t="shared" si="37"/>
        <v>0</v>
      </c>
    </row>
    <row r="33" spans="1:20" ht="12.3" x14ac:dyDescent="0.35">
      <c r="D33" s="10" t="str">
        <f>Lookup!D86</f>
        <v>Fleet Leases</v>
      </c>
      <c r="E33" s="45" t="str">
        <f t="shared" si="6"/>
        <v>Input_RAB_SCS</v>
      </c>
      <c r="F33" s="45" t="str">
        <f t="shared" si="1"/>
        <v>$Millions</v>
      </c>
      <c r="G33" s="45" t="str">
        <f t="shared" si="2"/>
        <v>Nominal</v>
      </c>
      <c r="H33" s="45" t="str">
        <f t="shared" si="3"/>
        <v>Start year</v>
      </c>
      <c r="J33" s="289"/>
      <c r="K33" s="56">
        <f t="shared" ref="K33:T33" si="38">J236</f>
        <v>0</v>
      </c>
      <c r="L33" s="57">
        <f t="shared" si="38"/>
        <v>0</v>
      </c>
      <c r="M33" s="57">
        <f t="shared" si="38"/>
        <v>0</v>
      </c>
      <c r="N33" s="57">
        <f t="shared" si="38"/>
        <v>0</v>
      </c>
      <c r="O33" s="58">
        <f t="shared" si="38"/>
        <v>0</v>
      </c>
      <c r="P33" s="56">
        <f t="shared" si="38"/>
        <v>0</v>
      </c>
      <c r="Q33" s="57">
        <f t="shared" si="38"/>
        <v>0</v>
      </c>
      <c r="R33" s="57">
        <f t="shared" si="38"/>
        <v>0</v>
      </c>
      <c r="S33" s="57">
        <f t="shared" si="38"/>
        <v>0</v>
      </c>
      <c r="T33" s="58">
        <f t="shared" si="38"/>
        <v>0</v>
      </c>
    </row>
    <row r="34" spans="1:20" ht="12.3" x14ac:dyDescent="0.35">
      <c r="D34" s="10" t="str">
        <f>Lookup!D87</f>
        <v>Community Batteries</v>
      </c>
      <c r="E34" s="45" t="str">
        <f t="shared" si="6"/>
        <v>Input_RAB_SCS</v>
      </c>
      <c r="F34" s="45" t="str">
        <f t="shared" si="1"/>
        <v>$Millions</v>
      </c>
      <c r="G34" s="45" t="str">
        <f t="shared" si="2"/>
        <v>Nominal</v>
      </c>
      <c r="H34" s="45" t="str">
        <f t="shared" si="3"/>
        <v>Start year</v>
      </c>
      <c r="J34" s="289"/>
      <c r="K34" s="56">
        <f t="shared" ref="K34" si="39">J237</f>
        <v>0</v>
      </c>
      <c r="L34" s="57">
        <f t="shared" ref="L34" si="40">K237</f>
        <v>0</v>
      </c>
      <c r="M34" s="57">
        <f t="shared" ref="M34" si="41">L237</f>
        <v>0</v>
      </c>
      <c r="N34" s="57">
        <f t="shared" ref="N34" si="42">M237</f>
        <v>0</v>
      </c>
      <c r="O34" s="58">
        <f t="shared" ref="O34" si="43">N237</f>
        <v>0</v>
      </c>
      <c r="P34" s="56">
        <f t="shared" ref="P34" si="44">O237</f>
        <v>0</v>
      </c>
      <c r="Q34" s="57">
        <f t="shared" ref="Q34" si="45">P237</f>
        <v>0</v>
      </c>
      <c r="R34" s="57">
        <f t="shared" ref="R34" si="46">Q237</f>
        <v>0</v>
      </c>
      <c r="S34" s="57">
        <f t="shared" ref="S34" si="47">R237</f>
        <v>0</v>
      </c>
      <c r="T34" s="58">
        <f t="shared" ref="T34" si="48">S237</f>
        <v>0</v>
      </c>
    </row>
    <row r="35" spans="1:20" ht="12.3" x14ac:dyDescent="0.35">
      <c r="D35" s="10" t="str">
        <f>Lookup!D88</f>
        <v>Buildings</v>
      </c>
      <c r="E35" s="45" t="str">
        <f>E33</f>
        <v>Input_RAB_SCS</v>
      </c>
      <c r="F35" s="45" t="str">
        <f t="shared" si="1"/>
        <v>$Millions</v>
      </c>
      <c r="G35" s="45" t="str">
        <f t="shared" si="2"/>
        <v>Nominal</v>
      </c>
      <c r="H35" s="45" t="str">
        <f t="shared" si="3"/>
        <v>Start year</v>
      </c>
      <c r="J35" s="289"/>
      <c r="K35" s="56">
        <f t="shared" ref="K35:K36" si="49">J238</f>
        <v>0</v>
      </c>
      <c r="L35" s="57">
        <f t="shared" ref="L35:L36" si="50">K238</f>
        <v>0</v>
      </c>
      <c r="M35" s="57">
        <f t="shared" ref="M35:M36" si="51">L238</f>
        <v>0</v>
      </c>
      <c r="N35" s="57">
        <f t="shared" ref="N35:N36" si="52">M238</f>
        <v>0</v>
      </c>
      <c r="O35" s="58">
        <f t="shared" ref="O35:O36" si="53">N238</f>
        <v>0</v>
      </c>
      <c r="P35" s="56">
        <f t="shared" ref="P35:P36" si="54">O238</f>
        <v>0</v>
      </c>
      <c r="Q35" s="57">
        <f t="shared" ref="Q35:Q36" si="55">P238</f>
        <v>0</v>
      </c>
      <c r="R35" s="57">
        <f t="shared" ref="R35:R36" si="56">Q238</f>
        <v>0</v>
      </c>
      <c r="S35" s="57">
        <f t="shared" ref="S35:S36" si="57">R238</f>
        <v>0</v>
      </c>
      <c r="T35" s="58">
        <f t="shared" ref="T35:T36" si="58">S238</f>
        <v>0</v>
      </c>
    </row>
    <row r="36" spans="1:20" ht="12.3" x14ac:dyDescent="0.35">
      <c r="D36" s="10" t="str">
        <f>Lookup!D89</f>
        <v>in-house software</v>
      </c>
      <c r="E36" s="45" t="str">
        <f t="shared" si="6"/>
        <v>Input_RAB_SCS</v>
      </c>
      <c r="F36" s="45" t="str">
        <f t="shared" si="1"/>
        <v>$Millions</v>
      </c>
      <c r="G36" s="45" t="str">
        <f t="shared" si="2"/>
        <v>Nominal</v>
      </c>
      <c r="H36" s="45" t="str">
        <f t="shared" si="3"/>
        <v>Start year</v>
      </c>
      <c r="J36" s="289"/>
      <c r="K36" s="56">
        <f t="shared" si="49"/>
        <v>0</v>
      </c>
      <c r="L36" s="57">
        <f t="shared" si="50"/>
        <v>0</v>
      </c>
      <c r="M36" s="57">
        <f t="shared" si="51"/>
        <v>0</v>
      </c>
      <c r="N36" s="57">
        <f t="shared" si="52"/>
        <v>0</v>
      </c>
      <c r="O36" s="58">
        <f t="shared" si="53"/>
        <v>0</v>
      </c>
      <c r="P36" s="56">
        <f t="shared" si="54"/>
        <v>0</v>
      </c>
      <c r="Q36" s="57">
        <f t="shared" si="55"/>
        <v>0</v>
      </c>
      <c r="R36" s="57">
        <f t="shared" si="56"/>
        <v>0</v>
      </c>
      <c r="S36" s="57">
        <f t="shared" si="57"/>
        <v>0</v>
      </c>
      <c r="T36" s="58">
        <f t="shared" si="58"/>
        <v>0</v>
      </c>
    </row>
    <row r="37" spans="1:20" ht="12.3" x14ac:dyDescent="0.35">
      <c r="D37" s="10" t="str">
        <f>Lookup!D90</f>
        <v>Equity Raising Costs</v>
      </c>
      <c r="E37" s="45" t="str">
        <f>E31</f>
        <v>Input_RAB_SCS</v>
      </c>
      <c r="F37" s="45" t="str">
        <f t="shared" si="1"/>
        <v>$Millions</v>
      </c>
      <c r="G37" s="45" t="str">
        <f t="shared" si="2"/>
        <v>Nominal</v>
      </c>
      <c r="H37" s="45" t="str">
        <f t="shared" si="3"/>
        <v>Start year</v>
      </c>
      <c r="J37" s="289"/>
      <c r="K37" s="56">
        <f t="shared" ref="K37:T37" si="59">J240</f>
        <v>0</v>
      </c>
      <c r="L37" s="57">
        <f t="shared" si="59"/>
        <v>0</v>
      </c>
      <c r="M37" s="57">
        <f t="shared" si="59"/>
        <v>0</v>
      </c>
      <c r="N37" s="57">
        <f t="shared" si="59"/>
        <v>0</v>
      </c>
      <c r="O37" s="58">
        <f t="shared" si="59"/>
        <v>0</v>
      </c>
      <c r="P37" s="56">
        <f t="shared" si="59"/>
        <v>0</v>
      </c>
      <c r="Q37" s="57">
        <f t="shared" si="59"/>
        <v>0</v>
      </c>
      <c r="R37" s="57">
        <f t="shared" si="59"/>
        <v>0</v>
      </c>
      <c r="S37" s="57">
        <f t="shared" si="59"/>
        <v>0</v>
      </c>
      <c r="T37" s="58">
        <f t="shared" si="59"/>
        <v>0</v>
      </c>
    </row>
    <row r="38" spans="1:20" x14ac:dyDescent="0.35">
      <c r="J38" s="49"/>
      <c r="K38" s="48"/>
      <c r="O38" s="49"/>
      <c r="P38" s="48"/>
      <c r="T38" s="49"/>
    </row>
    <row r="39" spans="1:20" ht="12.3" x14ac:dyDescent="0.35">
      <c r="D39" s="44" t="str">
        <f>"Total "&amp;D16</f>
        <v>Total RAB asset class</v>
      </c>
      <c r="E39" s="40" t="s">
        <v>91</v>
      </c>
      <c r="F39" s="40" t="str">
        <f>F18</f>
        <v>$Millions</v>
      </c>
      <c r="G39" s="40" t="str">
        <f>G18</f>
        <v>Nominal</v>
      </c>
      <c r="H39" s="40" t="str">
        <f>H18</f>
        <v>Start year</v>
      </c>
      <c r="J39" s="54">
        <f t="shared" ref="J39:T39" si="60">SUM(J18:J37)</f>
        <v>94.18860071439174</v>
      </c>
      <c r="K39" s="53">
        <f t="shared" si="60"/>
        <v>97.566658167635353</v>
      </c>
      <c r="L39" s="39">
        <f t="shared" si="60"/>
        <v>98.104964230458464</v>
      </c>
      <c r="M39" s="39">
        <f t="shared" si="60"/>
        <v>99.093562045386406</v>
      </c>
      <c r="N39" s="39">
        <f t="shared" si="60"/>
        <v>101.52220835713396</v>
      </c>
      <c r="O39" s="54">
        <f t="shared" si="60"/>
        <v>106.30981629957805</v>
      </c>
      <c r="P39" s="53">
        <f t="shared" si="60"/>
        <v>109.51635787856974</v>
      </c>
      <c r="Q39" s="39">
        <f t="shared" si="60"/>
        <v>112.16300338099983</v>
      </c>
      <c r="R39" s="39">
        <f t="shared" si="60"/>
        <v>115.08911610246209</v>
      </c>
      <c r="S39" s="39">
        <f t="shared" si="60"/>
        <v>118.12213806451129</v>
      </c>
      <c r="T39" s="54">
        <f t="shared" si="60"/>
        <v>120.96333626679096</v>
      </c>
    </row>
    <row r="40" spans="1:20" ht="11.25" customHeight="1" x14ac:dyDescent="0.35"/>
    <row r="41" spans="1:20" ht="11.25" customHeight="1" x14ac:dyDescent="0.35">
      <c r="A41" s="42">
        <f>IF(SUM($J41:$T41)&lt;&gt;0,1,0)</f>
        <v>0</v>
      </c>
      <c r="D41" s="10" t="s">
        <v>94</v>
      </c>
      <c r="J41" s="42">
        <f t="shared" ref="J41:K41" si="61">IF(ISERROR(J39),1,0)</f>
        <v>0</v>
      </c>
      <c r="K41" s="42">
        <f t="shared" si="61"/>
        <v>0</v>
      </c>
      <c r="L41" s="42">
        <f>IF(ISERROR(L39),1,0)</f>
        <v>0</v>
      </c>
      <c r="M41" s="42">
        <f t="shared" ref="M41:P41" si="62">IF(ISERROR(M39),1,0)</f>
        <v>0</v>
      </c>
      <c r="N41" s="42">
        <f t="shared" si="62"/>
        <v>0</v>
      </c>
      <c r="O41" s="42">
        <f t="shared" si="62"/>
        <v>0</v>
      </c>
      <c r="P41" s="42">
        <f t="shared" si="62"/>
        <v>0</v>
      </c>
      <c r="Q41" s="42">
        <f>IF(ISERROR(Q39),1,0)</f>
        <v>0</v>
      </c>
      <c r="R41" s="42">
        <f t="shared" ref="R41:T41" si="63">IF(ISERROR(R39),1,0)</f>
        <v>0</v>
      </c>
      <c r="S41" s="42">
        <f t="shared" si="63"/>
        <v>0</v>
      </c>
      <c r="T41" s="42">
        <f t="shared" si="63"/>
        <v>0</v>
      </c>
    </row>
    <row r="42" spans="1:20" ht="11.25" customHeight="1" x14ac:dyDescent="0.35">
      <c r="N42" s="5"/>
      <c r="S42" s="5"/>
    </row>
    <row r="43" spans="1:20" s="8" customFormat="1" ht="14.1" x14ac:dyDescent="0.35">
      <c r="C43" s="8" t="s">
        <v>125</v>
      </c>
    </row>
    <row r="44" spans="1:20" ht="11.25" customHeight="1" x14ac:dyDescent="0.35"/>
    <row r="45" spans="1:20" ht="12.3" x14ac:dyDescent="0.35">
      <c r="D45" s="43" t="str">
        <f>D$16</f>
        <v>RAB asset class</v>
      </c>
      <c r="E45" s="38" t="str">
        <f>Lookup!E$20</f>
        <v>Source</v>
      </c>
      <c r="F45" s="38" t="str">
        <f>Lookup!F$20</f>
        <v>Unit</v>
      </c>
      <c r="G45" s="38" t="str">
        <f>Lookup!G$20</f>
        <v>Basis</v>
      </c>
      <c r="H45" s="38" t="str">
        <f>Lookup!H$20</f>
        <v>Timing</v>
      </c>
      <c r="J45" s="47" t="str">
        <f t="shared" ref="J45:T45" si="64">J$10</f>
        <v>RY19</v>
      </c>
      <c r="K45" s="46" t="str">
        <f t="shared" si="64"/>
        <v>RY20</v>
      </c>
      <c r="L45" s="38" t="str">
        <f>L$10</f>
        <v>RY21</v>
      </c>
      <c r="M45" s="38" t="str">
        <f t="shared" si="64"/>
        <v>RY22</v>
      </c>
      <c r="N45" s="38" t="str">
        <f t="shared" si="64"/>
        <v>RY23</v>
      </c>
      <c r="O45" s="47" t="str">
        <f t="shared" si="64"/>
        <v>RY24</v>
      </c>
      <c r="P45" s="46" t="str">
        <f t="shared" si="64"/>
        <v>RY25</v>
      </c>
      <c r="Q45" s="38" t="str">
        <f>Q$10</f>
        <v>RY26</v>
      </c>
      <c r="R45" s="38" t="str">
        <f t="shared" si="64"/>
        <v>RY27</v>
      </c>
      <c r="S45" s="38" t="str">
        <f t="shared" si="64"/>
        <v>RY28</v>
      </c>
      <c r="T45" s="47" t="str">
        <f t="shared" si="64"/>
        <v>RY29</v>
      </c>
    </row>
    <row r="46" spans="1:20" x14ac:dyDescent="0.35">
      <c r="J46" s="49"/>
      <c r="K46" s="48"/>
      <c r="O46" s="49"/>
      <c r="P46" s="48"/>
      <c r="T46" s="49"/>
    </row>
    <row r="47" spans="1:20" ht="12.3" x14ac:dyDescent="0.35">
      <c r="D47" s="10" t="str">
        <f t="shared" ref="D47:D65" si="65">D18</f>
        <v>Substations</v>
      </c>
      <c r="E47" s="45" t="s">
        <v>152</v>
      </c>
      <c r="F47" s="45" t="str">
        <f t="shared" ref="F47:F66" si="66">Millions</f>
        <v>$Millions</v>
      </c>
      <c r="G47" s="45" t="str">
        <f t="shared" ref="G47:G66" si="67">Nominal</f>
        <v>Nominal</v>
      </c>
      <c r="H47" s="45" t="str">
        <f t="shared" ref="H47:H66" si="68">End_year</f>
        <v>End year</v>
      </c>
      <c r="J47" s="289"/>
      <c r="K47" s="290"/>
      <c r="L47" s="29"/>
      <c r="M47" s="29"/>
      <c r="N47" s="29"/>
      <c r="O47" s="289"/>
      <c r="P47" s="290"/>
      <c r="Q47" s="29"/>
      <c r="R47" s="29"/>
      <c r="S47" s="29"/>
      <c r="T47" s="29"/>
    </row>
    <row r="48" spans="1:20" ht="12.3" x14ac:dyDescent="0.35">
      <c r="D48" s="10" t="str">
        <f t="shared" si="65"/>
        <v>Distribution Lines</v>
      </c>
      <c r="E48" s="45" t="str">
        <f>E47</f>
        <v>Input_RAB_SCS</v>
      </c>
      <c r="F48" s="45" t="str">
        <f t="shared" si="66"/>
        <v>$Millions</v>
      </c>
      <c r="G48" s="45" t="str">
        <f t="shared" si="67"/>
        <v>Nominal</v>
      </c>
      <c r="H48" s="45" t="str">
        <f t="shared" si="68"/>
        <v>End year</v>
      </c>
      <c r="J48" s="58">
        <f>Input_RAB_SCS!J48*Input_Connections!J$16</f>
        <v>1.0795741891765078</v>
      </c>
      <c r="K48" s="56">
        <f>Input_RAB_SCS!K48*Input_Connections!K$16</f>
        <v>0.28868303597005446</v>
      </c>
      <c r="L48" s="57">
        <f>Input_RAB_SCS!L48*Input_Connections!L$16</f>
        <v>0.31327160524355363</v>
      </c>
      <c r="M48" s="57">
        <f>Input_RAB_SCS!M48*Input_Connections!M$16</f>
        <v>0.77358590919410775</v>
      </c>
      <c r="N48" s="57">
        <f>Input_RAB_SCS!N48*Input_Connections!N$16</f>
        <v>1.8796559779248749</v>
      </c>
      <c r="O48" s="58">
        <f>Input_RAB_SCS!O48*Input_Connections!O$16</f>
        <v>1.2662873377708213</v>
      </c>
      <c r="P48" s="56">
        <f>Input_RAB_SCS!P48*Input_Connections!P$16</f>
        <v>0.85700588007784007</v>
      </c>
      <c r="Q48" s="57">
        <f>Input_RAB_SCS!Q48*Input_Connections!Q$16</f>
        <v>0.90242898060318011</v>
      </c>
      <c r="R48" s="57">
        <f>Input_RAB_SCS!R48*Input_Connections!R$16</f>
        <v>0.95414330272275538</v>
      </c>
      <c r="S48" s="57">
        <f>Input_RAB_SCS!S48*Input_Connections!S$16</f>
        <v>1.0072294982685952</v>
      </c>
      <c r="T48" s="58">
        <f>Input_RAB_SCS!T48*Input_Connections!T$16</f>
        <v>1.0529723153238839</v>
      </c>
    </row>
    <row r="49" spans="4:20" ht="12.3" x14ac:dyDescent="0.35">
      <c r="D49" s="10" t="str">
        <f t="shared" si="65"/>
        <v>Transmission Lines</v>
      </c>
      <c r="E49" s="45" t="str">
        <f t="shared" ref="E49:E65" si="69">E48</f>
        <v>Input_RAB_SCS</v>
      </c>
      <c r="F49" s="45" t="str">
        <f t="shared" si="66"/>
        <v>$Millions</v>
      </c>
      <c r="G49" s="45" t="str">
        <f t="shared" si="67"/>
        <v>Nominal</v>
      </c>
      <c r="H49" s="45" t="str">
        <f t="shared" si="68"/>
        <v>End year</v>
      </c>
      <c r="J49" s="289"/>
      <c r="K49" s="290"/>
      <c r="L49" s="29"/>
      <c r="M49" s="29"/>
      <c r="N49" s="29"/>
      <c r="O49" s="289"/>
      <c r="P49" s="290"/>
      <c r="Q49" s="29"/>
      <c r="R49" s="29"/>
      <c r="S49" s="29"/>
      <c r="T49" s="29"/>
    </row>
    <row r="50" spans="4:20" ht="12.3" x14ac:dyDescent="0.35">
      <c r="D50" s="10" t="str">
        <f t="shared" si="65"/>
        <v>LV Services</v>
      </c>
      <c r="E50" s="45" t="str">
        <f t="shared" si="69"/>
        <v>Input_RAB_SCS</v>
      </c>
      <c r="F50" s="45" t="str">
        <f t="shared" si="66"/>
        <v>$Millions</v>
      </c>
      <c r="G50" s="45" t="str">
        <f t="shared" si="67"/>
        <v>Nominal</v>
      </c>
      <c r="H50" s="45" t="str">
        <f t="shared" si="68"/>
        <v>End year</v>
      </c>
      <c r="J50" s="58">
        <f>Input_RAB_SCS!J50*Input_Connections!J$16</f>
        <v>2.7723850170979194E-2</v>
      </c>
      <c r="K50" s="56">
        <f>Input_RAB_SCS!K50*Input_Connections!K$16</f>
        <v>9.900267375942854E-3</v>
      </c>
      <c r="L50" s="57">
        <f>Input_RAB_SCS!L50*Input_Connections!L$16</f>
        <v>1.1358941812184801E-2</v>
      </c>
      <c r="M50" s="57">
        <f>Input_RAB_SCS!M50*Input_Connections!M$16</f>
        <v>3.0737864799042881E-2</v>
      </c>
      <c r="N50" s="57">
        <f>Input_RAB_SCS!N50*Input_Connections!N$16</f>
        <v>8.603333098548005E-2</v>
      </c>
      <c r="O50" s="58">
        <f>Input_RAB_SCS!O50*Input_Connections!O$16</f>
        <v>5.9907416277119929E-2</v>
      </c>
      <c r="P50" s="56">
        <f>Input_RAB_SCS!P50*Input_Connections!P$16</f>
        <v>4.2698638643839743E-2</v>
      </c>
      <c r="Q50" s="57">
        <f>Input_RAB_SCS!Q50*Input_Connections!Q$16</f>
        <v>5.4545856608925081E-2</v>
      </c>
      <c r="R50" s="57">
        <f>Input_RAB_SCS!R50*Input_Connections!R$16</f>
        <v>6.7078510866481381E-2</v>
      </c>
      <c r="S50" s="57">
        <f>Input_RAB_SCS!S50*Input_Connections!S$16</f>
        <v>8.0257543698033618E-2</v>
      </c>
      <c r="T50" s="58">
        <f>Input_RAB_SCS!T50*Input_Connections!T$16</f>
        <v>9.4081170964431457E-2</v>
      </c>
    </row>
    <row r="51" spans="4:20" ht="12.3" x14ac:dyDescent="0.35">
      <c r="D51" s="10" t="str">
        <f t="shared" si="65"/>
        <v>Distribution Substations</v>
      </c>
      <c r="E51" s="45" t="str">
        <f t="shared" si="69"/>
        <v>Input_RAB_SCS</v>
      </c>
      <c r="F51" s="45" t="str">
        <f t="shared" si="66"/>
        <v>$Millions</v>
      </c>
      <c r="G51" s="45" t="str">
        <f t="shared" si="67"/>
        <v>Nominal</v>
      </c>
      <c r="H51" s="45" t="str">
        <f t="shared" si="68"/>
        <v>End year</v>
      </c>
      <c r="J51" s="58">
        <f>Input_RAB_SCS!J51*Input_Connections!J$16</f>
        <v>0.42342001952057573</v>
      </c>
      <c r="K51" s="56">
        <f>Input_RAB_SCS!K51*Input_Connections!K$16</f>
        <v>0.12012948205148402</v>
      </c>
      <c r="L51" s="57">
        <f>Input_RAB_SCS!L51*Input_Connections!L$16</f>
        <v>0.12997670277998247</v>
      </c>
      <c r="M51" s="57">
        <f>Input_RAB_SCS!M51*Input_Connections!M$16</f>
        <v>0.31836573851618727</v>
      </c>
      <c r="N51" s="57">
        <f>Input_RAB_SCS!N51*Input_Connections!N$16</f>
        <v>0.75235143584199315</v>
      </c>
      <c r="O51" s="58">
        <f>Input_RAB_SCS!O51*Input_Connections!O$16</f>
        <v>0.4705429742154088</v>
      </c>
      <c r="P51" s="56">
        <f>Input_RAB_SCS!P51*Input_Connections!P$16</f>
        <v>0.30231941885603714</v>
      </c>
      <c r="Q51" s="57">
        <f>Input_RAB_SCS!Q51*Input_Connections!Q$16</f>
        <v>0.30894458498294097</v>
      </c>
      <c r="R51" s="57">
        <f>Input_RAB_SCS!R51*Input_Connections!R$16</f>
        <v>0.31594325220511804</v>
      </c>
      <c r="S51" s="57">
        <f>Input_RAB_SCS!S51*Input_Connections!S$16</f>
        <v>0.3232686291971526</v>
      </c>
      <c r="T51" s="58">
        <f>Input_RAB_SCS!T51*Input_Connections!T$16</f>
        <v>0.33090965127396615</v>
      </c>
    </row>
    <row r="52" spans="4:20" ht="12.3" x14ac:dyDescent="0.35">
      <c r="D52" s="10" t="str">
        <f t="shared" si="65"/>
        <v>Distribution Switchgear</v>
      </c>
      <c r="E52" s="45" t="str">
        <f t="shared" si="69"/>
        <v>Input_RAB_SCS</v>
      </c>
      <c r="F52" s="45" t="str">
        <f t="shared" si="66"/>
        <v>$Millions</v>
      </c>
      <c r="G52" s="45" t="str">
        <f t="shared" si="67"/>
        <v>Nominal</v>
      </c>
      <c r="H52" s="45" t="str">
        <f t="shared" si="68"/>
        <v>End year</v>
      </c>
      <c r="J52" s="58">
        <f>Input_RAB_SCS!J52*Input_Connections!J$16</f>
        <v>0.14972084772234417</v>
      </c>
      <c r="K52" s="56">
        <f>Input_RAB_SCS!K52*Input_Connections!K$16</f>
        <v>4.9067053779137504E-2</v>
      </c>
      <c r="L52" s="57">
        <f>Input_RAB_SCS!L52*Input_Connections!L$16</f>
        <v>5.3857120727572871E-2</v>
      </c>
      <c r="M52" s="57">
        <f>Input_RAB_SCS!M52*Input_Connections!M$16</f>
        <v>0.13689023708524545</v>
      </c>
      <c r="N52" s="57">
        <f>Input_RAB_SCS!N52*Input_Connections!N$16</f>
        <v>0.32828677277203161</v>
      </c>
      <c r="O52" s="58">
        <f>Input_RAB_SCS!O52*Input_Connections!O$16</f>
        <v>0.21799726157709534</v>
      </c>
      <c r="P52" s="56">
        <f>Input_RAB_SCS!P52*Input_Connections!P$16</f>
        <v>0.14314893164394779</v>
      </c>
      <c r="Q52" s="57">
        <f>Input_RAB_SCS!Q52*Input_Connections!Q$16</f>
        <v>0.15652596909360303</v>
      </c>
      <c r="R52" s="57">
        <f>Input_RAB_SCS!R52*Input_Connections!R$16</f>
        <v>0.17071228441439579</v>
      </c>
      <c r="S52" s="57">
        <f>Input_RAB_SCS!S52*Input_Connections!S$16</f>
        <v>0.18567500297025674</v>
      </c>
      <c r="T52" s="58">
        <f>Input_RAB_SCS!T52*Input_Connections!T$16</f>
        <v>0.20142029718164967</v>
      </c>
    </row>
    <row r="53" spans="4:20" ht="12.3" x14ac:dyDescent="0.35">
      <c r="D53" s="10" t="str">
        <f t="shared" si="65"/>
        <v>Protection</v>
      </c>
      <c r="E53" s="45" t="str">
        <f t="shared" si="69"/>
        <v>Input_RAB_SCS</v>
      </c>
      <c r="F53" s="45" t="str">
        <f t="shared" si="66"/>
        <v>$Millions</v>
      </c>
      <c r="G53" s="45" t="str">
        <f t="shared" si="67"/>
        <v>Nominal</v>
      </c>
      <c r="H53" s="45" t="str">
        <f t="shared" si="68"/>
        <v>End year</v>
      </c>
      <c r="J53" s="289"/>
      <c r="K53" s="290"/>
      <c r="L53" s="29"/>
      <c r="M53" s="29"/>
      <c r="N53" s="29"/>
      <c r="O53" s="289"/>
      <c r="P53" s="290"/>
      <c r="Q53" s="29"/>
      <c r="R53" s="29"/>
      <c r="S53" s="29"/>
      <c r="T53" s="29"/>
    </row>
    <row r="54" spans="4:20" ht="12.3" x14ac:dyDescent="0.35">
      <c r="D54" s="10" t="str">
        <f t="shared" si="65"/>
        <v>SCADA</v>
      </c>
      <c r="E54" s="45" t="str">
        <f t="shared" si="69"/>
        <v>Input_RAB_SCS</v>
      </c>
      <c r="F54" s="45" t="str">
        <f t="shared" si="66"/>
        <v>$Millions</v>
      </c>
      <c r="G54" s="45" t="str">
        <f t="shared" si="67"/>
        <v>Nominal</v>
      </c>
      <c r="H54" s="45" t="str">
        <f t="shared" si="68"/>
        <v>End year</v>
      </c>
      <c r="J54" s="289"/>
      <c r="K54" s="290"/>
      <c r="L54" s="29"/>
      <c r="M54" s="29"/>
      <c r="N54" s="29"/>
      <c r="O54" s="289"/>
      <c r="P54" s="290"/>
      <c r="Q54" s="29"/>
      <c r="R54" s="29"/>
      <c r="S54" s="29"/>
      <c r="T54" s="29"/>
    </row>
    <row r="55" spans="4:20" ht="12.3" x14ac:dyDescent="0.35">
      <c r="D55" s="10" t="str">
        <f t="shared" si="65"/>
        <v>Communications</v>
      </c>
      <c r="E55" s="45" t="str">
        <f t="shared" si="69"/>
        <v>Input_RAB_SCS</v>
      </c>
      <c r="F55" s="45" t="str">
        <f t="shared" si="66"/>
        <v>$Millions</v>
      </c>
      <c r="G55" s="45" t="str">
        <f t="shared" si="67"/>
        <v>Nominal</v>
      </c>
      <c r="H55" s="45" t="str">
        <f t="shared" si="68"/>
        <v>End year</v>
      </c>
      <c r="J55" s="289"/>
      <c r="K55" s="290"/>
      <c r="L55" s="29"/>
      <c r="M55" s="29"/>
      <c r="N55" s="29"/>
      <c r="O55" s="289"/>
      <c r="P55" s="290"/>
      <c r="Q55" s="29"/>
      <c r="R55" s="29"/>
      <c r="S55" s="29"/>
      <c r="T55" s="29"/>
    </row>
    <row r="56" spans="4:20" ht="12.3" x14ac:dyDescent="0.35">
      <c r="D56" s="10" t="str">
        <f t="shared" si="65"/>
        <v>Land and Easements</v>
      </c>
      <c r="E56" s="45" t="str">
        <f t="shared" si="69"/>
        <v>Input_RAB_SCS</v>
      </c>
      <c r="F56" s="45" t="str">
        <f t="shared" si="66"/>
        <v>$Millions</v>
      </c>
      <c r="G56" s="45" t="str">
        <f t="shared" si="67"/>
        <v>Nominal</v>
      </c>
      <c r="H56" s="45" t="str">
        <f t="shared" si="68"/>
        <v>End year</v>
      </c>
      <c r="J56" s="289"/>
      <c r="K56" s="290"/>
      <c r="L56" s="29"/>
      <c r="M56" s="29"/>
      <c r="N56" s="29"/>
      <c r="O56" s="289"/>
      <c r="P56" s="290"/>
      <c r="Q56" s="29"/>
      <c r="R56" s="29"/>
      <c r="S56" s="29"/>
      <c r="T56" s="29"/>
    </row>
    <row r="57" spans="4:20" ht="12.3" x14ac:dyDescent="0.35">
      <c r="D57" s="10" t="str">
        <f t="shared" si="65"/>
        <v>Property</v>
      </c>
      <c r="E57" s="45" t="str">
        <f t="shared" si="69"/>
        <v>Input_RAB_SCS</v>
      </c>
      <c r="F57" s="45" t="str">
        <f t="shared" si="66"/>
        <v>$Millions</v>
      </c>
      <c r="G57" s="45" t="str">
        <f t="shared" si="67"/>
        <v>Nominal</v>
      </c>
      <c r="H57" s="45" t="str">
        <f t="shared" si="68"/>
        <v>End year</v>
      </c>
      <c r="J57" s="289"/>
      <c r="K57" s="290"/>
      <c r="L57" s="29"/>
      <c r="M57" s="29"/>
      <c r="N57" s="29"/>
      <c r="O57" s="289"/>
      <c r="P57" s="290"/>
      <c r="Q57" s="29"/>
      <c r="R57" s="29"/>
      <c r="S57" s="29"/>
      <c r="T57" s="29"/>
    </row>
    <row r="58" spans="4:20" ht="12.3" x14ac:dyDescent="0.35">
      <c r="D58" s="10" t="str">
        <f t="shared" si="65"/>
        <v>IT and Communications</v>
      </c>
      <c r="E58" s="45" t="str">
        <f t="shared" si="69"/>
        <v>Input_RAB_SCS</v>
      </c>
      <c r="F58" s="45" t="str">
        <f t="shared" si="66"/>
        <v>$Millions</v>
      </c>
      <c r="G58" s="45" t="str">
        <f t="shared" si="67"/>
        <v>Nominal</v>
      </c>
      <c r="H58" s="45" t="str">
        <f t="shared" si="68"/>
        <v>End year</v>
      </c>
      <c r="J58" s="289"/>
      <c r="K58" s="290"/>
      <c r="L58" s="29"/>
      <c r="M58" s="29"/>
      <c r="N58" s="29"/>
      <c r="O58" s="289"/>
      <c r="P58" s="290"/>
      <c r="Q58" s="29"/>
      <c r="R58" s="29"/>
      <c r="S58" s="29"/>
      <c r="T58" s="29"/>
    </row>
    <row r="59" spans="4:20" ht="12.3" x14ac:dyDescent="0.35">
      <c r="D59" s="10" t="str">
        <f t="shared" si="65"/>
        <v>Motor Vehicles</v>
      </c>
      <c r="E59" s="45" t="str">
        <f t="shared" si="69"/>
        <v>Input_RAB_SCS</v>
      </c>
      <c r="F59" s="45" t="str">
        <f t="shared" si="66"/>
        <v>$Millions</v>
      </c>
      <c r="G59" s="45" t="str">
        <f t="shared" si="67"/>
        <v>Nominal</v>
      </c>
      <c r="H59" s="45" t="str">
        <f t="shared" si="68"/>
        <v>End year</v>
      </c>
      <c r="J59" s="289"/>
      <c r="K59" s="290"/>
      <c r="L59" s="29"/>
      <c r="M59" s="29"/>
      <c r="N59" s="29"/>
      <c r="O59" s="289"/>
      <c r="P59" s="290"/>
      <c r="Q59" s="29"/>
      <c r="R59" s="29"/>
      <c r="S59" s="29"/>
      <c r="T59" s="29"/>
    </row>
    <row r="60" spans="4:20" ht="12.3" x14ac:dyDescent="0.35">
      <c r="D60" s="10" t="str">
        <f t="shared" si="65"/>
        <v>Plant and Equipment</v>
      </c>
      <c r="E60" s="45" t="str">
        <f t="shared" si="69"/>
        <v>Input_RAB_SCS</v>
      </c>
      <c r="F60" s="45" t="str">
        <f t="shared" si="66"/>
        <v>$Millions</v>
      </c>
      <c r="G60" s="45" t="str">
        <f t="shared" si="67"/>
        <v>Nominal</v>
      </c>
      <c r="H60" s="45" t="str">
        <f t="shared" si="68"/>
        <v>End year</v>
      </c>
      <c r="J60" s="289"/>
      <c r="K60" s="290"/>
      <c r="L60" s="29"/>
      <c r="M60" s="29"/>
      <c r="N60" s="29"/>
      <c r="O60" s="289"/>
      <c r="P60" s="290"/>
      <c r="Q60" s="29"/>
      <c r="R60" s="29"/>
      <c r="S60" s="29"/>
      <c r="T60" s="29"/>
    </row>
    <row r="61" spans="4:20" ht="12.3" x14ac:dyDescent="0.35">
      <c r="D61" s="10" t="str">
        <f t="shared" si="65"/>
        <v>Property Leases</v>
      </c>
      <c r="E61" s="45" t="str">
        <f t="shared" si="69"/>
        <v>Input_RAB_SCS</v>
      </c>
      <c r="F61" s="45" t="str">
        <f t="shared" si="66"/>
        <v>$Millions</v>
      </c>
      <c r="G61" s="45" t="str">
        <f t="shared" si="67"/>
        <v>Nominal</v>
      </c>
      <c r="H61" s="45" t="str">
        <f t="shared" si="68"/>
        <v>End year</v>
      </c>
      <c r="J61" s="289"/>
      <c r="K61" s="290"/>
      <c r="L61" s="29"/>
      <c r="M61" s="29"/>
      <c r="N61" s="29"/>
      <c r="O61" s="289"/>
      <c r="P61" s="290"/>
      <c r="Q61" s="29"/>
      <c r="R61" s="29"/>
      <c r="S61" s="29"/>
      <c r="T61" s="29"/>
    </row>
    <row r="62" spans="4:20" ht="12.3" x14ac:dyDescent="0.35">
      <c r="D62" s="10" t="str">
        <f t="shared" si="65"/>
        <v>Fleet Leases</v>
      </c>
      <c r="E62" s="45" t="str">
        <f t="shared" si="69"/>
        <v>Input_RAB_SCS</v>
      </c>
      <c r="F62" s="45" t="str">
        <f t="shared" si="66"/>
        <v>$Millions</v>
      </c>
      <c r="G62" s="45" t="str">
        <f t="shared" si="67"/>
        <v>Nominal</v>
      </c>
      <c r="H62" s="45" t="str">
        <f t="shared" si="68"/>
        <v>End year</v>
      </c>
      <c r="J62" s="289"/>
      <c r="K62" s="290"/>
      <c r="L62" s="29"/>
      <c r="M62" s="29"/>
      <c r="N62" s="29"/>
      <c r="O62" s="289"/>
      <c r="P62" s="290"/>
      <c r="Q62" s="29"/>
      <c r="R62" s="29"/>
      <c r="S62" s="29"/>
      <c r="T62" s="29"/>
    </row>
    <row r="63" spans="4:20" ht="12.3" x14ac:dyDescent="0.35">
      <c r="D63" s="10" t="str">
        <f t="shared" si="65"/>
        <v>Community Batteries</v>
      </c>
      <c r="E63" s="45" t="str">
        <f t="shared" si="69"/>
        <v>Input_RAB_SCS</v>
      </c>
      <c r="F63" s="45" t="str">
        <f t="shared" si="66"/>
        <v>$Millions</v>
      </c>
      <c r="G63" s="45" t="str">
        <f t="shared" si="67"/>
        <v>Nominal</v>
      </c>
      <c r="H63" s="45" t="str">
        <f t="shared" si="68"/>
        <v>End year</v>
      </c>
      <c r="J63" s="289"/>
      <c r="K63" s="290"/>
      <c r="L63" s="29"/>
      <c r="M63" s="29"/>
      <c r="N63" s="29"/>
      <c r="O63" s="289"/>
      <c r="P63" s="290"/>
      <c r="Q63" s="29"/>
      <c r="R63" s="29"/>
      <c r="S63" s="29"/>
      <c r="T63" s="29"/>
    </row>
    <row r="64" spans="4:20" ht="12.3" x14ac:dyDescent="0.35">
      <c r="D64" s="10" t="str">
        <f t="shared" si="65"/>
        <v>Buildings</v>
      </c>
      <c r="E64" s="45" t="str">
        <f>E62</f>
        <v>Input_RAB_SCS</v>
      </c>
      <c r="F64" s="45" t="str">
        <f t="shared" si="66"/>
        <v>$Millions</v>
      </c>
      <c r="G64" s="45" t="str">
        <f t="shared" si="67"/>
        <v>Nominal</v>
      </c>
      <c r="H64" s="45" t="str">
        <f t="shared" si="68"/>
        <v>End year</v>
      </c>
      <c r="J64" s="289"/>
      <c r="K64" s="290"/>
      <c r="L64" s="29"/>
      <c r="M64" s="29"/>
      <c r="N64" s="29"/>
      <c r="O64" s="289"/>
      <c r="P64" s="290"/>
      <c r="Q64" s="29"/>
      <c r="R64" s="29"/>
      <c r="S64" s="29"/>
      <c r="T64" s="29"/>
    </row>
    <row r="65" spans="1:20" ht="12.3" x14ac:dyDescent="0.35">
      <c r="D65" s="10" t="str">
        <f t="shared" si="65"/>
        <v>in-house software</v>
      </c>
      <c r="E65" s="45" t="str">
        <f t="shared" si="69"/>
        <v>Input_RAB_SCS</v>
      </c>
      <c r="F65" s="45" t="str">
        <f t="shared" si="66"/>
        <v>$Millions</v>
      </c>
      <c r="G65" s="45" t="str">
        <f t="shared" si="67"/>
        <v>Nominal</v>
      </c>
      <c r="H65" s="45" t="str">
        <f t="shared" si="68"/>
        <v>End year</v>
      </c>
      <c r="J65" s="289"/>
      <c r="K65" s="290"/>
      <c r="L65" s="29"/>
      <c r="M65" s="29"/>
      <c r="N65" s="29"/>
      <c r="O65" s="289"/>
      <c r="P65" s="290"/>
      <c r="Q65" s="29"/>
      <c r="R65" s="29"/>
      <c r="S65" s="29"/>
      <c r="T65" s="29"/>
    </row>
    <row r="66" spans="1:20" ht="12.3" x14ac:dyDescent="0.35">
      <c r="D66" s="10" t="str">
        <f t="shared" ref="D66" si="70">D37</f>
        <v>Equity Raising Costs</v>
      </c>
      <c r="E66" s="45" t="str">
        <f>E60</f>
        <v>Input_RAB_SCS</v>
      </c>
      <c r="F66" s="45" t="str">
        <f t="shared" si="66"/>
        <v>$Millions</v>
      </c>
      <c r="G66" s="45" t="str">
        <f t="shared" si="67"/>
        <v>Nominal</v>
      </c>
      <c r="H66" s="45" t="str">
        <f t="shared" si="68"/>
        <v>End year</v>
      </c>
      <c r="J66" s="289"/>
      <c r="K66" s="290"/>
      <c r="L66" s="29"/>
      <c r="M66" s="29"/>
      <c r="N66" s="29"/>
      <c r="O66" s="289"/>
      <c r="P66" s="290"/>
      <c r="Q66" s="29"/>
      <c r="R66" s="29"/>
      <c r="S66" s="29"/>
      <c r="T66" s="29"/>
    </row>
    <row r="67" spans="1:20" x14ac:dyDescent="0.35">
      <c r="J67" s="49"/>
      <c r="K67" s="48"/>
      <c r="O67" s="49"/>
      <c r="P67" s="48"/>
      <c r="T67" s="49"/>
    </row>
    <row r="68" spans="1:20" ht="12.3" x14ac:dyDescent="0.35">
      <c r="D68" s="44" t="str">
        <f>"Total "&amp;D45</f>
        <v>Total RAB asset class</v>
      </c>
      <c r="E68" s="40" t="s">
        <v>91</v>
      </c>
      <c r="F68" s="40" t="str">
        <f>F47</f>
        <v>$Millions</v>
      </c>
      <c r="G68" s="40" t="str">
        <f>G47</f>
        <v>Nominal</v>
      </c>
      <c r="H68" s="40" t="str">
        <f>H47</f>
        <v>End year</v>
      </c>
      <c r="J68" s="54">
        <f t="shared" ref="J68:T68" si="71">SUM(J47:J66)</f>
        <v>1.6804389065904068</v>
      </c>
      <c r="K68" s="53">
        <f t="shared" si="71"/>
        <v>0.46777983917661886</v>
      </c>
      <c r="L68" s="39">
        <f t="shared" si="71"/>
        <v>0.50846437056329374</v>
      </c>
      <c r="M68" s="39">
        <f t="shared" si="71"/>
        <v>1.2595797495945833</v>
      </c>
      <c r="N68" s="39">
        <f t="shared" si="71"/>
        <v>3.0463275175243796</v>
      </c>
      <c r="O68" s="54">
        <f t="shared" si="71"/>
        <v>2.0147349898404454</v>
      </c>
      <c r="P68" s="53">
        <f t="shared" si="71"/>
        <v>1.3451728692216647</v>
      </c>
      <c r="Q68" s="39">
        <f t="shared" si="71"/>
        <v>1.4224453912886492</v>
      </c>
      <c r="R68" s="39">
        <f t="shared" si="71"/>
        <v>1.5078773502087506</v>
      </c>
      <c r="S68" s="39">
        <f t="shared" si="71"/>
        <v>1.5964306741340382</v>
      </c>
      <c r="T68" s="54">
        <f t="shared" si="71"/>
        <v>1.6793834347439311</v>
      </c>
    </row>
    <row r="69" spans="1:20" ht="11.25" customHeight="1" x14ac:dyDescent="0.35"/>
    <row r="70" spans="1:20" ht="11.25" customHeight="1" x14ac:dyDescent="0.35">
      <c r="A70" s="42">
        <f>IF(SUM($J70:$T70)&lt;&gt;0,1,0)</f>
        <v>0</v>
      </c>
      <c r="D70" s="10" t="s">
        <v>94</v>
      </c>
      <c r="J70" s="42">
        <f t="shared" ref="J70:K70" si="72">IF(ISERROR(J68),1,0)</f>
        <v>0</v>
      </c>
      <c r="K70" s="42">
        <f t="shared" si="72"/>
        <v>0</v>
      </c>
      <c r="L70" s="42">
        <f>IF(ISERROR(L68),1,0)</f>
        <v>0</v>
      </c>
      <c r="M70" s="42">
        <f t="shared" ref="M70:P70" si="73">IF(ISERROR(M68),1,0)</f>
        <v>0</v>
      </c>
      <c r="N70" s="42">
        <f t="shared" si="73"/>
        <v>0</v>
      </c>
      <c r="O70" s="42">
        <f t="shared" si="73"/>
        <v>0</v>
      </c>
      <c r="P70" s="42">
        <f t="shared" si="73"/>
        <v>0</v>
      </c>
      <c r="Q70" s="42">
        <f>IF(ISERROR(Q68),1,0)</f>
        <v>0</v>
      </c>
      <c r="R70" s="42">
        <f t="shared" ref="R70:T70" si="74">IF(ISERROR(R68),1,0)</f>
        <v>0</v>
      </c>
      <c r="S70" s="42">
        <f t="shared" si="74"/>
        <v>0</v>
      </c>
      <c r="T70" s="42">
        <f t="shared" si="74"/>
        <v>0</v>
      </c>
    </row>
    <row r="71" spans="1:20" ht="11.25" customHeight="1" x14ac:dyDescent="0.35">
      <c r="N71" s="5"/>
      <c r="S71" s="5"/>
    </row>
    <row r="72" spans="1:20" s="8" customFormat="1" ht="14.1" x14ac:dyDescent="0.35">
      <c r="C72" s="8" t="s">
        <v>222</v>
      </c>
    </row>
    <row r="73" spans="1:20" ht="11.25" customHeight="1" x14ac:dyDescent="0.35"/>
    <row r="74" spans="1:20" ht="12.3" x14ac:dyDescent="0.35">
      <c r="D74" s="43" t="str">
        <f>D$16</f>
        <v>RAB asset class</v>
      </c>
      <c r="E74" s="38" t="str">
        <f>Lookup!E$20</f>
        <v>Source</v>
      </c>
      <c r="F74" s="38" t="str">
        <f>Lookup!F$20</f>
        <v>Unit</v>
      </c>
      <c r="G74" s="38" t="str">
        <f>Lookup!G$20</f>
        <v>Basis</v>
      </c>
      <c r="H74" s="38" t="str">
        <f>Lookup!H$20</f>
        <v>Timing</v>
      </c>
      <c r="J74" s="47" t="str">
        <f t="shared" ref="J74:T74" si="75">J$10</f>
        <v>RY19</v>
      </c>
      <c r="K74" s="46" t="str">
        <f t="shared" si="75"/>
        <v>RY20</v>
      </c>
      <c r="L74" s="38" t="str">
        <f>L$10</f>
        <v>RY21</v>
      </c>
      <c r="M74" s="38" t="str">
        <f t="shared" si="75"/>
        <v>RY22</v>
      </c>
      <c r="N74" s="38" t="str">
        <f t="shared" si="75"/>
        <v>RY23</v>
      </c>
      <c r="O74" s="47" t="str">
        <f t="shared" si="75"/>
        <v>RY24</v>
      </c>
      <c r="P74" s="46" t="str">
        <f t="shared" si="75"/>
        <v>RY25</v>
      </c>
      <c r="Q74" s="38" t="str">
        <f>Q$10</f>
        <v>RY26</v>
      </c>
      <c r="R74" s="38" t="str">
        <f t="shared" si="75"/>
        <v>RY27</v>
      </c>
      <c r="S74" s="38" t="str">
        <f t="shared" si="75"/>
        <v>RY28</v>
      </c>
      <c r="T74" s="47" t="str">
        <f t="shared" si="75"/>
        <v>RY29</v>
      </c>
    </row>
    <row r="75" spans="1:20" x14ac:dyDescent="0.35">
      <c r="J75" s="49"/>
      <c r="K75" s="48"/>
      <c r="O75" s="49"/>
      <c r="P75" s="48"/>
      <c r="T75" s="49"/>
    </row>
    <row r="76" spans="1:20" ht="12.3" x14ac:dyDescent="0.35">
      <c r="D76" s="10" t="str">
        <f t="shared" ref="D76:D94" si="76">D18</f>
        <v>Substations</v>
      </c>
      <c r="E76" s="45" t="s">
        <v>152</v>
      </c>
      <c r="F76" s="45" t="str">
        <f t="shared" ref="F76:F95" si="77">Millions</f>
        <v>$Millions</v>
      </c>
      <c r="G76" s="45" t="str">
        <f t="shared" ref="G76:G95" si="78">Nominal</f>
        <v>Nominal</v>
      </c>
      <c r="H76" s="45" t="str">
        <f t="shared" ref="H76:H95" si="79">End_year</f>
        <v>End year</v>
      </c>
      <c r="J76" s="29"/>
      <c r="K76" s="29"/>
      <c r="L76" s="29"/>
      <c r="M76" s="29"/>
      <c r="N76" s="29"/>
      <c r="O76" s="29"/>
      <c r="P76" s="29"/>
      <c r="Q76" s="29"/>
      <c r="R76" s="29"/>
      <c r="S76" s="29"/>
      <c r="T76" s="29"/>
    </row>
    <row r="77" spans="1:20" ht="12.3" x14ac:dyDescent="0.35">
      <c r="D77" s="10" t="str">
        <f t="shared" si="76"/>
        <v>Distribution Lines</v>
      </c>
      <c r="E77" s="45" t="str">
        <f>E76</f>
        <v>Input_RAB_SCS</v>
      </c>
      <c r="F77" s="45" t="str">
        <f t="shared" si="77"/>
        <v>$Millions</v>
      </c>
      <c r="G77" s="45" t="str">
        <f t="shared" si="78"/>
        <v>Nominal</v>
      </c>
      <c r="H77" s="45" t="str">
        <f t="shared" si="79"/>
        <v>End year</v>
      </c>
      <c r="J77" s="58">
        <f>Input_RAB_SCS!J79*Input_Connections!J$16</f>
        <v>-2.8791570781546931</v>
      </c>
      <c r="K77" s="56">
        <f>Input_RAB_SCS!K79*Input_Connections!K$16</f>
        <v>-0.52892284854655969</v>
      </c>
      <c r="L77" s="57">
        <f>Input_RAB_SCS!L79*Input_Connections!L$16</f>
        <v>-1.2778321031135678</v>
      </c>
      <c r="M77" s="57">
        <f>Input_RAB_SCS!M79*Input_Connections!M$16</f>
        <v>-0.80918595151146333</v>
      </c>
      <c r="N77" s="57">
        <f>Input_RAB_SCS!N79*Input_Connections!N$16</f>
        <v>-0.85858208663666669</v>
      </c>
      <c r="O77" s="58">
        <f>Input_RAB_SCS!O79*Input_Connections!O$16</f>
        <v>-0.95430868246969769</v>
      </c>
      <c r="P77" s="56">
        <f>Input_RAB_SCS!P79*Input_Connections!P$16</f>
        <v>-1.034416926174563</v>
      </c>
      <c r="Q77" s="57">
        <f>Input_RAB_SCS!Q79*Input_Connections!Q$16</f>
        <v>-1.096782628268328</v>
      </c>
      <c r="R77" s="57">
        <f>Input_RAB_SCS!R79*Input_Connections!R$16</f>
        <v>-1.1652824629983374</v>
      </c>
      <c r="S77" s="57">
        <f>Input_RAB_SCS!S79*Input_Connections!S$16</f>
        <v>-1.2369657484924392</v>
      </c>
      <c r="T77" s="58">
        <f>Input_RAB_SCS!T79*Input_Connections!T$16</f>
        <v>-1.3064194162965934</v>
      </c>
    </row>
    <row r="78" spans="1:20" ht="12.3" x14ac:dyDescent="0.35">
      <c r="D78" s="10" t="str">
        <f t="shared" si="76"/>
        <v>Transmission Lines</v>
      </c>
      <c r="E78" s="45" t="str">
        <f t="shared" ref="E78:E94" si="80">E77</f>
        <v>Input_RAB_SCS</v>
      </c>
      <c r="F78" s="45" t="str">
        <f t="shared" si="77"/>
        <v>$Millions</v>
      </c>
      <c r="G78" s="45" t="str">
        <f t="shared" si="78"/>
        <v>Nominal</v>
      </c>
      <c r="H78" s="45" t="str">
        <f t="shared" si="79"/>
        <v>End year</v>
      </c>
      <c r="J78" s="29"/>
      <c r="K78" s="29"/>
      <c r="L78" s="29"/>
      <c r="M78" s="29"/>
      <c r="N78" s="29"/>
      <c r="O78" s="29"/>
      <c r="P78" s="29"/>
      <c r="Q78" s="29"/>
      <c r="R78" s="29"/>
      <c r="S78" s="29"/>
      <c r="T78" s="29"/>
    </row>
    <row r="79" spans="1:20" ht="12.3" x14ac:dyDescent="0.35">
      <c r="D79" s="10" t="str">
        <f t="shared" si="76"/>
        <v>LV Services</v>
      </c>
      <c r="E79" s="45" t="str">
        <f t="shared" si="80"/>
        <v>Input_RAB_SCS</v>
      </c>
      <c r="F79" s="45" t="str">
        <f t="shared" si="77"/>
        <v>$Millions</v>
      </c>
      <c r="G79" s="45" t="str">
        <f t="shared" si="78"/>
        <v>Nominal</v>
      </c>
      <c r="H79" s="45" t="str">
        <f t="shared" si="79"/>
        <v>End year</v>
      </c>
      <c r="J79" s="58">
        <f>Input_RAB_SCS!J81*Input_Connections!J$16</f>
        <v>-2.9953121874216438E-2</v>
      </c>
      <c r="K79" s="56">
        <f>Input_RAB_SCS!K81*Input_Connections!K$16</f>
        <v>-1.0620944580438538E-2</v>
      </c>
      <c r="L79" s="57">
        <f>Input_RAB_SCS!L81*Input_Connections!L$16</f>
        <v>-2.5837460166711752E-2</v>
      </c>
      <c r="M79" s="57">
        <f>Input_RAB_SCS!M81*Input_Connections!M$16</f>
        <v>-1.6486482783409567E-2</v>
      </c>
      <c r="N79" s="57">
        <f>Input_RAB_SCS!N81*Input_Connections!N$16</f>
        <v>-1.8051958375153401E-2</v>
      </c>
      <c r="O79" s="58">
        <f>Input_RAB_SCS!O81*Input_Connections!O$16</f>
        <v>-2.0424356544245629E-2</v>
      </c>
      <c r="P79" s="56">
        <f>Input_RAB_SCS!P81*Input_Connections!P$16</f>
        <v>-3.0268621240517653E-2</v>
      </c>
      <c r="Q79" s="57">
        <f>Input_RAB_SCS!Q81*Input_Connections!Q$16</f>
        <v>-3.841103544816208E-2</v>
      </c>
      <c r="R79" s="57">
        <f>Input_RAB_SCS!R81*Input_Connections!R$16</f>
        <v>-4.7156043130509598E-2</v>
      </c>
      <c r="S79" s="57">
        <f>Input_RAB_SCS!S81*Input_Connections!S$16</f>
        <v>-5.6495022584504166E-2</v>
      </c>
      <c r="T79" s="58">
        <f>Input_RAB_SCS!T81*Input_Connections!T$16</f>
        <v>-6.6443220882511769E-2</v>
      </c>
    </row>
    <row r="80" spans="1:20" ht="12.3" x14ac:dyDescent="0.35">
      <c r="D80" s="10" t="str">
        <f t="shared" si="76"/>
        <v>Distribution Substations</v>
      </c>
      <c r="E80" s="45" t="str">
        <f t="shared" si="80"/>
        <v>Input_RAB_SCS</v>
      </c>
      <c r="F80" s="45" t="str">
        <f t="shared" si="77"/>
        <v>$Millions</v>
      </c>
      <c r="G80" s="45" t="str">
        <f t="shared" si="78"/>
        <v>Nominal</v>
      </c>
      <c r="H80" s="45" t="str">
        <f t="shared" si="79"/>
        <v>End year</v>
      </c>
      <c r="J80" s="58">
        <f>Input_RAB_SCS!J82*Input_Connections!J$16</f>
        <v>-1.1099309678670131</v>
      </c>
      <c r="K80" s="56">
        <f>Input_RAB_SCS!K82*Input_Connections!K$16</f>
        <v>-0.29004569547462378</v>
      </c>
      <c r="L80" s="57">
        <f>Input_RAB_SCS!L82*Input_Connections!L$16</f>
        <v>-0.68684630397423763</v>
      </c>
      <c r="M80" s="57">
        <f>Input_RAB_SCS!M82*Input_Connections!M$16</f>
        <v>-0.42512238585175932</v>
      </c>
      <c r="N80" s="57">
        <f>Input_RAB_SCS!N82*Input_Connections!N$16</f>
        <v>-0.44640061618994215</v>
      </c>
      <c r="O80" s="58">
        <f>Input_RAB_SCS!O82*Input_Connections!O$16</f>
        <v>-0.49536925256170117</v>
      </c>
      <c r="P80" s="56">
        <f>Input_RAB_SCS!P82*Input_Connections!P$16</f>
        <v>-0.52823882487702845</v>
      </c>
      <c r="Q80" s="57">
        <f>Input_RAB_SCS!Q82*Input_Connections!Q$16</f>
        <v>-0.55402657407511757</v>
      </c>
      <c r="R80" s="57">
        <f>Input_RAB_SCS!R82*Input_Connections!R$16</f>
        <v>-0.58129866444572553</v>
      </c>
      <c r="S80" s="57">
        <f>Input_RAB_SCS!S82*Input_Connections!S$16</f>
        <v>-0.61008717648712418</v>
      </c>
      <c r="T80" s="58">
        <f>Input_RAB_SCS!T82*Input_Connections!T$16</f>
        <v>-0.64045494140475889</v>
      </c>
    </row>
    <row r="81" spans="4:20" ht="12.3" x14ac:dyDescent="0.35">
      <c r="D81" s="10" t="str">
        <f t="shared" si="76"/>
        <v>Distribution Switchgear</v>
      </c>
      <c r="E81" s="45" t="str">
        <f t="shared" si="80"/>
        <v>Input_RAB_SCS</v>
      </c>
      <c r="F81" s="45" t="str">
        <f t="shared" si="77"/>
        <v>$Millions</v>
      </c>
      <c r="G81" s="45" t="str">
        <f t="shared" si="78"/>
        <v>Nominal</v>
      </c>
      <c r="H81" s="45" t="str">
        <f t="shared" si="79"/>
        <v>End year</v>
      </c>
      <c r="J81" s="58">
        <f>Input_RAB_SCS!J83*Input_Connections!J$16</f>
        <v>-0.26891085659808311</v>
      </c>
      <c r="K81" s="56">
        <f>Input_RAB_SCS!K83*Input_Connections!K$16</f>
        <v>-7.2598341561236693E-2</v>
      </c>
      <c r="L81" s="57">
        <f>Input_RAB_SCS!L83*Input_Connections!L$16</f>
        <v>-0.18198525678727967</v>
      </c>
      <c r="M81" s="57">
        <f>Input_RAB_SCS!M83*Input_Connections!M$16</f>
        <v>-0.11876998194357445</v>
      </c>
      <c r="N81" s="57">
        <f>Input_RAB_SCS!N83*Input_Connections!N$16</f>
        <v>-0.1304268239134109</v>
      </c>
      <c r="O81" s="58">
        <f>Input_RAB_SCS!O83*Input_Connections!O$16</f>
        <v>-0.1511406369850658</v>
      </c>
      <c r="P81" s="56">
        <f>Input_RAB_SCS!P83*Input_Connections!P$16</f>
        <v>-0.14321118073765057</v>
      </c>
      <c r="Q81" s="57">
        <f>Input_RAB_SCS!Q83*Input_Connections!Q$16</f>
        <v>-0.15639504743971061</v>
      </c>
      <c r="R81" s="57">
        <f>Input_RAB_SCS!R83*Input_Connections!R$16</f>
        <v>-0.17050460264532519</v>
      </c>
      <c r="S81" s="57">
        <f>Input_RAB_SCS!S83*Input_Connections!S$16</f>
        <v>-0.18554703885217244</v>
      </c>
      <c r="T81" s="58">
        <f>Input_RAB_SCS!T83*Input_Connections!T$16</f>
        <v>-0.20155682043921774</v>
      </c>
    </row>
    <row r="82" spans="4:20" ht="12.3" x14ac:dyDescent="0.35">
      <c r="D82" s="10" t="str">
        <f t="shared" si="76"/>
        <v>Protection</v>
      </c>
      <c r="E82" s="45" t="str">
        <f t="shared" si="80"/>
        <v>Input_RAB_SCS</v>
      </c>
      <c r="F82" s="45" t="str">
        <f t="shared" si="77"/>
        <v>$Millions</v>
      </c>
      <c r="G82" s="45" t="str">
        <f t="shared" si="78"/>
        <v>Nominal</v>
      </c>
      <c r="H82" s="45" t="str">
        <f t="shared" si="79"/>
        <v>End year</v>
      </c>
      <c r="J82" s="29"/>
      <c r="K82" s="29"/>
      <c r="L82" s="29"/>
      <c r="M82" s="29"/>
      <c r="N82" s="29"/>
      <c r="O82" s="29"/>
      <c r="P82" s="29"/>
      <c r="Q82" s="29"/>
      <c r="R82" s="29"/>
      <c r="S82" s="29"/>
      <c r="T82" s="29"/>
    </row>
    <row r="83" spans="4:20" ht="12.3" x14ac:dyDescent="0.35">
      <c r="D83" s="10" t="str">
        <f t="shared" si="76"/>
        <v>SCADA</v>
      </c>
      <c r="E83" s="45" t="str">
        <f t="shared" si="80"/>
        <v>Input_RAB_SCS</v>
      </c>
      <c r="F83" s="45" t="str">
        <f t="shared" si="77"/>
        <v>$Millions</v>
      </c>
      <c r="G83" s="45" t="str">
        <f t="shared" si="78"/>
        <v>Nominal</v>
      </c>
      <c r="H83" s="45" t="str">
        <f t="shared" si="79"/>
        <v>End year</v>
      </c>
      <c r="J83" s="29"/>
      <c r="K83" s="29"/>
      <c r="L83" s="29"/>
      <c r="M83" s="29"/>
      <c r="N83" s="29"/>
      <c r="O83" s="29"/>
      <c r="P83" s="29"/>
      <c r="Q83" s="29"/>
      <c r="R83" s="29"/>
      <c r="S83" s="29"/>
      <c r="T83" s="29"/>
    </row>
    <row r="84" spans="4:20" ht="12.3" x14ac:dyDescent="0.35">
      <c r="D84" s="10" t="str">
        <f t="shared" si="76"/>
        <v>Communications</v>
      </c>
      <c r="E84" s="45" t="str">
        <f t="shared" si="80"/>
        <v>Input_RAB_SCS</v>
      </c>
      <c r="F84" s="45" t="str">
        <f t="shared" si="77"/>
        <v>$Millions</v>
      </c>
      <c r="G84" s="45" t="str">
        <f t="shared" si="78"/>
        <v>Nominal</v>
      </c>
      <c r="H84" s="45" t="str">
        <f t="shared" si="79"/>
        <v>End year</v>
      </c>
      <c r="J84" s="29"/>
      <c r="K84" s="29"/>
      <c r="L84" s="29"/>
      <c r="M84" s="29"/>
      <c r="N84" s="29"/>
      <c r="O84" s="29"/>
      <c r="P84" s="29"/>
      <c r="Q84" s="29"/>
      <c r="R84" s="29"/>
      <c r="S84" s="29"/>
      <c r="T84" s="29"/>
    </row>
    <row r="85" spans="4:20" ht="12.3" x14ac:dyDescent="0.35">
      <c r="D85" s="10" t="str">
        <f t="shared" si="76"/>
        <v>Land and Easements</v>
      </c>
      <c r="E85" s="45" t="str">
        <f t="shared" si="80"/>
        <v>Input_RAB_SCS</v>
      </c>
      <c r="F85" s="45" t="str">
        <f t="shared" si="77"/>
        <v>$Millions</v>
      </c>
      <c r="G85" s="45" t="str">
        <f t="shared" si="78"/>
        <v>Nominal</v>
      </c>
      <c r="H85" s="45" t="str">
        <f t="shared" si="79"/>
        <v>End year</v>
      </c>
      <c r="J85" s="29"/>
      <c r="K85" s="29"/>
      <c r="L85" s="29"/>
      <c r="M85" s="29"/>
      <c r="N85" s="29"/>
      <c r="O85" s="29"/>
      <c r="P85" s="29"/>
      <c r="Q85" s="29"/>
      <c r="R85" s="29"/>
      <c r="S85" s="29"/>
      <c r="T85" s="29"/>
    </row>
    <row r="86" spans="4:20" ht="12.3" x14ac:dyDescent="0.35">
      <c r="D86" s="10" t="str">
        <f t="shared" si="76"/>
        <v>Property</v>
      </c>
      <c r="E86" s="45" t="str">
        <f t="shared" si="80"/>
        <v>Input_RAB_SCS</v>
      </c>
      <c r="F86" s="45" t="str">
        <f t="shared" si="77"/>
        <v>$Millions</v>
      </c>
      <c r="G86" s="45" t="str">
        <f t="shared" si="78"/>
        <v>Nominal</v>
      </c>
      <c r="H86" s="45" t="str">
        <f t="shared" si="79"/>
        <v>End year</v>
      </c>
      <c r="J86" s="29"/>
      <c r="K86" s="29"/>
      <c r="L86" s="29"/>
      <c r="M86" s="29"/>
      <c r="N86" s="29"/>
      <c r="O86" s="29"/>
      <c r="P86" s="29"/>
      <c r="Q86" s="29"/>
      <c r="R86" s="29"/>
      <c r="S86" s="29"/>
      <c r="T86" s="29"/>
    </row>
    <row r="87" spans="4:20" ht="12.3" x14ac:dyDescent="0.35">
      <c r="D87" s="10" t="str">
        <f t="shared" si="76"/>
        <v>IT and Communications</v>
      </c>
      <c r="E87" s="45" t="str">
        <f t="shared" si="80"/>
        <v>Input_RAB_SCS</v>
      </c>
      <c r="F87" s="45" t="str">
        <f t="shared" si="77"/>
        <v>$Millions</v>
      </c>
      <c r="G87" s="45" t="str">
        <f t="shared" si="78"/>
        <v>Nominal</v>
      </c>
      <c r="H87" s="45" t="str">
        <f t="shared" si="79"/>
        <v>End year</v>
      </c>
      <c r="J87" s="29"/>
      <c r="K87" s="29"/>
      <c r="L87" s="29"/>
      <c r="M87" s="29"/>
      <c r="N87" s="29"/>
      <c r="O87" s="29"/>
      <c r="P87" s="29"/>
      <c r="Q87" s="29"/>
      <c r="R87" s="29"/>
      <c r="S87" s="29"/>
      <c r="T87" s="29"/>
    </row>
    <row r="88" spans="4:20" ht="12.3" x14ac:dyDescent="0.35">
      <c r="D88" s="10" t="str">
        <f t="shared" si="76"/>
        <v>Motor Vehicles</v>
      </c>
      <c r="E88" s="45" t="str">
        <f t="shared" si="80"/>
        <v>Input_RAB_SCS</v>
      </c>
      <c r="F88" s="45" t="str">
        <f t="shared" si="77"/>
        <v>$Millions</v>
      </c>
      <c r="G88" s="45" t="str">
        <f t="shared" si="78"/>
        <v>Nominal</v>
      </c>
      <c r="H88" s="45" t="str">
        <f t="shared" si="79"/>
        <v>End year</v>
      </c>
      <c r="J88" s="29"/>
      <c r="K88" s="29"/>
      <c r="L88" s="29"/>
      <c r="M88" s="29"/>
      <c r="N88" s="29"/>
      <c r="O88" s="29"/>
      <c r="P88" s="29"/>
      <c r="Q88" s="29"/>
      <c r="R88" s="29"/>
      <c r="S88" s="29"/>
      <c r="T88" s="29"/>
    </row>
    <row r="89" spans="4:20" ht="12.3" x14ac:dyDescent="0.35">
      <c r="D89" s="10" t="str">
        <f t="shared" si="76"/>
        <v>Plant and Equipment</v>
      </c>
      <c r="E89" s="45" t="str">
        <f t="shared" si="80"/>
        <v>Input_RAB_SCS</v>
      </c>
      <c r="F89" s="45" t="str">
        <f t="shared" si="77"/>
        <v>$Millions</v>
      </c>
      <c r="G89" s="45" t="str">
        <f t="shared" si="78"/>
        <v>Nominal</v>
      </c>
      <c r="H89" s="45" t="str">
        <f t="shared" si="79"/>
        <v>End year</v>
      </c>
      <c r="J89" s="29"/>
      <c r="K89" s="29"/>
      <c r="L89" s="29"/>
      <c r="M89" s="29"/>
      <c r="N89" s="29"/>
      <c r="O89" s="29"/>
      <c r="P89" s="29"/>
      <c r="Q89" s="29"/>
      <c r="R89" s="29"/>
      <c r="S89" s="29"/>
      <c r="T89" s="29"/>
    </row>
    <row r="90" spans="4:20" ht="12.3" x14ac:dyDescent="0.35">
      <c r="D90" s="10" t="str">
        <f t="shared" si="76"/>
        <v>Property Leases</v>
      </c>
      <c r="E90" s="45" t="str">
        <f t="shared" si="80"/>
        <v>Input_RAB_SCS</v>
      </c>
      <c r="F90" s="45" t="str">
        <f t="shared" si="77"/>
        <v>$Millions</v>
      </c>
      <c r="G90" s="45" t="str">
        <f t="shared" si="78"/>
        <v>Nominal</v>
      </c>
      <c r="H90" s="45" t="str">
        <f t="shared" si="79"/>
        <v>End year</v>
      </c>
      <c r="J90" s="29"/>
      <c r="K90" s="29"/>
      <c r="L90" s="29"/>
      <c r="M90" s="29"/>
      <c r="N90" s="29"/>
      <c r="O90" s="29"/>
      <c r="P90" s="29"/>
      <c r="Q90" s="29"/>
      <c r="R90" s="29"/>
      <c r="S90" s="29"/>
      <c r="T90" s="29"/>
    </row>
    <row r="91" spans="4:20" ht="12.3" x14ac:dyDescent="0.35">
      <c r="D91" s="10" t="str">
        <f t="shared" si="76"/>
        <v>Fleet Leases</v>
      </c>
      <c r="E91" s="45" t="str">
        <f t="shared" si="80"/>
        <v>Input_RAB_SCS</v>
      </c>
      <c r="F91" s="45" t="str">
        <f t="shared" si="77"/>
        <v>$Millions</v>
      </c>
      <c r="G91" s="45" t="str">
        <f t="shared" si="78"/>
        <v>Nominal</v>
      </c>
      <c r="H91" s="45" t="str">
        <f t="shared" si="79"/>
        <v>End year</v>
      </c>
      <c r="J91" s="29"/>
      <c r="K91" s="29"/>
      <c r="L91" s="29"/>
      <c r="M91" s="29"/>
      <c r="N91" s="29"/>
      <c r="O91" s="29"/>
      <c r="P91" s="29"/>
      <c r="Q91" s="29"/>
      <c r="R91" s="29"/>
      <c r="S91" s="29"/>
      <c r="T91" s="29"/>
    </row>
    <row r="92" spans="4:20" ht="12.3" x14ac:dyDescent="0.35">
      <c r="D92" s="10" t="str">
        <f t="shared" si="76"/>
        <v>Community Batteries</v>
      </c>
      <c r="E92" s="45" t="str">
        <f t="shared" si="80"/>
        <v>Input_RAB_SCS</v>
      </c>
      <c r="F92" s="45" t="str">
        <f t="shared" si="77"/>
        <v>$Millions</v>
      </c>
      <c r="G92" s="45" t="str">
        <f t="shared" si="78"/>
        <v>Nominal</v>
      </c>
      <c r="H92" s="45" t="str">
        <f t="shared" si="79"/>
        <v>End year</v>
      </c>
      <c r="J92" s="29"/>
      <c r="K92" s="29"/>
      <c r="L92" s="29"/>
      <c r="M92" s="29"/>
      <c r="N92" s="29"/>
      <c r="O92" s="29"/>
      <c r="P92" s="29"/>
      <c r="Q92" s="29"/>
      <c r="R92" s="29"/>
      <c r="S92" s="29"/>
      <c r="T92" s="29"/>
    </row>
    <row r="93" spans="4:20" ht="12.3" x14ac:dyDescent="0.35">
      <c r="D93" s="10" t="str">
        <f t="shared" si="76"/>
        <v>Buildings</v>
      </c>
      <c r="E93" s="45" t="str">
        <f>E91</f>
        <v>Input_RAB_SCS</v>
      </c>
      <c r="F93" s="45" t="str">
        <f t="shared" si="77"/>
        <v>$Millions</v>
      </c>
      <c r="G93" s="45" t="str">
        <f t="shared" si="78"/>
        <v>Nominal</v>
      </c>
      <c r="H93" s="45" t="str">
        <f t="shared" si="79"/>
        <v>End year</v>
      </c>
      <c r="J93" s="29"/>
      <c r="K93" s="29"/>
      <c r="L93" s="29"/>
      <c r="M93" s="29"/>
      <c r="N93" s="29"/>
      <c r="O93" s="29"/>
      <c r="P93" s="29"/>
      <c r="Q93" s="29"/>
      <c r="R93" s="29"/>
      <c r="S93" s="29"/>
      <c r="T93" s="29"/>
    </row>
    <row r="94" spans="4:20" ht="12.3" x14ac:dyDescent="0.35">
      <c r="D94" s="10" t="str">
        <f t="shared" si="76"/>
        <v>in-house software</v>
      </c>
      <c r="E94" s="45" t="str">
        <f t="shared" si="80"/>
        <v>Input_RAB_SCS</v>
      </c>
      <c r="F94" s="45" t="str">
        <f t="shared" si="77"/>
        <v>$Millions</v>
      </c>
      <c r="G94" s="45" t="str">
        <f t="shared" si="78"/>
        <v>Nominal</v>
      </c>
      <c r="H94" s="45" t="str">
        <f t="shared" si="79"/>
        <v>End year</v>
      </c>
      <c r="J94" s="29"/>
      <c r="K94" s="29"/>
      <c r="L94" s="29"/>
      <c r="M94" s="29"/>
      <c r="N94" s="29"/>
      <c r="O94" s="29"/>
      <c r="P94" s="29"/>
      <c r="Q94" s="29"/>
      <c r="R94" s="29"/>
      <c r="S94" s="29"/>
      <c r="T94" s="29"/>
    </row>
    <row r="95" spans="4:20" ht="12.3" x14ac:dyDescent="0.35">
      <c r="D95" s="10" t="str">
        <f t="shared" ref="D95" si="81">D37</f>
        <v>Equity Raising Costs</v>
      </c>
      <c r="E95" s="45" t="str">
        <f>E89</f>
        <v>Input_RAB_SCS</v>
      </c>
      <c r="F95" s="45" t="str">
        <f t="shared" si="77"/>
        <v>$Millions</v>
      </c>
      <c r="G95" s="45" t="str">
        <f t="shared" si="78"/>
        <v>Nominal</v>
      </c>
      <c r="H95" s="45" t="str">
        <f t="shared" si="79"/>
        <v>End year</v>
      </c>
      <c r="J95" s="29"/>
      <c r="K95" s="29"/>
      <c r="L95" s="29"/>
      <c r="M95" s="29"/>
      <c r="N95" s="29"/>
      <c r="O95" s="29"/>
      <c r="P95" s="29"/>
      <c r="Q95" s="29"/>
      <c r="R95" s="29"/>
      <c r="S95" s="29"/>
      <c r="T95" s="29"/>
    </row>
    <row r="96" spans="4:20" x14ac:dyDescent="0.35">
      <c r="J96" s="49"/>
      <c r="K96" s="48"/>
      <c r="O96" s="49"/>
      <c r="P96" s="48"/>
      <c r="T96" s="49"/>
    </row>
    <row r="97" spans="1:20" ht="12.3" x14ac:dyDescent="0.35">
      <c r="D97" s="44" t="str">
        <f>"Total "&amp;D74</f>
        <v>Total RAB asset class</v>
      </c>
      <c r="E97" s="40" t="s">
        <v>91</v>
      </c>
      <c r="F97" s="40" t="str">
        <f>F76</f>
        <v>$Millions</v>
      </c>
      <c r="G97" s="40" t="str">
        <f>G76</f>
        <v>Nominal</v>
      </c>
      <c r="H97" s="40" t="str">
        <f>H76</f>
        <v>End year</v>
      </c>
      <c r="J97" s="54">
        <f t="shared" ref="J97:T97" si="82">SUM(J76:J95)</f>
        <v>-4.2879520244940057</v>
      </c>
      <c r="K97" s="53">
        <f t="shared" si="82"/>
        <v>-0.90218783016285864</v>
      </c>
      <c r="L97" s="39">
        <f t="shared" si="82"/>
        <v>-2.1725011240417968</v>
      </c>
      <c r="M97" s="39">
        <f t="shared" si="82"/>
        <v>-1.3695648020902067</v>
      </c>
      <c r="N97" s="39">
        <f t="shared" si="82"/>
        <v>-1.4534614851151733</v>
      </c>
      <c r="O97" s="54">
        <f t="shared" si="82"/>
        <v>-1.6212429285607104</v>
      </c>
      <c r="P97" s="53">
        <f t="shared" si="82"/>
        <v>-1.7361355530297597</v>
      </c>
      <c r="Q97" s="39">
        <f t="shared" si="82"/>
        <v>-1.8456152852313183</v>
      </c>
      <c r="R97" s="39">
        <f t="shared" si="82"/>
        <v>-1.9642417732198976</v>
      </c>
      <c r="S97" s="39">
        <f t="shared" si="82"/>
        <v>-2.08909498641624</v>
      </c>
      <c r="T97" s="54">
        <f t="shared" si="82"/>
        <v>-2.2148743990230821</v>
      </c>
    </row>
    <row r="98" spans="1:20" ht="11.25" customHeight="1" x14ac:dyDescent="0.35"/>
    <row r="99" spans="1:20" ht="11.25" customHeight="1" x14ac:dyDescent="0.35">
      <c r="A99" s="42">
        <f>IF(SUM($J99:$T99)&lt;&gt;0,1,0)</f>
        <v>0</v>
      </c>
      <c r="D99" s="10" t="s">
        <v>94</v>
      </c>
      <c r="J99" s="42">
        <f t="shared" ref="J99:K99" si="83">IF(ISERROR(J97),1,0)</f>
        <v>0</v>
      </c>
      <c r="K99" s="42">
        <f t="shared" si="83"/>
        <v>0</v>
      </c>
      <c r="L99" s="42">
        <f>IF(ISERROR(L97),1,0)</f>
        <v>0</v>
      </c>
      <c r="M99" s="42">
        <f t="shared" ref="M99:P99" si="84">IF(ISERROR(M97),1,0)</f>
        <v>0</v>
      </c>
      <c r="N99" s="42">
        <f t="shared" si="84"/>
        <v>0</v>
      </c>
      <c r="O99" s="42">
        <f t="shared" si="84"/>
        <v>0</v>
      </c>
      <c r="P99" s="42">
        <f t="shared" si="84"/>
        <v>0</v>
      </c>
      <c r="Q99" s="42">
        <f>IF(ISERROR(Q97),1,0)</f>
        <v>0</v>
      </c>
      <c r="R99" s="42">
        <f t="shared" ref="R99:T99" si="85">IF(ISERROR(R97),1,0)</f>
        <v>0</v>
      </c>
      <c r="S99" s="42">
        <f t="shared" si="85"/>
        <v>0</v>
      </c>
      <c r="T99" s="42">
        <f t="shared" si="85"/>
        <v>0</v>
      </c>
    </row>
    <row r="100" spans="1:20" ht="11.25" customHeight="1" x14ac:dyDescent="0.35">
      <c r="N100" s="5"/>
      <c r="S100" s="5"/>
    </row>
    <row r="101" spans="1:20" s="8" customFormat="1" ht="14.1" x14ac:dyDescent="0.35">
      <c r="C101" s="8" t="s">
        <v>438</v>
      </c>
    </row>
    <row r="102" spans="1:20" ht="11.25" customHeight="1" x14ac:dyDescent="0.35"/>
    <row r="103" spans="1:20" ht="12.3" x14ac:dyDescent="0.35">
      <c r="D103" s="43" t="str">
        <f>D$16</f>
        <v>RAB asset class</v>
      </c>
      <c r="E103" s="38" t="str">
        <f>Lookup!E$20</f>
        <v>Source</v>
      </c>
      <c r="F103" s="38" t="str">
        <f>Lookup!F$20</f>
        <v>Unit</v>
      </c>
      <c r="G103" s="38" t="str">
        <f>Lookup!G$20</f>
        <v>Basis</v>
      </c>
      <c r="H103" s="38" t="str">
        <f>Lookup!H$20</f>
        <v>Timing</v>
      </c>
      <c r="J103" s="47" t="str">
        <f t="shared" ref="J103:T103" si="86">J$10</f>
        <v>RY19</v>
      </c>
      <c r="K103" s="46" t="str">
        <f t="shared" si="86"/>
        <v>RY20</v>
      </c>
      <c r="L103" s="38" t="str">
        <f>L$10</f>
        <v>RY21</v>
      </c>
      <c r="M103" s="38" t="str">
        <f t="shared" si="86"/>
        <v>RY22</v>
      </c>
      <c r="N103" s="38" t="str">
        <f t="shared" si="86"/>
        <v>RY23</v>
      </c>
      <c r="O103" s="47" t="str">
        <f t="shared" si="86"/>
        <v>RY24</v>
      </c>
      <c r="P103" s="46" t="str">
        <f t="shared" si="86"/>
        <v>RY25</v>
      </c>
      <c r="Q103" s="38" t="str">
        <f>Q$10</f>
        <v>RY26</v>
      </c>
      <c r="R103" s="38" t="str">
        <f t="shared" si="86"/>
        <v>RY27</v>
      </c>
      <c r="S103" s="38" t="str">
        <f t="shared" si="86"/>
        <v>RY28</v>
      </c>
      <c r="T103" s="47" t="str">
        <f t="shared" si="86"/>
        <v>RY29</v>
      </c>
    </row>
    <row r="104" spans="1:20" x14ac:dyDescent="0.35">
      <c r="J104" s="49"/>
      <c r="K104" s="48"/>
      <c r="O104" s="49"/>
      <c r="P104" s="48"/>
      <c r="T104" s="49"/>
    </row>
    <row r="105" spans="1:20" ht="12.3" x14ac:dyDescent="0.35">
      <c r="D105" s="10" t="str">
        <f t="shared" ref="D105:D123" si="87">D18</f>
        <v>Substations</v>
      </c>
      <c r="E105" s="45" t="s">
        <v>152</v>
      </c>
      <c r="F105" s="45" t="str">
        <f t="shared" ref="F105:F124" si="88">Millions</f>
        <v>$Millions</v>
      </c>
      <c r="G105" s="45" t="str">
        <f t="shared" ref="G105:G124" si="89">Nominal</f>
        <v>Nominal</v>
      </c>
      <c r="H105" s="45" t="str">
        <f t="shared" ref="H105:H124" si="90">End_year</f>
        <v>End year</v>
      </c>
      <c r="J105" s="29"/>
      <c r="K105" s="29"/>
      <c r="L105" s="29"/>
      <c r="M105" s="29"/>
      <c r="N105" s="29"/>
      <c r="O105" s="29"/>
      <c r="P105" s="29"/>
      <c r="Q105" s="29"/>
      <c r="R105" s="29"/>
      <c r="S105" s="29"/>
      <c r="T105" s="29"/>
    </row>
    <row r="106" spans="1:20" ht="12.3" x14ac:dyDescent="0.35">
      <c r="D106" s="10" t="str">
        <f t="shared" si="87"/>
        <v>Distribution Lines</v>
      </c>
      <c r="E106" s="45" t="str">
        <f>E105</f>
        <v>Input_RAB_SCS</v>
      </c>
      <c r="F106" s="45" t="str">
        <f t="shared" si="88"/>
        <v>$Millions</v>
      </c>
      <c r="G106" s="45" t="str">
        <f t="shared" si="89"/>
        <v>Nominal</v>
      </c>
      <c r="H106" s="45" t="str">
        <f t="shared" si="90"/>
        <v>End year</v>
      </c>
      <c r="J106" s="58">
        <f>Input_RAB_SCS!J110*Input_Connections!J$16</f>
        <v>2.7137831086100803</v>
      </c>
      <c r="K106" s="56">
        <f>Input_RAB_SCS!K110*Input_Connections!K$16</f>
        <v>0.54828493835147907</v>
      </c>
      <c r="L106" s="57">
        <f>Input_RAB_SCS!L110*Input_Connections!L$16</f>
        <v>1.4703441667538835</v>
      </c>
      <c r="M106" s="57">
        <f>Input_RAB_SCS!M110*Input_Connections!M$16</f>
        <v>1.6455056732616973</v>
      </c>
      <c r="N106" s="57">
        <f>Input_RAB_SCS!N110*Input_Connections!N$16</f>
        <v>2.4337182474452201</v>
      </c>
      <c r="O106" s="58">
        <f>Input_RAB_SCS!O110*Input_Connections!O$16</f>
        <v>2.1305345339766739</v>
      </c>
      <c r="P106" s="56">
        <f>Input_RAB_SCS!P110*Input_Connections!P$16</f>
        <v>1.7416334087437662</v>
      </c>
      <c r="Q106" s="57">
        <f>Input_RAB_SCS!Q110*Input_Connections!Q$16</f>
        <v>1.9740618560567802</v>
      </c>
      <c r="R106" s="57">
        <f>Input_RAB_SCS!R110*Input_Connections!R$16</f>
        <v>2.0378416117037519</v>
      </c>
      <c r="S106" s="57">
        <f>Input_RAB_SCS!S110*Input_Connections!S$16</f>
        <v>1.8049286115179484</v>
      </c>
      <c r="T106" s="58">
        <f>Input_RAB_SCS!T110*Input_Connections!T$16</f>
        <v>1.8794839859236658</v>
      </c>
    </row>
    <row r="107" spans="1:20" ht="12.3" x14ac:dyDescent="0.35">
      <c r="D107" s="10" t="str">
        <f t="shared" si="87"/>
        <v>Transmission Lines</v>
      </c>
      <c r="E107" s="45" t="str">
        <f t="shared" ref="E107:E123" si="91">E106</f>
        <v>Input_RAB_SCS</v>
      </c>
      <c r="F107" s="45" t="str">
        <f t="shared" si="88"/>
        <v>$Millions</v>
      </c>
      <c r="G107" s="45" t="str">
        <f t="shared" si="89"/>
        <v>Nominal</v>
      </c>
      <c r="H107" s="45" t="str">
        <f t="shared" si="90"/>
        <v>End year</v>
      </c>
      <c r="J107" s="29"/>
      <c r="K107" s="29"/>
      <c r="L107" s="29"/>
      <c r="M107" s="29"/>
      <c r="N107" s="29"/>
      <c r="O107" s="29"/>
      <c r="P107" s="29"/>
      <c r="Q107" s="29"/>
      <c r="R107" s="29"/>
      <c r="S107" s="29"/>
      <c r="T107" s="29"/>
    </row>
    <row r="108" spans="1:20" ht="12.3" x14ac:dyDescent="0.35">
      <c r="D108" s="10" t="str">
        <f t="shared" si="87"/>
        <v>LV Services</v>
      </c>
      <c r="E108" s="45" t="str">
        <f t="shared" si="91"/>
        <v>Input_RAB_SCS</v>
      </c>
      <c r="F108" s="45" t="str">
        <f t="shared" si="88"/>
        <v>$Millions</v>
      </c>
      <c r="G108" s="45" t="str">
        <f t="shared" si="89"/>
        <v>Nominal</v>
      </c>
      <c r="H108" s="45" t="str">
        <f t="shared" si="90"/>
        <v>End year</v>
      </c>
      <c r="J108" s="58">
        <f>Input_RAB_SCS!J112*Input_Connections!J$16</f>
        <v>0.12731453246178506</v>
      </c>
      <c r="K108" s="56">
        <f>Input_RAB_SCS!K112*Input_Connections!K$16</f>
        <v>4.2618424226044803E-2</v>
      </c>
      <c r="L108" s="57">
        <f>Input_RAB_SCS!L112*Input_Connections!L$16</f>
        <v>0.16052656695497886</v>
      </c>
      <c r="M108" s="57">
        <f>Input_RAB_SCS!M112*Input_Connections!M$16</f>
        <v>0.19254076484000932</v>
      </c>
      <c r="N108" s="57">
        <f>Input_RAB_SCS!N112*Input_Connections!N$16</f>
        <v>0.13122786830776689</v>
      </c>
      <c r="O108" s="58">
        <f>Input_RAB_SCS!O112*Input_Connections!O$16</f>
        <v>0.14081587565798406</v>
      </c>
      <c r="P108" s="56">
        <f>Input_RAB_SCS!P112*Input_Connections!P$16</f>
        <v>0.39334664556648752</v>
      </c>
      <c r="Q108" s="57">
        <f>Input_RAB_SCS!Q112*Input_Connections!Q$16</f>
        <v>0.41311858143322999</v>
      </c>
      <c r="R108" s="57">
        <f>Input_RAB_SCS!R112*Input_Connections!R$16</f>
        <v>0.4314699164775232</v>
      </c>
      <c r="S108" s="57">
        <f>Input_RAB_SCS!S112*Input_Connections!S$16</f>
        <v>0.44970773653079082</v>
      </c>
      <c r="T108" s="58">
        <f>Input_RAB_SCS!T112*Input_Connections!T$16</f>
        <v>0.46983868733789363</v>
      </c>
    </row>
    <row r="109" spans="1:20" ht="12.3" x14ac:dyDescent="0.35">
      <c r="D109" s="10" t="str">
        <f t="shared" si="87"/>
        <v>Distribution Substations</v>
      </c>
      <c r="E109" s="45" t="str">
        <f t="shared" si="91"/>
        <v>Input_RAB_SCS</v>
      </c>
      <c r="F109" s="45" t="str">
        <f t="shared" si="88"/>
        <v>$Millions</v>
      </c>
      <c r="G109" s="45" t="str">
        <f t="shared" si="89"/>
        <v>Nominal</v>
      </c>
      <c r="H109" s="45" t="str">
        <f t="shared" si="90"/>
        <v>End year</v>
      </c>
      <c r="J109" s="58">
        <f>Input_RAB_SCS!J113*Input_Connections!J$16</f>
        <v>0.9546816540605273</v>
      </c>
      <c r="K109" s="56">
        <f>Input_RAB_SCS!K113*Input_Connections!K$16</f>
        <v>0.27991398751175289</v>
      </c>
      <c r="L109" s="57">
        <f>Input_RAB_SCS!L113*Input_Connections!L$16</f>
        <v>0.63803836098456701</v>
      </c>
      <c r="M109" s="57">
        <f>Input_RAB_SCS!M113*Input_Connections!M$16</f>
        <v>0.49824759905913174</v>
      </c>
      <c r="N109" s="57">
        <f>Input_RAB_SCS!N113*Input_Connections!N$16</f>
        <v>0.3026471292692583</v>
      </c>
      <c r="O109" s="58">
        <f>Input_RAB_SCS!O113*Input_Connections!O$16</f>
        <v>0.34328107221072462</v>
      </c>
      <c r="P109" s="56">
        <f>Input_RAB_SCS!P113*Input_Connections!P$16</f>
        <v>0.45431638790688617</v>
      </c>
      <c r="Q109" s="57">
        <f>Input_RAB_SCS!Q113*Input_Connections!Q$16</f>
        <v>0.48627281839933822</v>
      </c>
      <c r="R109" s="57">
        <f>Input_RAB_SCS!R113*Input_Connections!R$16</f>
        <v>0.51773744788701992</v>
      </c>
      <c r="S109" s="57">
        <f>Input_RAB_SCS!S113*Input_Connections!S$16</f>
        <v>0.55001281411769309</v>
      </c>
      <c r="T109" s="58">
        <f>Input_RAB_SCS!T113*Input_Connections!T$16</f>
        <v>0.58530252031729313</v>
      </c>
    </row>
    <row r="110" spans="1:20" ht="12.3" x14ac:dyDescent="0.35">
      <c r="D110" s="10" t="str">
        <f t="shared" si="87"/>
        <v>Distribution Switchgear</v>
      </c>
      <c r="E110" s="45" t="str">
        <f t="shared" si="91"/>
        <v>Input_RAB_SCS</v>
      </c>
      <c r="F110" s="45" t="str">
        <f t="shared" si="88"/>
        <v>$Millions</v>
      </c>
      <c r="G110" s="45" t="str">
        <f t="shared" si="89"/>
        <v>Nominal</v>
      </c>
      <c r="H110" s="45" t="str">
        <f t="shared" si="90"/>
        <v>End year</v>
      </c>
      <c r="J110" s="58">
        <f>Input_RAB_SCS!J114*Input_Connections!J$16</f>
        <v>0.87314841364047846</v>
      </c>
      <c r="K110" s="56">
        <f>Input_RAB_SCS!K114*Input_Connections!K$16</f>
        <v>0.1066681447682131</v>
      </c>
      <c r="L110" s="57">
        <f>Input_RAB_SCS!L114*Input_Connections!L$16</f>
        <v>0.39853035268731041</v>
      </c>
      <c r="M110" s="57">
        <f>Input_RAB_SCS!M114*Input_Connections!M$16</f>
        <v>0.21067419717248523</v>
      </c>
      <c r="N110" s="57">
        <f>Input_RAB_SCS!N114*Input_Connections!N$16</f>
        <v>0.33687745061074065</v>
      </c>
      <c r="O110" s="58">
        <f>Input_RAB_SCS!O114*Input_Connections!O$16</f>
        <v>0.27201623138032938</v>
      </c>
      <c r="P110" s="56">
        <f>Input_RAB_SCS!P114*Input_Connections!P$16</f>
        <v>0.4583212798216949</v>
      </c>
      <c r="Q110" s="57">
        <f>Input_RAB_SCS!Q114*Input_Connections!Q$16</f>
        <v>0.48584658671042252</v>
      </c>
      <c r="R110" s="57">
        <f>Input_RAB_SCS!R114*Input_Connections!R$16</f>
        <v>0.51236232168002172</v>
      </c>
      <c r="S110" s="57">
        <f>Input_RAB_SCS!S114*Input_Connections!S$16</f>
        <v>0.53924594468902121</v>
      </c>
      <c r="T110" s="58">
        <f>Input_RAB_SCS!T114*Input_Connections!T$16</f>
        <v>0.56871799321525496</v>
      </c>
    </row>
    <row r="111" spans="1:20" ht="12.3" x14ac:dyDescent="0.35">
      <c r="D111" s="10" t="str">
        <f t="shared" si="87"/>
        <v>Protection</v>
      </c>
      <c r="E111" s="45" t="str">
        <f t="shared" si="91"/>
        <v>Input_RAB_SCS</v>
      </c>
      <c r="F111" s="45" t="str">
        <f t="shared" si="88"/>
        <v>$Millions</v>
      </c>
      <c r="G111" s="45" t="str">
        <f t="shared" si="89"/>
        <v>Nominal</v>
      </c>
      <c r="H111" s="45" t="str">
        <f t="shared" si="90"/>
        <v>End year</v>
      </c>
      <c r="J111" s="29"/>
      <c r="K111" s="29"/>
      <c r="L111" s="29"/>
      <c r="M111" s="29"/>
      <c r="N111" s="29"/>
      <c r="O111" s="29"/>
      <c r="P111" s="29"/>
      <c r="Q111" s="29"/>
      <c r="R111" s="29"/>
      <c r="S111" s="29"/>
      <c r="T111" s="29"/>
    </row>
    <row r="112" spans="1:20" ht="12.3" x14ac:dyDescent="0.35">
      <c r="D112" s="10" t="str">
        <f t="shared" si="87"/>
        <v>SCADA</v>
      </c>
      <c r="E112" s="45" t="str">
        <f t="shared" si="91"/>
        <v>Input_RAB_SCS</v>
      </c>
      <c r="F112" s="45" t="str">
        <f t="shared" si="88"/>
        <v>$Millions</v>
      </c>
      <c r="G112" s="45" t="str">
        <f t="shared" si="89"/>
        <v>Nominal</v>
      </c>
      <c r="H112" s="45" t="str">
        <f t="shared" si="90"/>
        <v>End year</v>
      </c>
      <c r="J112" s="29"/>
      <c r="K112" s="29"/>
      <c r="L112" s="29"/>
      <c r="M112" s="29"/>
      <c r="N112" s="29"/>
      <c r="O112" s="29"/>
      <c r="P112" s="29"/>
      <c r="Q112" s="29"/>
      <c r="R112" s="29"/>
      <c r="S112" s="29"/>
      <c r="T112" s="29"/>
    </row>
    <row r="113" spans="1:20" ht="12.3" x14ac:dyDescent="0.35">
      <c r="D113" s="10" t="str">
        <f t="shared" si="87"/>
        <v>Communications</v>
      </c>
      <c r="E113" s="45" t="str">
        <f t="shared" si="91"/>
        <v>Input_RAB_SCS</v>
      </c>
      <c r="F113" s="45" t="str">
        <f t="shared" si="88"/>
        <v>$Millions</v>
      </c>
      <c r="G113" s="45" t="str">
        <f t="shared" si="89"/>
        <v>Nominal</v>
      </c>
      <c r="H113" s="45" t="str">
        <f t="shared" si="90"/>
        <v>End year</v>
      </c>
      <c r="J113" s="29"/>
      <c r="K113" s="29"/>
      <c r="L113" s="29"/>
      <c r="M113" s="29"/>
      <c r="N113" s="29"/>
      <c r="O113" s="29"/>
      <c r="P113" s="29"/>
      <c r="Q113" s="29"/>
      <c r="R113" s="29"/>
      <c r="S113" s="29"/>
      <c r="T113" s="29"/>
    </row>
    <row r="114" spans="1:20" ht="12.3" x14ac:dyDescent="0.35">
      <c r="D114" s="10" t="str">
        <f t="shared" si="87"/>
        <v>Land and Easements</v>
      </c>
      <c r="E114" s="45" t="str">
        <f t="shared" si="91"/>
        <v>Input_RAB_SCS</v>
      </c>
      <c r="F114" s="45" t="str">
        <f t="shared" si="88"/>
        <v>$Millions</v>
      </c>
      <c r="G114" s="45" t="str">
        <f t="shared" si="89"/>
        <v>Nominal</v>
      </c>
      <c r="H114" s="45" t="str">
        <f t="shared" si="90"/>
        <v>End year</v>
      </c>
      <c r="J114" s="29"/>
      <c r="K114" s="29"/>
      <c r="L114" s="29"/>
      <c r="M114" s="29"/>
      <c r="N114" s="29"/>
      <c r="O114" s="29"/>
      <c r="P114" s="29"/>
      <c r="Q114" s="29"/>
      <c r="R114" s="29"/>
      <c r="S114" s="29"/>
      <c r="T114" s="29"/>
    </row>
    <row r="115" spans="1:20" ht="12.3" x14ac:dyDescent="0.35">
      <c r="D115" s="10" t="str">
        <f t="shared" si="87"/>
        <v>Property</v>
      </c>
      <c r="E115" s="45" t="str">
        <f t="shared" si="91"/>
        <v>Input_RAB_SCS</v>
      </c>
      <c r="F115" s="45" t="str">
        <f t="shared" si="88"/>
        <v>$Millions</v>
      </c>
      <c r="G115" s="45" t="str">
        <f t="shared" si="89"/>
        <v>Nominal</v>
      </c>
      <c r="H115" s="45" t="str">
        <f t="shared" si="90"/>
        <v>End year</v>
      </c>
      <c r="J115" s="29"/>
      <c r="K115" s="29"/>
      <c r="L115" s="29"/>
      <c r="M115" s="29"/>
      <c r="N115" s="29"/>
      <c r="O115" s="29"/>
      <c r="P115" s="29"/>
      <c r="Q115" s="29"/>
      <c r="R115" s="29"/>
      <c r="S115" s="29"/>
      <c r="T115" s="29"/>
    </row>
    <row r="116" spans="1:20" ht="12.3" x14ac:dyDescent="0.35">
      <c r="D116" s="10" t="str">
        <f t="shared" si="87"/>
        <v>IT and Communications</v>
      </c>
      <c r="E116" s="45" t="str">
        <f t="shared" si="91"/>
        <v>Input_RAB_SCS</v>
      </c>
      <c r="F116" s="45" t="str">
        <f t="shared" si="88"/>
        <v>$Millions</v>
      </c>
      <c r="G116" s="45" t="str">
        <f t="shared" si="89"/>
        <v>Nominal</v>
      </c>
      <c r="H116" s="45" t="str">
        <f t="shared" si="90"/>
        <v>End year</v>
      </c>
      <c r="J116" s="29"/>
      <c r="K116" s="29"/>
      <c r="L116" s="29"/>
      <c r="M116" s="29"/>
      <c r="N116" s="29"/>
      <c r="O116" s="29"/>
      <c r="P116" s="29"/>
      <c r="Q116" s="29"/>
      <c r="R116" s="29"/>
      <c r="S116" s="29"/>
      <c r="T116" s="29"/>
    </row>
    <row r="117" spans="1:20" ht="12.3" x14ac:dyDescent="0.35">
      <c r="D117" s="10" t="str">
        <f t="shared" si="87"/>
        <v>Motor Vehicles</v>
      </c>
      <c r="E117" s="45" t="str">
        <f t="shared" si="91"/>
        <v>Input_RAB_SCS</v>
      </c>
      <c r="F117" s="45" t="str">
        <f t="shared" si="88"/>
        <v>$Millions</v>
      </c>
      <c r="G117" s="45" t="str">
        <f t="shared" si="89"/>
        <v>Nominal</v>
      </c>
      <c r="H117" s="45" t="str">
        <f t="shared" si="90"/>
        <v>End year</v>
      </c>
      <c r="J117" s="29"/>
      <c r="K117" s="29"/>
      <c r="L117" s="29"/>
      <c r="M117" s="29"/>
      <c r="N117" s="29"/>
      <c r="O117" s="29"/>
      <c r="P117" s="29"/>
      <c r="Q117" s="29"/>
      <c r="R117" s="29"/>
      <c r="S117" s="29"/>
      <c r="T117" s="29"/>
    </row>
    <row r="118" spans="1:20" ht="12.3" x14ac:dyDescent="0.35">
      <c r="D118" s="10" t="str">
        <f t="shared" si="87"/>
        <v>Plant and Equipment</v>
      </c>
      <c r="E118" s="45" t="str">
        <f t="shared" si="91"/>
        <v>Input_RAB_SCS</v>
      </c>
      <c r="F118" s="45" t="str">
        <f t="shared" si="88"/>
        <v>$Millions</v>
      </c>
      <c r="G118" s="45" t="str">
        <f t="shared" si="89"/>
        <v>Nominal</v>
      </c>
      <c r="H118" s="45" t="str">
        <f t="shared" si="90"/>
        <v>End year</v>
      </c>
      <c r="J118" s="29"/>
      <c r="K118" s="29"/>
      <c r="L118" s="29"/>
      <c r="M118" s="29"/>
      <c r="N118" s="29"/>
      <c r="O118" s="29"/>
      <c r="P118" s="29"/>
      <c r="Q118" s="29"/>
      <c r="R118" s="29"/>
      <c r="S118" s="29"/>
      <c r="T118" s="29"/>
    </row>
    <row r="119" spans="1:20" ht="12.3" x14ac:dyDescent="0.35">
      <c r="D119" s="10" t="str">
        <f t="shared" si="87"/>
        <v>Property Leases</v>
      </c>
      <c r="E119" s="45" t="str">
        <f t="shared" si="91"/>
        <v>Input_RAB_SCS</v>
      </c>
      <c r="F119" s="45" t="str">
        <f t="shared" si="88"/>
        <v>$Millions</v>
      </c>
      <c r="G119" s="45" t="str">
        <f t="shared" si="89"/>
        <v>Nominal</v>
      </c>
      <c r="H119" s="45" t="str">
        <f t="shared" si="90"/>
        <v>End year</v>
      </c>
      <c r="J119" s="29"/>
      <c r="K119" s="29"/>
      <c r="L119" s="29"/>
      <c r="M119" s="29"/>
      <c r="N119" s="29"/>
      <c r="O119" s="29"/>
      <c r="P119" s="29"/>
      <c r="Q119" s="29"/>
      <c r="R119" s="29"/>
      <c r="S119" s="29"/>
      <c r="T119" s="29"/>
    </row>
    <row r="120" spans="1:20" ht="12.3" x14ac:dyDescent="0.35">
      <c r="D120" s="10" t="str">
        <f t="shared" si="87"/>
        <v>Fleet Leases</v>
      </c>
      <c r="E120" s="45" t="str">
        <f t="shared" si="91"/>
        <v>Input_RAB_SCS</v>
      </c>
      <c r="F120" s="45" t="str">
        <f t="shared" si="88"/>
        <v>$Millions</v>
      </c>
      <c r="G120" s="45" t="str">
        <f t="shared" si="89"/>
        <v>Nominal</v>
      </c>
      <c r="H120" s="45" t="str">
        <f t="shared" si="90"/>
        <v>End year</v>
      </c>
      <c r="J120" s="29"/>
      <c r="K120" s="29"/>
      <c r="L120" s="29"/>
      <c r="M120" s="29"/>
      <c r="N120" s="29"/>
      <c r="O120" s="29"/>
      <c r="P120" s="29"/>
      <c r="Q120" s="29"/>
      <c r="R120" s="29"/>
      <c r="S120" s="29"/>
      <c r="T120" s="29"/>
    </row>
    <row r="121" spans="1:20" ht="12.3" x14ac:dyDescent="0.35">
      <c r="D121" s="10" t="str">
        <f t="shared" si="87"/>
        <v>Community Batteries</v>
      </c>
      <c r="E121" s="45" t="str">
        <f t="shared" si="91"/>
        <v>Input_RAB_SCS</v>
      </c>
      <c r="F121" s="45" t="str">
        <f t="shared" si="88"/>
        <v>$Millions</v>
      </c>
      <c r="G121" s="45" t="str">
        <f t="shared" si="89"/>
        <v>Nominal</v>
      </c>
      <c r="H121" s="45" t="str">
        <f t="shared" si="90"/>
        <v>End year</v>
      </c>
      <c r="J121" s="29"/>
      <c r="K121" s="29"/>
      <c r="L121" s="29"/>
      <c r="M121" s="29"/>
      <c r="N121" s="29"/>
      <c r="O121" s="29"/>
      <c r="P121" s="29"/>
      <c r="Q121" s="29"/>
      <c r="R121" s="29"/>
      <c r="S121" s="29"/>
      <c r="T121" s="29"/>
    </row>
    <row r="122" spans="1:20" ht="12.3" x14ac:dyDescent="0.35">
      <c r="D122" s="10" t="str">
        <f t="shared" si="87"/>
        <v>Buildings</v>
      </c>
      <c r="E122" s="45" t="str">
        <f>E120</f>
        <v>Input_RAB_SCS</v>
      </c>
      <c r="F122" s="45" t="str">
        <f t="shared" si="88"/>
        <v>$Millions</v>
      </c>
      <c r="G122" s="45" t="str">
        <f t="shared" si="89"/>
        <v>Nominal</v>
      </c>
      <c r="H122" s="45" t="str">
        <f t="shared" si="90"/>
        <v>End year</v>
      </c>
      <c r="J122" s="29"/>
      <c r="K122" s="29"/>
      <c r="L122" s="29"/>
      <c r="M122" s="29"/>
      <c r="N122" s="29"/>
      <c r="O122" s="29"/>
      <c r="P122" s="29"/>
      <c r="Q122" s="29"/>
      <c r="R122" s="29"/>
      <c r="S122" s="29"/>
      <c r="T122" s="29"/>
    </row>
    <row r="123" spans="1:20" ht="12.3" x14ac:dyDescent="0.35">
      <c r="D123" s="10" t="str">
        <f t="shared" si="87"/>
        <v>in-house software</v>
      </c>
      <c r="E123" s="45" t="str">
        <f t="shared" si="91"/>
        <v>Input_RAB_SCS</v>
      </c>
      <c r="F123" s="45" t="str">
        <f t="shared" si="88"/>
        <v>$Millions</v>
      </c>
      <c r="G123" s="45" t="str">
        <f t="shared" si="89"/>
        <v>Nominal</v>
      </c>
      <c r="H123" s="45" t="str">
        <f t="shared" si="90"/>
        <v>End year</v>
      </c>
      <c r="J123" s="29"/>
      <c r="K123" s="29"/>
      <c r="L123" s="29"/>
      <c r="M123" s="29"/>
      <c r="N123" s="29"/>
      <c r="O123" s="29"/>
      <c r="P123" s="29"/>
      <c r="Q123" s="29"/>
      <c r="R123" s="29"/>
      <c r="S123" s="29"/>
      <c r="T123" s="29"/>
    </row>
    <row r="124" spans="1:20" ht="12.3" x14ac:dyDescent="0.35">
      <c r="D124" s="10" t="str">
        <f t="shared" ref="D124" si="92">D37</f>
        <v>Equity Raising Costs</v>
      </c>
      <c r="E124" s="45" t="str">
        <f>E118</f>
        <v>Input_RAB_SCS</v>
      </c>
      <c r="F124" s="45" t="str">
        <f t="shared" si="88"/>
        <v>$Millions</v>
      </c>
      <c r="G124" s="45" t="str">
        <f t="shared" si="89"/>
        <v>Nominal</v>
      </c>
      <c r="H124" s="45" t="str">
        <f t="shared" si="90"/>
        <v>End year</v>
      </c>
      <c r="J124" s="29"/>
      <c r="K124" s="29"/>
      <c r="L124" s="29"/>
      <c r="M124" s="29"/>
      <c r="N124" s="29"/>
      <c r="O124" s="29"/>
      <c r="P124" s="29"/>
      <c r="Q124" s="29"/>
      <c r="R124" s="29"/>
      <c r="S124" s="29"/>
      <c r="T124" s="29"/>
    </row>
    <row r="125" spans="1:20" x14ac:dyDescent="0.35">
      <c r="J125" s="49"/>
      <c r="K125" s="48"/>
      <c r="O125" s="49"/>
      <c r="P125" s="48"/>
      <c r="T125" s="49"/>
    </row>
    <row r="126" spans="1:20" ht="12.3" x14ac:dyDescent="0.35">
      <c r="D126" s="44" t="str">
        <f>"Total "&amp;D103</f>
        <v>Total RAB asset class</v>
      </c>
      <c r="E126" s="40" t="s">
        <v>91</v>
      </c>
      <c r="F126" s="40" t="str">
        <f>F105</f>
        <v>$Millions</v>
      </c>
      <c r="G126" s="40" t="str">
        <f>G105</f>
        <v>Nominal</v>
      </c>
      <c r="H126" s="40" t="str">
        <f>H105</f>
        <v>End year</v>
      </c>
      <c r="J126" s="54">
        <f t="shared" ref="J126:T126" si="93">SUM(J105:J124)</f>
        <v>4.6689277087728716</v>
      </c>
      <c r="K126" s="53">
        <f t="shared" si="93"/>
        <v>0.97748549485748981</v>
      </c>
      <c r="L126" s="39">
        <f t="shared" si="93"/>
        <v>2.6674394473807399</v>
      </c>
      <c r="M126" s="39">
        <f t="shared" si="93"/>
        <v>2.5469682343333235</v>
      </c>
      <c r="N126" s="39">
        <f t="shared" si="93"/>
        <v>3.204470695632986</v>
      </c>
      <c r="O126" s="54">
        <f t="shared" si="93"/>
        <v>2.8866477132257122</v>
      </c>
      <c r="P126" s="53">
        <f t="shared" si="93"/>
        <v>3.0476177220388347</v>
      </c>
      <c r="Q126" s="39">
        <f t="shared" si="93"/>
        <v>3.3592998425997709</v>
      </c>
      <c r="R126" s="39">
        <f t="shared" si="93"/>
        <v>3.4994112977483165</v>
      </c>
      <c r="S126" s="39">
        <f t="shared" si="93"/>
        <v>3.3438951068554532</v>
      </c>
      <c r="T126" s="54">
        <f t="shared" si="93"/>
        <v>3.5033431867941074</v>
      </c>
    </row>
    <row r="127" spans="1:20" ht="11.25" customHeight="1" x14ac:dyDescent="0.35"/>
    <row r="128" spans="1:20" ht="11.25" customHeight="1" x14ac:dyDescent="0.35">
      <c r="A128" s="42">
        <f>IF(SUM($J128:$T128)&lt;&gt;0,1,0)</f>
        <v>0</v>
      </c>
      <c r="D128" s="10" t="s">
        <v>94</v>
      </c>
      <c r="J128" s="42">
        <f t="shared" ref="J128:K128" si="94">IF(ISERROR(J126),1,0)</f>
        <v>0</v>
      </c>
      <c r="K128" s="42">
        <f t="shared" si="94"/>
        <v>0</v>
      </c>
      <c r="L128" s="42">
        <f>IF(ISERROR(L126),1,0)</f>
        <v>0</v>
      </c>
      <c r="M128" s="42">
        <f t="shared" ref="M128:P128" si="95">IF(ISERROR(M126),1,0)</f>
        <v>0</v>
      </c>
      <c r="N128" s="42">
        <f t="shared" si="95"/>
        <v>0</v>
      </c>
      <c r="O128" s="42">
        <f t="shared" si="95"/>
        <v>0</v>
      </c>
      <c r="P128" s="42">
        <f t="shared" si="95"/>
        <v>0</v>
      </c>
      <c r="Q128" s="42">
        <f>IF(ISERROR(Q126),1,0)</f>
        <v>0</v>
      </c>
      <c r="R128" s="42">
        <f t="shared" ref="R128:T128" si="96">IF(ISERROR(R126),1,0)</f>
        <v>0</v>
      </c>
      <c r="S128" s="42">
        <f t="shared" si="96"/>
        <v>0</v>
      </c>
      <c r="T128" s="42">
        <f t="shared" si="96"/>
        <v>0</v>
      </c>
    </row>
    <row r="130" spans="3:20" s="8" customFormat="1" ht="14.1" x14ac:dyDescent="0.35">
      <c r="C130" s="8" t="s">
        <v>126</v>
      </c>
    </row>
    <row r="131" spans="3:20" ht="11.25" customHeight="1" x14ac:dyDescent="0.35"/>
    <row r="132" spans="3:20" ht="12.3" x14ac:dyDescent="0.35">
      <c r="D132" s="43" t="str">
        <f>D$16</f>
        <v>RAB asset class</v>
      </c>
      <c r="E132" s="38" t="str">
        <f>Lookup!E$20</f>
        <v>Source</v>
      </c>
      <c r="F132" s="38" t="str">
        <f>Lookup!F$20</f>
        <v>Unit</v>
      </c>
      <c r="G132" s="38" t="str">
        <f>Lookup!G$20</f>
        <v>Basis</v>
      </c>
      <c r="H132" s="38" t="str">
        <f>Lookup!H$20</f>
        <v>Timing</v>
      </c>
      <c r="J132" s="47" t="str">
        <f t="shared" ref="J132:T132" si="97">J$10</f>
        <v>RY19</v>
      </c>
      <c r="K132" s="46" t="str">
        <f t="shared" si="97"/>
        <v>RY20</v>
      </c>
      <c r="L132" s="38" t="str">
        <f>L$10</f>
        <v>RY21</v>
      </c>
      <c r="M132" s="38" t="str">
        <f t="shared" si="97"/>
        <v>RY22</v>
      </c>
      <c r="N132" s="38" t="str">
        <f t="shared" si="97"/>
        <v>RY23</v>
      </c>
      <c r="O132" s="47" t="str">
        <f t="shared" si="97"/>
        <v>RY24</v>
      </c>
      <c r="P132" s="46" t="str">
        <f t="shared" si="97"/>
        <v>RY25</v>
      </c>
      <c r="Q132" s="38" t="str">
        <f>Q$10</f>
        <v>RY26</v>
      </c>
      <c r="R132" s="38" t="str">
        <f t="shared" si="97"/>
        <v>RY27</v>
      </c>
      <c r="S132" s="38" t="str">
        <f t="shared" si="97"/>
        <v>RY28</v>
      </c>
      <c r="T132" s="47" t="str">
        <f t="shared" si="97"/>
        <v>RY29</v>
      </c>
    </row>
    <row r="133" spans="3:20" x14ac:dyDescent="0.35">
      <c r="J133" s="49"/>
      <c r="K133" s="48"/>
      <c r="O133" s="49"/>
      <c r="P133" s="48"/>
      <c r="T133" s="49"/>
    </row>
    <row r="134" spans="3:20" ht="12.3" x14ac:dyDescent="0.35">
      <c r="D134" s="10" t="str">
        <f t="shared" ref="D134:D152" si="98">D18</f>
        <v>Substations</v>
      </c>
      <c r="E134" s="45" t="s">
        <v>152</v>
      </c>
      <c r="F134" s="45" t="str">
        <f t="shared" ref="F134:F153" si="99">Millions</f>
        <v>$Millions</v>
      </c>
      <c r="G134" s="45" t="str">
        <f t="shared" ref="G134:G153" si="100">Nominal</f>
        <v>Nominal</v>
      </c>
      <c r="H134" s="45" t="str">
        <f t="shared" ref="H134:H153" si="101">End_year</f>
        <v>End year</v>
      </c>
      <c r="J134" s="29"/>
      <c r="K134" s="29"/>
      <c r="L134" s="29"/>
      <c r="M134" s="29"/>
      <c r="N134" s="29"/>
      <c r="O134" s="29"/>
      <c r="P134" s="29"/>
      <c r="Q134" s="29"/>
      <c r="R134" s="29"/>
      <c r="S134" s="29"/>
      <c r="T134" s="29"/>
    </row>
    <row r="135" spans="3:20" ht="12.3" x14ac:dyDescent="0.35">
      <c r="D135" s="10" t="str">
        <f t="shared" si="98"/>
        <v>Distribution Lines</v>
      </c>
      <c r="E135" s="45" t="str">
        <f>E134</f>
        <v>Input_RAB_SCS</v>
      </c>
      <c r="F135" s="45" t="str">
        <f t="shared" si="99"/>
        <v>$Millions</v>
      </c>
      <c r="G135" s="45" t="str">
        <f t="shared" si="100"/>
        <v>Nominal</v>
      </c>
      <c r="H135" s="45" t="str">
        <f t="shared" si="101"/>
        <v>End year</v>
      </c>
      <c r="J135" s="58">
        <f>Input_RAB_SCS!J141*Input_Connections!J$16</f>
        <v>-1.477763727386017E-2</v>
      </c>
      <c r="K135" s="56">
        <f>Input_RAB_SCS!K141*Input_Connections!K$16</f>
        <v>-2.3430812910809956E-3</v>
      </c>
      <c r="L135" s="57">
        <f>Input_RAB_SCS!L141*Input_Connections!L$16</f>
        <v>-1.3912893897336768E-2</v>
      </c>
      <c r="M135" s="57">
        <f>Input_RAB_SCS!M141*Input_Connections!M$16</f>
        <v>-8.3368700901475488E-3</v>
      </c>
      <c r="N135" s="57">
        <f>Input_RAB_SCS!N141*Input_Connections!N$16</f>
        <v>-8.2080804364690584E-3</v>
      </c>
      <c r="O135" s="58">
        <f>Input_RAB_SCS!O141*Input_Connections!O$16</f>
        <v>-8.4824501309856814E-3</v>
      </c>
      <c r="P135" s="56">
        <f>Input_RAB_SCS!P141*Input_Connections!P$16</f>
        <v>-8.4449466128186726E-3</v>
      </c>
      <c r="Q135" s="57">
        <f>Input_RAB_SCS!Q141*Input_Connections!Q$16</f>
        <v>-8.4514357662107964E-3</v>
      </c>
      <c r="R135" s="57">
        <f>Input_RAB_SCS!R141*Input_Connections!R$16</f>
        <v>-8.4579199409439091E-3</v>
      </c>
      <c r="S135" s="57">
        <f>Input_RAB_SCS!S141*Input_Connections!S$16</f>
        <v>-8.4643991484597506E-3</v>
      </c>
      <c r="T135" s="58">
        <f>Input_RAB_SCS!T141*Input_Connections!T$16</f>
        <v>-8.4708734001563077E-3</v>
      </c>
    </row>
    <row r="136" spans="3:20" ht="12.3" x14ac:dyDescent="0.35">
      <c r="D136" s="10" t="str">
        <f t="shared" si="98"/>
        <v>Transmission Lines</v>
      </c>
      <c r="E136" s="45" t="str">
        <f t="shared" ref="E136:E152" si="102">E135</f>
        <v>Input_RAB_SCS</v>
      </c>
      <c r="F136" s="45" t="str">
        <f t="shared" si="99"/>
        <v>$Millions</v>
      </c>
      <c r="G136" s="45" t="str">
        <f t="shared" si="100"/>
        <v>Nominal</v>
      </c>
      <c r="H136" s="45" t="str">
        <f t="shared" si="101"/>
        <v>End year</v>
      </c>
      <c r="J136" s="29"/>
      <c r="K136" s="29"/>
      <c r="L136" s="29"/>
      <c r="M136" s="29"/>
      <c r="N136" s="29"/>
      <c r="O136" s="29"/>
      <c r="P136" s="29"/>
      <c r="Q136" s="29"/>
      <c r="R136" s="29"/>
      <c r="S136" s="29"/>
      <c r="T136" s="29"/>
    </row>
    <row r="137" spans="3:20" ht="12.3" x14ac:dyDescent="0.35">
      <c r="D137" s="10" t="str">
        <f t="shared" si="98"/>
        <v>LV Services</v>
      </c>
      <c r="E137" s="45" t="str">
        <f t="shared" si="102"/>
        <v>Input_RAB_SCS</v>
      </c>
      <c r="F137" s="45" t="str">
        <f t="shared" si="99"/>
        <v>$Millions</v>
      </c>
      <c r="G137" s="45" t="str">
        <f t="shared" si="100"/>
        <v>Nominal</v>
      </c>
      <c r="H137" s="45" t="str">
        <f t="shared" si="101"/>
        <v>End year</v>
      </c>
      <c r="J137" s="58">
        <f>Input_RAB_SCS!J143*Input_Connections!J$16</f>
        <v>0</v>
      </c>
      <c r="K137" s="56">
        <f>Input_RAB_SCS!K143*Input_Connections!K$16</f>
        <v>0</v>
      </c>
      <c r="L137" s="57">
        <f>Input_RAB_SCS!L143*Input_Connections!L$16</f>
        <v>0</v>
      </c>
      <c r="M137" s="57">
        <f>Input_RAB_SCS!M143*Input_Connections!M$16</f>
        <v>0</v>
      </c>
      <c r="N137" s="57">
        <f>Input_RAB_SCS!N143*Input_Connections!N$16</f>
        <v>0</v>
      </c>
      <c r="O137" s="58">
        <f>Input_RAB_SCS!O143*Input_Connections!O$16</f>
        <v>0</v>
      </c>
      <c r="P137" s="56">
        <f>Input_RAB_SCS!P143*Input_Connections!P$16</f>
        <v>0</v>
      </c>
      <c r="Q137" s="57">
        <f>Input_RAB_SCS!Q143*Input_Connections!Q$16</f>
        <v>0</v>
      </c>
      <c r="R137" s="57">
        <f>Input_RAB_SCS!R143*Input_Connections!R$16</f>
        <v>0</v>
      </c>
      <c r="S137" s="57">
        <f>Input_RAB_SCS!S143*Input_Connections!S$16</f>
        <v>0</v>
      </c>
      <c r="T137" s="58">
        <f>Input_RAB_SCS!T143*Input_Connections!T$16</f>
        <v>0</v>
      </c>
    </row>
    <row r="138" spans="3:20" ht="12.3" x14ac:dyDescent="0.35">
      <c r="D138" s="10" t="str">
        <f t="shared" si="98"/>
        <v>Distribution Substations</v>
      </c>
      <c r="E138" s="45" t="str">
        <f t="shared" si="102"/>
        <v>Input_RAB_SCS</v>
      </c>
      <c r="F138" s="45" t="str">
        <f t="shared" si="99"/>
        <v>$Millions</v>
      </c>
      <c r="G138" s="45" t="str">
        <f t="shared" si="100"/>
        <v>Nominal</v>
      </c>
      <c r="H138" s="45" t="str">
        <f t="shared" si="101"/>
        <v>End year</v>
      </c>
      <c r="J138" s="58">
        <f>Input_RAB_SCS!J144*Input_Connections!J$16</f>
        <v>-6.7264284390705868E-3</v>
      </c>
      <c r="K138" s="56">
        <f>Input_RAB_SCS!K144*Input_Connections!K$16</f>
        <v>-2.4283597570729032E-3</v>
      </c>
      <c r="L138" s="57">
        <f>Input_RAB_SCS!L144*Input_Connections!L$16</f>
        <v>-8.9198507695289857E-4</v>
      </c>
      <c r="M138" s="57">
        <f>Input_RAB_SCS!M144*Input_Connections!M$16</f>
        <v>0</v>
      </c>
      <c r="N138" s="57">
        <f>Input_RAB_SCS!N144*Input_Connections!N$16</f>
        <v>-1.4382540651831299E-3</v>
      </c>
      <c r="O138" s="58">
        <f>Input_RAB_SCS!O144*Input_Connections!O$16</f>
        <v>-1.4863302666233947E-3</v>
      </c>
      <c r="P138" s="56">
        <f>Input_RAB_SCS!P144*Input_Connections!P$16</f>
        <v>-1.4797587438563041E-3</v>
      </c>
      <c r="Q138" s="57">
        <f>Input_RAB_SCS!Q144*Input_Connections!Q$16</f>
        <v>-1.4808958003603254E-3</v>
      </c>
      <c r="R138" s="57">
        <f>Input_RAB_SCS!R144*Input_Connections!R$16</f>
        <v>-1.4820319844829641E-3</v>
      </c>
      <c r="S138" s="57">
        <f>Input_RAB_SCS!S144*Input_Connections!S$16</f>
        <v>-1.4831672982290893E-3</v>
      </c>
      <c r="T138" s="58">
        <f>Input_RAB_SCS!T144*Input_Connections!T$16</f>
        <v>-1.4843017435959033E-3</v>
      </c>
    </row>
    <row r="139" spans="3:20" ht="12.3" x14ac:dyDescent="0.35">
      <c r="D139" s="10" t="str">
        <f t="shared" si="98"/>
        <v>Distribution Switchgear</v>
      </c>
      <c r="E139" s="45" t="str">
        <f t="shared" si="102"/>
        <v>Input_RAB_SCS</v>
      </c>
      <c r="F139" s="45" t="str">
        <f t="shared" si="99"/>
        <v>$Millions</v>
      </c>
      <c r="G139" s="45" t="str">
        <f t="shared" si="100"/>
        <v>Nominal</v>
      </c>
      <c r="H139" s="45" t="str">
        <f t="shared" si="101"/>
        <v>End year</v>
      </c>
      <c r="J139" s="58">
        <f>Input_RAB_SCS!J145*Input_Connections!J$16</f>
        <v>-1.0077434315896318E-3</v>
      </c>
      <c r="K139" s="56">
        <f>Input_RAB_SCS!K145*Input_Connections!K$16</f>
        <v>0</v>
      </c>
      <c r="L139" s="57">
        <f>Input_RAB_SCS!L145*Input_Connections!L$16</f>
        <v>0</v>
      </c>
      <c r="M139" s="57">
        <f>Input_RAB_SCS!M145*Input_Connections!M$16</f>
        <v>0</v>
      </c>
      <c r="N139" s="57">
        <f>Input_RAB_SCS!N145*Input_Connections!N$16</f>
        <v>-8.2451096451850196E-5</v>
      </c>
      <c r="O139" s="58">
        <f>Input_RAB_SCS!O145*Input_Connections!O$16</f>
        <v>-8.5207171068948652E-5</v>
      </c>
      <c r="P139" s="56">
        <f>Input_RAB_SCS!P145*Input_Connections!P$16</f>
        <v>-8.48304439867026E-5</v>
      </c>
      <c r="Q139" s="57">
        <f>Input_RAB_SCS!Q145*Input_Connections!Q$16</f>
        <v>-8.4895628266555377E-5</v>
      </c>
      <c r="R139" s="57">
        <f>Input_RAB_SCS!R145*Input_Connections!R$16</f>
        <v>-8.4960762535215214E-5</v>
      </c>
      <c r="S139" s="57">
        <f>Input_RAB_SCS!S145*Input_Connections!S$16</f>
        <v>-8.5025846907615685E-5</v>
      </c>
      <c r="T139" s="58">
        <f>Input_RAB_SCS!T145*Input_Connections!T$16</f>
        <v>-8.5090881498250858E-5</v>
      </c>
    </row>
    <row r="140" spans="3:20" ht="12.3" x14ac:dyDescent="0.35">
      <c r="D140" s="10" t="str">
        <f t="shared" si="98"/>
        <v>Protection</v>
      </c>
      <c r="E140" s="45" t="str">
        <f t="shared" si="102"/>
        <v>Input_RAB_SCS</v>
      </c>
      <c r="F140" s="45" t="str">
        <f t="shared" si="99"/>
        <v>$Millions</v>
      </c>
      <c r="G140" s="45" t="str">
        <f t="shared" si="100"/>
        <v>Nominal</v>
      </c>
      <c r="H140" s="45" t="str">
        <f t="shared" si="101"/>
        <v>End year</v>
      </c>
      <c r="J140" s="29"/>
      <c r="K140" s="29"/>
      <c r="L140" s="29"/>
      <c r="M140" s="29"/>
      <c r="N140" s="29"/>
      <c r="O140" s="29"/>
      <c r="P140" s="29"/>
      <c r="Q140" s="29"/>
      <c r="R140" s="29"/>
      <c r="S140" s="29"/>
      <c r="T140" s="29"/>
    </row>
    <row r="141" spans="3:20" ht="12.3" x14ac:dyDescent="0.35">
      <c r="D141" s="10" t="str">
        <f t="shared" si="98"/>
        <v>SCADA</v>
      </c>
      <c r="E141" s="45" t="str">
        <f t="shared" si="102"/>
        <v>Input_RAB_SCS</v>
      </c>
      <c r="F141" s="45" t="str">
        <f t="shared" si="99"/>
        <v>$Millions</v>
      </c>
      <c r="G141" s="45" t="str">
        <f t="shared" si="100"/>
        <v>Nominal</v>
      </c>
      <c r="H141" s="45" t="str">
        <f t="shared" si="101"/>
        <v>End year</v>
      </c>
      <c r="J141" s="29"/>
      <c r="K141" s="29"/>
      <c r="L141" s="29"/>
      <c r="M141" s="29"/>
      <c r="N141" s="29"/>
      <c r="O141" s="29"/>
      <c r="P141" s="29"/>
      <c r="Q141" s="29"/>
      <c r="R141" s="29"/>
      <c r="S141" s="29"/>
      <c r="T141" s="29"/>
    </row>
    <row r="142" spans="3:20" ht="12.3" x14ac:dyDescent="0.35">
      <c r="D142" s="10" t="str">
        <f t="shared" si="98"/>
        <v>Communications</v>
      </c>
      <c r="E142" s="45" t="str">
        <f t="shared" si="102"/>
        <v>Input_RAB_SCS</v>
      </c>
      <c r="F142" s="45" t="str">
        <f t="shared" si="99"/>
        <v>$Millions</v>
      </c>
      <c r="G142" s="45" t="str">
        <f t="shared" si="100"/>
        <v>Nominal</v>
      </c>
      <c r="H142" s="45" t="str">
        <f t="shared" si="101"/>
        <v>End year</v>
      </c>
      <c r="J142" s="29"/>
      <c r="K142" s="29"/>
      <c r="L142" s="29"/>
      <c r="M142" s="29"/>
      <c r="N142" s="29"/>
      <c r="O142" s="29"/>
      <c r="P142" s="29"/>
      <c r="Q142" s="29"/>
      <c r="R142" s="29"/>
      <c r="S142" s="29"/>
      <c r="T142" s="29"/>
    </row>
    <row r="143" spans="3:20" ht="12.3" x14ac:dyDescent="0.35">
      <c r="D143" s="10" t="str">
        <f t="shared" si="98"/>
        <v>Land and Easements</v>
      </c>
      <c r="E143" s="45" t="str">
        <f t="shared" si="102"/>
        <v>Input_RAB_SCS</v>
      </c>
      <c r="F143" s="45" t="str">
        <f t="shared" si="99"/>
        <v>$Millions</v>
      </c>
      <c r="G143" s="45" t="str">
        <f t="shared" si="100"/>
        <v>Nominal</v>
      </c>
      <c r="H143" s="45" t="str">
        <f t="shared" si="101"/>
        <v>End year</v>
      </c>
      <c r="J143" s="29"/>
      <c r="K143" s="29"/>
      <c r="L143" s="29"/>
      <c r="M143" s="29"/>
      <c r="N143" s="29"/>
      <c r="O143" s="29"/>
      <c r="P143" s="29"/>
      <c r="Q143" s="29"/>
      <c r="R143" s="29"/>
      <c r="S143" s="29"/>
      <c r="T143" s="29"/>
    </row>
    <row r="144" spans="3:20" ht="12.3" x14ac:dyDescent="0.35">
      <c r="D144" s="10" t="str">
        <f t="shared" si="98"/>
        <v>Property</v>
      </c>
      <c r="E144" s="45" t="str">
        <f t="shared" si="102"/>
        <v>Input_RAB_SCS</v>
      </c>
      <c r="F144" s="45" t="str">
        <f t="shared" si="99"/>
        <v>$Millions</v>
      </c>
      <c r="G144" s="45" t="str">
        <f t="shared" si="100"/>
        <v>Nominal</v>
      </c>
      <c r="H144" s="45" t="str">
        <f t="shared" si="101"/>
        <v>End year</v>
      </c>
      <c r="J144" s="29"/>
      <c r="K144" s="29"/>
      <c r="L144" s="29"/>
      <c r="M144" s="29"/>
      <c r="N144" s="29"/>
      <c r="O144" s="29"/>
      <c r="P144" s="29"/>
      <c r="Q144" s="29"/>
      <c r="R144" s="29"/>
      <c r="S144" s="29"/>
      <c r="T144" s="29"/>
    </row>
    <row r="145" spans="1:20" ht="12.3" x14ac:dyDescent="0.35">
      <c r="D145" s="10" t="str">
        <f t="shared" si="98"/>
        <v>IT and Communications</v>
      </c>
      <c r="E145" s="45" t="str">
        <f t="shared" si="102"/>
        <v>Input_RAB_SCS</v>
      </c>
      <c r="F145" s="45" t="str">
        <f t="shared" si="99"/>
        <v>$Millions</v>
      </c>
      <c r="G145" s="45" t="str">
        <f t="shared" si="100"/>
        <v>Nominal</v>
      </c>
      <c r="H145" s="45" t="str">
        <f t="shared" si="101"/>
        <v>End year</v>
      </c>
      <c r="J145" s="29"/>
      <c r="K145" s="29"/>
      <c r="L145" s="29"/>
      <c r="M145" s="29"/>
      <c r="N145" s="29"/>
      <c r="O145" s="29"/>
      <c r="P145" s="29"/>
      <c r="Q145" s="29"/>
      <c r="R145" s="29"/>
      <c r="S145" s="29"/>
      <c r="T145" s="29"/>
    </row>
    <row r="146" spans="1:20" ht="12.3" x14ac:dyDescent="0.35">
      <c r="D146" s="10" t="str">
        <f t="shared" si="98"/>
        <v>Motor Vehicles</v>
      </c>
      <c r="E146" s="45" t="str">
        <f t="shared" si="102"/>
        <v>Input_RAB_SCS</v>
      </c>
      <c r="F146" s="45" t="str">
        <f t="shared" si="99"/>
        <v>$Millions</v>
      </c>
      <c r="G146" s="45" t="str">
        <f t="shared" si="100"/>
        <v>Nominal</v>
      </c>
      <c r="H146" s="45" t="str">
        <f t="shared" si="101"/>
        <v>End year</v>
      </c>
      <c r="J146" s="29"/>
      <c r="K146" s="29"/>
      <c r="L146" s="29"/>
      <c r="M146" s="29"/>
      <c r="N146" s="29"/>
      <c r="O146" s="29"/>
      <c r="P146" s="29"/>
      <c r="Q146" s="29"/>
      <c r="R146" s="29"/>
      <c r="S146" s="29"/>
      <c r="T146" s="29"/>
    </row>
    <row r="147" spans="1:20" ht="12.3" x14ac:dyDescent="0.35">
      <c r="D147" s="10" t="str">
        <f t="shared" si="98"/>
        <v>Plant and Equipment</v>
      </c>
      <c r="E147" s="45" t="str">
        <f t="shared" si="102"/>
        <v>Input_RAB_SCS</v>
      </c>
      <c r="F147" s="45" t="str">
        <f t="shared" si="99"/>
        <v>$Millions</v>
      </c>
      <c r="G147" s="45" t="str">
        <f t="shared" si="100"/>
        <v>Nominal</v>
      </c>
      <c r="H147" s="45" t="str">
        <f t="shared" si="101"/>
        <v>End year</v>
      </c>
      <c r="J147" s="29"/>
      <c r="K147" s="29"/>
      <c r="L147" s="29"/>
      <c r="M147" s="29"/>
      <c r="N147" s="29"/>
      <c r="O147" s="29"/>
      <c r="P147" s="29"/>
      <c r="Q147" s="29"/>
      <c r="R147" s="29"/>
      <c r="S147" s="29"/>
      <c r="T147" s="29"/>
    </row>
    <row r="148" spans="1:20" ht="12.3" x14ac:dyDescent="0.35">
      <c r="D148" s="10" t="str">
        <f t="shared" si="98"/>
        <v>Property Leases</v>
      </c>
      <c r="E148" s="45" t="str">
        <f t="shared" si="102"/>
        <v>Input_RAB_SCS</v>
      </c>
      <c r="F148" s="45" t="str">
        <f t="shared" si="99"/>
        <v>$Millions</v>
      </c>
      <c r="G148" s="45" t="str">
        <f t="shared" si="100"/>
        <v>Nominal</v>
      </c>
      <c r="H148" s="45" t="str">
        <f t="shared" si="101"/>
        <v>End year</v>
      </c>
      <c r="J148" s="29"/>
      <c r="K148" s="29"/>
      <c r="L148" s="29"/>
      <c r="M148" s="29"/>
      <c r="N148" s="29"/>
      <c r="O148" s="29"/>
      <c r="P148" s="29"/>
      <c r="Q148" s="29"/>
      <c r="R148" s="29"/>
      <c r="S148" s="29"/>
      <c r="T148" s="29"/>
    </row>
    <row r="149" spans="1:20" ht="12.3" x14ac:dyDescent="0.35">
      <c r="D149" s="10" t="str">
        <f t="shared" si="98"/>
        <v>Fleet Leases</v>
      </c>
      <c r="E149" s="45" t="str">
        <f t="shared" si="102"/>
        <v>Input_RAB_SCS</v>
      </c>
      <c r="F149" s="45" t="str">
        <f t="shared" si="99"/>
        <v>$Millions</v>
      </c>
      <c r="G149" s="45" t="str">
        <f t="shared" si="100"/>
        <v>Nominal</v>
      </c>
      <c r="H149" s="45" t="str">
        <f t="shared" si="101"/>
        <v>End year</v>
      </c>
      <c r="J149" s="29"/>
      <c r="K149" s="29"/>
      <c r="L149" s="29"/>
      <c r="M149" s="29"/>
      <c r="N149" s="29"/>
      <c r="O149" s="29"/>
      <c r="P149" s="29"/>
      <c r="Q149" s="29"/>
      <c r="R149" s="29"/>
      <c r="S149" s="29"/>
      <c r="T149" s="29"/>
    </row>
    <row r="150" spans="1:20" ht="12.3" x14ac:dyDescent="0.35">
      <c r="D150" s="10" t="str">
        <f t="shared" si="98"/>
        <v>Community Batteries</v>
      </c>
      <c r="E150" s="45" t="str">
        <f t="shared" si="102"/>
        <v>Input_RAB_SCS</v>
      </c>
      <c r="F150" s="45" t="str">
        <f t="shared" si="99"/>
        <v>$Millions</v>
      </c>
      <c r="G150" s="45" t="str">
        <f t="shared" si="100"/>
        <v>Nominal</v>
      </c>
      <c r="H150" s="45" t="str">
        <f t="shared" si="101"/>
        <v>End year</v>
      </c>
      <c r="J150" s="29"/>
      <c r="K150" s="29"/>
      <c r="L150" s="29"/>
      <c r="M150" s="29"/>
      <c r="N150" s="29"/>
      <c r="O150" s="29"/>
      <c r="P150" s="29"/>
      <c r="Q150" s="29"/>
      <c r="R150" s="29"/>
      <c r="S150" s="29"/>
      <c r="T150" s="29"/>
    </row>
    <row r="151" spans="1:20" ht="12.3" x14ac:dyDescent="0.35">
      <c r="D151" s="10" t="str">
        <f t="shared" si="98"/>
        <v>Buildings</v>
      </c>
      <c r="E151" s="45" t="str">
        <f>E149</f>
        <v>Input_RAB_SCS</v>
      </c>
      <c r="F151" s="45" t="str">
        <f t="shared" si="99"/>
        <v>$Millions</v>
      </c>
      <c r="G151" s="45" t="str">
        <f t="shared" si="100"/>
        <v>Nominal</v>
      </c>
      <c r="H151" s="45" t="str">
        <f t="shared" si="101"/>
        <v>End year</v>
      </c>
      <c r="J151" s="29"/>
      <c r="K151" s="29"/>
      <c r="L151" s="29"/>
      <c r="M151" s="29"/>
      <c r="N151" s="29"/>
      <c r="O151" s="29"/>
      <c r="P151" s="29"/>
      <c r="Q151" s="29"/>
      <c r="R151" s="29"/>
      <c r="S151" s="29"/>
      <c r="T151" s="29"/>
    </row>
    <row r="152" spans="1:20" ht="12.3" x14ac:dyDescent="0.35">
      <c r="D152" s="10" t="str">
        <f t="shared" si="98"/>
        <v>in-house software</v>
      </c>
      <c r="E152" s="45" t="str">
        <f t="shared" si="102"/>
        <v>Input_RAB_SCS</v>
      </c>
      <c r="F152" s="45" t="str">
        <f t="shared" si="99"/>
        <v>$Millions</v>
      </c>
      <c r="G152" s="45" t="str">
        <f t="shared" si="100"/>
        <v>Nominal</v>
      </c>
      <c r="H152" s="45" t="str">
        <f t="shared" si="101"/>
        <v>End year</v>
      </c>
      <c r="J152" s="29"/>
      <c r="K152" s="29"/>
      <c r="L152" s="29"/>
      <c r="M152" s="29"/>
      <c r="N152" s="29"/>
      <c r="O152" s="29"/>
      <c r="P152" s="29"/>
      <c r="Q152" s="29"/>
      <c r="R152" s="29"/>
      <c r="S152" s="29"/>
      <c r="T152" s="29"/>
    </row>
    <row r="153" spans="1:20" ht="12.3" x14ac:dyDescent="0.35">
      <c r="D153" s="10" t="str">
        <f t="shared" ref="D153" si="103">D37</f>
        <v>Equity Raising Costs</v>
      </c>
      <c r="E153" s="45" t="str">
        <f>E147</f>
        <v>Input_RAB_SCS</v>
      </c>
      <c r="F153" s="45" t="str">
        <f t="shared" si="99"/>
        <v>$Millions</v>
      </c>
      <c r="G153" s="45" t="str">
        <f t="shared" si="100"/>
        <v>Nominal</v>
      </c>
      <c r="H153" s="45" t="str">
        <f t="shared" si="101"/>
        <v>End year</v>
      </c>
      <c r="J153" s="29"/>
      <c r="K153" s="29"/>
      <c r="L153" s="29"/>
      <c r="M153" s="29"/>
      <c r="N153" s="29"/>
      <c r="O153" s="29"/>
      <c r="P153" s="29"/>
      <c r="Q153" s="29"/>
      <c r="R153" s="29"/>
      <c r="S153" s="29"/>
      <c r="T153" s="29"/>
    </row>
    <row r="154" spans="1:20" x14ac:dyDescent="0.35">
      <c r="J154" s="49"/>
      <c r="K154" s="48"/>
      <c r="O154" s="49"/>
      <c r="P154" s="48"/>
      <c r="T154" s="49"/>
    </row>
    <row r="155" spans="1:20" ht="12.3" x14ac:dyDescent="0.35">
      <c r="D155" s="44" t="str">
        <f>"Total "&amp;D132</f>
        <v>Total RAB asset class</v>
      </c>
      <c r="E155" s="40" t="s">
        <v>91</v>
      </c>
      <c r="F155" s="40" t="str">
        <f>F134</f>
        <v>$Millions</v>
      </c>
      <c r="G155" s="40" t="str">
        <f>G134</f>
        <v>Nominal</v>
      </c>
      <c r="H155" s="40" t="str">
        <f>H134</f>
        <v>End year</v>
      </c>
      <c r="J155" s="54">
        <f t="shared" ref="J155:T155" si="104">SUM(J134:J153)</f>
        <v>-2.2511809144520389E-2</v>
      </c>
      <c r="K155" s="53">
        <f t="shared" si="104"/>
        <v>-4.7714410481538988E-3</v>
      </c>
      <c r="L155" s="39">
        <f t="shared" si="104"/>
        <v>-1.4804878974289667E-2</v>
      </c>
      <c r="M155" s="39">
        <f t="shared" si="104"/>
        <v>-8.3368700901475488E-3</v>
      </c>
      <c r="N155" s="39">
        <f t="shared" si="104"/>
        <v>-9.7287855981040387E-3</v>
      </c>
      <c r="O155" s="54">
        <f t="shared" si="104"/>
        <v>-1.0053987568678025E-2</v>
      </c>
      <c r="P155" s="53">
        <f t="shared" si="104"/>
        <v>-1.0009535800661679E-2</v>
      </c>
      <c r="Q155" s="39">
        <f t="shared" si="104"/>
        <v>-1.0017227194837677E-2</v>
      </c>
      <c r="R155" s="39">
        <f t="shared" si="104"/>
        <v>-1.0024912687962089E-2</v>
      </c>
      <c r="S155" s="39">
        <f t="shared" si="104"/>
        <v>-1.0032592293596456E-2</v>
      </c>
      <c r="T155" s="54">
        <f t="shared" si="104"/>
        <v>-1.0040266025250462E-2</v>
      </c>
    </row>
    <row r="156" spans="1:20" ht="11.25" customHeight="1" x14ac:dyDescent="0.35"/>
    <row r="157" spans="1:20" ht="11.25" customHeight="1" x14ac:dyDescent="0.35">
      <c r="A157" s="42">
        <f>IF(SUM($J157:$T157)&lt;&gt;0,1,0)</f>
        <v>0</v>
      </c>
      <c r="D157" s="10" t="s">
        <v>94</v>
      </c>
      <c r="J157" s="42">
        <f t="shared" ref="J157:K157" si="105">IF(ISERROR(J155),1,0)</f>
        <v>0</v>
      </c>
      <c r="K157" s="42">
        <f t="shared" si="105"/>
        <v>0</v>
      </c>
      <c r="L157" s="42">
        <f>IF(ISERROR(L155),1,0)</f>
        <v>0</v>
      </c>
      <c r="M157" s="42">
        <f t="shared" ref="M157:P157" si="106">IF(ISERROR(M155),1,0)</f>
        <v>0</v>
      </c>
      <c r="N157" s="42">
        <f t="shared" si="106"/>
        <v>0</v>
      </c>
      <c r="O157" s="42">
        <f t="shared" si="106"/>
        <v>0</v>
      </c>
      <c r="P157" s="42">
        <f t="shared" si="106"/>
        <v>0</v>
      </c>
      <c r="Q157" s="42">
        <f>IF(ISERROR(Q155),1,0)</f>
        <v>0</v>
      </c>
      <c r="R157" s="42">
        <f t="shared" ref="R157:T157" si="107">IF(ISERROR(R155),1,0)</f>
        <v>0</v>
      </c>
      <c r="S157" s="42">
        <f t="shared" si="107"/>
        <v>0</v>
      </c>
      <c r="T157" s="42">
        <f t="shared" si="107"/>
        <v>0</v>
      </c>
    </row>
    <row r="159" spans="1:20" s="8" customFormat="1" ht="14.1" x14ac:dyDescent="0.35">
      <c r="C159" s="8" t="s">
        <v>406</v>
      </c>
    </row>
    <row r="160" spans="1:20" ht="11.25" customHeight="1" x14ac:dyDescent="0.35"/>
    <row r="161" spans="4:20" ht="12.3" x14ac:dyDescent="0.35">
      <c r="D161" s="43" t="str">
        <f>D$16</f>
        <v>RAB asset class</v>
      </c>
      <c r="E161" s="38" t="str">
        <f>Lookup!E$20</f>
        <v>Source</v>
      </c>
      <c r="F161" s="38" t="str">
        <f>Lookup!F$20</f>
        <v>Unit</v>
      </c>
      <c r="G161" s="38" t="str">
        <f>Lookup!G$20</f>
        <v>Basis</v>
      </c>
      <c r="H161" s="38" t="str">
        <f>Lookup!H$20</f>
        <v>Timing</v>
      </c>
      <c r="J161" s="47" t="str">
        <f t="shared" ref="J161:T161" si="108">J$10</f>
        <v>RY19</v>
      </c>
      <c r="K161" s="46" t="str">
        <f t="shared" si="108"/>
        <v>RY20</v>
      </c>
      <c r="L161" s="38" t="str">
        <f>L$10</f>
        <v>RY21</v>
      </c>
      <c r="M161" s="38" t="str">
        <f t="shared" si="108"/>
        <v>RY22</v>
      </c>
      <c r="N161" s="38" t="str">
        <f t="shared" si="108"/>
        <v>RY23</v>
      </c>
      <c r="O161" s="47" t="str">
        <f t="shared" si="108"/>
        <v>RY24</v>
      </c>
      <c r="P161" s="46" t="str">
        <f t="shared" si="108"/>
        <v>RY25</v>
      </c>
      <c r="Q161" s="38" t="str">
        <f>Q$10</f>
        <v>RY26</v>
      </c>
      <c r="R161" s="38" t="str">
        <f t="shared" si="108"/>
        <v>RY27</v>
      </c>
      <c r="S161" s="38" t="str">
        <f t="shared" si="108"/>
        <v>RY28</v>
      </c>
      <c r="T161" s="47" t="str">
        <f t="shared" si="108"/>
        <v>RY29</v>
      </c>
    </row>
    <row r="162" spans="4:20" x14ac:dyDescent="0.35">
      <c r="J162" s="49"/>
      <c r="K162" s="48"/>
      <c r="O162" s="49"/>
      <c r="P162" s="48"/>
      <c r="T162" s="49"/>
    </row>
    <row r="163" spans="4:20" ht="12.3" x14ac:dyDescent="0.35">
      <c r="D163" s="10" t="str">
        <f t="shared" ref="D163:D181" si="109">D18</f>
        <v>Substations</v>
      </c>
      <c r="E163" s="45" t="s">
        <v>91</v>
      </c>
      <c r="F163" s="45" t="str">
        <f t="shared" ref="F163:F182" si="110">Millions</f>
        <v>$Millions</v>
      </c>
      <c r="G163" s="45" t="str">
        <f t="shared" ref="G163:G182" si="111">Nominal</f>
        <v>Nominal</v>
      </c>
      <c r="H163" s="45" t="str">
        <f t="shared" ref="H163:H182" si="112">End_year</f>
        <v>End year</v>
      </c>
      <c r="J163" s="58">
        <f t="shared" ref="J163:T163" si="113">J18+J47+J76+J105+J134</f>
        <v>0</v>
      </c>
      <c r="K163" s="56">
        <f t="shared" si="113"/>
        <v>0</v>
      </c>
      <c r="L163" s="57">
        <f t="shared" si="113"/>
        <v>0</v>
      </c>
      <c r="M163" s="57">
        <f t="shared" si="113"/>
        <v>0</v>
      </c>
      <c r="N163" s="57">
        <f t="shared" si="113"/>
        <v>0</v>
      </c>
      <c r="O163" s="58">
        <f t="shared" si="113"/>
        <v>0</v>
      </c>
      <c r="P163" s="56">
        <f t="shared" si="113"/>
        <v>0</v>
      </c>
      <c r="Q163" s="57">
        <f t="shared" si="113"/>
        <v>0</v>
      </c>
      <c r="R163" s="57">
        <f t="shared" si="113"/>
        <v>0</v>
      </c>
      <c r="S163" s="57">
        <f t="shared" si="113"/>
        <v>0</v>
      </c>
      <c r="T163" s="58">
        <f t="shared" si="113"/>
        <v>0</v>
      </c>
    </row>
    <row r="164" spans="4:20" ht="12.3" x14ac:dyDescent="0.35">
      <c r="D164" s="10" t="str">
        <f t="shared" si="109"/>
        <v>Distribution Lines</v>
      </c>
      <c r="E164" s="45" t="s">
        <v>91</v>
      </c>
      <c r="F164" s="45" t="str">
        <f t="shared" si="110"/>
        <v>$Millions</v>
      </c>
      <c r="G164" s="45" t="str">
        <f t="shared" si="111"/>
        <v>Nominal</v>
      </c>
      <c r="H164" s="45" t="str">
        <f t="shared" si="112"/>
        <v>End year</v>
      </c>
      <c r="J164" s="58">
        <f t="shared" ref="J164:T164" si="114">J19+J48+J77+J106+J135</f>
        <v>61.409555885700939</v>
      </c>
      <c r="K164" s="56">
        <f t="shared" si="114"/>
        <v>60.51744425821996</v>
      </c>
      <c r="L164" s="57">
        <f t="shared" si="114"/>
        <v>61.009315033206498</v>
      </c>
      <c r="M164" s="57">
        <f t="shared" si="114"/>
        <v>62.61088379406069</v>
      </c>
      <c r="N164" s="57">
        <f t="shared" si="114"/>
        <v>66.057467852357647</v>
      </c>
      <c r="O164" s="58">
        <f t="shared" si="114"/>
        <v>68.491498591504453</v>
      </c>
      <c r="P164" s="56">
        <f t="shared" si="114"/>
        <v>70.024096305393684</v>
      </c>
      <c r="Q164" s="57">
        <f t="shared" si="114"/>
        <v>71.795353078019104</v>
      </c>
      <c r="R164" s="57">
        <f t="shared" si="114"/>
        <v>73.613597609506343</v>
      </c>
      <c r="S164" s="57">
        <f t="shared" si="114"/>
        <v>75.180325571651991</v>
      </c>
      <c r="T164" s="58">
        <f t="shared" si="114"/>
        <v>76.797891583202798</v>
      </c>
    </row>
    <row r="165" spans="4:20" ht="12.3" x14ac:dyDescent="0.35">
      <c r="D165" s="10" t="str">
        <f t="shared" si="109"/>
        <v>Transmission Lines</v>
      </c>
      <c r="E165" s="45" t="s">
        <v>91</v>
      </c>
      <c r="F165" s="45" t="str">
        <f t="shared" si="110"/>
        <v>$Millions</v>
      </c>
      <c r="G165" s="45" t="str">
        <f t="shared" si="111"/>
        <v>Nominal</v>
      </c>
      <c r="H165" s="45" t="str">
        <f t="shared" si="112"/>
        <v>End year</v>
      </c>
      <c r="J165" s="58">
        <f t="shared" ref="J165:T165" si="115">J20+J49+J78+J107+J136</f>
        <v>0</v>
      </c>
      <c r="K165" s="56">
        <f t="shared" si="115"/>
        <v>0</v>
      </c>
      <c r="L165" s="57">
        <f t="shared" si="115"/>
        <v>0</v>
      </c>
      <c r="M165" s="57">
        <f t="shared" si="115"/>
        <v>0</v>
      </c>
      <c r="N165" s="57">
        <f t="shared" si="115"/>
        <v>0</v>
      </c>
      <c r="O165" s="58">
        <f t="shared" si="115"/>
        <v>0</v>
      </c>
      <c r="P165" s="56">
        <f t="shared" si="115"/>
        <v>0</v>
      </c>
      <c r="Q165" s="57">
        <f t="shared" si="115"/>
        <v>0</v>
      </c>
      <c r="R165" s="57">
        <f t="shared" si="115"/>
        <v>0</v>
      </c>
      <c r="S165" s="57">
        <f t="shared" si="115"/>
        <v>0</v>
      </c>
      <c r="T165" s="58">
        <f t="shared" si="115"/>
        <v>0</v>
      </c>
    </row>
    <row r="166" spans="4:20" ht="12.3" x14ac:dyDescent="0.35">
      <c r="D166" s="10" t="str">
        <f t="shared" si="109"/>
        <v>LV Services</v>
      </c>
      <c r="E166" s="45" t="s">
        <v>91</v>
      </c>
      <c r="F166" s="45" t="str">
        <f t="shared" si="110"/>
        <v>$Millions</v>
      </c>
      <c r="G166" s="45" t="str">
        <f t="shared" si="111"/>
        <v>Nominal</v>
      </c>
      <c r="H166" s="45" t="str">
        <f t="shared" si="112"/>
        <v>End year</v>
      </c>
      <c r="J166" s="58">
        <f t="shared" ref="J166:T166" si="116">J21+J50+J79+J108+J137</f>
        <v>1.6790070628419225</v>
      </c>
      <c r="K166" s="56">
        <f t="shared" si="116"/>
        <v>2.1068349716292603</v>
      </c>
      <c r="L166" s="57">
        <f t="shared" si="116"/>
        <v>2.2528830202297119</v>
      </c>
      <c r="M166" s="57">
        <f t="shared" si="116"/>
        <v>2.4596751670853543</v>
      </c>
      <c r="N166" s="57">
        <f t="shared" si="116"/>
        <v>2.6588844080034479</v>
      </c>
      <c r="O166" s="58">
        <f t="shared" si="116"/>
        <v>2.8391833433943066</v>
      </c>
      <c r="P166" s="56">
        <f t="shared" si="116"/>
        <v>3.252497616683991</v>
      </c>
      <c r="Q166" s="57">
        <f t="shared" si="116"/>
        <v>3.6817510192779839</v>
      </c>
      <c r="R166" s="57">
        <f t="shared" si="116"/>
        <v>4.1331434034914789</v>
      </c>
      <c r="S166" s="57">
        <f t="shared" si="116"/>
        <v>4.6066136611357997</v>
      </c>
      <c r="T166" s="58">
        <f t="shared" si="116"/>
        <v>5.1040902985556125</v>
      </c>
    </row>
    <row r="167" spans="4:20" ht="12.3" x14ac:dyDescent="0.35">
      <c r="D167" s="10" t="str">
        <f t="shared" si="109"/>
        <v>Distribution Substations</v>
      </c>
      <c r="E167" s="45" t="s">
        <v>91</v>
      </c>
      <c r="F167" s="45" t="str">
        <f t="shared" si="110"/>
        <v>$Millions</v>
      </c>
      <c r="G167" s="45" t="str">
        <f t="shared" si="111"/>
        <v>Nominal</v>
      </c>
      <c r="H167" s="45" t="str">
        <f t="shared" si="112"/>
        <v>End year</v>
      </c>
      <c r="J167" s="58">
        <f t="shared" ref="J167:T167" si="117">J22+J51+J80+J109+J138</f>
        <v>23.994136371403155</v>
      </c>
      <c r="K167" s="56">
        <f t="shared" si="117"/>
        <v>25.16344213386294</v>
      </c>
      <c r="L167" s="57">
        <f t="shared" si="117"/>
        <v>25.243718908576295</v>
      </c>
      <c r="M167" s="57">
        <f t="shared" si="117"/>
        <v>25.635209860299856</v>
      </c>
      <c r="N167" s="57">
        <f t="shared" si="117"/>
        <v>26.242369555155985</v>
      </c>
      <c r="O167" s="58">
        <f t="shared" si="117"/>
        <v>26.559338018753795</v>
      </c>
      <c r="P167" s="56">
        <f t="shared" si="117"/>
        <v>26.812415318451254</v>
      </c>
      <c r="Q167" s="57">
        <f t="shared" si="117"/>
        <v>27.05212525195806</v>
      </c>
      <c r="R167" s="57">
        <f t="shared" si="117"/>
        <v>27.303025255619989</v>
      </c>
      <c r="S167" s="57">
        <f t="shared" si="117"/>
        <v>27.564736355149481</v>
      </c>
      <c r="T167" s="58">
        <f t="shared" si="117"/>
        <v>27.839009283592386</v>
      </c>
    </row>
    <row r="168" spans="4:20" ht="12.3" x14ac:dyDescent="0.35">
      <c r="D168" s="10" t="str">
        <f t="shared" si="109"/>
        <v>Distribution Switchgear</v>
      </c>
      <c r="E168" s="45" t="s">
        <v>91</v>
      </c>
      <c r="F168" s="45" t="str">
        <f t="shared" si="110"/>
        <v>$Millions</v>
      </c>
      <c r="G168" s="45" t="str">
        <f t="shared" si="111"/>
        <v>Nominal</v>
      </c>
      <c r="H168" s="45" t="str">
        <f t="shared" si="112"/>
        <v>End year</v>
      </c>
      <c r="J168" s="58">
        <f t="shared" ref="J168:T168" si="118">J23+J52+J81+J110+J139</f>
        <v>9.1448041761704921</v>
      </c>
      <c r="K168" s="56">
        <f t="shared" si="118"/>
        <v>10.3172428667463</v>
      </c>
      <c r="L168" s="57">
        <f t="shared" si="118"/>
        <v>10.587645083373902</v>
      </c>
      <c r="M168" s="57">
        <f t="shared" si="118"/>
        <v>10.816439535688058</v>
      </c>
      <c r="N168" s="57">
        <f t="shared" si="118"/>
        <v>11.351094484060969</v>
      </c>
      <c r="O168" s="58">
        <f t="shared" si="118"/>
        <v>11.689882132862259</v>
      </c>
      <c r="P168" s="56">
        <f t="shared" si="118"/>
        <v>12.073994140470889</v>
      </c>
      <c r="Q168" s="57">
        <f t="shared" si="118"/>
        <v>12.559886753206939</v>
      </c>
      <c r="R168" s="57">
        <f t="shared" si="118"/>
        <v>13.072371795893496</v>
      </c>
      <c r="S168" s="57">
        <f t="shared" si="118"/>
        <v>13.611660678853694</v>
      </c>
      <c r="T168" s="58">
        <f t="shared" si="118"/>
        <v>14.180157057929884</v>
      </c>
    </row>
    <row r="169" spans="4:20" ht="12.3" x14ac:dyDescent="0.35">
      <c r="D169" s="10" t="str">
        <f t="shared" si="109"/>
        <v>Protection</v>
      </c>
      <c r="E169" s="45" t="s">
        <v>91</v>
      </c>
      <c r="F169" s="45" t="str">
        <f t="shared" si="110"/>
        <v>$Millions</v>
      </c>
      <c r="G169" s="45" t="str">
        <f t="shared" si="111"/>
        <v>Nominal</v>
      </c>
      <c r="H169" s="45" t="str">
        <f t="shared" si="112"/>
        <v>End year</v>
      </c>
      <c r="J169" s="58">
        <f t="shared" ref="J169:T169" si="119">J24+J53+J82+J111+J140</f>
        <v>0</v>
      </c>
      <c r="K169" s="56">
        <f t="shared" si="119"/>
        <v>0</v>
      </c>
      <c r="L169" s="57">
        <f t="shared" si="119"/>
        <v>0</v>
      </c>
      <c r="M169" s="57">
        <f t="shared" si="119"/>
        <v>0</v>
      </c>
      <c r="N169" s="57">
        <f t="shared" si="119"/>
        <v>0</v>
      </c>
      <c r="O169" s="58">
        <f t="shared" si="119"/>
        <v>0</v>
      </c>
      <c r="P169" s="56">
        <f t="shared" si="119"/>
        <v>0</v>
      </c>
      <c r="Q169" s="57">
        <f t="shared" si="119"/>
        <v>0</v>
      </c>
      <c r="R169" s="57">
        <f t="shared" si="119"/>
        <v>0</v>
      </c>
      <c r="S169" s="57">
        <f t="shared" si="119"/>
        <v>0</v>
      </c>
      <c r="T169" s="58">
        <f t="shared" si="119"/>
        <v>0</v>
      </c>
    </row>
    <row r="170" spans="4:20" ht="12.3" x14ac:dyDescent="0.35">
      <c r="D170" s="10" t="str">
        <f t="shared" si="109"/>
        <v>SCADA</v>
      </c>
      <c r="E170" s="45" t="s">
        <v>91</v>
      </c>
      <c r="F170" s="45" t="str">
        <f t="shared" si="110"/>
        <v>$Millions</v>
      </c>
      <c r="G170" s="45" t="str">
        <f t="shared" si="111"/>
        <v>Nominal</v>
      </c>
      <c r="H170" s="45" t="str">
        <f t="shared" si="112"/>
        <v>End year</v>
      </c>
      <c r="J170" s="58">
        <f t="shared" ref="J170:T170" si="120">J25+J54+J83+J112+J141</f>
        <v>0</v>
      </c>
      <c r="K170" s="56">
        <f t="shared" si="120"/>
        <v>0</v>
      </c>
      <c r="L170" s="57">
        <f t="shared" si="120"/>
        <v>0</v>
      </c>
      <c r="M170" s="57">
        <f t="shared" si="120"/>
        <v>0</v>
      </c>
      <c r="N170" s="57">
        <f t="shared" si="120"/>
        <v>0</v>
      </c>
      <c r="O170" s="58">
        <f t="shared" si="120"/>
        <v>0</v>
      </c>
      <c r="P170" s="56">
        <f t="shared" si="120"/>
        <v>0</v>
      </c>
      <c r="Q170" s="57">
        <f t="shared" si="120"/>
        <v>0</v>
      </c>
      <c r="R170" s="57">
        <f t="shared" si="120"/>
        <v>0</v>
      </c>
      <c r="S170" s="57">
        <f t="shared" si="120"/>
        <v>0</v>
      </c>
      <c r="T170" s="58">
        <f t="shared" si="120"/>
        <v>0</v>
      </c>
    </row>
    <row r="171" spans="4:20" ht="12.3" x14ac:dyDescent="0.35">
      <c r="D171" s="10" t="str">
        <f t="shared" si="109"/>
        <v>Communications</v>
      </c>
      <c r="E171" s="45" t="s">
        <v>91</v>
      </c>
      <c r="F171" s="45" t="str">
        <f t="shared" si="110"/>
        <v>$Millions</v>
      </c>
      <c r="G171" s="45" t="str">
        <f t="shared" si="111"/>
        <v>Nominal</v>
      </c>
      <c r="H171" s="45" t="str">
        <f t="shared" si="112"/>
        <v>End year</v>
      </c>
      <c r="J171" s="58">
        <f t="shared" ref="J171:T171" si="121">J26+J55+J84+J113+J142</f>
        <v>0</v>
      </c>
      <c r="K171" s="56">
        <f t="shared" si="121"/>
        <v>0</v>
      </c>
      <c r="L171" s="57">
        <f t="shared" si="121"/>
        <v>0</v>
      </c>
      <c r="M171" s="57">
        <f t="shared" si="121"/>
        <v>0</v>
      </c>
      <c r="N171" s="57">
        <f t="shared" si="121"/>
        <v>0</v>
      </c>
      <c r="O171" s="58">
        <f t="shared" si="121"/>
        <v>0</v>
      </c>
      <c r="P171" s="56">
        <f t="shared" si="121"/>
        <v>0</v>
      </c>
      <c r="Q171" s="57">
        <f t="shared" si="121"/>
        <v>0</v>
      </c>
      <c r="R171" s="57">
        <f t="shared" si="121"/>
        <v>0</v>
      </c>
      <c r="S171" s="57">
        <f t="shared" si="121"/>
        <v>0</v>
      </c>
      <c r="T171" s="58">
        <f t="shared" si="121"/>
        <v>0</v>
      </c>
    </row>
    <row r="172" spans="4:20" ht="12.3" x14ac:dyDescent="0.35">
      <c r="D172" s="10" t="str">
        <f t="shared" si="109"/>
        <v>Land and Easements</v>
      </c>
      <c r="E172" s="45" t="s">
        <v>91</v>
      </c>
      <c r="F172" s="45" t="str">
        <f t="shared" si="110"/>
        <v>$Millions</v>
      </c>
      <c r="G172" s="45" t="str">
        <f t="shared" si="111"/>
        <v>Nominal</v>
      </c>
      <c r="H172" s="45" t="str">
        <f t="shared" si="112"/>
        <v>End year</v>
      </c>
      <c r="J172" s="58">
        <f t="shared" ref="J172:T172" si="122">J27+J56+J85+J114+J143</f>
        <v>0</v>
      </c>
      <c r="K172" s="56">
        <f t="shared" si="122"/>
        <v>0</v>
      </c>
      <c r="L172" s="57">
        <f t="shared" si="122"/>
        <v>0</v>
      </c>
      <c r="M172" s="57">
        <f t="shared" si="122"/>
        <v>0</v>
      </c>
      <c r="N172" s="57">
        <f t="shared" si="122"/>
        <v>0</v>
      </c>
      <c r="O172" s="58">
        <f t="shared" si="122"/>
        <v>0</v>
      </c>
      <c r="P172" s="56">
        <f t="shared" si="122"/>
        <v>0</v>
      </c>
      <c r="Q172" s="57">
        <f t="shared" si="122"/>
        <v>0</v>
      </c>
      <c r="R172" s="57">
        <f t="shared" si="122"/>
        <v>0</v>
      </c>
      <c r="S172" s="57">
        <f t="shared" si="122"/>
        <v>0</v>
      </c>
      <c r="T172" s="58">
        <f t="shared" si="122"/>
        <v>0</v>
      </c>
    </row>
    <row r="173" spans="4:20" ht="12.3" x14ac:dyDescent="0.35">
      <c r="D173" s="10" t="str">
        <f t="shared" si="109"/>
        <v>Property</v>
      </c>
      <c r="E173" s="45" t="s">
        <v>91</v>
      </c>
      <c r="F173" s="45" t="str">
        <f t="shared" si="110"/>
        <v>$Millions</v>
      </c>
      <c r="G173" s="45" t="str">
        <f t="shared" si="111"/>
        <v>Nominal</v>
      </c>
      <c r="H173" s="45" t="str">
        <f t="shared" si="112"/>
        <v>End year</v>
      </c>
      <c r="J173" s="58">
        <f t="shared" ref="J173:T173" si="123">J28+J57+J86+J115+J144</f>
        <v>0</v>
      </c>
      <c r="K173" s="56">
        <f t="shared" si="123"/>
        <v>0</v>
      </c>
      <c r="L173" s="57">
        <f t="shared" si="123"/>
        <v>0</v>
      </c>
      <c r="M173" s="57">
        <f t="shared" si="123"/>
        <v>0</v>
      </c>
      <c r="N173" s="57">
        <f t="shared" si="123"/>
        <v>0</v>
      </c>
      <c r="O173" s="58">
        <f t="shared" si="123"/>
        <v>0</v>
      </c>
      <c r="P173" s="56">
        <f t="shared" si="123"/>
        <v>0</v>
      </c>
      <c r="Q173" s="57">
        <f t="shared" si="123"/>
        <v>0</v>
      </c>
      <c r="R173" s="57">
        <f t="shared" si="123"/>
        <v>0</v>
      </c>
      <c r="S173" s="57">
        <f t="shared" si="123"/>
        <v>0</v>
      </c>
      <c r="T173" s="58">
        <f t="shared" si="123"/>
        <v>0</v>
      </c>
    </row>
    <row r="174" spans="4:20" ht="12.3" x14ac:dyDescent="0.35">
      <c r="D174" s="10" t="str">
        <f t="shared" si="109"/>
        <v>IT and Communications</v>
      </c>
      <c r="E174" s="45" t="s">
        <v>91</v>
      </c>
      <c r="F174" s="45" t="str">
        <f t="shared" si="110"/>
        <v>$Millions</v>
      </c>
      <c r="G174" s="45" t="str">
        <f t="shared" si="111"/>
        <v>Nominal</v>
      </c>
      <c r="H174" s="45" t="str">
        <f t="shared" si="112"/>
        <v>End year</v>
      </c>
      <c r="J174" s="58">
        <f t="shared" ref="J174:T174" si="124">J29+J58+J87+J116+J145</f>
        <v>0</v>
      </c>
      <c r="K174" s="56">
        <f t="shared" si="124"/>
        <v>0</v>
      </c>
      <c r="L174" s="57">
        <f t="shared" si="124"/>
        <v>0</v>
      </c>
      <c r="M174" s="57">
        <f t="shared" si="124"/>
        <v>0</v>
      </c>
      <c r="N174" s="57">
        <f t="shared" si="124"/>
        <v>0</v>
      </c>
      <c r="O174" s="58">
        <f t="shared" si="124"/>
        <v>0</v>
      </c>
      <c r="P174" s="56">
        <f t="shared" si="124"/>
        <v>0</v>
      </c>
      <c r="Q174" s="57">
        <f t="shared" si="124"/>
        <v>0</v>
      </c>
      <c r="R174" s="57">
        <f t="shared" si="124"/>
        <v>0</v>
      </c>
      <c r="S174" s="57">
        <f t="shared" si="124"/>
        <v>0</v>
      </c>
      <c r="T174" s="58">
        <f t="shared" si="124"/>
        <v>0</v>
      </c>
    </row>
    <row r="175" spans="4:20" ht="12.3" x14ac:dyDescent="0.35">
      <c r="D175" s="10" t="str">
        <f t="shared" si="109"/>
        <v>Motor Vehicles</v>
      </c>
      <c r="E175" s="45" t="s">
        <v>91</v>
      </c>
      <c r="F175" s="45" t="str">
        <f t="shared" si="110"/>
        <v>$Millions</v>
      </c>
      <c r="G175" s="45" t="str">
        <f t="shared" si="111"/>
        <v>Nominal</v>
      </c>
      <c r="H175" s="45" t="str">
        <f t="shared" si="112"/>
        <v>End year</v>
      </c>
      <c r="J175" s="58">
        <f t="shared" ref="J175:T175" si="125">J30+J59+J88+J117+J146</f>
        <v>0</v>
      </c>
      <c r="K175" s="56">
        <f t="shared" si="125"/>
        <v>0</v>
      </c>
      <c r="L175" s="57">
        <f t="shared" si="125"/>
        <v>0</v>
      </c>
      <c r="M175" s="57">
        <f t="shared" si="125"/>
        <v>0</v>
      </c>
      <c r="N175" s="57">
        <f t="shared" si="125"/>
        <v>0</v>
      </c>
      <c r="O175" s="58">
        <f t="shared" si="125"/>
        <v>0</v>
      </c>
      <c r="P175" s="56">
        <f t="shared" si="125"/>
        <v>0</v>
      </c>
      <c r="Q175" s="57">
        <f t="shared" si="125"/>
        <v>0</v>
      </c>
      <c r="R175" s="57">
        <f t="shared" si="125"/>
        <v>0</v>
      </c>
      <c r="S175" s="57">
        <f t="shared" si="125"/>
        <v>0</v>
      </c>
      <c r="T175" s="58">
        <f t="shared" si="125"/>
        <v>0</v>
      </c>
    </row>
    <row r="176" spans="4:20" ht="12.3" x14ac:dyDescent="0.35">
      <c r="D176" s="10" t="str">
        <f t="shared" si="109"/>
        <v>Plant and Equipment</v>
      </c>
      <c r="E176" s="45" t="s">
        <v>91</v>
      </c>
      <c r="F176" s="45" t="str">
        <f t="shared" si="110"/>
        <v>$Millions</v>
      </c>
      <c r="G176" s="45" t="str">
        <f t="shared" si="111"/>
        <v>Nominal</v>
      </c>
      <c r="H176" s="45" t="str">
        <f t="shared" si="112"/>
        <v>End year</v>
      </c>
      <c r="J176" s="58">
        <f t="shared" ref="J176:T176" si="126">J31+J60+J89+J118+J147</f>
        <v>0</v>
      </c>
      <c r="K176" s="56">
        <f t="shared" si="126"/>
        <v>0</v>
      </c>
      <c r="L176" s="57">
        <f t="shared" si="126"/>
        <v>0</v>
      </c>
      <c r="M176" s="57">
        <f t="shared" si="126"/>
        <v>0</v>
      </c>
      <c r="N176" s="57">
        <f t="shared" si="126"/>
        <v>0</v>
      </c>
      <c r="O176" s="58">
        <f t="shared" si="126"/>
        <v>0</v>
      </c>
      <c r="P176" s="56">
        <f t="shared" si="126"/>
        <v>0</v>
      </c>
      <c r="Q176" s="57">
        <f t="shared" si="126"/>
        <v>0</v>
      </c>
      <c r="R176" s="57">
        <f t="shared" si="126"/>
        <v>0</v>
      </c>
      <c r="S176" s="57">
        <f t="shared" si="126"/>
        <v>0</v>
      </c>
      <c r="T176" s="58">
        <f t="shared" si="126"/>
        <v>0</v>
      </c>
    </row>
    <row r="177" spans="1:20" ht="12.3" x14ac:dyDescent="0.35">
      <c r="D177" s="10" t="str">
        <f t="shared" si="109"/>
        <v>Property Leases</v>
      </c>
      <c r="E177" s="45" t="s">
        <v>91</v>
      </c>
      <c r="F177" s="45" t="str">
        <f t="shared" si="110"/>
        <v>$Millions</v>
      </c>
      <c r="G177" s="45" t="str">
        <f t="shared" si="111"/>
        <v>Nominal</v>
      </c>
      <c r="H177" s="45" t="str">
        <f t="shared" si="112"/>
        <v>End year</v>
      </c>
      <c r="J177" s="58">
        <f t="shared" ref="J177:T177" si="127">J32+J61+J90+J119+J148</f>
        <v>0</v>
      </c>
      <c r="K177" s="56">
        <f t="shared" si="127"/>
        <v>0</v>
      </c>
      <c r="L177" s="57">
        <f t="shared" si="127"/>
        <v>0</v>
      </c>
      <c r="M177" s="57">
        <f t="shared" si="127"/>
        <v>0</v>
      </c>
      <c r="N177" s="57">
        <f t="shared" si="127"/>
        <v>0</v>
      </c>
      <c r="O177" s="58">
        <f t="shared" si="127"/>
        <v>0</v>
      </c>
      <c r="P177" s="56">
        <f t="shared" si="127"/>
        <v>0</v>
      </c>
      <c r="Q177" s="57">
        <f t="shared" si="127"/>
        <v>0</v>
      </c>
      <c r="R177" s="57">
        <f t="shared" si="127"/>
        <v>0</v>
      </c>
      <c r="S177" s="57">
        <f t="shared" si="127"/>
        <v>0</v>
      </c>
      <c r="T177" s="58">
        <f t="shared" si="127"/>
        <v>0</v>
      </c>
    </row>
    <row r="178" spans="1:20" ht="12.3" x14ac:dyDescent="0.35">
      <c r="D178" s="10" t="str">
        <f t="shared" si="109"/>
        <v>Fleet Leases</v>
      </c>
      <c r="E178" s="45" t="s">
        <v>91</v>
      </c>
      <c r="F178" s="45" t="str">
        <f t="shared" si="110"/>
        <v>$Millions</v>
      </c>
      <c r="G178" s="45" t="str">
        <f t="shared" si="111"/>
        <v>Nominal</v>
      </c>
      <c r="H178" s="45" t="str">
        <f t="shared" si="112"/>
        <v>End year</v>
      </c>
      <c r="J178" s="58">
        <f t="shared" ref="J178:T179" si="128">J33+J62+J91+J120+J149</f>
        <v>0</v>
      </c>
      <c r="K178" s="56">
        <f t="shared" si="128"/>
        <v>0</v>
      </c>
      <c r="L178" s="57">
        <f t="shared" si="128"/>
        <v>0</v>
      </c>
      <c r="M178" s="57">
        <f t="shared" si="128"/>
        <v>0</v>
      </c>
      <c r="N178" s="57">
        <f t="shared" si="128"/>
        <v>0</v>
      </c>
      <c r="O178" s="58">
        <f t="shared" si="128"/>
        <v>0</v>
      </c>
      <c r="P178" s="56">
        <f t="shared" si="128"/>
        <v>0</v>
      </c>
      <c r="Q178" s="57">
        <f t="shared" si="128"/>
        <v>0</v>
      </c>
      <c r="R178" s="57">
        <f t="shared" si="128"/>
        <v>0</v>
      </c>
      <c r="S178" s="57">
        <f t="shared" si="128"/>
        <v>0</v>
      </c>
      <c r="T178" s="58">
        <f t="shared" si="128"/>
        <v>0</v>
      </c>
    </row>
    <row r="179" spans="1:20" ht="12.3" x14ac:dyDescent="0.35">
      <c r="D179" s="10" t="str">
        <f t="shared" si="109"/>
        <v>Community Batteries</v>
      </c>
      <c r="E179" s="45" t="s">
        <v>91</v>
      </c>
      <c r="F179" s="45" t="str">
        <f t="shared" si="110"/>
        <v>$Millions</v>
      </c>
      <c r="G179" s="45" t="str">
        <f t="shared" si="111"/>
        <v>Nominal</v>
      </c>
      <c r="H179" s="45" t="str">
        <f t="shared" si="112"/>
        <v>End year</v>
      </c>
      <c r="J179" s="58">
        <f t="shared" si="128"/>
        <v>0</v>
      </c>
      <c r="K179" s="56">
        <f t="shared" si="128"/>
        <v>0</v>
      </c>
      <c r="L179" s="57">
        <f t="shared" si="128"/>
        <v>0</v>
      </c>
      <c r="M179" s="57">
        <f t="shared" si="128"/>
        <v>0</v>
      </c>
      <c r="N179" s="57">
        <f t="shared" si="128"/>
        <v>0</v>
      </c>
      <c r="O179" s="58">
        <f t="shared" si="128"/>
        <v>0</v>
      </c>
      <c r="P179" s="56">
        <f t="shared" si="128"/>
        <v>0</v>
      </c>
      <c r="Q179" s="57">
        <f t="shared" si="128"/>
        <v>0</v>
      </c>
      <c r="R179" s="57">
        <f t="shared" si="128"/>
        <v>0</v>
      </c>
      <c r="S179" s="57">
        <f t="shared" si="128"/>
        <v>0</v>
      </c>
      <c r="T179" s="58">
        <f t="shared" si="128"/>
        <v>0</v>
      </c>
    </row>
    <row r="180" spans="1:20" ht="12.3" x14ac:dyDescent="0.35">
      <c r="D180" s="10" t="str">
        <f t="shared" si="109"/>
        <v>Buildings</v>
      </c>
      <c r="E180" s="45" t="s">
        <v>91</v>
      </c>
      <c r="F180" s="45" t="str">
        <f t="shared" si="110"/>
        <v>$Millions</v>
      </c>
      <c r="G180" s="45" t="str">
        <f t="shared" si="111"/>
        <v>Nominal</v>
      </c>
      <c r="H180" s="45" t="str">
        <f t="shared" si="112"/>
        <v>End year</v>
      </c>
      <c r="J180" s="58">
        <f t="shared" ref="J180:T180" si="129">J35+J64+J93+J122+J151</f>
        <v>0</v>
      </c>
      <c r="K180" s="56">
        <f t="shared" si="129"/>
        <v>0</v>
      </c>
      <c r="L180" s="57">
        <f t="shared" si="129"/>
        <v>0</v>
      </c>
      <c r="M180" s="57">
        <f t="shared" si="129"/>
        <v>0</v>
      </c>
      <c r="N180" s="57">
        <f t="shared" si="129"/>
        <v>0</v>
      </c>
      <c r="O180" s="58">
        <f t="shared" si="129"/>
        <v>0</v>
      </c>
      <c r="P180" s="56">
        <f t="shared" si="129"/>
        <v>0</v>
      </c>
      <c r="Q180" s="57">
        <f t="shared" si="129"/>
        <v>0</v>
      </c>
      <c r="R180" s="57">
        <f t="shared" si="129"/>
        <v>0</v>
      </c>
      <c r="S180" s="57">
        <f t="shared" si="129"/>
        <v>0</v>
      </c>
      <c r="T180" s="58">
        <f t="shared" si="129"/>
        <v>0</v>
      </c>
    </row>
    <row r="181" spans="1:20" ht="12.3" x14ac:dyDescent="0.35">
      <c r="D181" s="10" t="str">
        <f t="shared" si="109"/>
        <v>in-house software</v>
      </c>
      <c r="E181" s="45" t="s">
        <v>91</v>
      </c>
      <c r="F181" s="45" t="str">
        <f t="shared" si="110"/>
        <v>$Millions</v>
      </c>
      <c r="G181" s="45" t="str">
        <f t="shared" si="111"/>
        <v>Nominal</v>
      </c>
      <c r="H181" s="45" t="str">
        <f t="shared" si="112"/>
        <v>End year</v>
      </c>
      <c r="J181" s="58">
        <f t="shared" ref="J181:T181" si="130">J36+J65+J94+J123+J152</f>
        <v>0</v>
      </c>
      <c r="K181" s="56">
        <f t="shared" si="130"/>
        <v>0</v>
      </c>
      <c r="L181" s="57">
        <f t="shared" si="130"/>
        <v>0</v>
      </c>
      <c r="M181" s="57">
        <f t="shared" si="130"/>
        <v>0</v>
      </c>
      <c r="N181" s="57">
        <f t="shared" si="130"/>
        <v>0</v>
      </c>
      <c r="O181" s="58">
        <f t="shared" si="130"/>
        <v>0</v>
      </c>
      <c r="P181" s="56">
        <f t="shared" si="130"/>
        <v>0</v>
      </c>
      <c r="Q181" s="57">
        <f t="shared" si="130"/>
        <v>0</v>
      </c>
      <c r="R181" s="57">
        <f t="shared" si="130"/>
        <v>0</v>
      </c>
      <c r="S181" s="57">
        <f t="shared" si="130"/>
        <v>0</v>
      </c>
      <c r="T181" s="58">
        <f t="shared" si="130"/>
        <v>0</v>
      </c>
    </row>
    <row r="182" spans="1:20" ht="12.3" x14ac:dyDescent="0.35">
      <c r="D182" s="10" t="str">
        <f t="shared" ref="D182" si="131">D37</f>
        <v>Equity Raising Costs</v>
      </c>
      <c r="E182" s="45" t="s">
        <v>91</v>
      </c>
      <c r="F182" s="45" t="str">
        <f t="shared" si="110"/>
        <v>$Millions</v>
      </c>
      <c r="G182" s="45" t="str">
        <f t="shared" si="111"/>
        <v>Nominal</v>
      </c>
      <c r="H182" s="45" t="str">
        <f t="shared" si="112"/>
        <v>End year</v>
      </c>
      <c r="J182" s="58">
        <f t="shared" ref="J182:T182" si="132">J37+J66+J95+J124+J153</f>
        <v>0</v>
      </c>
      <c r="K182" s="56">
        <f t="shared" si="132"/>
        <v>0</v>
      </c>
      <c r="L182" s="57">
        <f t="shared" si="132"/>
        <v>0</v>
      </c>
      <c r="M182" s="57">
        <f t="shared" si="132"/>
        <v>0</v>
      </c>
      <c r="N182" s="57">
        <f t="shared" si="132"/>
        <v>0</v>
      </c>
      <c r="O182" s="58">
        <f t="shared" si="132"/>
        <v>0</v>
      </c>
      <c r="P182" s="56">
        <f t="shared" si="132"/>
        <v>0</v>
      </c>
      <c r="Q182" s="57">
        <f t="shared" si="132"/>
        <v>0</v>
      </c>
      <c r="R182" s="57">
        <f t="shared" si="132"/>
        <v>0</v>
      </c>
      <c r="S182" s="57">
        <f t="shared" si="132"/>
        <v>0</v>
      </c>
      <c r="T182" s="58">
        <f t="shared" si="132"/>
        <v>0</v>
      </c>
    </row>
    <row r="183" spans="1:20" x14ac:dyDescent="0.35">
      <c r="J183" s="49"/>
      <c r="K183" s="48"/>
      <c r="O183" s="49"/>
      <c r="P183" s="48"/>
      <c r="T183" s="49"/>
    </row>
    <row r="184" spans="1:20" ht="12.3" x14ac:dyDescent="0.35">
      <c r="D184" s="44" t="str">
        <f>"Total "&amp;D161</f>
        <v>Total RAB asset class</v>
      </c>
      <c r="E184" s="40" t="s">
        <v>91</v>
      </c>
      <c r="F184" s="40" t="str">
        <f>F163</f>
        <v>$Millions</v>
      </c>
      <c r="G184" s="40" t="str">
        <f>G163</f>
        <v>Nominal</v>
      </c>
      <c r="H184" s="40" t="str">
        <f>H163</f>
        <v>End year</v>
      </c>
      <c r="J184" s="54">
        <f t="shared" ref="J184:T184" si="133">SUM(J163:J182)</f>
        <v>96.227503496116512</v>
      </c>
      <c r="K184" s="53">
        <f t="shared" si="133"/>
        <v>98.104964230458464</v>
      </c>
      <c r="L184" s="39">
        <f t="shared" si="133"/>
        <v>99.093562045386406</v>
      </c>
      <c r="M184" s="39">
        <f t="shared" si="133"/>
        <v>101.52220835713396</v>
      </c>
      <c r="N184" s="39">
        <f t="shared" si="133"/>
        <v>106.30981629957805</v>
      </c>
      <c r="O184" s="54">
        <f t="shared" si="133"/>
        <v>109.57990208651481</v>
      </c>
      <c r="P184" s="53">
        <f t="shared" si="133"/>
        <v>112.16300338099983</v>
      </c>
      <c r="Q184" s="39">
        <f t="shared" si="133"/>
        <v>115.08911610246209</v>
      </c>
      <c r="R184" s="39">
        <f t="shared" si="133"/>
        <v>118.12213806451129</v>
      </c>
      <c r="S184" s="39">
        <f t="shared" si="133"/>
        <v>120.96333626679096</v>
      </c>
      <c r="T184" s="54">
        <f t="shared" si="133"/>
        <v>123.9211482232807</v>
      </c>
    </row>
    <row r="185" spans="1:20" ht="11.25" customHeight="1" x14ac:dyDescent="0.35"/>
    <row r="186" spans="1:20" ht="11.25" customHeight="1" x14ac:dyDescent="0.35">
      <c r="A186" s="42">
        <f>IF(SUM($J186:$T186)&lt;&gt;0,1,0)</f>
        <v>0</v>
      </c>
      <c r="D186" s="10" t="s">
        <v>94</v>
      </c>
      <c r="J186" s="42">
        <f t="shared" ref="J186:K186" si="134">IF(ISERROR(J184),1,0)</f>
        <v>0</v>
      </c>
      <c r="K186" s="42">
        <f t="shared" si="134"/>
        <v>0</v>
      </c>
      <c r="L186" s="42">
        <f>IF(ISERROR(L184),1,0)</f>
        <v>0</v>
      </c>
      <c r="M186" s="42">
        <f t="shared" ref="M186:P186" si="135">IF(ISERROR(M184),1,0)</f>
        <v>0</v>
      </c>
      <c r="N186" s="42">
        <f t="shared" si="135"/>
        <v>0</v>
      </c>
      <c r="O186" s="42">
        <f t="shared" si="135"/>
        <v>0</v>
      </c>
      <c r="P186" s="42">
        <f t="shared" si="135"/>
        <v>0</v>
      </c>
      <c r="Q186" s="42">
        <f>IF(ISERROR(Q184),1,0)</f>
        <v>0</v>
      </c>
      <c r="R186" s="42">
        <f t="shared" ref="R186:T186" si="136">IF(ISERROR(R184),1,0)</f>
        <v>0</v>
      </c>
      <c r="S186" s="42">
        <f t="shared" si="136"/>
        <v>0</v>
      </c>
      <c r="T186" s="42">
        <f t="shared" si="136"/>
        <v>0</v>
      </c>
    </row>
    <row r="188" spans="1:20" s="8" customFormat="1" ht="14.1" x14ac:dyDescent="0.35">
      <c r="C188" s="8" t="s">
        <v>144</v>
      </c>
    </row>
    <row r="189" spans="1:20" ht="11.25" customHeight="1" x14ac:dyDescent="0.35"/>
    <row r="190" spans="1:20" ht="12.3" x14ac:dyDescent="0.35">
      <c r="D190" s="43" t="str">
        <f>D$16</f>
        <v>RAB asset class</v>
      </c>
      <c r="E190" s="38" t="str">
        <f>Lookup!E$20</f>
        <v>Source</v>
      </c>
      <c r="F190" s="38" t="str">
        <f>Lookup!F$20</f>
        <v>Unit</v>
      </c>
      <c r="G190" s="38" t="str">
        <f>Lookup!G$20</f>
        <v>Basis</v>
      </c>
      <c r="H190" s="38" t="str">
        <f>Lookup!H$20</f>
        <v>Timing</v>
      </c>
      <c r="J190" s="47" t="str">
        <f t="shared" ref="J190:T190" si="137">J$10</f>
        <v>RY19</v>
      </c>
      <c r="K190" s="46" t="str">
        <f t="shared" si="137"/>
        <v>RY20</v>
      </c>
      <c r="L190" s="38" t="str">
        <f>L$10</f>
        <v>RY21</v>
      </c>
      <c r="M190" s="38" t="str">
        <f t="shared" si="137"/>
        <v>RY22</v>
      </c>
      <c r="N190" s="38" t="str">
        <f t="shared" si="137"/>
        <v>RY23</v>
      </c>
      <c r="O190" s="47" t="str">
        <f t="shared" si="137"/>
        <v>RY24</v>
      </c>
      <c r="P190" s="46" t="str">
        <f t="shared" si="137"/>
        <v>RY25</v>
      </c>
      <c r="Q190" s="38" t="str">
        <f>Q$10</f>
        <v>RY26</v>
      </c>
      <c r="R190" s="38" t="str">
        <f t="shared" si="137"/>
        <v>RY27</v>
      </c>
      <c r="S190" s="38" t="str">
        <f t="shared" si="137"/>
        <v>RY28</v>
      </c>
      <c r="T190" s="47" t="str">
        <f t="shared" si="137"/>
        <v>RY29</v>
      </c>
    </row>
    <row r="191" spans="1:20" x14ac:dyDescent="0.35">
      <c r="J191" s="49"/>
      <c r="K191" s="48"/>
      <c r="O191" s="49"/>
      <c r="P191" s="48"/>
      <c r="T191" s="49"/>
    </row>
    <row r="192" spans="1:20" ht="12.3" x14ac:dyDescent="0.35">
      <c r="D192" s="10" t="str">
        <f t="shared" ref="D192:D210" si="138">D18</f>
        <v>Substations</v>
      </c>
      <c r="E192" s="45" t="s">
        <v>152</v>
      </c>
      <c r="F192" s="45" t="str">
        <f t="shared" ref="F192:F211" si="139">Millions</f>
        <v>$Millions</v>
      </c>
      <c r="G192" s="45" t="str">
        <f t="shared" ref="G192:G211" si="140">Nominal</f>
        <v>Nominal</v>
      </c>
      <c r="H192" s="45" t="str">
        <f t="shared" ref="H192:H211" si="141">End_year</f>
        <v>End year</v>
      </c>
      <c r="J192" s="29"/>
      <c r="K192" s="29"/>
      <c r="L192" s="29"/>
      <c r="M192" s="29"/>
      <c r="N192" s="29"/>
      <c r="O192" s="29"/>
      <c r="P192" s="29"/>
      <c r="Q192" s="29"/>
      <c r="R192" s="29"/>
      <c r="S192" s="29"/>
      <c r="T192" s="29"/>
    </row>
    <row r="193" spans="4:20" ht="12.3" x14ac:dyDescent="0.35">
      <c r="D193" s="10" t="str">
        <f t="shared" si="138"/>
        <v>Distribution Lines</v>
      </c>
      <c r="E193" s="45" t="str">
        <f>E192</f>
        <v>Input_RAB_SCS</v>
      </c>
      <c r="F193" s="45" t="str">
        <f t="shared" si="139"/>
        <v>$Millions</v>
      </c>
      <c r="G193" s="45" t="str">
        <f t="shared" si="140"/>
        <v>Nominal</v>
      </c>
      <c r="H193" s="45" t="str">
        <f t="shared" si="141"/>
        <v>End year</v>
      </c>
      <c r="J193" s="58">
        <f>Input_RAB_SCS!J201*Input_Connections!J$16</f>
        <v>-1.1978136719648738</v>
      </c>
      <c r="K193" s="56">
        <f>Input_RAB_SCS!K201*Input_Connections!K$16</f>
        <v>0</v>
      </c>
      <c r="L193" s="57">
        <f>Input_RAB_SCS!L201*Input_Connections!L$16</f>
        <v>0</v>
      </c>
      <c r="M193" s="57">
        <f>Input_RAB_SCS!M201*Input_Connections!M$16</f>
        <v>0</v>
      </c>
      <c r="N193" s="57">
        <f>Input_RAB_SCS!N201*Input_Connections!N$16</f>
        <v>0</v>
      </c>
      <c r="O193" s="58">
        <f>Input_RAB_SCS!O201*Input_Connections!O$16</f>
        <v>-2.3179702145006843E-2</v>
      </c>
      <c r="P193" s="56">
        <f>Input_RAB_SCS!P201*Input_Connections!P$16</f>
        <v>0</v>
      </c>
      <c r="Q193" s="57">
        <f>Input_RAB_SCS!Q201*Input_Connections!Q$16</f>
        <v>0</v>
      </c>
      <c r="R193" s="57">
        <f>Input_RAB_SCS!R201*Input_Connections!R$16</f>
        <v>0</v>
      </c>
      <c r="S193" s="57">
        <f>Input_RAB_SCS!S201*Input_Connections!S$16</f>
        <v>0</v>
      </c>
      <c r="T193" s="58">
        <f>Input_RAB_SCS!T201*Input_Connections!T$16</f>
        <v>0</v>
      </c>
    </row>
    <row r="194" spans="4:20" ht="12.3" x14ac:dyDescent="0.35">
      <c r="D194" s="10" t="str">
        <f t="shared" si="138"/>
        <v>Transmission Lines</v>
      </c>
      <c r="E194" s="45" t="str">
        <f t="shared" ref="E194:E210" si="142">E193</f>
        <v>Input_RAB_SCS</v>
      </c>
      <c r="F194" s="45" t="str">
        <f t="shared" si="139"/>
        <v>$Millions</v>
      </c>
      <c r="G194" s="45" t="str">
        <f t="shared" si="140"/>
        <v>Nominal</v>
      </c>
      <c r="H194" s="45" t="str">
        <f t="shared" si="141"/>
        <v>End year</v>
      </c>
      <c r="J194" s="29"/>
      <c r="K194" s="29"/>
      <c r="L194" s="29"/>
      <c r="M194" s="29"/>
      <c r="N194" s="29"/>
      <c r="O194" s="29"/>
      <c r="P194" s="29"/>
      <c r="Q194" s="29"/>
      <c r="R194" s="29"/>
      <c r="S194" s="29"/>
      <c r="T194" s="29"/>
    </row>
    <row r="195" spans="4:20" ht="12.3" x14ac:dyDescent="0.35">
      <c r="D195" s="10" t="str">
        <f t="shared" si="138"/>
        <v>LV Services</v>
      </c>
      <c r="E195" s="45" t="str">
        <f t="shared" si="142"/>
        <v>Input_RAB_SCS</v>
      </c>
      <c r="F195" s="45" t="str">
        <f t="shared" si="139"/>
        <v>$Millions</v>
      </c>
      <c r="G195" s="45" t="str">
        <f t="shared" si="140"/>
        <v>Nominal</v>
      </c>
      <c r="H195" s="45" t="str">
        <f t="shared" si="141"/>
        <v>End year</v>
      </c>
      <c r="J195" s="58">
        <f>Input_RAB_SCS!J203*Input_Connections!J$16</f>
        <v>0.38593016176578859</v>
      </c>
      <c r="K195" s="56">
        <f>Input_RAB_SCS!K203*Input_Connections!K$16</f>
        <v>0</v>
      </c>
      <c r="L195" s="57">
        <f>Input_RAB_SCS!L203*Input_Connections!L$16</f>
        <v>0</v>
      </c>
      <c r="M195" s="57">
        <f>Input_RAB_SCS!M203*Input_Connections!M$16</f>
        <v>0</v>
      </c>
      <c r="N195" s="57">
        <f>Input_RAB_SCS!N203*Input_Connections!N$16</f>
        <v>0</v>
      </c>
      <c r="O195" s="58">
        <f>Input_RAB_SCS!O203*Input_Connections!O$16</f>
        <v>7.5376103198745471E-3</v>
      </c>
      <c r="P195" s="56">
        <f>Input_RAB_SCS!P203*Input_Connections!P$16</f>
        <v>0</v>
      </c>
      <c r="Q195" s="57">
        <f>Input_RAB_SCS!Q203*Input_Connections!Q$16</f>
        <v>0</v>
      </c>
      <c r="R195" s="57">
        <f>Input_RAB_SCS!R203*Input_Connections!R$16</f>
        <v>0</v>
      </c>
      <c r="S195" s="57">
        <f>Input_RAB_SCS!S203*Input_Connections!S$16</f>
        <v>0</v>
      </c>
      <c r="T195" s="58">
        <f>Input_RAB_SCS!T203*Input_Connections!T$16</f>
        <v>0</v>
      </c>
    </row>
    <row r="196" spans="4:20" ht="12.3" x14ac:dyDescent="0.35">
      <c r="D196" s="10" t="str">
        <f t="shared" si="138"/>
        <v>Distribution Substations</v>
      </c>
      <c r="E196" s="45" t="str">
        <f t="shared" si="142"/>
        <v>Input_RAB_SCS</v>
      </c>
      <c r="F196" s="45" t="str">
        <f t="shared" si="139"/>
        <v>$Millions</v>
      </c>
      <c r="G196" s="45" t="str">
        <f t="shared" si="140"/>
        <v>Nominal</v>
      </c>
      <c r="H196" s="45" t="str">
        <f t="shared" si="141"/>
        <v>End year</v>
      </c>
      <c r="J196" s="58">
        <f>Input_RAB_SCS!J204*Input_Connections!J$16</f>
        <v>1.0617363481282471</v>
      </c>
      <c r="K196" s="56">
        <f>Input_RAB_SCS!K204*Input_Connections!K$16</f>
        <v>0</v>
      </c>
      <c r="L196" s="57">
        <f>Input_RAB_SCS!L204*Input_Connections!L$16</f>
        <v>0</v>
      </c>
      <c r="M196" s="57">
        <f>Input_RAB_SCS!M204*Input_Connections!M$16</f>
        <v>0</v>
      </c>
      <c r="N196" s="57">
        <f>Input_RAB_SCS!N204*Input_Connections!N$16</f>
        <v>0</v>
      </c>
      <c r="O196" s="58">
        <f>Input_RAB_SCS!O204*Input_Connections!O$16</f>
        <v>2.6160076555421016E-2</v>
      </c>
      <c r="P196" s="56">
        <f>Input_RAB_SCS!P204*Input_Connections!P$16</f>
        <v>0</v>
      </c>
      <c r="Q196" s="57">
        <f>Input_RAB_SCS!Q204*Input_Connections!Q$16</f>
        <v>0</v>
      </c>
      <c r="R196" s="57">
        <f>Input_RAB_SCS!R204*Input_Connections!R$16</f>
        <v>0</v>
      </c>
      <c r="S196" s="57">
        <f>Input_RAB_SCS!S204*Input_Connections!S$16</f>
        <v>0</v>
      </c>
      <c r="T196" s="58">
        <f>Input_RAB_SCS!T204*Input_Connections!T$16</f>
        <v>0</v>
      </c>
    </row>
    <row r="197" spans="4:20" ht="12.3" x14ac:dyDescent="0.35">
      <c r="D197" s="10" t="str">
        <f t="shared" si="138"/>
        <v>Distribution Switchgear</v>
      </c>
      <c r="E197" s="45" t="str">
        <f t="shared" si="142"/>
        <v>Input_RAB_SCS</v>
      </c>
      <c r="F197" s="45" t="str">
        <f t="shared" si="139"/>
        <v>$Millions</v>
      </c>
      <c r="G197" s="45" t="str">
        <f t="shared" si="140"/>
        <v>Nominal</v>
      </c>
      <c r="H197" s="45" t="str">
        <f t="shared" si="141"/>
        <v>End year</v>
      </c>
      <c r="J197" s="58">
        <f>Input_RAB_SCS!J205*Input_Connections!J$16</f>
        <v>1.0893018335896956</v>
      </c>
      <c r="K197" s="56">
        <f>Input_RAB_SCS!K205*Input_Connections!K$16</f>
        <v>0</v>
      </c>
      <c r="L197" s="57">
        <f>Input_RAB_SCS!L205*Input_Connections!L$16</f>
        <v>0</v>
      </c>
      <c r="M197" s="57">
        <f>Input_RAB_SCS!M205*Input_Connections!M$16</f>
        <v>0</v>
      </c>
      <c r="N197" s="57">
        <f>Input_RAB_SCS!N205*Input_Connections!N$16</f>
        <v>0</v>
      </c>
      <c r="O197" s="58">
        <f>Input_RAB_SCS!O205*Input_Connections!O$16</f>
        <v>-7.4062192675375435E-2</v>
      </c>
      <c r="P197" s="56">
        <f>Input_RAB_SCS!P205*Input_Connections!P$16</f>
        <v>0</v>
      </c>
      <c r="Q197" s="57">
        <f>Input_RAB_SCS!Q205*Input_Connections!Q$16</f>
        <v>0</v>
      </c>
      <c r="R197" s="57">
        <f>Input_RAB_SCS!R205*Input_Connections!R$16</f>
        <v>0</v>
      </c>
      <c r="S197" s="57">
        <f>Input_RAB_SCS!S205*Input_Connections!S$16</f>
        <v>0</v>
      </c>
      <c r="T197" s="58">
        <f>Input_RAB_SCS!T205*Input_Connections!T$16</f>
        <v>0</v>
      </c>
    </row>
    <row r="198" spans="4:20" ht="12.3" x14ac:dyDescent="0.35">
      <c r="D198" s="10" t="str">
        <f t="shared" si="138"/>
        <v>Protection</v>
      </c>
      <c r="E198" s="45" t="str">
        <f t="shared" si="142"/>
        <v>Input_RAB_SCS</v>
      </c>
      <c r="F198" s="45" t="str">
        <f t="shared" si="139"/>
        <v>$Millions</v>
      </c>
      <c r="G198" s="45" t="str">
        <f t="shared" si="140"/>
        <v>Nominal</v>
      </c>
      <c r="H198" s="45" t="str">
        <f t="shared" si="141"/>
        <v>End year</v>
      </c>
      <c r="J198" s="29"/>
      <c r="K198" s="29"/>
      <c r="L198" s="29"/>
      <c r="M198" s="29"/>
      <c r="N198" s="29"/>
      <c r="O198" s="29"/>
      <c r="P198" s="29"/>
      <c r="Q198" s="29"/>
      <c r="R198" s="29"/>
      <c r="S198" s="29"/>
      <c r="T198" s="29"/>
    </row>
    <row r="199" spans="4:20" ht="12.3" x14ac:dyDescent="0.35">
      <c r="D199" s="10" t="str">
        <f t="shared" si="138"/>
        <v>SCADA</v>
      </c>
      <c r="E199" s="45" t="str">
        <f t="shared" si="142"/>
        <v>Input_RAB_SCS</v>
      </c>
      <c r="F199" s="45" t="str">
        <f t="shared" si="139"/>
        <v>$Millions</v>
      </c>
      <c r="G199" s="45" t="str">
        <f t="shared" si="140"/>
        <v>Nominal</v>
      </c>
      <c r="H199" s="45" t="str">
        <f t="shared" si="141"/>
        <v>End year</v>
      </c>
      <c r="J199" s="29"/>
      <c r="K199" s="29"/>
      <c r="L199" s="29"/>
      <c r="M199" s="29"/>
      <c r="N199" s="29"/>
      <c r="O199" s="29"/>
      <c r="P199" s="29"/>
      <c r="Q199" s="29"/>
      <c r="R199" s="29"/>
      <c r="S199" s="29"/>
      <c r="T199" s="29"/>
    </row>
    <row r="200" spans="4:20" ht="12.3" x14ac:dyDescent="0.35">
      <c r="D200" s="10" t="str">
        <f t="shared" si="138"/>
        <v>Communications</v>
      </c>
      <c r="E200" s="45" t="str">
        <f t="shared" si="142"/>
        <v>Input_RAB_SCS</v>
      </c>
      <c r="F200" s="45" t="str">
        <f t="shared" si="139"/>
        <v>$Millions</v>
      </c>
      <c r="G200" s="45" t="str">
        <f t="shared" si="140"/>
        <v>Nominal</v>
      </c>
      <c r="H200" s="45" t="str">
        <f t="shared" si="141"/>
        <v>End year</v>
      </c>
      <c r="J200" s="29"/>
      <c r="K200" s="29"/>
      <c r="L200" s="29"/>
      <c r="M200" s="29"/>
      <c r="N200" s="29"/>
      <c r="O200" s="29"/>
      <c r="P200" s="29"/>
      <c r="Q200" s="29"/>
      <c r="R200" s="29"/>
      <c r="S200" s="29"/>
      <c r="T200" s="29"/>
    </row>
    <row r="201" spans="4:20" ht="12.3" x14ac:dyDescent="0.35">
      <c r="D201" s="10" t="str">
        <f t="shared" si="138"/>
        <v>Land and Easements</v>
      </c>
      <c r="E201" s="45" t="str">
        <f t="shared" si="142"/>
        <v>Input_RAB_SCS</v>
      </c>
      <c r="F201" s="45" t="str">
        <f t="shared" si="139"/>
        <v>$Millions</v>
      </c>
      <c r="G201" s="45" t="str">
        <f t="shared" si="140"/>
        <v>Nominal</v>
      </c>
      <c r="H201" s="45" t="str">
        <f t="shared" si="141"/>
        <v>End year</v>
      </c>
      <c r="J201" s="29"/>
      <c r="K201" s="29"/>
      <c r="L201" s="29"/>
      <c r="M201" s="29"/>
      <c r="N201" s="29"/>
      <c r="O201" s="29"/>
      <c r="P201" s="29"/>
      <c r="Q201" s="29"/>
      <c r="R201" s="29"/>
      <c r="S201" s="29"/>
      <c r="T201" s="29"/>
    </row>
    <row r="202" spans="4:20" ht="12.3" x14ac:dyDescent="0.35">
      <c r="D202" s="10" t="str">
        <f t="shared" si="138"/>
        <v>Property</v>
      </c>
      <c r="E202" s="45" t="str">
        <f t="shared" si="142"/>
        <v>Input_RAB_SCS</v>
      </c>
      <c r="F202" s="45" t="str">
        <f t="shared" si="139"/>
        <v>$Millions</v>
      </c>
      <c r="G202" s="45" t="str">
        <f t="shared" si="140"/>
        <v>Nominal</v>
      </c>
      <c r="H202" s="45" t="str">
        <f t="shared" si="141"/>
        <v>End year</v>
      </c>
      <c r="J202" s="29"/>
      <c r="K202" s="29"/>
      <c r="L202" s="29"/>
      <c r="M202" s="29"/>
      <c r="N202" s="29"/>
      <c r="O202" s="29"/>
      <c r="P202" s="29"/>
      <c r="Q202" s="29"/>
      <c r="R202" s="29"/>
      <c r="S202" s="29"/>
      <c r="T202" s="29"/>
    </row>
    <row r="203" spans="4:20" ht="12.3" x14ac:dyDescent="0.35">
      <c r="D203" s="10" t="str">
        <f t="shared" si="138"/>
        <v>IT and Communications</v>
      </c>
      <c r="E203" s="45" t="str">
        <f t="shared" si="142"/>
        <v>Input_RAB_SCS</v>
      </c>
      <c r="F203" s="45" t="str">
        <f t="shared" si="139"/>
        <v>$Millions</v>
      </c>
      <c r="G203" s="45" t="str">
        <f t="shared" si="140"/>
        <v>Nominal</v>
      </c>
      <c r="H203" s="45" t="str">
        <f t="shared" si="141"/>
        <v>End year</v>
      </c>
      <c r="J203" s="29"/>
      <c r="K203" s="29"/>
      <c r="L203" s="29"/>
      <c r="M203" s="29"/>
      <c r="N203" s="29"/>
      <c r="O203" s="29"/>
      <c r="P203" s="29"/>
      <c r="Q203" s="29"/>
      <c r="R203" s="29"/>
      <c r="S203" s="29"/>
      <c r="T203" s="29"/>
    </row>
    <row r="204" spans="4:20" ht="12.3" x14ac:dyDescent="0.35">
      <c r="D204" s="10" t="str">
        <f t="shared" si="138"/>
        <v>Motor Vehicles</v>
      </c>
      <c r="E204" s="45" t="str">
        <f t="shared" si="142"/>
        <v>Input_RAB_SCS</v>
      </c>
      <c r="F204" s="45" t="str">
        <f t="shared" si="139"/>
        <v>$Millions</v>
      </c>
      <c r="G204" s="45" t="str">
        <f t="shared" si="140"/>
        <v>Nominal</v>
      </c>
      <c r="H204" s="45" t="str">
        <f t="shared" si="141"/>
        <v>End year</v>
      </c>
      <c r="J204" s="29"/>
      <c r="K204" s="29"/>
      <c r="L204" s="29"/>
      <c r="M204" s="29"/>
      <c r="N204" s="29"/>
      <c r="O204" s="29"/>
      <c r="P204" s="29"/>
      <c r="Q204" s="29"/>
      <c r="R204" s="29"/>
      <c r="S204" s="29"/>
      <c r="T204" s="29"/>
    </row>
    <row r="205" spans="4:20" ht="12.3" x14ac:dyDescent="0.35">
      <c r="D205" s="10" t="str">
        <f t="shared" si="138"/>
        <v>Plant and Equipment</v>
      </c>
      <c r="E205" s="45" t="str">
        <f t="shared" si="142"/>
        <v>Input_RAB_SCS</v>
      </c>
      <c r="F205" s="45" t="str">
        <f t="shared" si="139"/>
        <v>$Millions</v>
      </c>
      <c r="G205" s="45" t="str">
        <f t="shared" si="140"/>
        <v>Nominal</v>
      </c>
      <c r="H205" s="45" t="str">
        <f t="shared" si="141"/>
        <v>End year</v>
      </c>
      <c r="J205" s="29"/>
      <c r="K205" s="29"/>
      <c r="L205" s="29"/>
      <c r="M205" s="29"/>
      <c r="N205" s="29"/>
      <c r="O205" s="29"/>
      <c r="P205" s="29"/>
      <c r="Q205" s="29"/>
      <c r="R205" s="29"/>
      <c r="S205" s="29"/>
      <c r="T205" s="29"/>
    </row>
    <row r="206" spans="4:20" ht="12.3" x14ac:dyDescent="0.35">
      <c r="D206" s="10" t="str">
        <f t="shared" si="138"/>
        <v>Property Leases</v>
      </c>
      <c r="E206" s="45" t="str">
        <f t="shared" si="142"/>
        <v>Input_RAB_SCS</v>
      </c>
      <c r="F206" s="45" t="str">
        <f t="shared" si="139"/>
        <v>$Millions</v>
      </c>
      <c r="G206" s="45" t="str">
        <f t="shared" si="140"/>
        <v>Nominal</v>
      </c>
      <c r="H206" s="45" t="str">
        <f t="shared" si="141"/>
        <v>End year</v>
      </c>
      <c r="J206" s="29"/>
      <c r="K206" s="29"/>
      <c r="L206" s="29"/>
      <c r="M206" s="29"/>
      <c r="N206" s="29"/>
      <c r="O206" s="29"/>
      <c r="P206" s="29"/>
      <c r="Q206" s="29"/>
      <c r="R206" s="29"/>
      <c r="S206" s="29"/>
      <c r="T206" s="29"/>
    </row>
    <row r="207" spans="4:20" ht="12.3" x14ac:dyDescent="0.35">
      <c r="D207" s="10" t="str">
        <f t="shared" si="138"/>
        <v>Fleet Leases</v>
      </c>
      <c r="E207" s="45" t="str">
        <f t="shared" si="142"/>
        <v>Input_RAB_SCS</v>
      </c>
      <c r="F207" s="45" t="str">
        <f t="shared" si="139"/>
        <v>$Millions</v>
      </c>
      <c r="G207" s="45" t="str">
        <f t="shared" si="140"/>
        <v>Nominal</v>
      </c>
      <c r="H207" s="45" t="str">
        <f t="shared" si="141"/>
        <v>End year</v>
      </c>
      <c r="J207" s="29"/>
      <c r="K207" s="29"/>
      <c r="L207" s="29"/>
      <c r="M207" s="29"/>
      <c r="N207" s="29"/>
      <c r="O207" s="29"/>
      <c r="P207" s="29"/>
      <c r="Q207" s="29"/>
      <c r="R207" s="29"/>
      <c r="S207" s="29"/>
      <c r="T207" s="29"/>
    </row>
    <row r="208" spans="4:20" ht="12.3" x14ac:dyDescent="0.35">
      <c r="D208" s="10" t="str">
        <f t="shared" si="138"/>
        <v>Community Batteries</v>
      </c>
      <c r="E208" s="45" t="str">
        <f t="shared" si="142"/>
        <v>Input_RAB_SCS</v>
      </c>
      <c r="F208" s="45" t="str">
        <f t="shared" si="139"/>
        <v>$Millions</v>
      </c>
      <c r="G208" s="45" t="str">
        <f t="shared" si="140"/>
        <v>Nominal</v>
      </c>
      <c r="H208" s="45" t="str">
        <f t="shared" si="141"/>
        <v>End year</v>
      </c>
      <c r="J208" s="29"/>
      <c r="K208" s="29"/>
      <c r="L208" s="29"/>
      <c r="M208" s="29"/>
      <c r="N208" s="29"/>
      <c r="O208" s="29"/>
      <c r="P208" s="29"/>
      <c r="Q208" s="29"/>
      <c r="R208" s="29"/>
      <c r="S208" s="29"/>
      <c r="T208" s="29"/>
    </row>
    <row r="209" spans="1:20" ht="12.3" x14ac:dyDescent="0.35">
      <c r="D209" s="10" t="str">
        <f t="shared" si="138"/>
        <v>Buildings</v>
      </c>
      <c r="E209" s="45" t="str">
        <f>E207</f>
        <v>Input_RAB_SCS</v>
      </c>
      <c r="F209" s="45" t="str">
        <f t="shared" si="139"/>
        <v>$Millions</v>
      </c>
      <c r="G209" s="45" t="str">
        <f t="shared" si="140"/>
        <v>Nominal</v>
      </c>
      <c r="H209" s="45" t="str">
        <f t="shared" si="141"/>
        <v>End year</v>
      </c>
      <c r="J209" s="29"/>
      <c r="K209" s="29"/>
      <c r="L209" s="29"/>
      <c r="M209" s="29"/>
      <c r="N209" s="29"/>
      <c r="O209" s="29"/>
      <c r="P209" s="29"/>
      <c r="Q209" s="29"/>
      <c r="R209" s="29"/>
      <c r="S209" s="29"/>
      <c r="T209" s="29"/>
    </row>
    <row r="210" spans="1:20" ht="12.3" x14ac:dyDescent="0.35">
      <c r="D210" s="10" t="str">
        <f t="shared" si="138"/>
        <v>in-house software</v>
      </c>
      <c r="E210" s="45" t="str">
        <f t="shared" si="142"/>
        <v>Input_RAB_SCS</v>
      </c>
      <c r="F210" s="45" t="str">
        <f t="shared" si="139"/>
        <v>$Millions</v>
      </c>
      <c r="G210" s="45" t="str">
        <f t="shared" si="140"/>
        <v>Nominal</v>
      </c>
      <c r="H210" s="45" t="str">
        <f t="shared" si="141"/>
        <v>End year</v>
      </c>
      <c r="J210" s="29"/>
      <c r="K210" s="29"/>
      <c r="L210" s="29"/>
      <c r="M210" s="29"/>
      <c r="N210" s="29"/>
      <c r="O210" s="29"/>
      <c r="P210" s="29"/>
      <c r="Q210" s="29"/>
      <c r="R210" s="29"/>
      <c r="S210" s="29"/>
      <c r="T210" s="29"/>
    </row>
    <row r="211" spans="1:20" ht="12.3" x14ac:dyDescent="0.35">
      <c r="D211" s="10" t="str">
        <f t="shared" ref="D211" si="143">D37</f>
        <v>Equity Raising Costs</v>
      </c>
      <c r="E211" s="45" t="str">
        <f>E205</f>
        <v>Input_RAB_SCS</v>
      </c>
      <c r="F211" s="45" t="str">
        <f t="shared" si="139"/>
        <v>$Millions</v>
      </c>
      <c r="G211" s="45" t="str">
        <f t="shared" si="140"/>
        <v>Nominal</v>
      </c>
      <c r="H211" s="45" t="str">
        <f t="shared" si="141"/>
        <v>End year</v>
      </c>
      <c r="J211" s="29"/>
      <c r="K211" s="29"/>
      <c r="L211" s="29"/>
      <c r="M211" s="29"/>
      <c r="N211" s="29"/>
      <c r="O211" s="29"/>
      <c r="P211" s="29"/>
      <c r="Q211" s="29"/>
      <c r="R211" s="29"/>
      <c r="S211" s="29"/>
      <c r="T211" s="29"/>
    </row>
    <row r="212" spans="1:20" x14ac:dyDescent="0.35">
      <c r="J212" s="49"/>
      <c r="K212" s="48"/>
      <c r="O212" s="49"/>
      <c r="P212" s="48"/>
      <c r="T212" s="49"/>
    </row>
    <row r="213" spans="1:20" ht="12.3" x14ac:dyDescent="0.35">
      <c r="D213" s="44" t="str">
        <f>"Total "&amp;D190</f>
        <v>Total RAB asset class</v>
      </c>
      <c r="E213" s="40" t="s">
        <v>91</v>
      </c>
      <c r="F213" s="40" t="str">
        <f>F192</f>
        <v>$Millions</v>
      </c>
      <c r="G213" s="40" t="str">
        <f>G192</f>
        <v>Nominal</v>
      </c>
      <c r="H213" s="40" t="str">
        <f>H192</f>
        <v>End year</v>
      </c>
      <c r="J213" s="54">
        <f t="shared" ref="J213:T213" si="144">SUM(J192:J211)</f>
        <v>1.3391546715188576</v>
      </c>
      <c r="K213" s="53">
        <f t="shared" si="144"/>
        <v>0</v>
      </c>
      <c r="L213" s="39">
        <f t="shared" si="144"/>
        <v>0</v>
      </c>
      <c r="M213" s="39">
        <f t="shared" si="144"/>
        <v>0</v>
      </c>
      <c r="N213" s="39">
        <f t="shared" si="144"/>
        <v>0</v>
      </c>
      <c r="O213" s="54">
        <f t="shared" si="144"/>
        <v>-6.3544207945086723E-2</v>
      </c>
      <c r="P213" s="53">
        <f t="shared" si="144"/>
        <v>0</v>
      </c>
      <c r="Q213" s="39">
        <f t="shared" si="144"/>
        <v>0</v>
      </c>
      <c r="R213" s="39">
        <f t="shared" si="144"/>
        <v>0</v>
      </c>
      <c r="S213" s="39">
        <f t="shared" si="144"/>
        <v>0</v>
      </c>
      <c r="T213" s="54">
        <f t="shared" si="144"/>
        <v>0</v>
      </c>
    </row>
    <row r="214" spans="1:20" ht="11.25" customHeight="1" x14ac:dyDescent="0.35"/>
    <row r="215" spans="1:20" ht="11.25" customHeight="1" x14ac:dyDescent="0.35">
      <c r="A215" s="42">
        <f>IF(SUM($J215:$T215)&lt;&gt;0,1,0)</f>
        <v>0</v>
      </c>
      <c r="D215" s="10" t="s">
        <v>94</v>
      </c>
      <c r="J215" s="42">
        <f t="shared" ref="J215:K215" si="145">IF(ISERROR(J213),1,0)</f>
        <v>0</v>
      </c>
      <c r="K215" s="42">
        <f t="shared" si="145"/>
        <v>0</v>
      </c>
      <c r="L215" s="42">
        <f>IF(ISERROR(L213),1,0)</f>
        <v>0</v>
      </c>
      <c r="M215" s="42">
        <f t="shared" ref="M215:P215" si="146">IF(ISERROR(M213),1,0)</f>
        <v>0</v>
      </c>
      <c r="N215" s="42">
        <f t="shared" si="146"/>
        <v>0</v>
      </c>
      <c r="O215" s="42">
        <f t="shared" si="146"/>
        <v>0</v>
      </c>
      <c r="P215" s="42">
        <f t="shared" si="146"/>
        <v>0</v>
      </c>
      <c r="Q215" s="42">
        <f>IF(ISERROR(Q213),1,0)</f>
        <v>0</v>
      </c>
      <c r="R215" s="42">
        <f t="shared" ref="R215:T215" si="147">IF(ISERROR(R213),1,0)</f>
        <v>0</v>
      </c>
      <c r="S215" s="42">
        <f t="shared" si="147"/>
        <v>0</v>
      </c>
      <c r="T215" s="42">
        <f t="shared" si="147"/>
        <v>0</v>
      </c>
    </row>
    <row r="217" spans="1:20" s="8" customFormat="1" ht="14.1" x14ac:dyDescent="0.35">
      <c r="C217" s="8" t="s">
        <v>439</v>
      </c>
    </row>
    <row r="218" spans="1:20" ht="11.25" customHeight="1" x14ac:dyDescent="0.35"/>
    <row r="219" spans="1:20" ht="12.3" x14ac:dyDescent="0.35">
      <c r="D219" s="43" t="str">
        <f>D$16</f>
        <v>RAB asset class</v>
      </c>
      <c r="E219" s="38" t="str">
        <f>Lookup!E$20</f>
        <v>Source</v>
      </c>
      <c r="F219" s="38" t="str">
        <f>Lookup!F$20</f>
        <v>Unit</v>
      </c>
      <c r="G219" s="38" t="str">
        <f>Lookup!G$20</f>
        <v>Basis</v>
      </c>
      <c r="H219" s="38" t="str">
        <f>Lookup!H$20</f>
        <v>Timing</v>
      </c>
      <c r="J219" s="47" t="str">
        <f t="shared" ref="J219:T219" si="148">J$10</f>
        <v>RY19</v>
      </c>
      <c r="K219" s="46" t="str">
        <f t="shared" si="148"/>
        <v>RY20</v>
      </c>
      <c r="L219" s="38" t="str">
        <f>L$10</f>
        <v>RY21</v>
      </c>
      <c r="M219" s="38" t="str">
        <f t="shared" si="148"/>
        <v>RY22</v>
      </c>
      <c r="N219" s="38" t="str">
        <f t="shared" si="148"/>
        <v>RY23</v>
      </c>
      <c r="O219" s="47" t="str">
        <f t="shared" si="148"/>
        <v>RY24</v>
      </c>
      <c r="P219" s="46" t="str">
        <f t="shared" si="148"/>
        <v>RY25</v>
      </c>
      <c r="Q219" s="38" t="str">
        <f>Q$10</f>
        <v>RY26</v>
      </c>
      <c r="R219" s="38" t="str">
        <f t="shared" si="148"/>
        <v>RY27</v>
      </c>
      <c r="S219" s="38" t="str">
        <f t="shared" si="148"/>
        <v>RY28</v>
      </c>
      <c r="T219" s="47" t="str">
        <f t="shared" si="148"/>
        <v>RY29</v>
      </c>
    </row>
    <row r="220" spans="1:20" x14ac:dyDescent="0.35">
      <c r="J220" s="49"/>
      <c r="K220" s="48"/>
      <c r="O220" s="49"/>
      <c r="P220" s="48"/>
      <c r="T220" s="49"/>
    </row>
    <row r="221" spans="1:20" ht="12.3" x14ac:dyDescent="0.35">
      <c r="D221" s="10" t="str">
        <f t="shared" ref="D221:D239" si="149">D18</f>
        <v>Substations</v>
      </c>
      <c r="E221" s="45" t="s">
        <v>91</v>
      </c>
      <c r="F221" s="45" t="str">
        <f t="shared" ref="F221:F240" si="150">Millions</f>
        <v>$Millions</v>
      </c>
      <c r="G221" s="45" t="str">
        <f t="shared" ref="G221:G240" si="151">Nominal</f>
        <v>Nominal</v>
      </c>
      <c r="H221" s="45" t="str">
        <f t="shared" ref="H221:H240" si="152">End_year</f>
        <v>End year</v>
      </c>
      <c r="J221" s="58">
        <f t="shared" ref="J221:T221" si="153">J163+J192</f>
        <v>0</v>
      </c>
      <c r="K221" s="56">
        <f t="shared" si="153"/>
        <v>0</v>
      </c>
      <c r="L221" s="57">
        <f t="shared" si="153"/>
        <v>0</v>
      </c>
      <c r="M221" s="57">
        <f t="shared" si="153"/>
        <v>0</v>
      </c>
      <c r="N221" s="57">
        <f t="shared" si="153"/>
        <v>0</v>
      </c>
      <c r="O221" s="58">
        <f t="shared" si="153"/>
        <v>0</v>
      </c>
      <c r="P221" s="56">
        <f t="shared" si="153"/>
        <v>0</v>
      </c>
      <c r="Q221" s="57">
        <f t="shared" si="153"/>
        <v>0</v>
      </c>
      <c r="R221" s="57">
        <f t="shared" si="153"/>
        <v>0</v>
      </c>
      <c r="S221" s="57">
        <f t="shared" si="153"/>
        <v>0</v>
      </c>
      <c r="T221" s="58">
        <f t="shared" si="153"/>
        <v>0</v>
      </c>
    </row>
    <row r="222" spans="1:20" ht="12.3" x14ac:dyDescent="0.35">
      <c r="D222" s="10" t="str">
        <f t="shared" si="149"/>
        <v>Distribution Lines</v>
      </c>
      <c r="E222" s="45" t="s">
        <v>91</v>
      </c>
      <c r="F222" s="45" t="str">
        <f t="shared" si="150"/>
        <v>$Millions</v>
      </c>
      <c r="G222" s="45" t="str">
        <f t="shared" si="151"/>
        <v>Nominal</v>
      </c>
      <c r="H222" s="45" t="str">
        <f t="shared" si="152"/>
        <v>End year</v>
      </c>
      <c r="J222" s="58">
        <f t="shared" ref="J222:T222" si="154">J164+J193</f>
        <v>60.211742213736066</v>
      </c>
      <c r="K222" s="56">
        <f t="shared" si="154"/>
        <v>60.51744425821996</v>
      </c>
      <c r="L222" s="57">
        <f t="shared" si="154"/>
        <v>61.009315033206498</v>
      </c>
      <c r="M222" s="57">
        <f t="shared" si="154"/>
        <v>62.61088379406069</v>
      </c>
      <c r="N222" s="57">
        <f t="shared" si="154"/>
        <v>66.057467852357647</v>
      </c>
      <c r="O222" s="58">
        <f t="shared" si="154"/>
        <v>68.468318889359452</v>
      </c>
      <c r="P222" s="56">
        <f t="shared" si="154"/>
        <v>70.024096305393684</v>
      </c>
      <c r="Q222" s="57">
        <f t="shared" si="154"/>
        <v>71.795353078019104</v>
      </c>
      <c r="R222" s="57">
        <f t="shared" si="154"/>
        <v>73.613597609506343</v>
      </c>
      <c r="S222" s="57">
        <f t="shared" si="154"/>
        <v>75.180325571651991</v>
      </c>
      <c r="T222" s="58">
        <f t="shared" si="154"/>
        <v>76.797891583202798</v>
      </c>
    </row>
    <row r="223" spans="1:20" ht="12.3" x14ac:dyDescent="0.35">
      <c r="D223" s="10" t="str">
        <f t="shared" si="149"/>
        <v>Transmission Lines</v>
      </c>
      <c r="E223" s="45" t="s">
        <v>91</v>
      </c>
      <c r="F223" s="45" t="str">
        <f t="shared" si="150"/>
        <v>$Millions</v>
      </c>
      <c r="G223" s="45" t="str">
        <f t="shared" si="151"/>
        <v>Nominal</v>
      </c>
      <c r="H223" s="45" t="str">
        <f t="shared" si="152"/>
        <v>End year</v>
      </c>
      <c r="J223" s="58">
        <f t="shared" ref="J223:T223" si="155">J165+J194</f>
        <v>0</v>
      </c>
      <c r="K223" s="56">
        <f t="shared" si="155"/>
        <v>0</v>
      </c>
      <c r="L223" s="57">
        <f t="shared" si="155"/>
        <v>0</v>
      </c>
      <c r="M223" s="57">
        <f t="shared" si="155"/>
        <v>0</v>
      </c>
      <c r="N223" s="57">
        <f t="shared" si="155"/>
        <v>0</v>
      </c>
      <c r="O223" s="58">
        <f t="shared" si="155"/>
        <v>0</v>
      </c>
      <c r="P223" s="56">
        <f t="shared" si="155"/>
        <v>0</v>
      </c>
      <c r="Q223" s="57">
        <f t="shared" si="155"/>
        <v>0</v>
      </c>
      <c r="R223" s="57">
        <f t="shared" si="155"/>
        <v>0</v>
      </c>
      <c r="S223" s="57">
        <f t="shared" si="155"/>
        <v>0</v>
      </c>
      <c r="T223" s="58">
        <f t="shared" si="155"/>
        <v>0</v>
      </c>
    </row>
    <row r="224" spans="1:20" ht="12.3" x14ac:dyDescent="0.35">
      <c r="D224" s="10" t="str">
        <f t="shared" si="149"/>
        <v>LV Services</v>
      </c>
      <c r="E224" s="45" t="s">
        <v>91</v>
      </c>
      <c r="F224" s="45" t="str">
        <f t="shared" si="150"/>
        <v>$Millions</v>
      </c>
      <c r="G224" s="45" t="str">
        <f t="shared" si="151"/>
        <v>Nominal</v>
      </c>
      <c r="H224" s="45" t="str">
        <f t="shared" si="152"/>
        <v>End year</v>
      </c>
      <c r="J224" s="58">
        <f t="shared" ref="J224:T224" si="156">J166+J195</f>
        <v>2.0649372246077111</v>
      </c>
      <c r="K224" s="56">
        <f t="shared" si="156"/>
        <v>2.1068349716292603</v>
      </c>
      <c r="L224" s="57">
        <f t="shared" si="156"/>
        <v>2.2528830202297119</v>
      </c>
      <c r="M224" s="57">
        <f t="shared" si="156"/>
        <v>2.4596751670853543</v>
      </c>
      <c r="N224" s="57">
        <f t="shared" si="156"/>
        <v>2.6588844080034479</v>
      </c>
      <c r="O224" s="58">
        <f t="shared" si="156"/>
        <v>2.8467209537141813</v>
      </c>
      <c r="P224" s="56">
        <f t="shared" si="156"/>
        <v>3.252497616683991</v>
      </c>
      <c r="Q224" s="57">
        <f t="shared" si="156"/>
        <v>3.6817510192779839</v>
      </c>
      <c r="R224" s="57">
        <f t="shared" si="156"/>
        <v>4.1331434034914789</v>
      </c>
      <c r="S224" s="57">
        <f t="shared" si="156"/>
        <v>4.6066136611357997</v>
      </c>
      <c r="T224" s="58">
        <f t="shared" si="156"/>
        <v>5.1040902985556125</v>
      </c>
    </row>
    <row r="225" spans="4:20" ht="12.3" x14ac:dyDescent="0.35">
      <c r="D225" s="10" t="str">
        <f t="shared" si="149"/>
        <v>Distribution Substations</v>
      </c>
      <c r="E225" s="45" t="s">
        <v>91</v>
      </c>
      <c r="F225" s="45" t="str">
        <f t="shared" si="150"/>
        <v>$Millions</v>
      </c>
      <c r="G225" s="45" t="str">
        <f t="shared" si="151"/>
        <v>Nominal</v>
      </c>
      <c r="H225" s="45" t="str">
        <f t="shared" si="152"/>
        <v>End year</v>
      </c>
      <c r="J225" s="58">
        <f t="shared" ref="J225:T225" si="157">J167+J196</f>
        <v>25.055872719531401</v>
      </c>
      <c r="K225" s="56">
        <f t="shared" si="157"/>
        <v>25.16344213386294</v>
      </c>
      <c r="L225" s="57">
        <f t="shared" si="157"/>
        <v>25.243718908576295</v>
      </c>
      <c r="M225" s="57">
        <f t="shared" si="157"/>
        <v>25.635209860299856</v>
      </c>
      <c r="N225" s="57">
        <f t="shared" si="157"/>
        <v>26.242369555155985</v>
      </c>
      <c r="O225" s="58">
        <f t="shared" si="157"/>
        <v>26.585498095309216</v>
      </c>
      <c r="P225" s="56">
        <f t="shared" si="157"/>
        <v>26.812415318451254</v>
      </c>
      <c r="Q225" s="57">
        <f t="shared" si="157"/>
        <v>27.05212525195806</v>
      </c>
      <c r="R225" s="57">
        <f t="shared" si="157"/>
        <v>27.303025255619989</v>
      </c>
      <c r="S225" s="57">
        <f t="shared" si="157"/>
        <v>27.564736355149481</v>
      </c>
      <c r="T225" s="58">
        <f t="shared" si="157"/>
        <v>27.839009283592386</v>
      </c>
    </row>
    <row r="226" spans="4:20" ht="12.3" x14ac:dyDescent="0.35">
      <c r="D226" s="10" t="str">
        <f t="shared" si="149"/>
        <v>Distribution Switchgear</v>
      </c>
      <c r="E226" s="45" t="s">
        <v>91</v>
      </c>
      <c r="F226" s="45" t="str">
        <f t="shared" si="150"/>
        <v>$Millions</v>
      </c>
      <c r="G226" s="45" t="str">
        <f t="shared" si="151"/>
        <v>Nominal</v>
      </c>
      <c r="H226" s="45" t="str">
        <f t="shared" si="152"/>
        <v>End year</v>
      </c>
      <c r="J226" s="58">
        <f t="shared" ref="J226:T226" si="158">J168+J197</f>
        <v>10.234106009760188</v>
      </c>
      <c r="K226" s="56">
        <f t="shared" si="158"/>
        <v>10.3172428667463</v>
      </c>
      <c r="L226" s="57">
        <f t="shared" si="158"/>
        <v>10.587645083373902</v>
      </c>
      <c r="M226" s="57">
        <f t="shared" si="158"/>
        <v>10.816439535688058</v>
      </c>
      <c r="N226" s="57">
        <f t="shared" si="158"/>
        <v>11.351094484060969</v>
      </c>
      <c r="O226" s="58">
        <f t="shared" si="158"/>
        <v>11.615819940186883</v>
      </c>
      <c r="P226" s="56">
        <f t="shared" si="158"/>
        <v>12.073994140470889</v>
      </c>
      <c r="Q226" s="57">
        <f t="shared" si="158"/>
        <v>12.559886753206939</v>
      </c>
      <c r="R226" s="57">
        <f t="shared" si="158"/>
        <v>13.072371795893496</v>
      </c>
      <c r="S226" s="57">
        <f t="shared" si="158"/>
        <v>13.611660678853694</v>
      </c>
      <c r="T226" s="58">
        <f t="shared" si="158"/>
        <v>14.180157057929884</v>
      </c>
    </row>
    <row r="227" spans="4:20" ht="12.3" x14ac:dyDescent="0.35">
      <c r="D227" s="10" t="str">
        <f t="shared" si="149"/>
        <v>Protection</v>
      </c>
      <c r="E227" s="45" t="s">
        <v>91</v>
      </c>
      <c r="F227" s="45" t="str">
        <f t="shared" si="150"/>
        <v>$Millions</v>
      </c>
      <c r="G227" s="45" t="str">
        <f t="shared" si="151"/>
        <v>Nominal</v>
      </c>
      <c r="H227" s="45" t="str">
        <f t="shared" si="152"/>
        <v>End year</v>
      </c>
      <c r="J227" s="58">
        <f t="shared" ref="J227:T227" si="159">J169+J198</f>
        <v>0</v>
      </c>
      <c r="K227" s="56">
        <f t="shared" si="159"/>
        <v>0</v>
      </c>
      <c r="L227" s="57">
        <f t="shared" si="159"/>
        <v>0</v>
      </c>
      <c r="M227" s="57">
        <f t="shared" si="159"/>
        <v>0</v>
      </c>
      <c r="N227" s="57">
        <f t="shared" si="159"/>
        <v>0</v>
      </c>
      <c r="O227" s="58">
        <f t="shared" si="159"/>
        <v>0</v>
      </c>
      <c r="P227" s="56">
        <f t="shared" si="159"/>
        <v>0</v>
      </c>
      <c r="Q227" s="57">
        <f t="shared" si="159"/>
        <v>0</v>
      </c>
      <c r="R227" s="57">
        <f t="shared" si="159"/>
        <v>0</v>
      </c>
      <c r="S227" s="57">
        <f t="shared" si="159"/>
        <v>0</v>
      </c>
      <c r="T227" s="58">
        <f t="shared" si="159"/>
        <v>0</v>
      </c>
    </row>
    <row r="228" spans="4:20" ht="12.3" x14ac:dyDescent="0.35">
      <c r="D228" s="10" t="str">
        <f t="shared" si="149"/>
        <v>SCADA</v>
      </c>
      <c r="E228" s="45" t="s">
        <v>91</v>
      </c>
      <c r="F228" s="45" t="str">
        <f t="shared" si="150"/>
        <v>$Millions</v>
      </c>
      <c r="G228" s="45" t="str">
        <f t="shared" si="151"/>
        <v>Nominal</v>
      </c>
      <c r="H228" s="45" t="str">
        <f t="shared" si="152"/>
        <v>End year</v>
      </c>
      <c r="J228" s="58">
        <f t="shared" ref="J228:T228" si="160">J170+J199</f>
        <v>0</v>
      </c>
      <c r="K228" s="56">
        <f t="shared" si="160"/>
        <v>0</v>
      </c>
      <c r="L228" s="57">
        <f t="shared" si="160"/>
        <v>0</v>
      </c>
      <c r="M228" s="57">
        <f t="shared" si="160"/>
        <v>0</v>
      </c>
      <c r="N228" s="57">
        <f t="shared" si="160"/>
        <v>0</v>
      </c>
      <c r="O228" s="58">
        <f t="shared" si="160"/>
        <v>0</v>
      </c>
      <c r="P228" s="56">
        <f t="shared" si="160"/>
        <v>0</v>
      </c>
      <c r="Q228" s="57">
        <f t="shared" si="160"/>
        <v>0</v>
      </c>
      <c r="R228" s="57">
        <f t="shared" si="160"/>
        <v>0</v>
      </c>
      <c r="S228" s="57">
        <f t="shared" si="160"/>
        <v>0</v>
      </c>
      <c r="T228" s="58">
        <f t="shared" si="160"/>
        <v>0</v>
      </c>
    </row>
    <row r="229" spans="4:20" ht="12.3" x14ac:dyDescent="0.35">
      <c r="D229" s="10" t="str">
        <f t="shared" si="149"/>
        <v>Communications</v>
      </c>
      <c r="E229" s="45" t="s">
        <v>91</v>
      </c>
      <c r="F229" s="45" t="str">
        <f t="shared" si="150"/>
        <v>$Millions</v>
      </c>
      <c r="G229" s="45" t="str">
        <f t="shared" si="151"/>
        <v>Nominal</v>
      </c>
      <c r="H229" s="45" t="str">
        <f t="shared" si="152"/>
        <v>End year</v>
      </c>
      <c r="J229" s="58">
        <f t="shared" ref="J229:T229" si="161">J171+J200</f>
        <v>0</v>
      </c>
      <c r="K229" s="56">
        <f t="shared" si="161"/>
        <v>0</v>
      </c>
      <c r="L229" s="57">
        <f t="shared" si="161"/>
        <v>0</v>
      </c>
      <c r="M229" s="57">
        <f t="shared" si="161"/>
        <v>0</v>
      </c>
      <c r="N229" s="57">
        <f t="shared" si="161"/>
        <v>0</v>
      </c>
      <c r="O229" s="58">
        <f t="shared" si="161"/>
        <v>0</v>
      </c>
      <c r="P229" s="56">
        <f t="shared" si="161"/>
        <v>0</v>
      </c>
      <c r="Q229" s="57">
        <f t="shared" si="161"/>
        <v>0</v>
      </c>
      <c r="R229" s="57">
        <f t="shared" si="161"/>
        <v>0</v>
      </c>
      <c r="S229" s="57">
        <f t="shared" si="161"/>
        <v>0</v>
      </c>
      <c r="T229" s="58">
        <f t="shared" si="161"/>
        <v>0</v>
      </c>
    </row>
    <row r="230" spans="4:20" ht="12.3" x14ac:dyDescent="0.35">
      <c r="D230" s="10" t="str">
        <f t="shared" si="149"/>
        <v>Land and Easements</v>
      </c>
      <c r="E230" s="45" t="s">
        <v>91</v>
      </c>
      <c r="F230" s="45" t="str">
        <f t="shared" si="150"/>
        <v>$Millions</v>
      </c>
      <c r="G230" s="45" t="str">
        <f t="shared" si="151"/>
        <v>Nominal</v>
      </c>
      <c r="H230" s="45" t="str">
        <f t="shared" si="152"/>
        <v>End year</v>
      </c>
      <c r="J230" s="58">
        <f t="shared" ref="J230:T230" si="162">J172+J201</f>
        <v>0</v>
      </c>
      <c r="K230" s="56">
        <f t="shared" si="162"/>
        <v>0</v>
      </c>
      <c r="L230" s="57">
        <f t="shared" si="162"/>
        <v>0</v>
      </c>
      <c r="M230" s="57">
        <f t="shared" si="162"/>
        <v>0</v>
      </c>
      <c r="N230" s="57">
        <f t="shared" si="162"/>
        <v>0</v>
      </c>
      <c r="O230" s="58">
        <f t="shared" si="162"/>
        <v>0</v>
      </c>
      <c r="P230" s="56">
        <f t="shared" si="162"/>
        <v>0</v>
      </c>
      <c r="Q230" s="57">
        <f t="shared" si="162"/>
        <v>0</v>
      </c>
      <c r="R230" s="57">
        <f t="shared" si="162"/>
        <v>0</v>
      </c>
      <c r="S230" s="57">
        <f t="shared" si="162"/>
        <v>0</v>
      </c>
      <c r="T230" s="58">
        <f t="shared" si="162"/>
        <v>0</v>
      </c>
    </row>
    <row r="231" spans="4:20" ht="12.3" x14ac:dyDescent="0.35">
      <c r="D231" s="10" t="str">
        <f t="shared" si="149"/>
        <v>Property</v>
      </c>
      <c r="E231" s="45" t="s">
        <v>91</v>
      </c>
      <c r="F231" s="45" t="str">
        <f t="shared" si="150"/>
        <v>$Millions</v>
      </c>
      <c r="G231" s="45" t="str">
        <f t="shared" si="151"/>
        <v>Nominal</v>
      </c>
      <c r="H231" s="45" t="str">
        <f t="shared" si="152"/>
        <v>End year</v>
      </c>
      <c r="J231" s="58">
        <f t="shared" ref="J231:T231" si="163">J173+J202</f>
        <v>0</v>
      </c>
      <c r="K231" s="56">
        <f t="shared" si="163"/>
        <v>0</v>
      </c>
      <c r="L231" s="57">
        <f t="shared" si="163"/>
        <v>0</v>
      </c>
      <c r="M231" s="57">
        <f t="shared" si="163"/>
        <v>0</v>
      </c>
      <c r="N231" s="57">
        <f t="shared" si="163"/>
        <v>0</v>
      </c>
      <c r="O231" s="58">
        <f t="shared" si="163"/>
        <v>0</v>
      </c>
      <c r="P231" s="56">
        <f t="shared" si="163"/>
        <v>0</v>
      </c>
      <c r="Q231" s="57">
        <f t="shared" si="163"/>
        <v>0</v>
      </c>
      <c r="R231" s="57">
        <f t="shared" si="163"/>
        <v>0</v>
      </c>
      <c r="S231" s="57">
        <f t="shared" si="163"/>
        <v>0</v>
      </c>
      <c r="T231" s="58">
        <f t="shared" si="163"/>
        <v>0</v>
      </c>
    </row>
    <row r="232" spans="4:20" ht="12.3" x14ac:dyDescent="0.35">
      <c r="D232" s="10" t="str">
        <f t="shared" si="149"/>
        <v>IT and Communications</v>
      </c>
      <c r="E232" s="45" t="s">
        <v>91</v>
      </c>
      <c r="F232" s="45" t="str">
        <f t="shared" si="150"/>
        <v>$Millions</v>
      </c>
      <c r="G232" s="45" t="str">
        <f t="shared" si="151"/>
        <v>Nominal</v>
      </c>
      <c r="H232" s="45" t="str">
        <f t="shared" si="152"/>
        <v>End year</v>
      </c>
      <c r="J232" s="58">
        <f t="shared" ref="J232:T232" si="164">J174+J203</f>
        <v>0</v>
      </c>
      <c r="K232" s="56">
        <f t="shared" si="164"/>
        <v>0</v>
      </c>
      <c r="L232" s="57">
        <f t="shared" si="164"/>
        <v>0</v>
      </c>
      <c r="M232" s="57">
        <f t="shared" si="164"/>
        <v>0</v>
      </c>
      <c r="N232" s="57">
        <f t="shared" si="164"/>
        <v>0</v>
      </c>
      <c r="O232" s="58">
        <f t="shared" si="164"/>
        <v>0</v>
      </c>
      <c r="P232" s="56">
        <f t="shared" si="164"/>
        <v>0</v>
      </c>
      <c r="Q232" s="57">
        <f t="shared" si="164"/>
        <v>0</v>
      </c>
      <c r="R232" s="57">
        <f t="shared" si="164"/>
        <v>0</v>
      </c>
      <c r="S232" s="57">
        <f t="shared" si="164"/>
        <v>0</v>
      </c>
      <c r="T232" s="58">
        <f t="shared" si="164"/>
        <v>0</v>
      </c>
    </row>
    <row r="233" spans="4:20" ht="12.3" x14ac:dyDescent="0.35">
      <c r="D233" s="10" t="str">
        <f t="shared" si="149"/>
        <v>Motor Vehicles</v>
      </c>
      <c r="E233" s="45" t="s">
        <v>91</v>
      </c>
      <c r="F233" s="45" t="str">
        <f t="shared" si="150"/>
        <v>$Millions</v>
      </c>
      <c r="G233" s="45" t="str">
        <f t="shared" si="151"/>
        <v>Nominal</v>
      </c>
      <c r="H233" s="45" t="str">
        <f t="shared" si="152"/>
        <v>End year</v>
      </c>
      <c r="J233" s="58">
        <f t="shared" ref="J233:T233" si="165">J175+J204</f>
        <v>0</v>
      </c>
      <c r="K233" s="56">
        <f t="shared" si="165"/>
        <v>0</v>
      </c>
      <c r="L233" s="57">
        <f t="shared" si="165"/>
        <v>0</v>
      </c>
      <c r="M233" s="57">
        <f t="shared" si="165"/>
        <v>0</v>
      </c>
      <c r="N233" s="57">
        <f t="shared" si="165"/>
        <v>0</v>
      </c>
      <c r="O233" s="58">
        <f t="shared" si="165"/>
        <v>0</v>
      </c>
      <c r="P233" s="56">
        <f t="shared" si="165"/>
        <v>0</v>
      </c>
      <c r="Q233" s="57">
        <f t="shared" si="165"/>
        <v>0</v>
      </c>
      <c r="R233" s="57">
        <f t="shared" si="165"/>
        <v>0</v>
      </c>
      <c r="S233" s="57">
        <f t="shared" si="165"/>
        <v>0</v>
      </c>
      <c r="T233" s="58">
        <f t="shared" si="165"/>
        <v>0</v>
      </c>
    </row>
    <row r="234" spans="4:20" ht="12.3" x14ac:dyDescent="0.35">
      <c r="D234" s="10" t="str">
        <f t="shared" si="149"/>
        <v>Plant and Equipment</v>
      </c>
      <c r="E234" s="45" t="s">
        <v>91</v>
      </c>
      <c r="F234" s="45" t="str">
        <f t="shared" si="150"/>
        <v>$Millions</v>
      </c>
      <c r="G234" s="45" t="str">
        <f t="shared" si="151"/>
        <v>Nominal</v>
      </c>
      <c r="H234" s="45" t="str">
        <f t="shared" si="152"/>
        <v>End year</v>
      </c>
      <c r="J234" s="58">
        <f t="shared" ref="J234:T234" si="166">J176+J205</f>
        <v>0</v>
      </c>
      <c r="K234" s="56">
        <f t="shared" si="166"/>
        <v>0</v>
      </c>
      <c r="L234" s="57">
        <f t="shared" si="166"/>
        <v>0</v>
      </c>
      <c r="M234" s="57">
        <f t="shared" si="166"/>
        <v>0</v>
      </c>
      <c r="N234" s="57">
        <f t="shared" si="166"/>
        <v>0</v>
      </c>
      <c r="O234" s="58">
        <f t="shared" si="166"/>
        <v>0</v>
      </c>
      <c r="P234" s="56">
        <f t="shared" si="166"/>
        <v>0</v>
      </c>
      <c r="Q234" s="57">
        <f t="shared" si="166"/>
        <v>0</v>
      </c>
      <c r="R234" s="57">
        <f t="shared" si="166"/>
        <v>0</v>
      </c>
      <c r="S234" s="57">
        <f t="shared" si="166"/>
        <v>0</v>
      </c>
      <c r="T234" s="58">
        <f t="shared" si="166"/>
        <v>0</v>
      </c>
    </row>
    <row r="235" spans="4:20" ht="12.3" x14ac:dyDescent="0.35">
      <c r="D235" s="10" t="str">
        <f t="shared" si="149"/>
        <v>Property Leases</v>
      </c>
      <c r="E235" s="45" t="s">
        <v>91</v>
      </c>
      <c r="F235" s="45" t="str">
        <f t="shared" si="150"/>
        <v>$Millions</v>
      </c>
      <c r="G235" s="45" t="str">
        <f t="shared" si="151"/>
        <v>Nominal</v>
      </c>
      <c r="H235" s="45" t="str">
        <f t="shared" si="152"/>
        <v>End year</v>
      </c>
      <c r="J235" s="58">
        <f t="shared" ref="J235:T235" si="167">J177+J206</f>
        <v>0</v>
      </c>
      <c r="K235" s="56">
        <f t="shared" si="167"/>
        <v>0</v>
      </c>
      <c r="L235" s="57">
        <f t="shared" si="167"/>
        <v>0</v>
      </c>
      <c r="M235" s="57">
        <f t="shared" si="167"/>
        <v>0</v>
      </c>
      <c r="N235" s="57">
        <f t="shared" si="167"/>
        <v>0</v>
      </c>
      <c r="O235" s="58">
        <f t="shared" si="167"/>
        <v>0</v>
      </c>
      <c r="P235" s="56">
        <f t="shared" si="167"/>
        <v>0</v>
      </c>
      <c r="Q235" s="57">
        <f t="shared" si="167"/>
        <v>0</v>
      </c>
      <c r="R235" s="57">
        <f t="shared" si="167"/>
        <v>0</v>
      </c>
      <c r="S235" s="57">
        <f t="shared" si="167"/>
        <v>0</v>
      </c>
      <c r="T235" s="58">
        <f t="shared" si="167"/>
        <v>0</v>
      </c>
    </row>
    <row r="236" spans="4:20" ht="12.3" x14ac:dyDescent="0.35">
      <c r="D236" s="10" t="str">
        <f t="shared" si="149"/>
        <v>Fleet Leases</v>
      </c>
      <c r="E236" s="45" t="s">
        <v>91</v>
      </c>
      <c r="F236" s="45" t="str">
        <f t="shared" si="150"/>
        <v>$Millions</v>
      </c>
      <c r="G236" s="45" t="str">
        <f t="shared" si="151"/>
        <v>Nominal</v>
      </c>
      <c r="H236" s="45" t="str">
        <f t="shared" si="152"/>
        <v>End year</v>
      </c>
      <c r="J236" s="58">
        <f t="shared" ref="J236:T237" si="168">J178+J207</f>
        <v>0</v>
      </c>
      <c r="K236" s="56">
        <f t="shared" si="168"/>
        <v>0</v>
      </c>
      <c r="L236" s="57">
        <f t="shared" si="168"/>
        <v>0</v>
      </c>
      <c r="M236" s="57">
        <f t="shared" si="168"/>
        <v>0</v>
      </c>
      <c r="N236" s="57">
        <f t="shared" si="168"/>
        <v>0</v>
      </c>
      <c r="O236" s="58">
        <f t="shared" si="168"/>
        <v>0</v>
      </c>
      <c r="P236" s="56">
        <f t="shared" si="168"/>
        <v>0</v>
      </c>
      <c r="Q236" s="57">
        <f t="shared" si="168"/>
        <v>0</v>
      </c>
      <c r="R236" s="57">
        <f t="shared" si="168"/>
        <v>0</v>
      </c>
      <c r="S236" s="57">
        <f t="shared" si="168"/>
        <v>0</v>
      </c>
      <c r="T236" s="58">
        <f t="shared" si="168"/>
        <v>0</v>
      </c>
    </row>
    <row r="237" spans="4:20" ht="12.3" x14ac:dyDescent="0.35">
      <c r="D237" s="10" t="str">
        <f t="shared" si="149"/>
        <v>Community Batteries</v>
      </c>
      <c r="E237" s="45" t="s">
        <v>91</v>
      </c>
      <c r="F237" s="45" t="str">
        <f t="shared" si="150"/>
        <v>$Millions</v>
      </c>
      <c r="G237" s="45" t="str">
        <f t="shared" si="151"/>
        <v>Nominal</v>
      </c>
      <c r="H237" s="45" t="str">
        <f t="shared" si="152"/>
        <v>End year</v>
      </c>
      <c r="J237" s="58">
        <f t="shared" si="168"/>
        <v>0</v>
      </c>
      <c r="K237" s="56">
        <f t="shared" si="168"/>
        <v>0</v>
      </c>
      <c r="L237" s="57">
        <f t="shared" si="168"/>
        <v>0</v>
      </c>
      <c r="M237" s="57">
        <f t="shared" si="168"/>
        <v>0</v>
      </c>
      <c r="N237" s="57">
        <f t="shared" si="168"/>
        <v>0</v>
      </c>
      <c r="O237" s="58">
        <f t="shared" si="168"/>
        <v>0</v>
      </c>
      <c r="P237" s="56">
        <f t="shared" si="168"/>
        <v>0</v>
      </c>
      <c r="Q237" s="57">
        <f t="shared" si="168"/>
        <v>0</v>
      </c>
      <c r="R237" s="57">
        <f t="shared" si="168"/>
        <v>0</v>
      </c>
      <c r="S237" s="57">
        <f t="shared" si="168"/>
        <v>0</v>
      </c>
      <c r="T237" s="58">
        <f t="shared" si="168"/>
        <v>0</v>
      </c>
    </row>
    <row r="238" spans="4:20" ht="12.3" x14ac:dyDescent="0.35">
      <c r="D238" s="10" t="str">
        <f t="shared" si="149"/>
        <v>Buildings</v>
      </c>
      <c r="E238" s="45" t="s">
        <v>91</v>
      </c>
      <c r="F238" s="45" t="str">
        <f t="shared" si="150"/>
        <v>$Millions</v>
      </c>
      <c r="G238" s="45" t="str">
        <f t="shared" si="151"/>
        <v>Nominal</v>
      </c>
      <c r="H238" s="45" t="str">
        <f t="shared" si="152"/>
        <v>End year</v>
      </c>
      <c r="J238" s="58">
        <f t="shared" ref="J238:T238" si="169">J180+J209</f>
        <v>0</v>
      </c>
      <c r="K238" s="56">
        <f t="shared" si="169"/>
        <v>0</v>
      </c>
      <c r="L238" s="57">
        <f t="shared" si="169"/>
        <v>0</v>
      </c>
      <c r="M238" s="57">
        <f t="shared" si="169"/>
        <v>0</v>
      </c>
      <c r="N238" s="57">
        <f t="shared" si="169"/>
        <v>0</v>
      </c>
      <c r="O238" s="58">
        <f t="shared" si="169"/>
        <v>0</v>
      </c>
      <c r="P238" s="56">
        <f t="shared" si="169"/>
        <v>0</v>
      </c>
      <c r="Q238" s="57">
        <f t="shared" si="169"/>
        <v>0</v>
      </c>
      <c r="R238" s="57">
        <f t="shared" si="169"/>
        <v>0</v>
      </c>
      <c r="S238" s="57">
        <f t="shared" si="169"/>
        <v>0</v>
      </c>
      <c r="T238" s="58">
        <f t="shared" si="169"/>
        <v>0</v>
      </c>
    </row>
    <row r="239" spans="4:20" ht="12.3" x14ac:dyDescent="0.35">
      <c r="D239" s="10" t="str">
        <f t="shared" si="149"/>
        <v>in-house software</v>
      </c>
      <c r="E239" s="45" t="s">
        <v>91</v>
      </c>
      <c r="F239" s="45" t="str">
        <f t="shared" si="150"/>
        <v>$Millions</v>
      </c>
      <c r="G239" s="45" t="str">
        <f t="shared" si="151"/>
        <v>Nominal</v>
      </c>
      <c r="H239" s="45" t="str">
        <f t="shared" si="152"/>
        <v>End year</v>
      </c>
      <c r="J239" s="58">
        <f t="shared" ref="J239:T239" si="170">J181+J210</f>
        <v>0</v>
      </c>
      <c r="K239" s="56">
        <f t="shared" si="170"/>
        <v>0</v>
      </c>
      <c r="L239" s="57">
        <f t="shared" si="170"/>
        <v>0</v>
      </c>
      <c r="M239" s="57">
        <f t="shared" si="170"/>
        <v>0</v>
      </c>
      <c r="N239" s="57">
        <f t="shared" si="170"/>
        <v>0</v>
      </c>
      <c r="O239" s="58">
        <f t="shared" si="170"/>
        <v>0</v>
      </c>
      <c r="P239" s="56">
        <f t="shared" si="170"/>
        <v>0</v>
      </c>
      <c r="Q239" s="57">
        <f t="shared" si="170"/>
        <v>0</v>
      </c>
      <c r="R239" s="57">
        <f t="shared" si="170"/>
        <v>0</v>
      </c>
      <c r="S239" s="57">
        <f t="shared" si="170"/>
        <v>0</v>
      </c>
      <c r="T239" s="58">
        <f t="shared" si="170"/>
        <v>0</v>
      </c>
    </row>
    <row r="240" spans="4:20" ht="12.3" x14ac:dyDescent="0.35">
      <c r="D240" s="10" t="str">
        <f t="shared" ref="D240" si="171">D37</f>
        <v>Equity Raising Costs</v>
      </c>
      <c r="E240" s="45" t="s">
        <v>91</v>
      </c>
      <c r="F240" s="45" t="str">
        <f t="shared" si="150"/>
        <v>$Millions</v>
      </c>
      <c r="G240" s="45" t="str">
        <f t="shared" si="151"/>
        <v>Nominal</v>
      </c>
      <c r="H240" s="45" t="str">
        <f t="shared" si="152"/>
        <v>End year</v>
      </c>
      <c r="J240" s="58">
        <f t="shared" ref="J240:T240" si="172">J182+J211</f>
        <v>0</v>
      </c>
      <c r="K240" s="56">
        <f t="shared" si="172"/>
        <v>0</v>
      </c>
      <c r="L240" s="57">
        <f t="shared" si="172"/>
        <v>0</v>
      </c>
      <c r="M240" s="57">
        <f t="shared" si="172"/>
        <v>0</v>
      </c>
      <c r="N240" s="57">
        <f t="shared" si="172"/>
        <v>0</v>
      </c>
      <c r="O240" s="58">
        <f t="shared" si="172"/>
        <v>0</v>
      </c>
      <c r="P240" s="56">
        <f t="shared" si="172"/>
        <v>0</v>
      </c>
      <c r="Q240" s="57">
        <f t="shared" si="172"/>
        <v>0</v>
      </c>
      <c r="R240" s="57">
        <f t="shared" si="172"/>
        <v>0</v>
      </c>
      <c r="S240" s="57">
        <f t="shared" si="172"/>
        <v>0</v>
      </c>
      <c r="T240" s="58">
        <f t="shared" si="172"/>
        <v>0</v>
      </c>
    </row>
    <row r="241" spans="1:20" x14ac:dyDescent="0.35">
      <c r="J241" s="49"/>
      <c r="K241" s="48"/>
      <c r="O241" s="49"/>
      <c r="P241" s="48"/>
      <c r="T241" s="49"/>
    </row>
    <row r="242" spans="1:20" ht="12.3" x14ac:dyDescent="0.35">
      <c r="D242" s="44" t="str">
        <f>"Total "&amp;D219</f>
        <v>Total RAB asset class</v>
      </c>
      <c r="E242" s="40" t="s">
        <v>91</v>
      </c>
      <c r="F242" s="40" t="str">
        <f>F221</f>
        <v>$Millions</v>
      </c>
      <c r="G242" s="40" t="str">
        <f>G221</f>
        <v>Nominal</v>
      </c>
      <c r="H242" s="40" t="str">
        <f>H221</f>
        <v>End year</v>
      </c>
      <c r="J242" s="54">
        <f t="shared" ref="J242:T242" si="173">SUM(J221:J240)</f>
        <v>97.566658167635353</v>
      </c>
      <c r="K242" s="53">
        <f t="shared" si="173"/>
        <v>98.104964230458464</v>
      </c>
      <c r="L242" s="39">
        <f t="shared" si="173"/>
        <v>99.093562045386406</v>
      </c>
      <c r="M242" s="39">
        <f t="shared" si="173"/>
        <v>101.52220835713396</v>
      </c>
      <c r="N242" s="39">
        <f t="shared" si="173"/>
        <v>106.30981629957805</v>
      </c>
      <c r="O242" s="54">
        <f t="shared" si="173"/>
        <v>109.51635787856974</v>
      </c>
      <c r="P242" s="53">
        <f t="shared" si="173"/>
        <v>112.16300338099983</v>
      </c>
      <c r="Q242" s="39">
        <f t="shared" si="173"/>
        <v>115.08911610246209</v>
      </c>
      <c r="R242" s="39">
        <f t="shared" si="173"/>
        <v>118.12213806451129</v>
      </c>
      <c r="S242" s="39">
        <f t="shared" si="173"/>
        <v>120.96333626679096</v>
      </c>
      <c r="T242" s="54">
        <f t="shared" si="173"/>
        <v>123.9211482232807</v>
      </c>
    </row>
    <row r="243" spans="1:20" ht="11.25" customHeight="1" x14ac:dyDescent="0.35"/>
    <row r="244" spans="1:20" ht="11.25" customHeight="1" x14ac:dyDescent="0.35">
      <c r="A244" s="42">
        <f>IF(SUM($J244:$T244)&lt;&gt;0,1,0)</f>
        <v>0</v>
      </c>
      <c r="D244" s="10" t="s">
        <v>94</v>
      </c>
      <c r="J244" s="42">
        <f t="shared" ref="J244:T244" si="174">IF(ROUND(SUM(J39,J68,J97,J126,J155,J213)-J242,5)&lt;&gt;0,1,0)</f>
        <v>0</v>
      </c>
      <c r="K244" s="42">
        <f t="shared" si="174"/>
        <v>0</v>
      </c>
      <c r="L244" s="42">
        <f t="shared" si="174"/>
        <v>0</v>
      </c>
      <c r="M244" s="42">
        <f t="shared" si="174"/>
        <v>0</v>
      </c>
      <c r="N244" s="42">
        <f t="shared" si="174"/>
        <v>0</v>
      </c>
      <c r="O244" s="42">
        <f t="shared" si="174"/>
        <v>0</v>
      </c>
      <c r="P244" s="42">
        <f t="shared" si="174"/>
        <v>0</v>
      </c>
      <c r="Q244" s="42">
        <f t="shared" si="174"/>
        <v>0</v>
      </c>
      <c r="R244" s="42">
        <f t="shared" si="174"/>
        <v>0</v>
      </c>
      <c r="S244" s="42">
        <f t="shared" si="174"/>
        <v>0</v>
      </c>
      <c r="T244" s="42">
        <f t="shared" si="174"/>
        <v>0</v>
      </c>
    </row>
    <row r="246" spans="1:20" s="2" customFormat="1" ht="15" x14ac:dyDescent="0.35">
      <c r="B246" s="2" t="s">
        <v>26</v>
      </c>
    </row>
  </sheetData>
  <conditionalFormatting sqref="B2">
    <cfRule type="cellIs" dxfId="13" priority="1" operator="notEqual">
      <formula>"No Errors Found"</formula>
    </cfRule>
  </conditionalFormatting>
  <hyperlinks>
    <hyperlink ref="B3:E3" location="TOC!A1" display="TOC!A1"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tint="0.59999389629810485"/>
  </sheetPr>
  <dimension ref="A1:T246"/>
  <sheetViews>
    <sheetView showGridLines="0" zoomScaleNormal="100" workbookViewId="0">
      <pane xSplit="1" ySplit="10" topLeftCell="B11" activePane="bottomRight" state="frozen"/>
      <selection activeCell="D44" sqref="D44"/>
      <selection pane="topRight" activeCell="D44" sqref="D44"/>
      <selection pane="bottomLeft" activeCell="D44" sqref="D44"/>
      <selection pane="bottomRight" activeCell="B11" sqref="B11"/>
    </sheetView>
  </sheetViews>
  <sheetFormatPr defaultColWidth="9.33203125" defaultRowHeight="10.199999999999999" outlineLevelRow="1" x14ac:dyDescent="0.35"/>
  <cols>
    <col min="1" max="1" width="3.33203125" customWidth="1"/>
    <col min="2" max="3" width="2.796875" customWidth="1"/>
    <col min="4" max="4" width="47.46484375" customWidth="1"/>
    <col min="5" max="8" width="12.1328125" customWidth="1"/>
    <col min="9" max="9" width="4.46484375" customWidth="1"/>
    <col min="10" max="20" width="12.796875" customWidth="1"/>
    <col min="21" max="21" width="4.33203125" customWidth="1"/>
    <col min="22" max="23" width="10.796875" customWidth="1"/>
  </cols>
  <sheetData>
    <row r="1" spans="1:20" ht="18.899999999999999" x14ac:dyDescent="0.35">
      <c r="A1" s="42">
        <f>IF(SUM($A11:$A246)&gt;0,1,0)</f>
        <v>0</v>
      </c>
      <c r="B1" s="287" t="s">
        <v>440</v>
      </c>
    </row>
    <row r="2" spans="1:20" x14ac:dyDescent="0.35">
      <c r="B2" s="13" t="str">
        <f>Title_Msg</f>
        <v>No Errors Found</v>
      </c>
    </row>
    <row r="3" spans="1:20" x14ac:dyDescent="0.35">
      <c r="B3" s="30" t="str">
        <f>TOC!B1</f>
        <v>Table of Contents</v>
      </c>
      <c r="C3" s="28"/>
      <c r="D3" s="28"/>
      <c r="E3" s="28"/>
    </row>
    <row r="4" spans="1:20" ht="12.3" x14ac:dyDescent="0.35">
      <c r="B4" s="27" t="str">
        <f>Model_Name</f>
        <v>Power and Water Corporation (PWC) - RAB Allocation - EB RIN</v>
      </c>
    </row>
    <row r="5" spans="1:20" ht="12.3" hidden="1" outlineLevel="1" x14ac:dyDescent="0.35">
      <c r="B5" s="10" t="str">
        <f>Lookup!B15</f>
        <v>Period start date</v>
      </c>
      <c r="J5" s="35">
        <f>Lookup!R15</f>
        <v>43282</v>
      </c>
      <c r="K5" s="35">
        <f>Lookup!S15</f>
        <v>43647</v>
      </c>
      <c r="L5" s="35">
        <f>Lookup!T15</f>
        <v>44013</v>
      </c>
      <c r="M5" s="35">
        <f>Lookup!U15</f>
        <v>44378</v>
      </c>
      <c r="N5" s="35">
        <f>Lookup!V15</f>
        <v>44743</v>
      </c>
      <c r="O5" s="35">
        <f>Lookup!W15</f>
        <v>45108</v>
      </c>
      <c r="P5" s="35">
        <f>Lookup!X15</f>
        <v>45474</v>
      </c>
      <c r="Q5" s="35">
        <f>Lookup!Y15</f>
        <v>45839</v>
      </c>
      <c r="R5" s="35">
        <f>Lookup!Z15</f>
        <v>46204</v>
      </c>
      <c r="S5" s="35">
        <f>Lookup!AA15</f>
        <v>46569</v>
      </c>
      <c r="T5" s="35">
        <f>Lookup!AB15</f>
        <v>46935</v>
      </c>
    </row>
    <row r="6" spans="1:20" ht="12.3" hidden="1" outlineLevel="1" x14ac:dyDescent="0.35">
      <c r="B6" s="10" t="str">
        <f>Lookup!B16</f>
        <v>Period end date</v>
      </c>
      <c r="J6" s="35">
        <f>Lookup!R16</f>
        <v>43646</v>
      </c>
      <c r="K6" s="35">
        <f>Lookup!S16</f>
        <v>44012</v>
      </c>
      <c r="L6" s="35">
        <f>Lookup!T16</f>
        <v>44377</v>
      </c>
      <c r="M6" s="35">
        <f>Lookup!U16</f>
        <v>44742</v>
      </c>
      <c r="N6" s="35">
        <f>Lookup!V16</f>
        <v>45107</v>
      </c>
      <c r="O6" s="35">
        <f>Lookup!W16</f>
        <v>45473</v>
      </c>
      <c r="P6" s="35">
        <f>Lookup!X16</f>
        <v>45838</v>
      </c>
      <c r="Q6" s="35">
        <f>Lookup!Y16</f>
        <v>46203</v>
      </c>
      <c r="R6" s="35">
        <f>Lookup!Z16</f>
        <v>46568</v>
      </c>
      <c r="S6" s="35">
        <f>Lookup!AA16</f>
        <v>46934</v>
      </c>
      <c r="T6" s="35">
        <f>Lookup!AB16</f>
        <v>47299</v>
      </c>
    </row>
    <row r="7" spans="1:20" ht="12.3" hidden="1" outlineLevel="1" x14ac:dyDescent="0.35">
      <c r="B7" s="10" t="str">
        <f>Lookup!B17</f>
        <v>Period counter</v>
      </c>
      <c r="J7" s="36">
        <f>Lookup!R17</f>
        <v>9</v>
      </c>
      <c r="K7" s="36">
        <f>Lookup!S17</f>
        <v>10</v>
      </c>
      <c r="L7" s="36">
        <f>Lookup!T17</f>
        <v>11</v>
      </c>
      <c r="M7" s="36">
        <f>Lookup!U17</f>
        <v>12</v>
      </c>
      <c r="N7" s="36">
        <f>Lookup!V17</f>
        <v>13</v>
      </c>
      <c r="O7" s="36">
        <f>Lookup!W17</f>
        <v>14</v>
      </c>
      <c r="P7" s="36">
        <f>Lookup!X17</f>
        <v>15</v>
      </c>
      <c r="Q7" s="36">
        <f>Lookup!Y17</f>
        <v>16</v>
      </c>
      <c r="R7" s="36">
        <f>Lookup!Z17</f>
        <v>17</v>
      </c>
      <c r="S7" s="36">
        <f>Lookup!AA17</f>
        <v>18</v>
      </c>
      <c r="T7" s="36">
        <f>Lookup!AB17</f>
        <v>19</v>
      </c>
    </row>
    <row r="8" spans="1:20" ht="12.3" hidden="1" outlineLevel="1" x14ac:dyDescent="0.35">
      <c r="B8" s="10" t="str">
        <f>Lookup!B18</f>
        <v>Year</v>
      </c>
      <c r="J8" s="37">
        <f>Lookup!R18</f>
        <v>2019</v>
      </c>
      <c r="K8" s="37">
        <f>Lookup!S18</f>
        <v>2020</v>
      </c>
      <c r="L8" s="37">
        <f>Lookup!T18</f>
        <v>2021</v>
      </c>
      <c r="M8" s="37">
        <f>Lookup!U18</f>
        <v>2022</v>
      </c>
      <c r="N8" s="37">
        <f>Lookup!V18</f>
        <v>2023</v>
      </c>
      <c r="O8" s="37">
        <f>Lookup!W18</f>
        <v>2024</v>
      </c>
      <c r="P8" s="37">
        <f>Lookup!X18</f>
        <v>2025</v>
      </c>
      <c r="Q8" s="37">
        <f>Lookup!Y18</f>
        <v>2026</v>
      </c>
      <c r="R8" s="37">
        <f>Lookup!Z18</f>
        <v>2027</v>
      </c>
      <c r="S8" s="37">
        <f>Lookup!AA18</f>
        <v>2028</v>
      </c>
      <c r="T8" s="37">
        <f>Lookup!AB18</f>
        <v>2029</v>
      </c>
    </row>
    <row r="9" spans="1:20" ht="12.3" hidden="1" outlineLevel="1" x14ac:dyDescent="0.35">
      <c r="B9" s="10" t="str">
        <f>Lookup!B19</f>
        <v>Period type</v>
      </c>
      <c r="J9" s="37" t="str">
        <f>Lookup!R19</f>
        <v>Actual</v>
      </c>
      <c r="K9" s="37" t="str">
        <f>Lookup!S19</f>
        <v>Actual</v>
      </c>
      <c r="L9" s="37" t="str">
        <f>Lookup!T19</f>
        <v>Actual</v>
      </c>
      <c r="M9" s="37" t="str">
        <f>Lookup!U19</f>
        <v>Base Year</v>
      </c>
      <c r="N9" s="37" t="str">
        <f>Lookup!V19</f>
        <v>Estimate</v>
      </c>
      <c r="O9" s="37" t="str">
        <f>Lookup!W19</f>
        <v>Estimate</v>
      </c>
      <c r="P9" s="37" t="str">
        <f>Lookup!X19</f>
        <v>Forecast</v>
      </c>
      <c r="Q9" s="37" t="str">
        <f>Lookup!Y19</f>
        <v>Forecast</v>
      </c>
      <c r="R9" s="37" t="str">
        <f>Lookup!Z19</f>
        <v>Forecast</v>
      </c>
      <c r="S9" s="37" t="str">
        <f>Lookup!AA19</f>
        <v>Forecast</v>
      </c>
      <c r="T9" s="37" t="str">
        <f>Lookup!AB19</f>
        <v>Forecast</v>
      </c>
    </row>
    <row r="10" spans="1:20" ht="12.3" collapsed="1" x14ac:dyDescent="0.35">
      <c r="B10" s="5" t="str">
        <f>Lookup!B20</f>
        <v>Regulatory year</v>
      </c>
      <c r="E10" s="34" t="str">
        <f>Lookup!E20</f>
        <v>Source</v>
      </c>
      <c r="F10" s="34" t="str">
        <f>Lookup!F20</f>
        <v>Unit</v>
      </c>
      <c r="G10" s="34" t="str">
        <f>Lookup!G20</f>
        <v>Basis</v>
      </c>
      <c r="H10" s="34" t="str">
        <f>Lookup!H20</f>
        <v>Timing</v>
      </c>
      <c r="I10" s="34"/>
      <c r="J10" s="34" t="str">
        <f>Lookup!R20</f>
        <v>RY19</v>
      </c>
      <c r="K10" s="34" t="str">
        <f>Lookup!S20</f>
        <v>RY20</v>
      </c>
      <c r="L10" s="34" t="str">
        <f>Lookup!T20</f>
        <v>RY21</v>
      </c>
      <c r="M10" s="34" t="str">
        <f>Lookup!U20</f>
        <v>RY22</v>
      </c>
      <c r="N10" s="34" t="str">
        <f>Lookup!V20</f>
        <v>RY23</v>
      </c>
      <c r="O10" s="34" t="str">
        <f>Lookup!W20</f>
        <v>RY24</v>
      </c>
      <c r="P10" s="34" t="str">
        <f>Lookup!X20</f>
        <v>RY25</v>
      </c>
      <c r="Q10" s="34" t="str">
        <f>Lookup!Y20</f>
        <v>RY26</v>
      </c>
      <c r="R10" s="34" t="str">
        <f>Lookup!Z20</f>
        <v>RY27</v>
      </c>
      <c r="S10" s="34" t="str">
        <f>Lookup!AA20</f>
        <v>RY28</v>
      </c>
      <c r="T10" s="34" t="str">
        <f>Lookup!AB20</f>
        <v>RY29</v>
      </c>
    </row>
    <row r="12" spans="1:20" s="2" customFormat="1" ht="15" x14ac:dyDescent="0.35">
      <c r="B12" s="2" t="s">
        <v>148</v>
      </c>
    </row>
    <row r="13" spans="1:20" ht="4.5" customHeight="1" x14ac:dyDescent="0.35"/>
    <row r="14" spans="1:20" s="8" customFormat="1" ht="14.1" x14ac:dyDescent="0.35">
      <c r="C14" s="8" t="s">
        <v>402</v>
      </c>
    </row>
    <row r="15" spans="1:20" ht="11.25" customHeight="1" x14ac:dyDescent="0.35"/>
    <row r="16" spans="1:20" ht="12.3" x14ac:dyDescent="0.35">
      <c r="D16" s="43" t="s">
        <v>401</v>
      </c>
      <c r="E16" s="38" t="str">
        <f>Lookup!E$20</f>
        <v>Source</v>
      </c>
      <c r="F16" s="38" t="str">
        <f>Lookup!F$20</f>
        <v>Unit</v>
      </c>
      <c r="G16" s="38" t="str">
        <f>Lookup!G$20</f>
        <v>Basis</v>
      </c>
      <c r="H16" s="38" t="str">
        <f>Lookup!H$20</f>
        <v>Timing</v>
      </c>
      <c r="J16" s="47" t="str">
        <f t="shared" ref="J16:T16" si="0">J$10</f>
        <v>RY19</v>
      </c>
      <c r="K16" s="46" t="str">
        <f t="shared" si="0"/>
        <v>RY20</v>
      </c>
      <c r="L16" s="38" t="str">
        <f>L$10</f>
        <v>RY21</v>
      </c>
      <c r="M16" s="38" t="str">
        <f t="shared" si="0"/>
        <v>RY22</v>
      </c>
      <c r="N16" s="38" t="str">
        <f t="shared" si="0"/>
        <v>RY23</v>
      </c>
      <c r="O16" s="47" t="str">
        <f t="shared" si="0"/>
        <v>RY24</v>
      </c>
      <c r="P16" s="46" t="str">
        <f t="shared" si="0"/>
        <v>RY25</v>
      </c>
      <c r="Q16" s="38" t="str">
        <f>Q$10</f>
        <v>RY26</v>
      </c>
      <c r="R16" s="38" t="str">
        <f t="shared" si="0"/>
        <v>RY27</v>
      </c>
      <c r="S16" s="38" t="str">
        <f t="shared" si="0"/>
        <v>RY28</v>
      </c>
      <c r="T16" s="47" t="str">
        <f t="shared" si="0"/>
        <v>RY29</v>
      </c>
    </row>
    <row r="17" spans="4:20" x14ac:dyDescent="0.35">
      <c r="J17" s="49"/>
      <c r="K17" s="48"/>
      <c r="O17" s="49"/>
      <c r="P17" s="48"/>
      <c r="T17" s="49"/>
    </row>
    <row r="18" spans="4:20" ht="12.3" x14ac:dyDescent="0.35">
      <c r="D18" s="10" t="str">
        <f>Lookup!D71</f>
        <v>Substations</v>
      </c>
      <c r="E18" s="45" t="s">
        <v>91</v>
      </c>
      <c r="F18" s="45" t="str">
        <f t="shared" ref="F18:F37" si="1">Millions</f>
        <v>$Millions</v>
      </c>
      <c r="G18" s="45" t="str">
        <f t="shared" ref="G18:G37" si="2">Nominal</f>
        <v>Nominal</v>
      </c>
      <c r="H18" s="45" t="str">
        <f t="shared" ref="H18:H37" si="3">Start_year</f>
        <v>Start year</v>
      </c>
      <c r="J18" s="58">
        <f>Input_RAB_SCS!J18-Calc_RAB_Connection!J18</f>
        <v>302.05380459241434</v>
      </c>
      <c r="K18" s="56">
        <f t="shared" ref="K18:T18" si="4">J221</f>
        <v>268.56921362647154</v>
      </c>
      <c r="L18" s="57">
        <f t="shared" si="4"/>
        <v>273.91279026633384</v>
      </c>
      <c r="M18" s="57">
        <f t="shared" si="4"/>
        <v>269.77621313494836</v>
      </c>
      <c r="N18" s="57">
        <f t="shared" si="4"/>
        <v>271.0040939068233</v>
      </c>
      <c r="O18" s="58">
        <f t="shared" si="4"/>
        <v>285.24939154493137</v>
      </c>
      <c r="P18" s="56">
        <f t="shared" si="4"/>
        <v>295.46542520242537</v>
      </c>
      <c r="Q18" s="57">
        <f t="shared" si="4"/>
        <v>301.20458656271086</v>
      </c>
      <c r="R18" s="57">
        <f t="shared" si="4"/>
        <v>303.82385306222454</v>
      </c>
      <c r="S18" s="57">
        <f t="shared" si="4"/>
        <v>292.61022492292562</v>
      </c>
      <c r="T18" s="58">
        <f t="shared" si="4"/>
        <v>279.67713195694216</v>
      </c>
    </row>
    <row r="19" spans="4:20" ht="12.3" x14ac:dyDescent="0.35">
      <c r="D19" s="10" t="str">
        <f>Lookup!D72</f>
        <v>Distribution Lines</v>
      </c>
      <c r="E19" s="45" t="str">
        <f t="shared" ref="E19:E36" si="5">E18</f>
        <v>Calculated</v>
      </c>
      <c r="F19" s="45" t="str">
        <f t="shared" si="1"/>
        <v>$Millions</v>
      </c>
      <c r="G19" s="45" t="str">
        <f t="shared" si="2"/>
        <v>Nominal</v>
      </c>
      <c r="H19" s="45" t="str">
        <f t="shared" si="3"/>
        <v>Start year</v>
      </c>
      <c r="J19" s="58">
        <f>Input_RAB_SCS!J19-Calc_RAB_Connection!J19</f>
        <v>182.66010403037055</v>
      </c>
      <c r="K19" s="56">
        <f t="shared" ref="K19:T19" si="6">J222</f>
        <v>181.75935989886969</v>
      </c>
      <c r="L19" s="57">
        <f t="shared" si="6"/>
        <v>186.16966258607172</v>
      </c>
      <c r="M19" s="57">
        <f t="shared" si="6"/>
        <v>189.01106040444299</v>
      </c>
      <c r="N19" s="57">
        <f t="shared" si="6"/>
        <v>205.51741662792369</v>
      </c>
      <c r="O19" s="58">
        <f t="shared" si="6"/>
        <v>241.4025714267722</v>
      </c>
      <c r="P19" s="56">
        <f t="shared" si="6"/>
        <v>266.50387787873865</v>
      </c>
      <c r="Q19" s="57">
        <f t="shared" si="6"/>
        <v>282.70232609953365</v>
      </c>
      <c r="R19" s="57">
        <f t="shared" si="6"/>
        <v>301.14430296679143</v>
      </c>
      <c r="S19" s="57">
        <f t="shared" si="6"/>
        <v>320.07550713037693</v>
      </c>
      <c r="T19" s="58">
        <f t="shared" si="6"/>
        <v>336.38797028180858</v>
      </c>
    </row>
    <row r="20" spans="4:20" ht="12.3" x14ac:dyDescent="0.35">
      <c r="D20" s="10" t="str">
        <f>Lookup!D73</f>
        <v>Transmission Lines</v>
      </c>
      <c r="E20" s="45" t="str">
        <f t="shared" si="5"/>
        <v>Calculated</v>
      </c>
      <c r="F20" s="45" t="str">
        <f t="shared" si="1"/>
        <v>$Millions</v>
      </c>
      <c r="G20" s="45" t="str">
        <f t="shared" si="2"/>
        <v>Nominal</v>
      </c>
      <c r="H20" s="45" t="str">
        <f t="shared" si="3"/>
        <v>Start year</v>
      </c>
      <c r="J20" s="58">
        <f>Input_RAB_SCS!J20-Calc_RAB_Connection!J20</f>
        <v>179.32496665981935</v>
      </c>
      <c r="K20" s="56">
        <f t="shared" ref="K20:T20" si="7">J223</f>
        <v>177.74572717022866</v>
      </c>
      <c r="L20" s="57">
        <f t="shared" si="7"/>
        <v>175.43506757109449</v>
      </c>
      <c r="M20" s="57">
        <f t="shared" si="7"/>
        <v>171.8898895972944</v>
      </c>
      <c r="N20" s="57">
        <f t="shared" si="7"/>
        <v>173.51494534151189</v>
      </c>
      <c r="O20" s="58">
        <f t="shared" si="7"/>
        <v>183.30335340718091</v>
      </c>
      <c r="P20" s="56">
        <f t="shared" si="7"/>
        <v>193.9635883151025</v>
      </c>
      <c r="Q20" s="57">
        <f t="shared" si="7"/>
        <v>194.96429976036262</v>
      </c>
      <c r="R20" s="57">
        <f t="shared" si="7"/>
        <v>199.68833826689925</v>
      </c>
      <c r="S20" s="57">
        <f t="shared" si="7"/>
        <v>199.78554739725411</v>
      </c>
      <c r="T20" s="58">
        <f t="shared" si="7"/>
        <v>198.55340436775612</v>
      </c>
    </row>
    <row r="21" spans="4:20" ht="12.3" x14ac:dyDescent="0.35">
      <c r="D21" s="10" t="str">
        <f>Lookup!D74</f>
        <v>LV Services</v>
      </c>
      <c r="E21" s="45" t="str">
        <f t="shared" si="5"/>
        <v>Calculated</v>
      </c>
      <c r="F21" s="45" t="str">
        <f t="shared" si="1"/>
        <v>$Millions</v>
      </c>
      <c r="G21" s="45" t="str">
        <f t="shared" si="2"/>
        <v>Nominal</v>
      </c>
      <c r="H21" s="45" t="str">
        <f t="shared" si="3"/>
        <v>Start year</v>
      </c>
      <c r="J21" s="58">
        <f>Input_RAB_SCS!J21-Calc_RAB_Connection!J21</f>
        <v>4.6907766109305413</v>
      </c>
      <c r="K21" s="56">
        <f t="shared" ref="K21:T21" si="8">J224</f>
        <v>6.233363366961739</v>
      </c>
      <c r="L21" s="57">
        <f t="shared" si="8"/>
        <v>6.8378138428779556</v>
      </c>
      <c r="M21" s="57">
        <f t="shared" si="8"/>
        <v>7.6814919546382328</v>
      </c>
      <c r="N21" s="57">
        <f t="shared" si="8"/>
        <v>9.8127678159362848</v>
      </c>
      <c r="O21" s="58">
        <f t="shared" si="8"/>
        <v>11.886895220575653</v>
      </c>
      <c r="P21" s="56">
        <f t="shared" si="8"/>
        <v>13.842612361286069</v>
      </c>
      <c r="Q21" s="57">
        <f t="shared" si="8"/>
        <v>18.067479104163915</v>
      </c>
      <c r="R21" s="57">
        <f t="shared" si="8"/>
        <v>22.536781038911812</v>
      </c>
      <c r="S21" s="57">
        <f t="shared" si="8"/>
        <v>27.236589692505635</v>
      </c>
      <c r="T21" s="58">
        <f t="shared" si="8"/>
        <v>32.166268818513245</v>
      </c>
    </row>
    <row r="22" spans="4:20" ht="12.3" x14ac:dyDescent="0.35">
      <c r="D22" s="10" t="str">
        <f>Lookup!D75</f>
        <v>Distribution Substations</v>
      </c>
      <c r="E22" s="45" t="str">
        <f t="shared" si="5"/>
        <v>Calculated</v>
      </c>
      <c r="F22" s="45" t="str">
        <f t="shared" si="1"/>
        <v>$Millions</v>
      </c>
      <c r="G22" s="45" t="str">
        <f t="shared" si="2"/>
        <v>Nominal</v>
      </c>
      <c r="H22" s="45" t="str">
        <f t="shared" si="3"/>
        <v>Start year</v>
      </c>
      <c r="J22" s="58">
        <f>Input_RAB_SCS!J22-Calc_RAB_Connection!J22</f>
        <v>71.641157772738012</v>
      </c>
      <c r="K22" s="56">
        <f t="shared" ref="K22:T22" si="9">J225</f>
        <v>75.635402992385863</v>
      </c>
      <c r="L22" s="57">
        <f t="shared" si="9"/>
        <v>77.187285571019203</v>
      </c>
      <c r="M22" s="57">
        <f t="shared" si="9"/>
        <v>77.651021706882673</v>
      </c>
      <c r="N22" s="57">
        <f t="shared" si="9"/>
        <v>81.685871327683245</v>
      </c>
      <c r="O22" s="58">
        <f t="shared" si="9"/>
        <v>88.007498558878567</v>
      </c>
      <c r="P22" s="56">
        <f t="shared" si="9"/>
        <v>91.580085378474607</v>
      </c>
      <c r="Q22" s="57">
        <f t="shared" si="9"/>
        <v>93.942702840066573</v>
      </c>
      <c r="R22" s="57">
        <f t="shared" si="9"/>
        <v>96.438515483894491</v>
      </c>
      <c r="S22" s="57">
        <f t="shared" si="9"/>
        <v>99.050836935554898</v>
      </c>
      <c r="T22" s="58">
        <f t="shared" si="9"/>
        <v>101.77572138936196</v>
      </c>
    </row>
    <row r="23" spans="4:20" ht="12.3" x14ac:dyDescent="0.35">
      <c r="D23" s="10" t="str">
        <f>Lookup!D76</f>
        <v>Distribution Switchgear</v>
      </c>
      <c r="E23" s="45" t="str">
        <f t="shared" si="5"/>
        <v>Calculated</v>
      </c>
      <c r="F23" s="45" t="str">
        <f t="shared" si="1"/>
        <v>$Millions</v>
      </c>
      <c r="G23" s="45" t="str">
        <f t="shared" si="2"/>
        <v>Nominal</v>
      </c>
      <c r="H23" s="45" t="str">
        <f t="shared" si="3"/>
        <v>Start year</v>
      </c>
      <c r="J23" s="58">
        <f>Input_RAB_SCS!J23-Calc_RAB_Connection!J23</f>
        <v>25.332233666441724</v>
      </c>
      <c r="K23" s="56">
        <f t="shared" ref="K23:T23" si="10">J226</f>
        <v>30.893385394299944</v>
      </c>
      <c r="L23" s="57">
        <f t="shared" si="10"/>
        <v>32.092784320108272</v>
      </c>
      <c r="M23" s="57">
        <f t="shared" si="10"/>
        <v>33.654821154741228</v>
      </c>
      <c r="N23" s="57">
        <f t="shared" si="10"/>
        <v>36.012860861908976</v>
      </c>
      <c r="O23" s="58">
        <f t="shared" si="10"/>
        <v>41.579582944356183</v>
      </c>
      <c r="P23" s="56">
        <f t="shared" si="10"/>
        <v>44.335852285707531</v>
      </c>
      <c r="Q23" s="57">
        <f t="shared" si="10"/>
        <v>49.106271873313453</v>
      </c>
      <c r="R23" s="57">
        <f t="shared" si="10"/>
        <v>54.165290115353876</v>
      </c>
      <c r="S23" s="57">
        <f t="shared" si="10"/>
        <v>59.501183503658133</v>
      </c>
      <c r="T23" s="58">
        <f t="shared" si="10"/>
        <v>65.11615320089723</v>
      </c>
    </row>
    <row r="24" spans="4:20" ht="12.3" x14ac:dyDescent="0.35">
      <c r="D24" s="10" t="str">
        <f>Lookup!D77</f>
        <v>Protection</v>
      </c>
      <c r="E24" s="45" t="str">
        <f t="shared" si="5"/>
        <v>Calculated</v>
      </c>
      <c r="F24" s="45" t="str">
        <f t="shared" si="1"/>
        <v>$Millions</v>
      </c>
      <c r="G24" s="45" t="str">
        <f t="shared" si="2"/>
        <v>Nominal</v>
      </c>
      <c r="H24" s="45" t="str">
        <f t="shared" si="3"/>
        <v>Start year</v>
      </c>
      <c r="J24" s="58">
        <f>Input_RAB_SCS!J24-Calc_RAB_Connection!J24</f>
        <v>21.791533280848586</v>
      </c>
      <c r="K24" s="56">
        <f t="shared" ref="K24:T24" si="11">J227</f>
        <v>31.92549317981581</v>
      </c>
      <c r="L24" s="57">
        <f t="shared" si="11"/>
        <v>32.894895149212104</v>
      </c>
      <c r="M24" s="57">
        <f t="shared" si="11"/>
        <v>33.470157055147993</v>
      </c>
      <c r="N24" s="57">
        <f t="shared" si="11"/>
        <v>36.360791731901813</v>
      </c>
      <c r="O24" s="58">
        <f t="shared" si="11"/>
        <v>40.914084709069016</v>
      </c>
      <c r="P24" s="56">
        <f t="shared" si="11"/>
        <v>43.48495518621678</v>
      </c>
      <c r="Q24" s="57">
        <f t="shared" si="11"/>
        <v>52.609020173988803</v>
      </c>
      <c r="R24" s="57">
        <f t="shared" si="11"/>
        <v>57.233228178866732</v>
      </c>
      <c r="S24" s="57">
        <f t="shared" si="11"/>
        <v>60.805013666717443</v>
      </c>
      <c r="T24" s="58">
        <f t="shared" si="11"/>
        <v>63.930744071391409</v>
      </c>
    </row>
    <row r="25" spans="4:20" ht="12.3" x14ac:dyDescent="0.35">
      <c r="D25" s="10" t="str">
        <f>Lookup!D78</f>
        <v>SCADA</v>
      </c>
      <c r="E25" s="45" t="str">
        <f t="shared" si="5"/>
        <v>Calculated</v>
      </c>
      <c r="F25" s="45" t="str">
        <f t="shared" si="1"/>
        <v>$Millions</v>
      </c>
      <c r="G25" s="45" t="str">
        <f t="shared" si="2"/>
        <v>Nominal</v>
      </c>
      <c r="H25" s="45" t="str">
        <f t="shared" si="3"/>
        <v>Start year</v>
      </c>
      <c r="J25" s="58">
        <f>Input_RAB_SCS!J25-Calc_RAB_Connection!J25</f>
        <v>5.01799254659469</v>
      </c>
      <c r="K25" s="56">
        <f t="shared" ref="K25:T25" si="12">J228</f>
        <v>9.9354050643142084</v>
      </c>
      <c r="L25" s="57">
        <f t="shared" si="12"/>
        <v>11.175621128341014</v>
      </c>
      <c r="M25" s="57">
        <f t="shared" si="12"/>
        <v>12.029990879891887</v>
      </c>
      <c r="N25" s="57">
        <f t="shared" si="12"/>
        <v>13.354470727943674</v>
      </c>
      <c r="O25" s="58">
        <f t="shared" si="12"/>
        <v>19.312772506178618</v>
      </c>
      <c r="P25" s="56">
        <f t="shared" si="12"/>
        <v>25.81367243215551</v>
      </c>
      <c r="Q25" s="57">
        <f t="shared" si="12"/>
        <v>28.331707597221918</v>
      </c>
      <c r="R25" s="57">
        <f t="shared" si="12"/>
        <v>27.525585419683328</v>
      </c>
      <c r="S25" s="57">
        <f t="shared" si="12"/>
        <v>26.568240411665233</v>
      </c>
      <c r="T25" s="58">
        <f t="shared" si="12"/>
        <v>25.673673926752539</v>
      </c>
    </row>
    <row r="26" spans="4:20" ht="12.3" x14ac:dyDescent="0.35">
      <c r="D26" s="10" t="str">
        <f>Lookup!D79</f>
        <v>Communications</v>
      </c>
      <c r="E26" s="45" t="str">
        <f t="shared" si="5"/>
        <v>Calculated</v>
      </c>
      <c r="F26" s="45" t="str">
        <f t="shared" si="1"/>
        <v>$Millions</v>
      </c>
      <c r="G26" s="45" t="str">
        <f t="shared" si="2"/>
        <v>Nominal</v>
      </c>
      <c r="H26" s="45" t="str">
        <f t="shared" si="3"/>
        <v>Start year</v>
      </c>
      <c r="J26" s="58">
        <f>Input_RAB_SCS!J26-Calc_RAB_Connection!J26</f>
        <v>6.579813615013987</v>
      </c>
      <c r="K26" s="56">
        <f t="shared" ref="K26:T26" si="13">J229</f>
        <v>7.7411517978808018</v>
      </c>
      <c r="L26" s="57">
        <f t="shared" si="13"/>
        <v>9.4346802737152267</v>
      </c>
      <c r="M26" s="57">
        <f t="shared" si="13"/>
        <v>10.386563680303832</v>
      </c>
      <c r="N26" s="57">
        <f t="shared" si="13"/>
        <v>11.653475507999303</v>
      </c>
      <c r="O26" s="58">
        <f t="shared" si="13"/>
        <v>13.201677605624806</v>
      </c>
      <c r="P26" s="56">
        <f t="shared" si="13"/>
        <v>16.303865686779098</v>
      </c>
      <c r="Q26" s="57">
        <f t="shared" si="13"/>
        <v>20.816576487265387</v>
      </c>
      <c r="R26" s="57">
        <f t="shared" si="13"/>
        <v>24.596682548278661</v>
      </c>
      <c r="S26" s="57">
        <f t="shared" si="13"/>
        <v>28.659079628380734</v>
      </c>
      <c r="T26" s="58">
        <f t="shared" si="13"/>
        <v>30.296302420770299</v>
      </c>
    </row>
    <row r="27" spans="4:20" ht="12.3" x14ac:dyDescent="0.35">
      <c r="D27" s="10" t="str">
        <f>Lookup!D80</f>
        <v>Land and Easements</v>
      </c>
      <c r="E27" s="45" t="str">
        <f t="shared" si="5"/>
        <v>Calculated</v>
      </c>
      <c r="F27" s="45" t="str">
        <f t="shared" si="1"/>
        <v>$Millions</v>
      </c>
      <c r="G27" s="45" t="str">
        <f t="shared" si="2"/>
        <v>Nominal</v>
      </c>
      <c r="H27" s="45" t="str">
        <f t="shared" si="3"/>
        <v>Start year</v>
      </c>
      <c r="J27" s="58">
        <f>Input_RAB_SCS!J27-Calc_RAB_Connection!J27</f>
        <v>37.011647544048387</v>
      </c>
      <c r="K27" s="56">
        <f t="shared" ref="K27:T27" si="14">J230</f>
        <v>45.815760921706001</v>
      </c>
      <c r="L27" s="57">
        <f t="shared" si="14"/>
        <v>46.658995785295687</v>
      </c>
      <c r="M27" s="57">
        <f t="shared" si="14"/>
        <v>47.060536196528865</v>
      </c>
      <c r="N27" s="57">
        <f t="shared" si="14"/>
        <v>48.706851882584907</v>
      </c>
      <c r="O27" s="58">
        <f t="shared" si="14"/>
        <v>52.603400033191697</v>
      </c>
      <c r="P27" s="56">
        <f t="shared" si="14"/>
        <v>55.251388665969486</v>
      </c>
      <c r="Q27" s="57">
        <f t="shared" si="14"/>
        <v>56.864530337569484</v>
      </c>
      <c r="R27" s="57">
        <f t="shared" si="14"/>
        <v>58.524769939474631</v>
      </c>
      <c r="S27" s="57">
        <f t="shared" si="14"/>
        <v>60.23348256172077</v>
      </c>
      <c r="T27" s="58">
        <f t="shared" si="14"/>
        <v>61.992083442023159</v>
      </c>
    </row>
    <row r="28" spans="4:20" ht="12.3" x14ac:dyDescent="0.35">
      <c r="D28" s="10" t="str">
        <f>Lookup!D81</f>
        <v>Property</v>
      </c>
      <c r="E28" s="45" t="str">
        <f t="shared" si="5"/>
        <v>Calculated</v>
      </c>
      <c r="F28" s="45" t="str">
        <f t="shared" si="1"/>
        <v>$Millions</v>
      </c>
      <c r="G28" s="45" t="str">
        <f t="shared" si="2"/>
        <v>Nominal</v>
      </c>
      <c r="H28" s="45" t="str">
        <f t="shared" si="3"/>
        <v>Start year</v>
      </c>
      <c r="J28" s="58">
        <f>Input_RAB_SCS!J28-Calc_RAB_Connection!J28</f>
        <v>1.0467081281977193</v>
      </c>
      <c r="K28" s="56">
        <f t="shared" ref="K28:T28" si="15">J231</f>
        <v>10.88191046360506</v>
      </c>
      <c r="L28" s="57">
        <f t="shared" si="15"/>
        <v>10.941722982064954</v>
      </c>
      <c r="M28" s="57">
        <f t="shared" si="15"/>
        <v>10.815075257970452</v>
      </c>
      <c r="N28" s="57">
        <f t="shared" si="15"/>
        <v>10.731754174176267</v>
      </c>
      <c r="O28" s="58">
        <f t="shared" si="15"/>
        <v>13.471510378004057</v>
      </c>
      <c r="P28" s="56">
        <f t="shared" si="15"/>
        <v>19.217357870242282</v>
      </c>
      <c r="Q28" s="57">
        <f t="shared" si="15"/>
        <v>20.128088940048617</v>
      </c>
      <c r="R28" s="57">
        <f t="shared" si="15"/>
        <v>20.744314732811375</v>
      </c>
      <c r="S28" s="57">
        <f t="shared" si="15"/>
        <v>24.327708216477969</v>
      </c>
      <c r="T28" s="58">
        <f t="shared" si="15"/>
        <v>82.909375345955254</v>
      </c>
    </row>
    <row r="29" spans="4:20" ht="12.3" x14ac:dyDescent="0.35">
      <c r="D29" s="10" t="str">
        <f>Lookup!D82</f>
        <v>IT and Communications</v>
      </c>
      <c r="E29" s="45" t="str">
        <f t="shared" si="5"/>
        <v>Calculated</v>
      </c>
      <c r="F29" s="45" t="str">
        <f t="shared" si="1"/>
        <v>$Millions</v>
      </c>
      <c r="G29" s="45" t="str">
        <f t="shared" si="2"/>
        <v>Nominal</v>
      </c>
      <c r="H29" s="45" t="str">
        <f t="shared" si="3"/>
        <v>Start year</v>
      </c>
      <c r="J29" s="58">
        <f>Input_RAB_SCS!J29-Calc_RAB_Connection!J29</f>
        <v>6.8002093954879346</v>
      </c>
      <c r="K29" s="56">
        <f t="shared" ref="K29:T29" si="16">J232</f>
        <v>12.161977146964771</v>
      </c>
      <c r="L29" s="57">
        <f t="shared" si="16"/>
        <v>17.651763795502941</v>
      </c>
      <c r="M29" s="57">
        <f t="shared" si="16"/>
        <v>17.591454752257381</v>
      </c>
      <c r="N29" s="57">
        <f t="shared" si="16"/>
        <v>20.823444725561622</v>
      </c>
      <c r="O29" s="58">
        <f t="shared" si="16"/>
        <v>41.113045055941342</v>
      </c>
      <c r="P29" s="56">
        <f t="shared" si="16"/>
        <v>62.748134852115456</v>
      </c>
      <c r="Q29" s="57">
        <f t="shared" si="16"/>
        <v>78.497582342187997</v>
      </c>
      <c r="R29" s="57">
        <f t="shared" si="16"/>
        <v>101.05365713305562</v>
      </c>
      <c r="S29" s="57">
        <f t="shared" si="16"/>
        <v>117.41435246755303</v>
      </c>
      <c r="T29" s="58">
        <f t="shared" si="16"/>
        <v>128.29852441576458</v>
      </c>
    </row>
    <row r="30" spans="4:20" ht="12.3" x14ac:dyDescent="0.35">
      <c r="D30" s="10" t="str">
        <f>Lookup!D83</f>
        <v>Motor Vehicles</v>
      </c>
      <c r="E30" s="45" t="str">
        <f t="shared" si="5"/>
        <v>Calculated</v>
      </c>
      <c r="F30" s="45" t="str">
        <f t="shared" si="1"/>
        <v>$Millions</v>
      </c>
      <c r="G30" s="45" t="str">
        <f t="shared" si="2"/>
        <v>Nominal</v>
      </c>
      <c r="H30" s="45" t="str">
        <f t="shared" si="3"/>
        <v>Start year</v>
      </c>
      <c r="J30" s="58">
        <f>Input_RAB_SCS!J30-Calc_RAB_Connection!J30</f>
        <v>9.941310458789504E-2</v>
      </c>
      <c r="K30" s="56">
        <f t="shared" ref="K30:T30" si="17">J233</f>
        <v>0.31647852785402508</v>
      </c>
      <c r="L30" s="57">
        <f t="shared" si="17"/>
        <v>0.35493483755678068</v>
      </c>
      <c r="M30" s="57">
        <f t="shared" si="17"/>
        <v>0.82718418450465681</v>
      </c>
      <c r="N30" s="57">
        <f t="shared" si="17"/>
        <v>0.94294049211521414</v>
      </c>
      <c r="O30" s="58">
        <f t="shared" si="17"/>
        <v>0.98087939123707368</v>
      </c>
      <c r="P30" s="56">
        <f t="shared" si="17"/>
        <v>1.0317079533447089</v>
      </c>
      <c r="Q30" s="57">
        <f t="shared" si="17"/>
        <v>0.93760454651347402</v>
      </c>
      <c r="R30" s="57">
        <f t="shared" si="17"/>
        <v>0.84005949956203996</v>
      </c>
      <c r="S30" s="57">
        <f t="shared" si="17"/>
        <v>0.73601928203767897</v>
      </c>
      <c r="T30" s="58">
        <f t="shared" si="17"/>
        <v>0.62518777304274875</v>
      </c>
    </row>
    <row r="31" spans="4:20" ht="12.3" x14ac:dyDescent="0.35">
      <c r="D31" s="10" t="str">
        <f>Lookup!D84</f>
        <v>Plant and Equipment</v>
      </c>
      <c r="E31" s="45" t="str">
        <f t="shared" si="5"/>
        <v>Calculated</v>
      </c>
      <c r="F31" s="45" t="str">
        <f t="shared" si="1"/>
        <v>$Millions</v>
      </c>
      <c r="G31" s="45" t="str">
        <f t="shared" si="2"/>
        <v>Nominal</v>
      </c>
      <c r="H31" s="45" t="str">
        <f t="shared" si="3"/>
        <v>Start year</v>
      </c>
      <c r="J31" s="58">
        <f>Input_RAB_SCS!J31-Calc_RAB_Connection!J31</f>
        <v>5.8518719101508969</v>
      </c>
      <c r="K31" s="56">
        <f t="shared" ref="K31:T31" si="18">J234</f>
        <v>4.771443819404765</v>
      </c>
      <c r="L31" s="57">
        <f t="shared" si="18"/>
        <v>4.9340649284162454</v>
      </c>
      <c r="M31" s="57">
        <f t="shared" si="18"/>
        <v>5.9126158554742538</v>
      </c>
      <c r="N31" s="57">
        <f t="shared" si="18"/>
        <v>6.6567188597653857</v>
      </c>
      <c r="O31" s="58">
        <f t="shared" si="18"/>
        <v>7.4412741749276039</v>
      </c>
      <c r="P31" s="56">
        <f t="shared" si="18"/>
        <v>9.1909751884931286</v>
      </c>
      <c r="Q31" s="57">
        <f t="shared" si="18"/>
        <v>11.13152251469093</v>
      </c>
      <c r="R31" s="57">
        <f t="shared" si="18"/>
        <v>13.376348173575149</v>
      </c>
      <c r="S31" s="57">
        <f t="shared" si="18"/>
        <v>14.929838039437163</v>
      </c>
      <c r="T31" s="58">
        <f t="shared" si="18"/>
        <v>16.049569995561352</v>
      </c>
    </row>
    <row r="32" spans="4:20" ht="12.3" x14ac:dyDescent="0.35">
      <c r="D32" s="10" t="str">
        <f>Lookup!D85</f>
        <v>Property Leases</v>
      </c>
      <c r="E32" s="45" t="str">
        <f t="shared" si="5"/>
        <v>Calculated</v>
      </c>
      <c r="F32" s="45" t="str">
        <f t="shared" si="1"/>
        <v>$Millions</v>
      </c>
      <c r="G32" s="45" t="str">
        <f t="shared" si="2"/>
        <v>Nominal</v>
      </c>
      <c r="H32" s="45" t="str">
        <f t="shared" si="3"/>
        <v>Start year</v>
      </c>
      <c r="J32" s="58">
        <f>Input_RAB_SCS!J32-Calc_RAB_Connection!J32</f>
        <v>0</v>
      </c>
      <c r="K32" s="56">
        <f t="shared" ref="K32:K33" si="19">J235</f>
        <v>0</v>
      </c>
      <c r="L32" s="57">
        <f t="shared" ref="L32:L33" si="20">K235</f>
        <v>3.3387922007628603</v>
      </c>
      <c r="M32" s="57">
        <f t="shared" ref="M32:M33" si="21">L235</f>
        <v>3.8627975907626748</v>
      </c>
      <c r="N32" s="57">
        <f t="shared" ref="N32:N33" si="22">M235</f>
        <v>13.731488906029872</v>
      </c>
      <c r="O32" s="58">
        <f t="shared" ref="O32:O33" si="23">N235</f>
        <v>13.238996930133146</v>
      </c>
      <c r="P32" s="56">
        <f t="shared" ref="P32:P33" si="24">O235</f>
        <v>17.298299331913139</v>
      </c>
      <c r="Q32" s="57">
        <f t="shared" ref="Q32:Q33" si="25">P235</f>
        <v>16.520694616833413</v>
      </c>
      <c r="R32" s="57">
        <f t="shared" ref="R32:R33" si="26">Q235</f>
        <v>15.682937798495614</v>
      </c>
      <c r="S32" s="57">
        <f t="shared" ref="S32:S33" si="27">R235</f>
        <v>23.146153904387713</v>
      </c>
      <c r="T32" s="58">
        <f t="shared" ref="T32:T33" si="28">S235</f>
        <v>20.497471049633454</v>
      </c>
    </row>
    <row r="33" spans="1:20" ht="12.3" x14ac:dyDescent="0.35">
      <c r="D33" s="10" t="str">
        <f>Lookup!D86</f>
        <v>Fleet Leases</v>
      </c>
      <c r="E33" s="45" t="str">
        <f t="shared" si="5"/>
        <v>Calculated</v>
      </c>
      <c r="F33" s="45" t="str">
        <f t="shared" si="1"/>
        <v>$Millions</v>
      </c>
      <c r="G33" s="45" t="str">
        <f t="shared" si="2"/>
        <v>Nominal</v>
      </c>
      <c r="H33" s="45" t="str">
        <f t="shared" si="3"/>
        <v>Start year</v>
      </c>
      <c r="J33" s="58">
        <f>Input_RAB_SCS!J33-Calc_RAB_Connection!J33</f>
        <v>0</v>
      </c>
      <c r="K33" s="56">
        <f t="shared" si="19"/>
        <v>0</v>
      </c>
      <c r="L33" s="57">
        <f t="shared" si="20"/>
        <v>14.579348294461219</v>
      </c>
      <c r="M33" s="57">
        <f t="shared" si="21"/>
        <v>14.361771413842579</v>
      </c>
      <c r="N33" s="57">
        <f t="shared" si="22"/>
        <v>14.081624375972506</v>
      </c>
      <c r="O33" s="58">
        <f t="shared" si="23"/>
        <v>14.42989188615417</v>
      </c>
      <c r="P33" s="56">
        <f t="shared" si="24"/>
        <v>11.749555018192927</v>
      </c>
      <c r="Q33" s="57">
        <f t="shared" si="25"/>
        <v>9.9459864734262098</v>
      </c>
      <c r="R33" s="57">
        <f t="shared" si="26"/>
        <v>11.102913009663373</v>
      </c>
      <c r="S33" s="57">
        <f t="shared" si="27"/>
        <v>13.589116932742924</v>
      </c>
      <c r="T33" s="58">
        <f t="shared" si="28"/>
        <v>15.465777314729461</v>
      </c>
    </row>
    <row r="34" spans="1:20" ht="12.3" x14ac:dyDescent="0.35">
      <c r="D34" s="10" t="str">
        <f>Lookup!D87</f>
        <v>Community Batteries</v>
      </c>
      <c r="E34" s="45" t="str">
        <f t="shared" si="5"/>
        <v>Calculated</v>
      </c>
      <c r="F34" s="45" t="str">
        <f t="shared" si="1"/>
        <v>$Millions</v>
      </c>
      <c r="G34" s="45" t="str">
        <f t="shared" si="2"/>
        <v>Nominal</v>
      </c>
      <c r="H34" s="45" t="str">
        <f t="shared" si="3"/>
        <v>Start year</v>
      </c>
      <c r="J34" s="58">
        <f>Input_RAB_SCS!J34-Calc_RAB_Connection!J34</f>
        <v>0</v>
      </c>
      <c r="K34" s="56">
        <f t="shared" ref="K34" si="29">J237</f>
        <v>0</v>
      </c>
      <c r="L34" s="57">
        <f t="shared" ref="L34" si="30">K237</f>
        <v>0</v>
      </c>
      <c r="M34" s="57">
        <f t="shared" ref="M34" si="31">L237</f>
        <v>0</v>
      </c>
      <c r="N34" s="57">
        <f t="shared" ref="N34" si="32">M237</f>
        <v>0</v>
      </c>
      <c r="O34" s="58">
        <f t="shared" ref="O34" si="33">N237</f>
        <v>0</v>
      </c>
      <c r="P34" s="56">
        <f t="shared" ref="P34" si="34">O237</f>
        <v>0</v>
      </c>
      <c r="Q34" s="57">
        <f t="shared" ref="Q34" si="35">P237</f>
        <v>0</v>
      </c>
      <c r="R34" s="57">
        <f t="shared" ref="R34" si="36">Q237</f>
        <v>0</v>
      </c>
      <c r="S34" s="57">
        <f t="shared" ref="S34" si="37">R237</f>
        <v>0</v>
      </c>
      <c r="T34" s="58">
        <f t="shared" ref="T34" si="38">S237</f>
        <v>0</v>
      </c>
    </row>
    <row r="35" spans="1:20" ht="12.3" x14ac:dyDescent="0.35">
      <c r="D35" s="10" t="str">
        <f>Lookup!D88</f>
        <v>Buildings</v>
      </c>
      <c r="E35" s="45" t="str">
        <f>E33</f>
        <v>Calculated</v>
      </c>
      <c r="F35" s="45" t="str">
        <f t="shared" si="1"/>
        <v>$Millions</v>
      </c>
      <c r="G35" s="45" t="str">
        <f t="shared" si="2"/>
        <v>Nominal</v>
      </c>
      <c r="H35" s="45" t="str">
        <f t="shared" si="3"/>
        <v>Start year</v>
      </c>
      <c r="J35" s="58">
        <f>Input_RAB_SCS!J35-Calc_RAB_Connection!J35</f>
        <v>0</v>
      </c>
      <c r="K35" s="56">
        <f t="shared" ref="K35:K36" si="39">J238</f>
        <v>0</v>
      </c>
      <c r="L35" s="57">
        <f t="shared" ref="L35:L36" si="40">K238</f>
        <v>0.1639301154679205</v>
      </c>
      <c r="M35" s="57">
        <f t="shared" ref="M35:M36" si="41">L238</f>
        <v>0.85558784631163998</v>
      </c>
      <c r="N35" s="57">
        <f t="shared" ref="N35:N36" si="42">M238</f>
        <v>3.1432617912538889</v>
      </c>
      <c r="O35" s="58">
        <f t="shared" ref="O35:O36" si="43">N238</f>
        <v>3.3741733616611373</v>
      </c>
      <c r="P35" s="56">
        <f t="shared" ref="P35:P36" si="44">O238</f>
        <v>3.5063117665853714</v>
      </c>
      <c r="Q35" s="57">
        <f t="shared" ref="Q35:Q36" si="45">P238</f>
        <v>3.5128815251522116</v>
      </c>
      <c r="R35" s="57">
        <f t="shared" ref="R35:R36" si="46">Q238</f>
        <v>3.5168460256784271</v>
      </c>
      <c r="S35" s="57">
        <f t="shared" ref="S35:S36" si="47">R238</f>
        <v>3.5180475395917097</v>
      </c>
      <c r="T35" s="58">
        <f t="shared" ref="T35:T36" si="48">S238</f>
        <v>3.5163213489062133</v>
      </c>
    </row>
    <row r="36" spans="1:20" ht="12.3" x14ac:dyDescent="0.35">
      <c r="D36" s="10" t="str">
        <f>Lookup!D89</f>
        <v>in-house software</v>
      </c>
      <c r="E36" s="45" t="str">
        <f t="shared" si="5"/>
        <v>Calculated</v>
      </c>
      <c r="F36" s="45" t="str">
        <f t="shared" si="1"/>
        <v>$Millions</v>
      </c>
      <c r="G36" s="45" t="str">
        <f t="shared" si="2"/>
        <v>Nominal</v>
      </c>
      <c r="H36" s="45" t="str">
        <f t="shared" si="3"/>
        <v>Start year</v>
      </c>
      <c r="J36" s="58">
        <f>Input_RAB_SCS!J36-Calc_RAB_Connection!J36</f>
        <v>0</v>
      </c>
      <c r="K36" s="56">
        <f t="shared" si="39"/>
        <v>0</v>
      </c>
      <c r="L36" s="57">
        <f t="shared" si="40"/>
        <v>0</v>
      </c>
      <c r="M36" s="57">
        <f t="shared" si="41"/>
        <v>-5.2086373898768877E-2</v>
      </c>
      <c r="N36" s="57">
        <f t="shared" si="42"/>
        <v>-0.29557866769059948</v>
      </c>
      <c r="O36" s="58">
        <f t="shared" si="43"/>
        <v>-0.63248449815904739</v>
      </c>
      <c r="P36" s="56">
        <f t="shared" si="44"/>
        <v>-1.2770162921904231</v>
      </c>
      <c r="Q36" s="57">
        <f t="shared" si="45"/>
        <v>0</v>
      </c>
      <c r="R36" s="57">
        <f t="shared" si="46"/>
        <v>0</v>
      </c>
      <c r="S36" s="57">
        <f t="shared" si="47"/>
        <v>0</v>
      </c>
      <c r="T36" s="58">
        <f t="shared" si="48"/>
        <v>0</v>
      </c>
    </row>
    <row r="37" spans="1:20" ht="12.3" x14ac:dyDescent="0.35">
      <c r="D37" s="10" t="str">
        <f>Lookup!D90</f>
        <v>Equity Raising Costs</v>
      </c>
      <c r="E37" s="45" t="str">
        <f>E31</f>
        <v>Calculated</v>
      </c>
      <c r="F37" s="45" t="str">
        <f t="shared" si="1"/>
        <v>$Millions</v>
      </c>
      <c r="G37" s="45" t="str">
        <f t="shared" si="2"/>
        <v>Nominal</v>
      </c>
      <c r="H37" s="45" t="str">
        <f t="shared" si="3"/>
        <v>Start year</v>
      </c>
      <c r="J37" s="58">
        <f>Input_RAB_SCS!J37-Calc_RAB_Connection!J37</f>
        <v>0</v>
      </c>
      <c r="K37" s="56">
        <f t="shared" ref="K37:T37" si="49">J240</f>
        <v>0</v>
      </c>
      <c r="L37" s="57">
        <f t="shared" si="49"/>
        <v>0</v>
      </c>
      <c r="M37" s="57">
        <f t="shared" si="49"/>
        <v>0</v>
      </c>
      <c r="N37" s="57">
        <f t="shared" si="49"/>
        <v>0</v>
      </c>
      <c r="O37" s="58">
        <f t="shared" si="49"/>
        <v>0</v>
      </c>
      <c r="P37" s="56">
        <f t="shared" si="49"/>
        <v>0</v>
      </c>
      <c r="Q37" s="57">
        <f t="shared" si="49"/>
        <v>0</v>
      </c>
      <c r="R37" s="57">
        <f t="shared" si="49"/>
        <v>0</v>
      </c>
      <c r="S37" s="57">
        <f t="shared" si="49"/>
        <v>0</v>
      </c>
      <c r="T37" s="58">
        <f t="shared" si="49"/>
        <v>0</v>
      </c>
    </row>
    <row r="38" spans="1:20" x14ac:dyDescent="0.35">
      <c r="J38" s="49"/>
      <c r="K38" s="48"/>
      <c r="O38" s="49"/>
      <c r="P38" s="48"/>
      <c r="T38" s="49"/>
    </row>
    <row r="39" spans="1:20" ht="12.3" x14ac:dyDescent="0.35">
      <c r="D39" s="44" t="str">
        <f>"Total "&amp;D16</f>
        <v>Total RAB asset class</v>
      </c>
      <c r="E39" s="40" t="s">
        <v>91</v>
      </c>
      <c r="F39" s="40" t="str">
        <f>F18</f>
        <v>$Millions</v>
      </c>
      <c r="G39" s="40" t="str">
        <f>G18</f>
        <v>Nominal</v>
      </c>
      <c r="H39" s="40" t="str">
        <f>H18</f>
        <v>Start year</v>
      </c>
      <c r="J39" s="54">
        <f t="shared" ref="J39:T39" si="50">SUM(J18:J37)</f>
        <v>849.90223285764466</v>
      </c>
      <c r="K39" s="53">
        <f t="shared" si="50"/>
        <v>864.38607337076269</v>
      </c>
      <c r="L39" s="39">
        <f t="shared" si="50"/>
        <v>903.76415364830234</v>
      </c>
      <c r="M39" s="39">
        <f t="shared" si="50"/>
        <v>906.78614629204526</v>
      </c>
      <c r="N39" s="39">
        <f t="shared" si="50"/>
        <v>957.43920038940121</v>
      </c>
      <c r="O39" s="54">
        <f t="shared" si="50"/>
        <v>1070.8785146366586</v>
      </c>
      <c r="P39" s="53">
        <f t="shared" si="50"/>
        <v>1170.0106490815524</v>
      </c>
      <c r="Q39" s="39">
        <f t="shared" si="50"/>
        <v>1239.2838617950497</v>
      </c>
      <c r="R39" s="39">
        <f t="shared" si="50"/>
        <v>1311.9944233932206</v>
      </c>
      <c r="S39" s="39">
        <f t="shared" si="50"/>
        <v>1372.1869422329878</v>
      </c>
      <c r="T39" s="54">
        <f t="shared" si="50"/>
        <v>1462.9316811198098</v>
      </c>
    </row>
    <row r="40" spans="1:20" ht="11.25" customHeight="1" x14ac:dyDescent="0.35"/>
    <row r="41" spans="1:20" ht="11.25" customHeight="1" x14ac:dyDescent="0.35">
      <c r="A41" s="42">
        <f>IF(SUM($J41:$T41)&lt;&gt;0,1,0)</f>
        <v>0</v>
      </c>
      <c r="D41" s="10" t="s">
        <v>94</v>
      </c>
      <c r="J41" s="42">
        <f t="shared" ref="J41:K41" si="51">IF(ISERROR(J39),1,0)</f>
        <v>0</v>
      </c>
      <c r="K41" s="42">
        <f t="shared" si="51"/>
        <v>0</v>
      </c>
      <c r="L41" s="42">
        <f>IF(ISERROR(L39),1,0)</f>
        <v>0</v>
      </c>
      <c r="M41" s="42">
        <f t="shared" ref="M41:P41" si="52">IF(ISERROR(M39),1,0)</f>
        <v>0</v>
      </c>
      <c r="N41" s="42">
        <f t="shared" si="52"/>
        <v>0</v>
      </c>
      <c r="O41" s="42">
        <f t="shared" si="52"/>
        <v>0</v>
      </c>
      <c r="P41" s="42">
        <f t="shared" si="52"/>
        <v>0</v>
      </c>
      <c r="Q41" s="42">
        <f>IF(ISERROR(Q39),1,0)</f>
        <v>0</v>
      </c>
      <c r="R41" s="42">
        <f t="shared" ref="R41:T41" si="53">IF(ISERROR(R39),1,0)</f>
        <v>0</v>
      </c>
      <c r="S41" s="42">
        <f t="shared" si="53"/>
        <v>0</v>
      </c>
      <c r="T41" s="42">
        <f t="shared" si="53"/>
        <v>0</v>
      </c>
    </row>
    <row r="42" spans="1:20" ht="11.25" customHeight="1" x14ac:dyDescent="0.35">
      <c r="N42" s="5"/>
      <c r="S42" s="5"/>
    </row>
    <row r="43" spans="1:20" s="8" customFormat="1" ht="14.1" x14ac:dyDescent="0.35">
      <c r="C43" s="8" t="s">
        <v>125</v>
      </c>
    </row>
    <row r="44" spans="1:20" ht="11.25" customHeight="1" x14ac:dyDescent="0.35"/>
    <row r="45" spans="1:20" ht="12.3" x14ac:dyDescent="0.35">
      <c r="D45" s="43" t="str">
        <f>D$16</f>
        <v>RAB asset class</v>
      </c>
      <c r="E45" s="38" t="str">
        <f>Lookup!E$20</f>
        <v>Source</v>
      </c>
      <c r="F45" s="38" t="str">
        <f>Lookup!F$20</f>
        <v>Unit</v>
      </c>
      <c r="G45" s="38" t="str">
        <f>Lookup!G$20</f>
        <v>Basis</v>
      </c>
      <c r="H45" s="38" t="str">
        <f>Lookup!H$20</f>
        <v>Timing</v>
      </c>
      <c r="J45" s="47" t="str">
        <f t="shared" ref="J45:T45" si="54">J$10</f>
        <v>RY19</v>
      </c>
      <c r="K45" s="46" t="str">
        <f t="shared" si="54"/>
        <v>RY20</v>
      </c>
      <c r="L45" s="38" t="str">
        <f>L$10</f>
        <v>RY21</v>
      </c>
      <c r="M45" s="38" t="str">
        <f t="shared" si="54"/>
        <v>RY22</v>
      </c>
      <c r="N45" s="38" t="str">
        <f t="shared" si="54"/>
        <v>RY23</v>
      </c>
      <c r="O45" s="47" t="str">
        <f t="shared" si="54"/>
        <v>RY24</v>
      </c>
      <c r="P45" s="46" t="str">
        <f t="shared" si="54"/>
        <v>RY25</v>
      </c>
      <c r="Q45" s="38" t="str">
        <f>Q$10</f>
        <v>RY26</v>
      </c>
      <c r="R45" s="38" t="str">
        <f t="shared" si="54"/>
        <v>RY27</v>
      </c>
      <c r="S45" s="38" t="str">
        <f t="shared" si="54"/>
        <v>RY28</v>
      </c>
      <c r="T45" s="47" t="str">
        <f t="shared" si="54"/>
        <v>RY29</v>
      </c>
    </row>
    <row r="46" spans="1:20" x14ac:dyDescent="0.35">
      <c r="J46" s="49"/>
      <c r="K46" s="48"/>
      <c r="O46" s="49"/>
      <c r="P46" s="48"/>
      <c r="T46" s="49"/>
    </row>
    <row r="47" spans="1:20" ht="12.3" x14ac:dyDescent="0.35">
      <c r="D47" s="10" t="str">
        <f t="shared" ref="D47:D63" si="55">D18</f>
        <v>Substations</v>
      </c>
      <c r="E47" s="45" t="str">
        <f>$E$18</f>
        <v>Calculated</v>
      </c>
      <c r="F47" s="45" t="str">
        <f t="shared" ref="F47:F66" si="56">Millions</f>
        <v>$Millions</v>
      </c>
      <c r="G47" s="45" t="str">
        <f t="shared" ref="G47:G66" si="57">Nominal</f>
        <v>Nominal</v>
      </c>
      <c r="H47" s="45" t="str">
        <f t="shared" ref="H47:H66" si="58">End_year</f>
        <v>End year</v>
      </c>
      <c r="J47" s="58">
        <f>Input_RAB_SCS!J47-Calc_RAB_Connection!J47</f>
        <v>5.3890063263588956</v>
      </c>
      <c r="K47" s="56">
        <f>Input_RAB_SCS!K47-Calc_RAB_Connection!K47</f>
        <v>4.9429916618369303</v>
      </c>
      <c r="L47" s="57">
        <f>Input_RAB_SCS!L47-Calc_RAB_Connection!L47</f>
        <v>2.3572529282816972</v>
      </c>
      <c r="M47" s="57">
        <f>Input_RAB_SCS!M47-Calc_RAB_Connection!M47</f>
        <v>9.4375637700792279</v>
      </c>
      <c r="N47" s="57">
        <f>Input_RAB_SCS!N47-Calc_RAB_Connection!N47</f>
        <v>21.680327512545865</v>
      </c>
      <c r="O47" s="58">
        <f>Input_RAB_SCS!O47-Calc_RAB_Connection!O47</f>
        <v>13.406721402611774</v>
      </c>
      <c r="P47" s="56">
        <f>Input_RAB_SCS!P47-Calc_RAB_Connection!P47</f>
        <v>8.6265268877234451</v>
      </c>
      <c r="Q47" s="57">
        <f>Input_RAB_SCS!Q47-Calc_RAB_Connection!Q47</f>
        <v>8.7940897413249033</v>
      </c>
      <c r="R47" s="57">
        <f>Input_RAB_SCS!R47-Calc_RAB_Connection!R47</f>
        <v>8.8705628950574855</v>
      </c>
      <c r="S47" s="57">
        <f>Input_RAB_SCS!S47-Calc_RAB_Connection!S47</f>
        <v>8.5431653168592216</v>
      </c>
      <c r="T47" s="58">
        <f>Input_RAB_SCS!T47-Calc_RAB_Connection!T47</f>
        <v>8.1655655549376789</v>
      </c>
    </row>
    <row r="48" spans="1:20" ht="12.3" x14ac:dyDescent="0.35">
      <c r="D48" s="10" t="str">
        <f t="shared" si="55"/>
        <v>Distribution Lines</v>
      </c>
      <c r="E48" s="45" t="str">
        <f t="shared" ref="E48:E65" si="59">E47</f>
        <v>Calculated</v>
      </c>
      <c r="F48" s="45" t="str">
        <f t="shared" si="56"/>
        <v>$Millions</v>
      </c>
      <c r="G48" s="45" t="str">
        <f t="shared" si="57"/>
        <v>Nominal</v>
      </c>
      <c r="H48" s="45" t="str">
        <f t="shared" si="58"/>
        <v>End year</v>
      </c>
      <c r="J48" s="58">
        <f>Input_RAB_SCS!J48-Calc_RAB_Connection!J48</f>
        <v>3.2588778595962826</v>
      </c>
      <c r="K48" s="56">
        <f>Input_RAB_SCS!K48-Calc_RAB_Connection!K48</f>
        <v>4.1647728311331473</v>
      </c>
      <c r="L48" s="57">
        <f>Input_RAB_SCS!L48-Calc_RAB_Connection!L48</f>
        <v>1.8096811214715165</v>
      </c>
      <c r="M48" s="57">
        <f>Input_RAB_SCS!M48-Calc_RAB_Connection!M48</f>
        <v>7.9728606718157931</v>
      </c>
      <c r="N48" s="57">
        <f>Input_RAB_SCS!N48-Calc_RAB_Connection!N48</f>
        <v>19.570608055833873</v>
      </c>
      <c r="O48" s="58">
        <f>Input_RAB_SCS!O48-Calc_RAB_Connection!O48</f>
        <v>13.184334508348281</v>
      </c>
      <c r="P48" s="56">
        <f>Input_RAB_SCS!P48-Calc_RAB_Connection!P48</f>
        <v>8.9229765326869366</v>
      </c>
      <c r="Q48" s="57">
        <f>Input_RAB_SCS!Q48-Calc_RAB_Connection!Q48</f>
        <v>9.3959129143984335</v>
      </c>
      <c r="R48" s="57">
        <f>Input_RAB_SCS!R48-Calc_RAB_Connection!R48</f>
        <v>9.9343522570023257</v>
      </c>
      <c r="S48" s="57">
        <f>Input_RAB_SCS!S48-Calc_RAB_Connection!S48</f>
        <v>10.487075275684688</v>
      </c>
      <c r="T48" s="58">
        <f>Input_RAB_SCS!T48-Calc_RAB_Connection!T48</f>
        <v>10.963340482973884</v>
      </c>
    </row>
    <row r="49" spans="4:20" ht="12.3" x14ac:dyDescent="0.35">
      <c r="D49" s="10" t="str">
        <f t="shared" si="55"/>
        <v>Transmission Lines</v>
      </c>
      <c r="E49" s="45" t="str">
        <f t="shared" si="59"/>
        <v>Calculated</v>
      </c>
      <c r="F49" s="45" t="str">
        <f t="shared" si="56"/>
        <v>$Millions</v>
      </c>
      <c r="G49" s="45" t="str">
        <f t="shared" si="57"/>
        <v>Nominal</v>
      </c>
      <c r="H49" s="45" t="str">
        <f t="shared" si="58"/>
        <v>End year</v>
      </c>
      <c r="J49" s="58">
        <f>Input_RAB_SCS!J49-Calc_RAB_Connection!J49</f>
        <v>3.1993749627086601</v>
      </c>
      <c r="K49" s="56">
        <f>Input_RAB_SCS!K49-Calc_RAB_Connection!K49</f>
        <v>3.2713937515993212</v>
      </c>
      <c r="L49" s="57">
        <f>Input_RAB_SCS!L49-Calc_RAB_Connection!L49</f>
        <v>1.5097682235033913</v>
      </c>
      <c r="M49" s="57">
        <f>Input_RAB_SCS!M49-Calc_RAB_Connection!M49</f>
        <v>6.0132128613387819</v>
      </c>
      <c r="N49" s="57">
        <f>Input_RAB_SCS!N49-Calc_RAB_Connection!N49</f>
        <v>13.881195627320951</v>
      </c>
      <c r="O49" s="58">
        <f>Input_RAB_SCS!O49-Calc_RAB_Connection!O49</f>
        <v>8.6152576101375029</v>
      </c>
      <c r="P49" s="56">
        <f>Input_RAB_SCS!P49-Calc_RAB_Connection!P49</f>
        <v>5.6630386066092511</v>
      </c>
      <c r="Q49" s="57">
        <f>Input_RAB_SCS!Q49-Calc_RAB_Connection!Q49</f>
        <v>5.6922557787486809</v>
      </c>
      <c r="R49" s="57">
        <f>Input_RAB_SCS!R49-Calc_RAB_Connection!R49</f>
        <v>5.8301806989567204</v>
      </c>
      <c r="S49" s="57">
        <f>Input_RAB_SCS!S49-Calc_RAB_Connection!S49</f>
        <v>5.8330188556586897</v>
      </c>
      <c r="T49" s="58">
        <f>Input_RAB_SCS!T49-Calc_RAB_Connection!T49</f>
        <v>5.7970447142978063</v>
      </c>
    </row>
    <row r="50" spans="4:20" ht="12.3" x14ac:dyDescent="0.35">
      <c r="D50" s="10" t="str">
        <f t="shared" si="55"/>
        <v>LV Services</v>
      </c>
      <c r="E50" s="45" t="str">
        <f t="shared" si="59"/>
        <v>Calculated</v>
      </c>
      <c r="F50" s="45" t="str">
        <f t="shared" si="56"/>
        <v>$Millions</v>
      </c>
      <c r="G50" s="45" t="str">
        <f t="shared" si="57"/>
        <v>Nominal</v>
      </c>
      <c r="H50" s="45" t="str">
        <f t="shared" si="58"/>
        <v>End year</v>
      </c>
      <c r="J50" s="58">
        <f>Input_RAB_SCS!J50-Calc_RAB_Connection!J50</f>
        <v>8.3689145600902209E-2</v>
      </c>
      <c r="K50" s="56">
        <f>Input_RAB_SCS!K50-Calc_RAB_Connection!K50</f>
        <v>0.14282919136460015</v>
      </c>
      <c r="L50" s="57">
        <f>Input_RAB_SCS!L50-Calc_RAB_Connection!L50</f>
        <v>6.5617381892696405E-2</v>
      </c>
      <c r="M50" s="57">
        <f>Input_RAB_SCS!M50-Calc_RAB_Connection!M50</f>
        <v>0.31679573073814549</v>
      </c>
      <c r="N50" s="57">
        <f>Input_RAB_SCS!N50-Calc_RAB_Connection!N50</f>
        <v>0.89576210765625119</v>
      </c>
      <c r="O50" s="58">
        <f>Input_RAB_SCS!O50-Calc_RAB_Connection!O50</f>
        <v>0.62374422626609782</v>
      </c>
      <c r="P50" s="56">
        <f>Input_RAB_SCS!P50-Calc_RAB_Connection!P50</f>
        <v>0.44456982087690722</v>
      </c>
      <c r="Q50" s="57">
        <f>Input_RAB_SCS!Q50-Calc_RAB_Connection!Q50</f>
        <v>0.56792072235553182</v>
      </c>
      <c r="R50" s="57">
        <f>Input_RAB_SCS!R50-Calc_RAB_Connection!R50</f>
        <v>0.69840825159196684</v>
      </c>
      <c r="S50" s="57">
        <f>Input_RAB_SCS!S50-Calc_RAB_Connection!S50</f>
        <v>0.83562574730946448</v>
      </c>
      <c r="T50" s="58">
        <f>Input_RAB_SCS!T50-Calc_RAB_Connection!T50</f>
        <v>0.97955463340237647</v>
      </c>
    </row>
    <row r="51" spans="4:20" ht="12.3" x14ac:dyDescent="0.35">
      <c r="D51" s="10" t="str">
        <f t="shared" si="55"/>
        <v>Distribution Substations</v>
      </c>
      <c r="E51" s="45" t="str">
        <f t="shared" si="59"/>
        <v>Calculated</v>
      </c>
      <c r="F51" s="45" t="str">
        <f t="shared" si="56"/>
        <v>$Millions</v>
      </c>
      <c r="G51" s="45" t="str">
        <f t="shared" si="57"/>
        <v>Nominal</v>
      </c>
      <c r="H51" s="45" t="str">
        <f t="shared" si="58"/>
        <v>End year</v>
      </c>
      <c r="J51" s="58">
        <f>Input_RAB_SCS!J51-Calc_RAB_Connection!J51</f>
        <v>1.2781651698972065</v>
      </c>
      <c r="K51" s="56">
        <f>Input_RAB_SCS!K51-Calc_RAB_Connection!K51</f>
        <v>1.733084181358048</v>
      </c>
      <c r="L51" s="57">
        <f>Input_RAB_SCS!L51-Calc_RAB_Connection!L51</f>
        <v>0.75083850982657419</v>
      </c>
      <c r="M51" s="57">
        <f>Input_RAB_SCS!M51-Calc_RAB_Connection!M51</f>
        <v>3.2811943000792101</v>
      </c>
      <c r="N51" s="57">
        <f>Input_RAB_SCS!N51-Calc_RAB_Connection!N51</f>
        <v>7.8333350591966528</v>
      </c>
      <c r="O51" s="58">
        <f>Input_RAB_SCS!O51-Calc_RAB_Connection!O51</f>
        <v>4.8992008271442122</v>
      </c>
      <c r="P51" s="56">
        <f>Input_RAB_SCS!P51-Calc_RAB_Connection!P51</f>
        <v>3.1476902814050187</v>
      </c>
      <c r="Q51" s="57">
        <f>Input_RAB_SCS!Q51-Calc_RAB_Connection!Q51</f>
        <v>3.2166702070388382</v>
      </c>
      <c r="R51" s="57">
        <f>Input_RAB_SCS!R51-Calc_RAB_Connection!R51</f>
        <v>3.289538952557713</v>
      </c>
      <c r="S51" s="57">
        <f>Input_RAB_SCS!S51-Calc_RAB_Connection!S51</f>
        <v>3.3658093358916896</v>
      </c>
      <c r="T51" s="58">
        <f>Input_RAB_SCS!T51-Calc_RAB_Connection!T51</f>
        <v>3.4453661537176741</v>
      </c>
    </row>
    <row r="52" spans="4:20" ht="12.3" x14ac:dyDescent="0.35">
      <c r="D52" s="10" t="str">
        <f t="shared" si="55"/>
        <v>Distribution Switchgear</v>
      </c>
      <c r="E52" s="45" t="str">
        <f t="shared" si="59"/>
        <v>Calculated</v>
      </c>
      <c r="F52" s="45" t="str">
        <f t="shared" si="56"/>
        <v>$Millions</v>
      </c>
      <c r="G52" s="45" t="str">
        <f t="shared" si="57"/>
        <v>Nominal</v>
      </c>
      <c r="H52" s="45" t="str">
        <f t="shared" si="58"/>
        <v>End year</v>
      </c>
      <c r="J52" s="58">
        <f>Input_RAB_SCS!J52-Calc_RAB_Connection!J52</f>
        <v>0.45195778173848122</v>
      </c>
      <c r="K52" s="56">
        <f>Input_RAB_SCS!K52-Calc_RAB_Connection!K52</f>
        <v>0.70788064077412138</v>
      </c>
      <c r="L52" s="57">
        <f>Input_RAB_SCS!L52-Calc_RAB_Connection!L52</f>
        <v>0.3111172956825346</v>
      </c>
      <c r="M52" s="57">
        <f>Input_RAB_SCS!M52-Calc_RAB_Connection!M52</f>
        <v>1.4108410903573452</v>
      </c>
      <c r="N52" s="57">
        <f>Input_RAB_SCS!N52-Calc_RAB_Connection!N52</f>
        <v>3.4180572590357321</v>
      </c>
      <c r="O52" s="58">
        <f>Input_RAB_SCS!O52-Calc_RAB_Connection!O52</f>
        <v>2.2697445775585114</v>
      </c>
      <c r="P52" s="56">
        <f>Input_RAB_SCS!P52-Calc_RAB_Connection!P52</f>
        <v>1.4904384992342607</v>
      </c>
      <c r="Q52" s="57">
        <f>Input_RAB_SCS!Q52-Calc_RAB_Connection!Q52</f>
        <v>1.6297175800607617</v>
      </c>
      <c r="R52" s="57">
        <f>Input_RAB_SCS!R52-Calc_RAB_Connection!R52</f>
        <v>1.777422702785513</v>
      </c>
      <c r="S52" s="57">
        <f>Input_RAB_SCS!S52-Calc_RAB_Connection!S52</f>
        <v>1.9332115831687142</v>
      </c>
      <c r="T52" s="58">
        <f>Input_RAB_SCS!T52-Calc_RAB_Connection!T52</f>
        <v>2.0971484872372717</v>
      </c>
    </row>
    <row r="53" spans="4:20" ht="12.3" x14ac:dyDescent="0.35">
      <c r="D53" s="10" t="str">
        <f t="shared" si="55"/>
        <v>Protection</v>
      </c>
      <c r="E53" s="45" t="str">
        <f t="shared" si="59"/>
        <v>Calculated</v>
      </c>
      <c r="F53" s="45" t="str">
        <f t="shared" si="56"/>
        <v>$Millions</v>
      </c>
      <c r="G53" s="45" t="str">
        <f t="shared" si="57"/>
        <v>Nominal</v>
      </c>
      <c r="H53" s="45" t="str">
        <f t="shared" si="58"/>
        <v>End year</v>
      </c>
      <c r="J53" s="58">
        <f>Input_RAB_SCS!J53-Calc_RAB_Connection!J53</f>
        <v>0.38878739127294759</v>
      </c>
      <c r="K53" s="56">
        <f>Input_RAB_SCS!K53-Calc_RAB_Connection!K53</f>
        <v>0.5875857640456934</v>
      </c>
      <c r="L53" s="57">
        <f>Input_RAB_SCS!L53-Calc_RAB_Connection!L53</f>
        <v>0.283088598530224</v>
      </c>
      <c r="M53" s="57">
        <f>Input_RAB_SCS!M53-Calc_RAB_Connection!M53</f>
        <v>1.1708843338404984</v>
      </c>
      <c r="N53" s="57">
        <f>Input_RAB_SCS!N53-Calc_RAB_Connection!N53</f>
        <v>2.9088633385521452</v>
      </c>
      <c r="O53" s="58">
        <f>Input_RAB_SCS!O53-Calc_RAB_Connection!O53</f>
        <v>1.9229619813262437</v>
      </c>
      <c r="P53" s="56">
        <f>Input_RAB_SCS!P53-Calc_RAB_Connection!P53</f>
        <v>1.2696041672840335</v>
      </c>
      <c r="Q53" s="57">
        <f>Input_RAB_SCS!Q53-Calc_RAB_Connection!Q53</f>
        <v>1.5359940228430295</v>
      </c>
      <c r="R53" s="57">
        <f>Input_RAB_SCS!R53-Calc_RAB_Connection!R53</f>
        <v>1.6710042517426578</v>
      </c>
      <c r="S53" s="57">
        <f>Input_RAB_SCS!S53-Calc_RAB_Connection!S53</f>
        <v>1.7752875313413283</v>
      </c>
      <c r="T53" s="58">
        <f>Input_RAB_SCS!T53-Calc_RAB_Connection!T53</f>
        <v>1.8665476080870973</v>
      </c>
    </row>
    <row r="54" spans="4:20" ht="12.3" x14ac:dyDescent="0.35">
      <c r="D54" s="10" t="str">
        <f t="shared" si="55"/>
        <v>SCADA</v>
      </c>
      <c r="E54" s="45" t="str">
        <f t="shared" si="59"/>
        <v>Calculated</v>
      </c>
      <c r="F54" s="45" t="str">
        <f t="shared" si="56"/>
        <v>$Millions</v>
      </c>
      <c r="G54" s="45" t="str">
        <f t="shared" si="57"/>
        <v>Nominal</v>
      </c>
      <c r="H54" s="45" t="str">
        <f t="shared" si="58"/>
        <v>End year</v>
      </c>
      <c r="J54" s="58">
        <f>Input_RAB_SCS!J54-Calc_RAB_Connection!J54</f>
        <v>8.9527074872341114E-2</v>
      </c>
      <c r="K54" s="56">
        <f>Input_RAB_SCS!K54-Calc_RAB_Connection!K54</f>
        <v>0.18286021590762461</v>
      </c>
      <c r="L54" s="57">
        <f>Input_RAB_SCS!L54-Calc_RAB_Connection!L54</f>
        <v>9.6175741207753768E-2</v>
      </c>
      <c r="M54" s="57">
        <f>Input_RAB_SCS!M54-Calc_RAB_Connection!M54</f>
        <v>0.42084439084945913</v>
      </c>
      <c r="N54" s="57">
        <f>Input_RAB_SCS!N54-Calc_RAB_Connection!N54</f>
        <v>1.0683576582354939</v>
      </c>
      <c r="O54" s="58">
        <f>Input_RAB_SCS!O54-Calc_RAB_Connection!O54</f>
        <v>0.90770030779039501</v>
      </c>
      <c r="P54" s="56">
        <f>Input_RAB_SCS!P54-Calc_RAB_Connection!P54</f>
        <v>0.75366631867100453</v>
      </c>
      <c r="Q54" s="57">
        <f>Input_RAB_SCS!Q54-Calc_RAB_Connection!Q54</f>
        <v>0.82718388182004876</v>
      </c>
      <c r="R54" s="57">
        <f>Input_RAB_SCS!R54-Calc_RAB_Connection!R54</f>
        <v>0.80364801587376233</v>
      </c>
      <c r="S54" s="57">
        <f>Input_RAB_SCS!S54-Calc_RAB_Connection!S54</f>
        <v>0.77569698760425188</v>
      </c>
      <c r="T54" s="58">
        <f>Input_RAB_SCS!T54-Calc_RAB_Connection!T54</f>
        <v>0.74957886623804248</v>
      </c>
    </row>
    <row r="55" spans="4:20" ht="12.3" x14ac:dyDescent="0.35">
      <c r="D55" s="10" t="str">
        <f t="shared" si="55"/>
        <v>Communications</v>
      </c>
      <c r="E55" s="45" t="str">
        <f t="shared" si="59"/>
        <v>Calculated</v>
      </c>
      <c r="F55" s="45" t="str">
        <f t="shared" si="56"/>
        <v>$Millions</v>
      </c>
      <c r="G55" s="45" t="str">
        <f t="shared" si="57"/>
        <v>Nominal</v>
      </c>
      <c r="H55" s="45" t="str">
        <f t="shared" si="58"/>
        <v>End year</v>
      </c>
      <c r="J55" s="58">
        <f>Input_RAB_SCS!J55-Calc_RAB_Connection!J55</f>
        <v>0.11739185753816281</v>
      </c>
      <c r="K55" s="56">
        <f>Input_RAB_SCS!K55-Calc_RAB_Connection!K55</f>
        <v>0.14247518646406473</v>
      </c>
      <c r="L55" s="57">
        <f>Input_RAB_SCS!L55-Calc_RAB_Connection!L55</f>
        <v>8.1193461908048228E-2</v>
      </c>
      <c r="M55" s="57">
        <f>Input_RAB_SCS!M55-Calc_RAB_Connection!M55</f>
        <v>0.36335248369663481</v>
      </c>
      <c r="N55" s="57">
        <f>Input_RAB_SCS!N55-Calc_RAB_Connection!N55</f>
        <v>0.93227804063994424</v>
      </c>
      <c r="O55" s="58">
        <f>Input_RAB_SCS!O55-Calc_RAB_Connection!O55</f>
        <v>0.62047884746436588</v>
      </c>
      <c r="P55" s="56">
        <f>Input_RAB_SCS!P55-Calc_RAB_Connection!P55</f>
        <v>0.47601419226792513</v>
      </c>
      <c r="Q55" s="57">
        <f>Input_RAB_SCS!Q55-Calc_RAB_Connection!Q55</f>
        <v>0.60776910413365171</v>
      </c>
      <c r="R55" s="57">
        <f>Input_RAB_SCS!R55-Calc_RAB_Connection!R55</f>
        <v>0.71813459461849127</v>
      </c>
      <c r="S55" s="57">
        <f>Input_RAB_SCS!S55-Calc_RAB_Connection!S55</f>
        <v>0.83674196675382861</v>
      </c>
      <c r="T55" s="58">
        <f>Input_RAB_SCS!T55-Calc_RAB_Connection!T55</f>
        <v>0.88454297910600521</v>
      </c>
    </row>
    <row r="56" spans="4:20" ht="12.3" x14ac:dyDescent="0.35">
      <c r="D56" s="10" t="str">
        <f t="shared" si="55"/>
        <v>Land and Easements</v>
      </c>
      <c r="E56" s="45" t="str">
        <f t="shared" si="59"/>
        <v>Calculated</v>
      </c>
      <c r="F56" s="45" t="str">
        <f t="shared" si="56"/>
        <v>$Millions</v>
      </c>
      <c r="G56" s="45" t="str">
        <f t="shared" si="57"/>
        <v>Nominal</v>
      </c>
      <c r="H56" s="45" t="str">
        <f t="shared" si="58"/>
        <v>End year</v>
      </c>
      <c r="J56" s="58">
        <f>Input_RAB_SCS!J56-Calc_RAB_Connection!J56</f>
        <v>0.66033269480907408</v>
      </c>
      <c r="K56" s="56">
        <f>Input_RAB_SCS!K56-Calc_RAB_Connection!K56</f>
        <v>0.84323486358968636</v>
      </c>
      <c r="L56" s="57">
        <f>Input_RAB_SCS!L56-Calc_RAB_Connection!L56</f>
        <v>0.40154041123318057</v>
      </c>
      <c r="M56" s="57">
        <f>Input_RAB_SCS!M56-Calc_RAB_Connection!M56</f>
        <v>1.6463156860560397</v>
      </c>
      <c r="N56" s="57">
        <f>Input_RAB_SCS!N56-Calc_RAB_Connection!N56</f>
        <v>3.8965481506067925</v>
      </c>
      <c r="O56" s="58">
        <f>Input_RAB_SCS!O56-Calc_RAB_Connection!O56</f>
        <v>2.4723598015600099</v>
      </c>
      <c r="P56" s="56">
        <f>Input_RAB_SCS!P56-Calc_RAB_Connection!P56</f>
        <v>1.6131416715999964</v>
      </c>
      <c r="Q56" s="57">
        <f>Input_RAB_SCS!Q56-Calc_RAB_Connection!Q56</f>
        <v>1.6602396019051437</v>
      </c>
      <c r="R56" s="57">
        <f>Input_RAB_SCS!R56-Calc_RAB_Connection!R56</f>
        <v>1.7087126222461391</v>
      </c>
      <c r="S56" s="57">
        <f>Input_RAB_SCS!S56-Calc_RAB_Connection!S56</f>
        <v>1.7586008803023909</v>
      </c>
      <c r="T56" s="58">
        <f>Input_RAB_SCS!T56-Calc_RAB_Connection!T56</f>
        <v>1.8099456959210347</v>
      </c>
    </row>
    <row r="57" spans="4:20" ht="12.3" x14ac:dyDescent="0.35">
      <c r="D57" s="10" t="str">
        <f t="shared" si="55"/>
        <v>Property</v>
      </c>
      <c r="E57" s="45" t="str">
        <f t="shared" si="59"/>
        <v>Calculated</v>
      </c>
      <c r="F57" s="45" t="str">
        <f t="shared" si="56"/>
        <v>$Millions</v>
      </c>
      <c r="G57" s="45" t="str">
        <f t="shared" si="57"/>
        <v>Nominal</v>
      </c>
      <c r="H57" s="45" t="str">
        <f t="shared" si="58"/>
        <v>End year</v>
      </c>
      <c r="J57" s="58">
        <f>Input_RAB_SCS!J57-Calc_RAB_Connection!J57</f>
        <v>1.8674542875962988E-2</v>
      </c>
      <c r="K57" s="56">
        <f>Input_RAB_SCS!K57-Calc_RAB_Connection!K57</f>
        <v>0.20028056067984898</v>
      </c>
      <c r="L57" s="57">
        <f>Input_RAB_SCS!L57-Calc_RAB_Connection!L57</f>
        <v>9.4162848382658593E-2</v>
      </c>
      <c r="M57" s="57">
        <f>Input_RAB_SCS!M57-Calc_RAB_Connection!M57</f>
        <v>0.37834307643070597</v>
      </c>
      <c r="N57" s="57">
        <f>Input_RAB_SCS!N57-Calc_RAB_Connection!N57</f>
        <v>0.85854033393410134</v>
      </c>
      <c r="O57" s="58">
        <f>Input_RAB_SCS!O57-Calc_RAB_Connection!O57</f>
        <v>0.63316098776619067</v>
      </c>
      <c r="P57" s="56">
        <f>Input_RAB_SCS!P57-Calc_RAB_Connection!P57</f>
        <v>0.56107767690609645</v>
      </c>
      <c r="Q57" s="57">
        <f>Input_RAB_SCS!Q57-Calc_RAB_Connection!Q57</f>
        <v>0.58766774596675542</v>
      </c>
      <c r="R57" s="57">
        <f>Input_RAB_SCS!R57-Calc_RAB_Connection!R57</f>
        <v>0.60565932100987496</v>
      </c>
      <c r="S57" s="57">
        <f>Input_RAB_SCS!S57-Calc_RAB_Connection!S57</f>
        <v>0.71028151230337289</v>
      </c>
      <c r="T57" s="58">
        <f>Input_RAB_SCS!T57-Calc_RAB_Connection!T57</f>
        <v>2.4206553276960792</v>
      </c>
    </row>
    <row r="58" spans="4:20" ht="12.3" x14ac:dyDescent="0.35">
      <c r="D58" s="10" t="str">
        <f t="shared" si="55"/>
        <v>IT and Communications</v>
      </c>
      <c r="E58" s="45" t="str">
        <f t="shared" si="59"/>
        <v>Calculated</v>
      </c>
      <c r="F58" s="45" t="str">
        <f t="shared" si="56"/>
        <v>$Millions</v>
      </c>
      <c r="G58" s="45" t="str">
        <f t="shared" si="57"/>
        <v>Nominal</v>
      </c>
      <c r="H58" s="45" t="str">
        <f t="shared" si="58"/>
        <v>End year</v>
      </c>
      <c r="J58" s="58">
        <f>Input_RAB_SCS!J58-Calc_RAB_Connection!J58</f>
        <v>0.12132398564652942</v>
      </c>
      <c r="K58" s="56">
        <f>Input_RAB_SCS!K58-Calc_RAB_Connection!K58</f>
        <v>0.22384007018953708</v>
      </c>
      <c r="L58" s="57">
        <f>Input_RAB_SCS!L58-Calc_RAB_Connection!L58</f>
        <v>0.15190846639847591</v>
      </c>
      <c r="M58" s="57">
        <f>Input_RAB_SCS!M58-Calc_RAB_Connection!M58</f>
        <v>0.61540072085541875</v>
      </c>
      <c r="N58" s="57">
        <f>Input_RAB_SCS!N58-Calc_RAB_Connection!N58</f>
        <v>1.6658755780449297</v>
      </c>
      <c r="O58" s="58">
        <f>Input_RAB_SCS!O58-Calc_RAB_Connection!O58</f>
        <v>1.9323131176292432</v>
      </c>
      <c r="P58" s="56">
        <f>Input_RAB_SCS!P58-Calc_RAB_Connection!P58</f>
        <v>1.8320196756876828</v>
      </c>
      <c r="Q58" s="57">
        <f>Input_RAB_SCS!Q58-Calc_RAB_Connection!Q58</f>
        <v>2.291846852240806</v>
      </c>
      <c r="R58" s="57">
        <f>Input_RAB_SCS!R58-Calc_RAB_Connection!R58</f>
        <v>2.9504030455132071</v>
      </c>
      <c r="S58" s="57">
        <f>Input_RAB_SCS!S58-Calc_RAB_Connection!S58</f>
        <v>3.4280764589361148</v>
      </c>
      <c r="T58" s="58">
        <f>Input_RAB_SCS!T58-Calc_RAB_Connection!T58</f>
        <v>3.7458551022326216</v>
      </c>
    </row>
    <row r="59" spans="4:20" ht="12.3" x14ac:dyDescent="0.35">
      <c r="D59" s="10" t="str">
        <f t="shared" si="55"/>
        <v>Motor Vehicles</v>
      </c>
      <c r="E59" s="45" t="str">
        <f t="shared" si="59"/>
        <v>Calculated</v>
      </c>
      <c r="F59" s="45" t="str">
        <f t="shared" si="56"/>
        <v>$Millions</v>
      </c>
      <c r="G59" s="45" t="str">
        <f t="shared" si="57"/>
        <v>Nominal</v>
      </c>
      <c r="H59" s="45" t="str">
        <f t="shared" si="58"/>
        <v>End year</v>
      </c>
      <c r="J59" s="58">
        <f>Input_RAB_SCS!J59-Calc_RAB_Connection!J59</f>
        <v>1.7736503940748551E-3</v>
      </c>
      <c r="K59" s="56">
        <f>Input_RAB_SCS!K59-Calc_RAB_Connection!K59</f>
        <v>5.8247581813624617E-3</v>
      </c>
      <c r="L59" s="57">
        <f>Input_RAB_SCS!L59-Calc_RAB_Connection!L59</f>
        <v>3.0545166743268489E-3</v>
      </c>
      <c r="M59" s="57">
        <f>Input_RAB_SCS!M59-Calc_RAB_Connection!M59</f>
        <v>2.8937330686596281E-2</v>
      </c>
      <c r="N59" s="57">
        <f>Input_RAB_SCS!N59-Calc_RAB_Connection!N59</f>
        <v>7.543523936921713E-2</v>
      </c>
      <c r="O59" s="58">
        <f>Input_RAB_SCS!O59-Calc_RAB_Connection!O59</f>
        <v>4.6101331388142465E-2</v>
      </c>
      <c r="P59" s="56">
        <f>Input_RAB_SCS!P59-Calc_RAB_Connection!P59</f>
        <v>3.012215860352787E-2</v>
      </c>
      <c r="Q59" s="57">
        <f>Input_RAB_SCS!Q59-Calc_RAB_Connection!Q59</f>
        <v>2.7374677849392709E-2</v>
      </c>
      <c r="R59" s="57">
        <f>Input_RAB_SCS!R59-Calc_RAB_Connection!R59</f>
        <v>2.4526713591935877E-2</v>
      </c>
      <c r="S59" s="57">
        <f>Input_RAB_SCS!S59-Calc_RAB_Connection!S59</f>
        <v>2.1489113733124617E-2</v>
      </c>
      <c r="T59" s="58">
        <f>Input_RAB_SCS!T59-Calc_RAB_Connection!T59</f>
        <v>1.8253232608635334E-2</v>
      </c>
    </row>
    <row r="60" spans="4:20" ht="12.3" x14ac:dyDescent="0.35">
      <c r="D60" s="10" t="str">
        <f t="shared" si="55"/>
        <v>Plant and Equipment</v>
      </c>
      <c r="E60" s="45" t="str">
        <f t="shared" si="59"/>
        <v>Calculated</v>
      </c>
      <c r="F60" s="45" t="str">
        <f t="shared" si="56"/>
        <v>$Millions</v>
      </c>
      <c r="G60" s="45" t="str">
        <f t="shared" si="57"/>
        <v>Nominal</v>
      </c>
      <c r="H60" s="45" t="str">
        <f t="shared" si="58"/>
        <v>End year</v>
      </c>
      <c r="J60" s="58">
        <f>Input_RAB_SCS!J60-Calc_RAB_Connection!J60</f>
        <v>0.10440449438271064</v>
      </c>
      <c r="K60" s="56">
        <f>Input_RAB_SCS!K60-Calc_RAB_Connection!K60</f>
        <v>8.7817984406223223E-2</v>
      </c>
      <c r="L60" s="57">
        <f>Input_RAB_SCS!L60-Calc_RAB_Connection!L60</f>
        <v>4.2461832430432306E-2</v>
      </c>
      <c r="M60" s="57">
        <f>Input_RAB_SCS!M60-Calc_RAB_Connection!M60</f>
        <v>0.20684065706010563</v>
      </c>
      <c r="N60" s="57">
        <f>Input_RAB_SCS!N60-Calc_RAB_Connection!N60</f>
        <v>0.53253750878123085</v>
      </c>
      <c r="O60" s="58">
        <f>Input_RAB_SCS!O60-Calc_RAB_Connection!O60</f>
        <v>0.34973988622159741</v>
      </c>
      <c r="P60" s="56">
        <f>Input_RAB_SCS!P60-Calc_RAB_Connection!P60</f>
        <v>0.26834339257669665</v>
      </c>
      <c r="Q60" s="57">
        <f>Input_RAB_SCS!Q60-Calc_RAB_Connection!Q60</f>
        <v>0.32500038949901461</v>
      </c>
      <c r="R60" s="57">
        <f>Input_RAB_SCS!R60-Calc_RAB_Connection!R60</f>
        <v>0.39054121848551643</v>
      </c>
      <c r="S60" s="57">
        <f>Input_RAB_SCS!S60-Calc_RAB_Connection!S60</f>
        <v>0.43589753077986793</v>
      </c>
      <c r="T60" s="58">
        <f>Input_RAB_SCS!T60-Calc_RAB_Connection!T60</f>
        <v>0.46858967342204261</v>
      </c>
    </row>
    <row r="61" spans="4:20" ht="12.3" x14ac:dyDescent="0.35">
      <c r="D61" s="10" t="str">
        <f t="shared" si="55"/>
        <v>Property Leases</v>
      </c>
      <c r="E61" s="45" t="str">
        <f t="shared" si="59"/>
        <v>Calculated</v>
      </c>
      <c r="F61" s="45" t="str">
        <f t="shared" si="56"/>
        <v>$Millions</v>
      </c>
      <c r="G61" s="45" t="str">
        <f t="shared" si="57"/>
        <v>Nominal</v>
      </c>
      <c r="H61" s="45" t="str">
        <f t="shared" si="58"/>
        <v>End year</v>
      </c>
      <c r="J61" s="58">
        <f>Input_RAB_SCS!J61-Calc_RAB_Connection!J61</f>
        <v>0</v>
      </c>
      <c r="K61" s="56">
        <f>Input_RAB_SCS!K61-Calc_RAB_Connection!K61</f>
        <v>0</v>
      </c>
      <c r="L61" s="57">
        <f>Input_RAB_SCS!L61-Calc_RAB_Connection!L61</f>
        <v>2.8733151469559834E-2</v>
      </c>
      <c r="M61" s="57">
        <f>Input_RAB_SCS!M61-Calc_RAB_Connection!M61</f>
        <v>0.13513199762906933</v>
      </c>
      <c r="N61" s="57">
        <f>Input_RAB_SCS!N61-Calc_RAB_Connection!N61</f>
        <v>1.0985191124823899</v>
      </c>
      <c r="O61" s="58">
        <f>Input_RAB_SCS!O61-Calc_RAB_Connection!O61</f>
        <v>0.62223285571625786</v>
      </c>
      <c r="P61" s="56">
        <f>Input_RAB_SCS!P61-Calc_RAB_Connection!P61</f>
        <v>0.50504807524062301</v>
      </c>
      <c r="Q61" s="57">
        <f>Input_RAB_SCS!Q61-Calc_RAB_Connection!Q61</f>
        <v>0.48234481654949168</v>
      </c>
      <c r="R61" s="57">
        <f>Input_RAB_SCS!R61-Calc_RAB_Connection!R61</f>
        <v>0.45788533296079953</v>
      </c>
      <c r="S61" s="57">
        <f>Input_RAB_SCS!S61-Calc_RAB_Connection!S61</f>
        <v>0.67578437939664082</v>
      </c>
      <c r="T61" s="58">
        <f>Input_RAB_SCS!T61-Calc_RAB_Connection!T61</f>
        <v>0.59845237397524254</v>
      </c>
    </row>
    <row r="62" spans="4:20" ht="12.3" x14ac:dyDescent="0.35">
      <c r="D62" s="10" t="str">
        <f t="shared" si="55"/>
        <v>Fleet Leases</v>
      </c>
      <c r="E62" s="45" t="str">
        <f t="shared" si="59"/>
        <v>Calculated</v>
      </c>
      <c r="F62" s="45" t="str">
        <f t="shared" si="56"/>
        <v>$Millions</v>
      </c>
      <c r="G62" s="45" t="str">
        <f t="shared" si="57"/>
        <v>Nominal</v>
      </c>
      <c r="H62" s="45" t="str">
        <f t="shared" si="58"/>
        <v>End year</v>
      </c>
      <c r="J62" s="58">
        <f>Input_RAB_SCS!J62-Calc_RAB_Connection!J62</f>
        <v>0</v>
      </c>
      <c r="K62" s="56">
        <f>Input_RAB_SCS!K62-Calc_RAB_Connection!K62</f>
        <v>0</v>
      </c>
      <c r="L62" s="57">
        <f>Input_RAB_SCS!L62-Calc_RAB_Connection!L62</f>
        <v>0.12546771337746288</v>
      </c>
      <c r="M62" s="57">
        <f>Input_RAB_SCS!M62-Calc_RAB_Connection!M62</f>
        <v>0.5024169180610446</v>
      </c>
      <c r="N62" s="57">
        <f>Input_RAB_SCS!N62-Calc_RAB_Connection!N62</f>
        <v>1.1265299500778005</v>
      </c>
      <c r="O62" s="58">
        <f>Input_RAB_SCS!O62-Calc_RAB_Connection!O62</f>
        <v>0.67820491864924604</v>
      </c>
      <c r="P62" s="56">
        <f>Input_RAB_SCS!P62-Calc_RAB_Connection!P62</f>
        <v>0.34304471399246211</v>
      </c>
      <c r="Q62" s="57">
        <f>Input_RAB_SCS!Q62-Calc_RAB_Connection!Q62</f>
        <v>0.2903870044326276</v>
      </c>
      <c r="R62" s="57">
        <f>Input_RAB_SCS!R62-Calc_RAB_Connection!R62</f>
        <v>0.324165094932161</v>
      </c>
      <c r="S62" s="57">
        <f>Input_RAB_SCS!S62-Calc_RAB_Connection!S62</f>
        <v>0.39675330039178647</v>
      </c>
      <c r="T62" s="58">
        <f>Input_RAB_SCS!T62-Calc_RAB_Connection!T62</f>
        <v>0.45154502850427536</v>
      </c>
    </row>
    <row r="63" spans="4:20" ht="12.3" x14ac:dyDescent="0.35">
      <c r="D63" s="10" t="str">
        <f t="shared" si="55"/>
        <v>Community Batteries</v>
      </c>
      <c r="E63" s="45" t="str">
        <f t="shared" si="59"/>
        <v>Calculated</v>
      </c>
      <c r="F63" s="45" t="str">
        <f t="shared" si="56"/>
        <v>$Millions</v>
      </c>
      <c r="G63" s="45" t="str">
        <f t="shared" si="57"/>
        <v>Nominal</v>
      </c>
      <c r="H63" s="45" t="str">
        <f t="shared" si="58"/>
        <v>End year</v>
      </c>
      <c r="J63" s="58">
        <f>Input_RAB_SCS!J63-Calc_RAB_Connection!J63</f>
        <v>0</v>
      </c>
      <c r="K63" s="56">
        <f>Input_RAB_SCS!K63-Calc_RAB_Connection!K63</f>
        <v>0</v>
      </c>
      <c r="L63" s="57">
        <f>Input_RAB_SCS!L63-Calc_RAB_Connection!L63</f>
        <v>0</v>
      </c>
      <c r="M63" s="57">
        <f>Input_RAB_SCS!M63-Calc_RAB_Connection!M63</f>
        <v>0</v>
      </c>
      <c r="N63" s="57">
        <f>Input_RAB_SCS!N63-Calc_RAB_Connection!N63</f>
        <v>0</v>
      </c>
      <c r="O63" s="58">
        <f>Input_RAB_SCS!O63-Calc_RAB_Connection!O63</f>
        <v>0</v>
      </c>
      <c r="P63" s="56">
        <f>Input_RAB_SCS!P63-Calc_RAB_Connection!P63</f>
        <v>0</v>
      </c>
      <c r="Q63" s="57">
        <f>Input_RAB_SCS!Q63-Calc_RAB_Connection!Q63</f>
        <v>0</v>
      </c>
      <c r="R63" s="57">
        <f>Input_RAB_SCS!R63-Calc_RAB_Connection!R63</f>
        <v>0</v>
      </c>
      <c r="S63" s="57">
        <f>Input_RAB_SCS!S63-Calc_RAB_Connection!S63</f>
        <v>0</v>
      </c>
      <c r="T63" s="58">
        <f>Input_RAB_SCS!T63-Calc_RAB_Connection!T63</f>
        <v>0</v>
      </c>
    </row>
    <row r="64" spans="4:20" ht="12.3" x14ac:dyDescent="0.35">
      <c r="D64" s="10" t="str">
        <f>D35</f>
        <v>Buildings</v>
      </c>
      <c r="E64" s="45" t="str">
        <f>E62</f>
        <v>Calculated</v>
      </c>
      <c r="F64" s="45" t="str">
        <f t="shared" si="56"/>
        <v>$Millions</v>
      </c>
      <c r="G64" s="45" t="str">
        <f t="shared" si="57"/>
        <v>Nominal</v>
      </c>
      <c r="H64" s="45" t="str">
        <f t="shared" si="58"/>
        <v>End year</v>
      </c>
      <c r="J64" s="58">
        <f>Input_RAB_SCS!J64-Calc_RAB_Connection!J64</f>
        <v>0</v>
      </c>
      <c r="K64" s="56">
        <f>Input_RAB_SCS!K64-Calc_RAB_Connection!K64</f>
        <v>0</v>
      </c>
      <c r="L64" s="57">
        <f>Input_RAB_SCS!L64-Calc_RAB_Connection!L64</f>
        <v>1.4107583086740113E-3</v>
      </c>
      <c r="M64" s="57">
        <f>Input_RAB_SCS!M64-Calc_RAB_Connection!M64</f>
        <v>2.993097414571429E-2</v>
      </c>
      <c r="N64" s="57">
        <f>Input_RAB_SCS!N64-Calc_RAB_Connection!N64</f>
        <v>0.2514609433003111</v>
      </c>
      <c r="O64" s="58">
        <f>Input_RAB_SCS!O64-Calc_RAB_Connection!O64</f>
        <v>0.15858614799807347</v>
      </c>
      <c r="P64" s="56">
        <f>Input_RAB_SCS!P64-Calc_RAB_Connection!P64</f>
        <v>0.10237168261046846</v>
      </c>
      <c r="Q64" s="57">
        <f>Input_RAB_SCS!Q64-Calc_RAB_Connection!Q64</f>
        <v>0.10256349591276558</v>
      </c>
      <c r="R64" s="57">
        <f>Input_RAB_SCS!R64-Calc_RAB_Connection!R64</f>
        <v>0.10267924505790621</v>
      </c>
      <c r="S64" s="57">
        <f>Input_RAB_SCS!S64-Calc_RAB_Connection!S64</f>
        <v>0.10271432493932314</v>
      </c>
      <c r="T64" s="58">
        <f>Input_RAB_SCS!T64-Calc_RAB_Connection!T64</f>
        <v>0.10266392638473229</v>
      </c>
    </row>
    <row r="65" spans="1:20" ht="12.3" x14ac:dyDescent="0.35">
      <c r="D65" s="10" t="str">
        <f>D36</f>
        <v>in-house software</v>
      </c>
      <c r="E65" s="45" t="str">
        <f t="shared" si="59"/>
        <v>Calculated</v>
      </c>
      <c r="F65" s="45" t="str">
        <f t="shared" si="56"/>
        <v>$Millions</v>
      </c>
      <c r="G65" s="45" t="str">
        <f t="shared" si="57"/>
        <v>Nominal</v>
      </c>
      <c r="H65" s="45" t="str">
        <f t="shared" si="58"/>
        <v>End year</v>
      </c>
      <c r="J65" s="58">
        <f>Input_RAB_SCS!J65-Calc_RAB_Connection!J65</f>
        <v>0</v>
      </c>
      <c r="K65" s="56">
        <f>Input_RAB_SCS!K65-Calc_RAB_Connection!K65</f>
        <v>0</v>
      </c>
      <c r="L65" s="57">
        <f>Input_RAB_SCS!L65-Calc_RAB_Connection!L65</f>
        <v>0</v>
      </c>
      <c r="M65" s="57">
        <f>Input_RAB_SCS!M65-Calc_RAB_Connection!M65</f>
        <v>-1.8221342404859371E-3</v>
      </c>
      <c r="N65" s="57">
        <f>Input_RAB_SCS!N65-Calc_RAB_Connection!N65</f>
        <v>-2.364629341524796E-2</v>
      </c>
      <c r="O65" s="58">
        <f>Input_RAB_SCS!O65-Calc_RAB_Connection!O65</f>
        <v>-2.9726771413475229E-2</v>
      </c>
      <c r="P65" s="56">
        <f>Input_RAB_SCS!P65-Calc_RAB_Connection!P65</f>
        <v>-3.7284279110133788E-2</v>
      </c>
      <c r="Q65" s="57">
        <f>Input_RAB_SCS!Q65-Calc_RAB_Connection!Q65</f>
        <v>0</v>
      </c>
      <c r="R65" s="57">
        <f>Input_RAB_SCS!R65-Calc_RAB_Connection!R65</f>
        <v>0</v>
      </c>
      <c r="S65" s="57">
        <f>Input_RAB_SCS!S65-Calc_RAB_Connection!S65</f>
        <v>0</v>
      </c>
      <c r="T65" s="58">
        <f>Input_RAB_SCS!T65-Calc_RAB_Connection!T65</f>
        <v>0</v>
      </c>
    </row>
    <row r="66" spans="1:20" ht="12.3" x14ac:dyDescent="0.35">
      <c r="D66" s="10" t="str">
        <f t="shared" ref="D66" si="60">D37</f>
        <v>Equity Raising Costs</v>
      </c>
      <c r="E66" s="45" t="str">
        <f>E60</f>
        <v>Calculated</v>
      </c>
      <c r="F66" s="45" t="str">
        <f t="shared" si="56"/>
        <v>$Millions</v>
      </c>
      <c r="G66" s="45" t="str">
        <f t="shared" si="57"/>
        <v>Nominal</v>
      </c>
      <c r="H66" s="45" t="str">
        <f t="shared" si="58"/>
        <v>End year</v>
      </c>
      <c r="J66" s="58">
        <f>Input_RAB_SCS!J66-Calc_RAB_Connection!J66</f>
        <v>0</v>
      </c>
      <c r="K66" s="56">
        <f>Input_RAB_SCS!K66-Calc_RAB_Connection!K66</f>
        <v>0</v>
      </c>
      <c r="L66" s="57">
        <f>Input_RAB_SCS!L66-Calc_RAB_Connection!L66</f>
        <v>0</v>
      </c>
      <c r="M66" s="57">
        <f>Input_RAB_SCS!M66-Calc_RAB_Connection!M66</f>
        <v>0</v>
      </c>
      <c r="N66" s="57">
        <f>Input_RAB_SCS!N66-Calc_RAB_Connection!N66</f>
        <v>0</v>
      </c>
      <c r="O66" s="58">
        <f>Input_RAB_SCS!O66-Calc_RAB_Connection!O66</f>
        <v>0</v>
      </c>
      <c r="P66" s="56">
        <f>Input_RAB_SCS!P66-Calc_RAB_Connection!P66</f>
        <v>0</v>
      </c>
      <c r="Q66" s="57">
        <f>Input_RAB_SCS!Q66-Calc_RAB_Connection!Q66</f>
        <v>0</v>
      </c>
      <c r="R66" s="57">
        <f>Input_RAB_SCS!R66-Calc_RAB_Connection!R66</f>
        <v>0</v>
      </c>
      <c r="S66" s="57">
        <f>Input_RAB_SCS!S66-Calc_RAB_Connection!S66</f>
        <v>0</v>
      </c>
      <c r="T66" s="58">
        <f>Input_RAB_SCS!T66-Calc_RAB_Connection!T66</f>
        <v>0</v>
      </c>
    </row>
    <row r="67" spans="1:20" x14ac:dyDescent="0.35">
      <c r="J67" s="49"/>
      <c r="K67" s="48"/>
      <c r="O67" s="49"/>
      <c r="P67" s="48"/>
      <c r="T67" s="49"/>
    </row>
    <row r="68" spans="1:20" ht="12.3" x14ac:dyDescent="0.35">
      <c r="D68" s="44" t="str">
        <f>"Total "&amp;D45</f>
        <v>Total RAB asset class</v>
      </c>
      <c r="E68" s="40" t="s">
        <v>91</v>
      </c>
      <c r="F68" s="40" t="str">
        <f>F47</f>
        <v>$Millions</v>
      </c>
      <c r="G68" s="40" t="str">
        <f>G47</f>
        <v>Nominal</v>
      </c>
      <c r="H68" s="40" t="str">
        <f>H47</f>
        <v>End year</v>
      </c>
      <c r="J68" s="54">
        <f t="shared" ref="J68:T68" si="61">SUM(J47:J66)</f>
        <v>15.163286937692233</v>
      </c>
      <c r="K68" s="53">
        <f t="shared" si="61"/>
        <v>17.236871661530209</v>
      </c>
      <c r="L68" s="39">
        <f t="shared" si="61"/>
        <v>8.1134729605792071</v>
      </c>
      <c r="M68" s="39">
        <f t="shared" si="61"/>
        <v>33.929044859479298</v>
      </c>
      <c r="N68" s="39">
        <f t="shared" si="61"/>
        <v>81.670585182198437</v>
      </c>
      <c r="O68" s="54">
        <f t="shared" si="61"/>
        <v>53.313116564162669</v>
      </c>
      <c r="P68" s="53">
        <f t="shared" si="61"/>
        <v>36.012410074866203</v>
      </c>
      <c r="Q68" s="39">
        <f t="shared" si="61"/>
        <v>38.034938537079896</v>
      </c>
      <c r="R68" s="39">
        <f t="shared" si="61"/>
        <v>40.157825213984182</v>
      </c>
      <c r="S68" s="39">
        <f t="shared" si="61"/>
        <v>41.915230101054497</v>
      </c>
      <c r="T68" s="54">
        <f t="shared" si="61"/>
        <v>44.564649840742511</v>
      </c>
    </row>
    <row r="69" spans="1:20" ht="11.25" customHeight="1" x14ac:dyDescent="0.35"/>
    <row r="70" spans="1:20" ht="11.25" customHeight="1" x14ac:dyDescent="0.35">
      <c r="A70" s="42">
        <f>IF(SUM($J70:$T70)&lt;&gt;0,1,0)</f>
        <v>0</v>
      </c>
      <c r="D70" s="10" t="s">
        <v>94</v>
      </c>
      <c r="J70" s="42">
        <f t="shared" ref="J70:K70" si="62">IF(ISERROR(J68),1,0)</f>
        <v>0</v>
      </c>
      <c r="K70" s="42">
        <f t="shared" si="62"/>
        <v>0</v>
      </c>
      <c r="L70" s="42">
        <f>IF(ISERROR(L68),1,0)</f>
        <v>0</v>
      </c>
      <c r="M70" s="42">
        <f t="shared" ref="M70:P70" si="63">IF(ISERROR(M68),1,0)</f>
        <v>0</v>
      </c>
      <c r="N70" s="42">
        <f t="shared" si="63"/>
        <v>0</v>
      </c>
      <c r="O70" s="42">
        <f t="shared" si="63"/>
        <v>0</v>
      </c>
      <c r="P70" s="42">
        <f t="shared" si="63"/>
        <v>0</v>
      </c>
      <c r="Q70" s="42">
        <f>IF(ISERROR(Q68),1,0)</f>
        <v>0</v>
      </c>
      <c r="R70" s="42">
        <f t="shared" ref="R70:T70" si="64">IF(ISERROR(R68),1,0)</f>
        <v>0</v>
      </c>
      <c r="S70" s="42">
        <f t="shared" si="64"/>
        <v>0</v>
      </c>
      <c r="T70" s="42">
        <f t="shared" si="64"/>
        <v>0</v>
      </c>
    </row>
    <row r="71" spans="1:20" ht="11.25" customHeight="1" x14ac:dyDescent="0.35">
      <c r="N71" s="5"/>
      <c r="S71" s="5"/>
    </row>
    <row r="72" spans="1:20" s="8" customFormat="1" ht="14.1" x14ac:dyDescent="0.35">
      <c r="C72" s="8" t="s">
        <v>222</v>
      </c>
    </row>
    <row r="73" spans="1:20" ht="11.25" customHeight="1" x14ac:dyDescent="0.35"/>
    <row r="74" spans="1:20" ht="12.3" x14ac:dyDescent="0.35">
      <c r="D74" s="43" t="str">
        <f>D$16</f>
        <v>RAB asset class</v>
      </c>
      <c r="E74" s="38" t="str">
        <f>Lookup!E$20</f>
        <v>Source</v>
      </c>
      <c r="F74" s="38" t="str">
        <f>Lookup!F$20</f>
        <v>Unit</v>
      </c>
      <c r="G74" s="38" t="str">
        <f>Lookup!G$20</f>
        <v>Basis</v>
      </c>
      <c r="H74" s="38" t="str">
        <f>Lookup!H$20</f>
        <v>Timing</v>
      </c>
      <c r="J74" s="47" t="str">
        <f t="shared" ref="J74:T74" si="65">J$10</f>
        <v>RY19</v>
      </c>
      <c r="K74" s="46" t="str">
        <f t="shared" si="65"/>
        <v>RY20</v>
      </c>
      <c r="L74" s="38" t="str">
        <f>L$10</f>
        <v>RY21</v>
      </c>
      <c r="M74" s="38" t="str">
        <f t="shared" si="65"/>
        <v>RY22</v>
      </c>
      <c r="N74" s="38" t="str">
        <f t="shared" si="65"/>
        <v>RY23</v>
      </c>
      <c r="O74" s="47" t="str">
        <f t="shared" si="65"/>
        <v>RY24</v>
      </c>
      <c r="P74" s="46" t="str">
        <f t="shared" si="65"/>
        <v>RY25</v>
      </c>
      <c r="Q74" s="38" t="str">
        <f>Q$10</f>
        <v>RY26</v>
      </c>
      <c r="R74" s="38" t="str">
        <f t="shared" si="65"/>
        <v>RY27</v>
      </c>
      <c r="S74" s="38" t="str">
        <f t="shared" si="65"/>
        <v>RY28</v>
      </c>
      <c r="T74" s="47" t="str">
        <f t="shared" si="65"/>
        <v>RY29</v>
      </c>
    </row>
    <row r="75" spans="1:20" x14ac:dyDescent="0.35">
      <c r="J75" s="49"/>
      <c r="K75" s="48"/>
      <c r="O75" s="49"/>
      <c r="P75" s="48"/>
      <c r="T75" s="49"/>
    </row>
    <row r="76" spans="1:20" ht="12.3" x14ac:dyDescent="0.35">
      <c r="D76" s="10" t="str">
        <f t="shared" ref="D76:D92" si="66">D18</f>
        <v>Substations</v>
      </c>
      <c r="E76" s="45" t="str">
        <f>$E$18</f>
        <v>Calculated</v>
      </c>
      <c r="F76" s="45" t="str">
        <f t="shared" ref="F76:F95" si="67">Millions</f>
        <v>$Millions</v>
      </c>
      <c r="G76" s="45" t="str">
        <f t="shared" ref="G76:G95" si="68">Nominal</f>
        <v>Nominal</v>
      </c>
      <c r="H76" s="45" t="str">
        <f t="shared" ref="H76:H95" si="69">End_year</f>
        <v>End year</v>
      </c>
      <c r="J76" s="58">
        <f>Input_RAB_SCS!J78-Calc_RAB_Connection!J76</f>
        <v>-25.678080826155053</v>
      </c>
      <c r="K76" s="56">
        <f>Input_RAB_SCS!K78-Calc_RAB_Connection!K76</f>
        <v>-15.913109567680827</v>
      </c>
      <c r="L76" s="57">
        <f>Input_RAB_SCS!L78-Calc_RAB_Connection!L76</f>
        <v>-16.505513408108211</v>
      </c>
      <c r="M76" s="57">
        <f>Input_RAB_SCS!M78-Calc_RAB_Connection!M76</f>
        <v>-16.915350191632811</v>
      </c>
      <c r="N76" s="57">
        <f>Input_RAB_SCS!N78-Calc_RAB_Connection!N76</f>
        <v>-17.670204720692478</v>
      </c>
      <c r="O76" s="58">
        <f>Input_RAB_SCS!O78-Calc_RAB_Connection!O76</f>
        <v>-19.219122549541737</v>
      </c>
      <c r="P76" s="56">
        <f>Input_RAB_SCS!P78-Calc_RAB_Connection!P76</f>
        <v>-22.089214200762129</v>
      </c>
      <c r="Q76" s="57">
        <f>Input_RAB_SCS!Q78-Calc_RAB_Connection!Q76</f>
        <v>-23.204973697168384</v>
      </c>
      <c r="R76" s="57">
        <f>Input_RAB_SCS!R78-Calc_RAB_Connection!R76</f>
        <v>-24.300058791598005</v>
      </c>
      <c r="S76" s="57">
        <f>Input_RAB_SCS!S78-Calc_RAB_Connection!S76</f>
        <v>-25.112907132505562</v>
      </c>
      <c r="T76" s="58">
        <f>Input_RAB_SCS!T78-Calc_RAB_Connection!T76</f>
        <v>-25.935285132070685</v>
      </c>
    </row>
    <row r="77" spans="1:20" ht="12.3" x14ac:dyDescent="0.35">
      <c r="D77" s="10" t="str">
        <f t="shared" si="66"/>
        <v>Distribution Lines</v>
      </c>
      <c r="E77" s="45" t="str">
        <f t="shared" ref="E77:E94" si="70">E76</f>
        <v>Calculated</v>
      </c>
      <c r="F77" s="45" t="str">
        <f t="shared" si="67"/>
        <v>$Millions</v>
      </c>
      <c r="G77" s="45" t="str">
        <f t="shared" si="68"/>
        <v>Nominal</v>
      </c>
      <c r="H77" s="45" t="str">
        <f t="shared" si="69"/>
        <v>End year</v>
      </c>
      <c r="J77" s="58">
        <f>Input_RAB_SCS!J79-Calc_RAB_Connection!J77</f>
        <v>-8.6912241422290855</v>
      </c>
      <c r="K77" s="56">
        <f>Input_RAB_SCS!K79-Calc_RAB_Connection!K77</f>
        <v>-7.630664898580215</v>
      </c>
      <c r="L77" s="57">
        <f>Input_RAB_SCS!L79-Calc_RAB_Connection!L77</f>
        <v>-7.3816732659732587</v>
      </c>
      <c r="M77" s="57">
        <f>Input_RAB_SCS!M79-Calc_RAB_Connection!M77</f>
        <v>-8.3397677909006145</v>
      </c>
      <c r="N77" s="57">
        <f>Input_RAB_SCS!N79-Calc_RAB_Connection!N77</f>
        <v>-8.9393876851212717</v>
      </c>
      <c r="O77" s="58">
        <f>Input_RAB_SCS!O79-Calc_RAB_Connection!O77</f>
        <v>-9.9360741583745931</v>
      </c>
      <c r="P77" s="56">
        <f>Input_RAB_SCS!P79-Calc_RAB_Connection!P77</f>
        <v>-10.770145423542992</v>
      </c>
      <c r="Q77" s="57">
        <f>Input_RAB_SCS!Q79-Calc_RAB_Connection!Q77</f>
        <v>-11.419484837849769</v>
      </c>
      <c r="R77" s="57">
        <f>Input_RAB_SCS!R79-Calc_RAB_Connection!R77</f>
        <v>-12.132691633739302</v>
      </c>
      <c r="S77" s="57">
        <f>Input_RAB_SCS!S79-Calc_RAB_Connection!S77</f>
        <v>-12.879043892362866</v>
      </c>
      <c r="T77" s="58">
        <f>Input_RAB_SCS!T79-Calc_RAB_Connection!T77</f>
        <v>-13.602181810470514</v>
      </c>
    </row>
    <row r="78" spans="1:20" ht="12.3" x14ac:dyDescent="0.35">
      <c r="D78" s="10" t="str">
        <f t="shared" si="66"/>
        <v>Transmission Lines</v>
      </c>
      <c r="E78" s="45" t="str">
        <f t="shared" si="70"/>
        <v>Calculated</v>
      </c>
      <c r="F78" s="45" t="str">
        <f t="shared" si="67"/>
        <v>$Millions</v>
      </c>
      <c r="G78" s="45" t="str">
        <f t="shared" si="68"/>
        <v>Nominal</v>
      </c>
      <c r="H78" s="45" t="str">
        <f t="shared" si="69"/>
        <v>End year</v>
      </c>
      <c r="J78" s="58">
        <f>Input_RAB_SCS!J80-Calc_RAB_Connection!J78</f>
        <v>-6.5493841501010666</v>
      </c>
      <c r="K78" s="56">
        <f>Input_RAB_SCS!K80-Calc_RAB_Connection!K78</f>
        <v>-6.5307522821968789</v>
      </c>
      <c r="L78" s="57">
        <f>Input_RAB_SCS!L80-Calc_RAB_Connection!L78</f>
        <v>-6.704237826763352</v>
      </c>
      <c r="M78" s="57">
        <f>Input_RAB_SCS!M80-Calc_RAB_Connection!M78</f>
        <v>-6.8137131708793142</v>
      </c>
      <c r="N78" s="57">
        <f>Input_RAB_SCS!N80-Calc_RAB_Connection!N78</f>
        <v>-7.1048206460386201</v>
      </c>
      <c r="O78" s="58">
        <f>Input_RAB_SCS!O80-Calc_RAB_Connection!O78</f>
        <v>-7.7349721733946444</v>
      </c>
      <c r="P78" s="56">
        <f>Input_RAB_SCS!P80-Calc_RAB_Connection!P78</f>
        <v>-8.3139675449502768</v>
      </c>
      <c r="Q78" s="57">
        <f>Input_RAB_SCS!Q80-Calc_RAB_Connection!Q78</f>
        <v>-8.6231980690740855</v>
      </c>
      <c r="R78" s="57">
        <f>Input_RAB_SCS!R80-Calc_RAB_Connection!R78</f>
        <v>-9.0143537034845131</v>
      </c>
      <c r="S78" s="57">
        <f>Input_RAB_SCS!S80-Calc_RAB_Connection!S78</f>
        <v>-9.3372909622952776</v>
      </c>
      <c r="T78" s="58">
        <f>Input_RAB_SCS!T80-Calc_RAB_Connection!T78</f>
        <v>-9.6512793713843319</v>
      </c>
    </row>
    <row r="79" spans="1:20" ht="12.3" x14ac:dyDescent="0.35">
      <c r="D79" s="10" t="str">
        <f t="shared" si="66"/>
        <v>LV Services</v>
      </c>
      <c r="E79" s="45" t="str">
        <f t="shared" si="70"/>
        <v>Calculated</v>
      </c>
      <c r="F79" s="45" t="str">
        <f t="shared" si="67"/>
        <v>$Millions</v>
      </c>
      <c r="G79" s="45" t="str">
        <f t="shared" si="68"/>
        <v>Nominal</v>
      </c>
      <c r="H79" s="45" t="str">
        <f t="shared" si="69"/>
        <v>End year</v>
      </c>
      <c r="J79" s="58">
        <f>Input_RAB_SCS!J81-Calc_RAB_Connection!J79</f>
        <v>-9.0418580473966365E-2</v>
      </c>
      <c r="K79" s="56">
        <f>Input_RAB_SCS!K81-Calc_RAB_Connection!K79</f>
        <v>-0.15322625827646386</v>
      </c>
      <c r="L79" s="57">
        <f>Input_RAB_SCS!L81-Calc_RAB_Connection!L79</f>
        <v>-0.14925567178078203</v>
      </c>
      <c r="M79" s="57">
        <f>Input_RAB_SCS!M81-Calc_RAB_Connection!M79</f>
        <v>-0.16991575032351364</v>
      </c>
      <c r="N79" s="57">
        <f>Input_RAB_SCS!N81-Calc_RAB_Connection!N79</f>
        <v>-0.18795343730419317</v>
      </c>
      <c r="O79" s="58">
        <f>Input_RAB_SCS!O81-Calc_RAB_Connection!O79</f>
        <v>-0.21265438006444204</v>
      </c>
      <c r="P79" s="56">
        <f>Input_RAB_SCS!P81-Calc_RAB_Connection!P79</f>
        <v>-0.31515092636400233</v>
      </c>
      <c r="Q79" s="57">
        <f>Input_RAB_SCS!Q81-Calc_RAB_Connection!Q79</f>
        <v>-0.3999281403635479</v>
      </c>
      <c r="R79" s="57">
        <f>Input_RAB_SCS!R81-Calc_RAB_Connection!R79</f>
        <v>-0.49097943900885765</v>
      </c>
      <c r="S79" s="57">
        <f>Input_RAB_SCS!S81-Calc_RAB_Connection!S79</f>
        <v>-0.58821505482478431</v>
      </c>
      <c r="T79" s="58">
        <f>Input_RAB_SCS!T81-Calc_RAB_Connection!T79</f>
        <v>-0.69179373732761085</v>
      </c>
    </row>
    <row r="80" spans="1:20" ht="12.3" x14ac:dyDescent="0.35">
      <c r="D80" s="10" t="str">
        <f t="shared" si="66"/>
        <v>Distribution Substations</v>
      </c>
      <c r="E80" s="45" t="str">
        <f t="shared" si="70"/>
        <v>Calculated</v>
      </c>
      <c r="F80" s="45" t="str">
        <f t="shared" si="67"/>
        <v>$Millions</v>
      </c>
      <c r="G80" s="45" t="str">
        <f t="shared" si="68"/>
        <v>Nominal</v>
      </c>
      <c r="H80" s="45" t="str">
        <f t="shared" si="69"/>
        <v>End year</v>
      </c>
      <c r="J80" s="58">
        <f>Input_RAB_SCS!J82-Calc_RAB_Connection!J80</f>
        <v>-3.3505149466580009</v>
      </c>
      <c r="K80" s="56">
        <f>Input_RAB_SCS!K82-Calc_RAB_Connection!K80</f>
        <v>-4.1844316491985927</v>
      </c>
      <c r="L80" s="57">
        <f>Input_RAB_SCS!L82-Calc_RAB_Connection!L80</f>
        <v>-3.9677160931592024</v>
      </c>
      <c r="M80" s="57">
        <f>Input_RAB_SCS!M82-Calc_RAB_Connection!M80</f>
        <v>-4.3814675404273862</v>
      </c>
      <c r="N80" s="57">
        <f>Input_RAB_SCS!N82-Calc_RAB_Connection!N80</f>
        <v>-4.6478353474984964</v>
      </c>
      <c r="O80" s="58">
        <f>Input_RAB_SCS!O82-Calc_RAB_Connection!O80</f>
        <v>-5.1576871505493678</v>
      </c>
      <c r="P80" s="56">
        <f>Input_RAB_SCS!P82-Calc_RAB_Connection!P80</f>
        <v>-5.4999186675402232</v>
      </c>
      <c r="Q80" s="57">
        <f>Input_RAB_SCS!Q82-Calc_RAB_Connection!Q80</f>
        <v>-5.7684156362010048</v>
      </c>
      <c r="R80" s="57">
        <f>Input_RAB_SCS!R82-Calc_RAB_Connection!R80</f>
        <v>-6.0523672729764133</v>
      </c>
      <c r="S80" s="57">
        <f>Input_RAB_SCS!S82-Calc_RAB_Connection!S80</f>
        <v>-6.3521075936998175</v>
      </c>
      <c r="T80" s="58">
        <f>Input_RAB_SCS!T82-Calc_RAB_Connection!T80</f>
        <v>-6.6682907845147934</v>
      </c>
    </row>
    <row r="81" spans="4:20" ht="12.3" x14ac:dyDescent="0.35">
      <c r="D81" s="10" t="str">
        <f t="shared" si="66"/>
        <v>Distribution Switchgear</v>
      </c>
      <c r="E81" s="45" t="str">
        <f t="shared" si="70"/>
        <v>Calculated</v>
      </c>
      <c r="F81" s="45" t="str">
        <f t="shared" si="67"/>
        <v>$Millions</v>
      </c>
      <c r="G81" s="45" t="str">
        <f t="shared" si="68"/>
        <v>Nominal</v>
      </c>
      <c r="H81" s="45" t="str">
        <f t="shared" si="69"/>
        <v>End year</v>
      </c>
      <c r="J81" s="58">
        <f>Input_RAB_SCS!J83-Calc_RAB_Connection!J81</f>
        <v>-0.81175304630155742</v>
      </c>
      <c r="K81" s="56">
        <f>Input_RAB_SCS!K83-Calc_RAB_Connection!K81</f>
        <v>-1.047361856589754</v>
      </c>
      <c r="L81" s="57">
        <f>Input_RAB_SCS!L83-Calc_RAB_Connection!L81</f>
        <v>-1.0512771603990212</v>
      </c>
      <c r="M81" s="57">
        <f>Input_RAB_SCS!M83-Calc_RAB_Connection!M81</f>
        <v>-1.2240870817006981</v>
      </c>
      <c r="N81" s="57">
        <f>Input_RAB_SCS!N83-Calc_RAB_Connection!N81</f>
        <v>-1.3579784177286529</v>
      </c>
      <c r="O81" s="58">
        <f>Input_RAB_SCS!O83-Calc_RAB_Connection!O81</f>
        <v>-1.5736465621806524</v>
      </c>
      <c r="P81" s="56">
        <f>Input_RAB_SCS!P83-Calc_RAB_Connection!P81</f>
        <v>-1.4910866245449534</v>
      </c>
      <c r="Q81" s="57">
        <f>Input_RAB_SCS!Q83-Calc_RAB_Connection!Q81</f>
        <v>-1.6283544495706923</v>
      </c>
      <c r="R81" s="57">
        <f>Input_RAB_SCS!R83-Calc_RAB_Connection!R81</f>
        <v>-1.7752603610854587</v>
      </c>
      <c r="S81" s="57">
        <f>Input_RAB_SCS!S83-Calc_RAB_Connection!S81</f>
        <v>-1.9318792459593259</v>
      </c>
      <c r="T81" s="58">
        <f>Input_RAB_SCS!T83-Calc_RAB_Connection!T81</f>
        <v>-2.0985699405222071</v>
      </c>
    </row>
    <row r="82" spans="4:20" ht="12.3" x14ac:dyDescent="0.35">
      <c r="D82" s="10" t="str">
        <f t="shared" si="66"/>
        <v>Protection</v>
      </c>
      <c r="E82" s="45" t="str">
        <f t="shared" si="70"/>
        <v>Calculated</v>
      </c>
      <c r="F82" s="45" t="str">
        <f t="shared" si="67"/>
        <v>$Millions</v>
      </c>
      <c r="G82" s="45" t="str">
        <f t="shared" si="68"/>
        <v>Nominal</v>
      </c>
      <c r="H82" s="45" t="str">
        <f t="shared" si="69"/>
        <v>End year</v>
      </c>
      <c r="J82" s="58">
        <f>Input_RAB_SCS!J84-Calc_RAB_Connection!J82</f>
        <v>-1.1066481687119236</v>
      </c>
      <c r="K82" s="56">
        <f>Input_RAB_SCS!K84-Calc_RAB_Connection!K82</f>
        <v>-1.1570960539407569</v>
      </c>
      <c r="L82" s="57">
        <f>Input_RAB_SCS!L84-Calc_RAB_Connection!L82</f>
        <v>-1.2724130717935438</v>
      </c>
      <c r="M82" s="57">
        <f>Input_RAB_SCS!M84-Calc_RAB_Connection!M82</f>
        <v>-1.387849568824304</v>
      </c>
      <c r="N82" s="57">
        <f>Input_RAB_SCS!N84-Calc_RAB_Connection!N82</f>
        <v>-1.4763591477458153</v>
      </c>
      <c r="O82" s="58">
        <f>Input_RAB_SCS!O84-Calc_RAB_Connection!O82</f>
        <v>-1.6342071273893475</v>
      </c>
      <c r="P82" s="56">
        <f>Input_RAB_SCS!P84-Calc_RAB_Connection!P82</f>
        <v>-1.7458358015338711</v>
      </c>
      <c r="Q82" s="57">
        <f>Input_RAB_SCS!Q84-Calc_RAB_Connection!Q82</f>
        <v>-2.0320274674234562</v>
      </c>
      <c r="R82" s="57">
        <f>Input_RAB_SCS!R84-Calc_RAB_Connection!R82</f>
        <v>-2.2168078187427516</v>
      </c>
      <c r="S82" s="57">
        <f>Input_RAB_SCS!S84-Calc_RAB_Connection!S82</f>
        <v>-2.3824168252889373</v>
      </c>
      <c r="T82" s="58">
        <f>Input_RAB_SCS!T84-Calc_RAB_Connection!T82</f>
        <v>-2.5434346574759097</v>
      </c>
    </row>
    <row r="83" spans="4:20" ht="12.3" x14ac:dyDescent="0.35">
      <c r="D83" s="10" t="str">
        <f t="shared" si="66"/>
        <v>SCADA</v>
      </c>
      <c r="E83" s="45" t="str">
        <f t="shared" si="70"/>
        <v>Calculated</v>
      </c>
      <c r="F83" s="45" t="str">
        <f t="shared" si="67"/>
        <v>$Millions</v>
      </c>
      <c r="G83" s="45" t="str">
        <f t="shared" si="68"/>
        <v>Nominal</v>
      </c>
      <c r="H83" s="45" t="str">
        <f t="shared" si="69"/>
        <v>End year</v>
      </c>
      <c r="J83" s="58">
        <f>Input_RAB_SCS!J85-Calc_RAB_Connection!J83</f>
        <v>-0.25984569219082743</v>
      </c>
      <c r="K83" s="56">
        <f>Input_RAB_SCS!K85-Calc_RAB_Connection!K83</f>
        <v>-0.59243693000042053</v>
      </c>
      <c r="L83" s="57">
        <f>Input_RAB_SCS!L85-Calc_RAB_Connection!L83</f>
        <v>-0.65069254586534309</v>
      </c>
      <c r="M83" s="57">
        <f>Input_RAB_SCS!M85-Calc_RAB_Connection!M83</f>
        <v>-0.71571193260693688</v>
      </c>
      <c r="N83" s="57">
        <f>Input_RAB_SCS!N85-Calc_RAB_Connection!N83</f>
        <v>-0.77535523964421771</v>
      </c>
      <c r="O83" s="58">
        <f>Input_RAB_SCS!O85-Calc_RAB_Connection!O83</f>
        <v>-0.85696468108845025</v>
      </c>
      <c r="P83" s="56">
        <f>Input_RAB_SCS!P85-Calc_RAB_Connection!P83</f>
        <v>-1.6632605210883313</v>
      </c>
      <c r="Q83" s="57">
        <f>Input_RAB_SCS!Q85-Calc_RAB_Connection!Q83</f>
        <v>-1.8652575699219178</v>
      </c>
      <c r="R83" s="57">
        <f>Input_RAB_SCS!R85-Calc_RAB_Connection!R83</f>
        <v>-1.7609930238918572</v>
      </c>
      <c r="S83" s="57">
        <f>Input_RAB_SCS!S85-Calc_RAB_Connection!S83</f>
        <v>-1.6702634725169483</v>
      </c>
      <c r="T83" s="58">
        <f>Input_RAB_SCS!T85-Calc_RAB_Connection!T83</f>
        <v>-1.7190291537988727</v>
      </c>
    </row>
    <row r="84" spans="4:20" ht="12.3" x14ac:dyDescent="0.35">
      <c r="D84" s="10" t="str">
        <f t="shared" si="66"/>
        <v>Communications</v>
      </c>
      <c r="E84" s="45" t="str">
        <f t="shared" si="70"/>
        <v>Calculated</v>
      </c>
      <c r="F84" s="45" t="str">
        <f t="shared" si="67"/>
        <v>$Millions</v>
      </c>
      <c r="G84" s="45" t="str">
        <f t="shared" si="68"/>
        <v>Nominal</v>
      </c>
      <c r="H84" s="45" t="str">
        <f t="shared" si="69"/>
        <v>End year</v>
      </c>
      <c r="J84" s="58">
        <f>Input_RAB_SCS!J86-Calc_RAB_Connection!J84</f>
        <v>-0.59229543634343074</v>
      </c>
      <c r="K84" s="56">
        <f>Input_RAB_SCS!K86-Calc_RAB_Connection!K84</f>
        <v>-0.60302215707532236</v>
      </c>
      <c r="L84" s="57">
        <f>Input_RAB_SCS!L86-Calc_RAB_Connection!L84</f>
        <v>-0.93855148691995793</v>
      </c>
      <c r="M84" s="57">
        <f>Input_RAB_SCS!M86-Calc_RAB_Connection!M84</f>
        <v>-1.1851433350882001</v>
      </c>
      <c r="N84" s="57">
        <f>Input_RAB_SCS!N86-Calc_RAB_Connection!N84</f>
        <v>-1.4231482608601711</v>
      </c>
      <c r="O84" s="58">
        <f>Input_RAB_SCS!O86-Calc_RAB_Connection!O84</f>
        <v>-1.7174382240265424</v>
      </c>
      <c r="P84" s="56">
        <f>Input_RAB_SCS!P86-Calc_RAB_Connection!P84</f>
        <v>-1.8898639368978669</v>
      </c>
      <c r="Q84" s="57">
        <f>Input_RAB_SCS!Q86-Calc_RAB_Connection!Q84</f>
        <v>-2.399037692999233</v>
      </c>
      <c r="R84" s="57">
        <f>Input_RAB_SCS!R86-Calc_RAB_Connection!R84</f>
        <v>-2.8958689323077702</v>
      </c>
      <c r="S84" s="57">
        <f>Input_RAB_SCS!S86-Calc_RAB_Connection!S84</f>
        <v>-3.4801692171665364</v>
      </c>
      <c r="T84" s="58">
        <f>Input_RAB_SCS!T86-Calc_RAB_Connection!T84</f>
        <v>-3.7418033968672111</v>
      </c>
    </row>
    <row r="85" spans="4:20" ht="12.3" x14ac:dyDescent="0.35">
      <c r="D85" s="10" t="str">
        <f t="shared" si="66"/>
        <v>Land and Easements</v>
      </c>
      <c r="E85" s="45" t="str">
        <f t="shared" si="70"/>
        <v>Calculated</v>
      </c>
      <c r="F85" s="45" t="str">
        <f t="shared" si="67"/>
        <v>$Millions</v>
      </c>
      <c r="G85" s="45" t="str">
        <f t="shared" si="68"/>
        <v>Nominal</v>
      </c>
      <c r="H85" s="45" t="str">
        <f t="shared" si="69"/>
        <v>End year</v>
      </c>
      <c r="J85" s="58">
        <f>Input_RAB_SCS!J87-Calc_RAB_Connection!J85</f>
        <v>0</v>
      </c>
      <c r="K85" s="56">
        <f>Input_RAB_SCS!K87-Calc_RAB_Connection!K85</f>
        <v>0</v>
      </c>
      <c r="L85" s="57">
        <f>Input_RAB_SCS!L87-Calc_RAB_Connection!L85</f>
        <v>0</v>
      </c>
      <c r="M85" s="57">
        <f>Input_RAB_SCS!M87-Calc_RAB_Connection!M85</f>
        <v>0</v>
      </c>
      <c r="N85" s="57">
        <f>Input_RAB_SCS!N87-Calc_RAB_Connection!N85</f>
        <v>0</v>
      </c>
      <c r="O85" s="58">
        <f>Input_RAB_SCS!O87-Calc_RAB_Connection!O85</f>
        <v>0</v>
      </c>
      <c r="P85" s="56">
        <f>Input_RAB_SCS!P87-Calc_RAB_Connection!P85</f>
        <v>0</v>
      </c>
      <c r="Q85" s="57">
        <f>Input_RAB_SCS!Q87-Calc_RAB_Connection!Q85</f>
        <v>0</v>
      </c>
      <c r="R85" s="57">
        <f>Input_RAB_SCS!R87-Calc_RAB_Connection!R85</f>
        <v>0</v>
      </c>
      <c r="S85" s="57">
        <f>Input_RAB_SCS!S87-Calc_RAB_Connection!S85</f>
        <v>0</v>
      </c>
      <c r="T85" s="58">
        <f>Input_RAB_SCS!T87-Calc_RAB_Connection!T85</f>
        <v>0</v>
      </c>
    </row>
    <row r="86" spans="4:20" ht="12.3" x14ac:dyDescent="0.35">
      <c r="D86" s="10" t="str">
        <f t="shared" si="66"/>
        <v>Property</v>
      </c>
      <c r="E86" s="45" t="str">
        <f t="shared" si="70"/>
        <v>Calculated</v>
      </c>
      <c r="F86" s="45" t="str">
        <f t="shared" si="67"/>
        <v>$Millions</v>
      </c>
      <c r="G86" s="45" t="str">
        <f t="shared" si="68"/>
        <v>Nominal</v>
      </c>
      <c r="H86" s="45" t="str">
        <f t="shared" si="69"/>
        <v>End year</v>
      </c>
      <c r="J86" s="58">
        <f>Input_RAB_SCS!J88-Calc_RAB_Connection!J86</f>
        <v>-0.15104258284927113</v>
      </c>
      <c r="K86" s="56">
        <f>Input_RAB_SCS!K88-Calc_RAB_Connection!K86</f>
        <v>-0.65823915689909684</v>
      </c>
      <c r="L86" s="57">
        <f>Input_RAB_SCS!L88-Calc_RAB_Connection!L86</f>
        <v>-0.72276010921951772</v>
      </c>
      <c r="M86" s="57">
        <f>Input_RAB_SCS!M88-Calc_RAB_Connection!M86</f>
        <v>-0.75189989685827374</v>
      </c>
      <c r="N86" s="57">
        <f>Input_RAB_SCS!N88-Calc_RAB_Connection!N86</f>
        <v>-0.80249542204434321</v>
      </c>
      <c r="O86" s="58">
        <f>Input_RAB_SCS!O88-Calc_RAB_Connection!O86</f>
        <v>-0.8904076477731222</v>
      </c>
      <c r="P86" s="56">
        <f>Input_RAB_SCS!P88-Calc_RAB_Connection!P86</f>
        <v>-1.1270236486492553</v>
      </c>
      <c r="Q86" s="57">
        <f>Input_RAB_SCS!Q88-Calc_RAB_Connection!Q86</f>
        <v>-1.1490410160200921</v>
      </c>
      <c r="R86" s="57">
        <f>Input_RAB_SCS!R88-Calc_RAB_Connection!R86</f>
        <v>-1.212888395630251</v>
      </c>
      <c r="S86" s="57">
        <f>Input_RAB_SCS!S88-Calc_RAB_Connection!S86</f>
        <v>-1.3561247123102143</v>
      </c>
      <c r="T86" s="58">
        <f>Input_RAB_SCS!T88-Calc_RAB_Connection!T86</f>
        <v>-2.944831576665889</v>
      </c>
    </row>
    <row r="87" spans="4:20" ht="12.3" x14ac:dyDescent="0.35">
      <c r="D87" s="10" t="str">
        <f t="shared" si="66"/>
        <v>IT and Communications</v>
      </c>
      <c r="E87" s="45" t="str">
        <f t="shared" si="70"/>
        <v>Calculated</v>
      </c>
      <c r="F87" s="45" t="str">
        <f t="shared" si="67"/>
        <v>$Millions</v>
      </c>
      <c r="G87" s="45" t="str">
        <f t="shared" si="68"/>
        <v>Nominal</v>
      </c>
      <c r="H87" s="45" t="str">
        <f t="shared" si="69"/>
        <v>End year</v>
      </c>
      <c r="J87" s="58">
        <f>Input_RAB_SCS!J89-Calc_RAB_Connection!J87</f>
        <v>-0.7046128370683945</v>
      </c>
      <c r="K87" s="56">
        <f>Input_RAB_SCS!K89-Calc_RAB_Connection!K87</f>
        <v>-1.2890908568474291</v>
      </c>
      <c r="L87" s="57">
        <f>Input_RAB_SCS!L89-Calc_RAB_Connection!L87</f>
        <v>-1.8872609775956553</v>
      </c>
      <c r="M87" s="57">
        <f>Input_RAB_SCS!M89-Calc_RAB_Connection!M87</f>
        <v>-2.5390704407436582</v>
      </c>
      <c r="N87" s="57">
        <f>Input_RAB_SCS!N89-Calc_RAB_Connection!N87</f>
        <v>-3.9198432709531801</v>
      </c>
      <c r="O87" s="58">
        <f>Input_RAB_SCS!O89-Calc_RAB_Connection!O87</f>
        <v>-5.0488797362923243</v>
      </c>
      <c r="P87" s="56">
        <f>Input_RAB_SCS!P89-Calc_RAB_Connection!P87</f>
        <v>-9.8186667332653421</v>
      </c>
      <c r="Q87" s="57">
        <f>Input_RAB_SCS!Q89-Calc_RAB_Connection!Q87</f>
        <v>-8.3943753974849535</v>
      </c>
      <c r="R87" s="57">
        <f>Input_RAB_SCS!R89-Calc_RAB_Connection!R87</f>
        <v>-10.954108449518101</v>
      </c>
      <c r="S87" s="57">
        <f>Input_RAB_SCS!S89-Calc_RAB_Connection!S87</f>
        <v>-13.31282637353692</v>
      </c>
      <c r="T87" s="58">
        <f>Input_RAB_SCS!T89-Calc_RAB_Connection!T87</f>
        <v>-15.376130174601242</v>
      </c>
    </row>
    <row r="88" spans="4:20" ht="12.3" x14ac:dyDescent="0.35">
      <c r="D88" s="10" t="str">
        <f t="shared" si="66"/>
        <v>Motor Vehicles</v>
      </c>
      <c r="E88" s="45" t="str">
        <f t="shared" si="70"/>
        <v>Calculated</v>
      </c>
      <c r="F88" s="45" t="str">
        <f t="shared" si="67"/>
        <v>$Millions</v>
      </c>
      <c r="G88" s="45" t="str">
        <f t="shared" si="68"/>
        <v>Nominal</v>
      </c>
      <c r="H88" s="45" t="str">
        <f t="shared" si="69"/>
        <v>End year</v>
      </c>
      <c r="J88" s="58">
        <f>Input_RAB_SCS!J90-Calc_RAB_Connection!J88</f>
        <v>-1.1969047782081802E-2</v>
      </c>
      <c r="K88" s="56">
        <f>Input_RAB_SCS!K90-Calc_RAB_Connection!K88</f>
        <v>-3.5270671246690019E-2</v>
      </c>
      <c r="L88" s="57">
        <f>Input_RAB_SCS!L90-Calc_RAB_Connection!L88</f>
        <v>-3.5919824705218054E-2</v>
      </c>
      <c r="M88" s="57">
        <f>Input_RAB_SCS!M90-Calc_RAB_Connection!M88</f>
        <v>-3.6228945399755214E-2</v>
      </c>
      <c r="N88" s="57">
        <f>Input_RAB_SCS!N90-Calc_RAB_Connection!N88</f>
        <v>-3.7496340247357568E-2</v>
      </c>
      <c r="O88" s="58">
        <f>Input_RAB_SCS!O90-Calc_RAB_Connection!O88</f>
        <v>-4.0496047467146176E-2</v>
      </c>
      <c r="P88" s="56">
        <f>Input_RAB_SCS!P90-Calc_RAB_Connection!P88</f>
        <v>-0.12422556543476267</v>
      </c>
      <c r="Q88" s="57">
        <f>Input_RAB_SCS!Q90-Calc_RAB_Connection!Q88</f>
        <v>-0.1249197248008268</v>
      </c>
      <c r="R88" s="57">
        <f>Input_RAB_SCS!R90-Calc_RAB_Connection!R88</f>
        <v>-0.12856693111629691</v>
      </c>
      <c r="S88" s="57">
        <f>Input_RAB_SCS!S90-Calc_RAB_Connection!S88</f>
        <v>-0.13232062272805481</v>
      </c>
      <c r="T88" s="58">
        <f>Input_RAB_SCS!T90-Calc_RAB_Connection!T88</f>
        <v>-0.10855486030882737</v>
      </c>
    </row>
    <row r="89" spans="4:20" ht="12.3" x14ac:dyDescent="0.35">
      <c r="D89" s="10" t="str">
        <f t="shared" si="66"/>
        <v>Plant and Equipment</v>
      </c>
      <c r="E89" s="45" t="str">
        <f t="shared" si="70"/>
        <v>Calculated</v>
      </c>
      <c r="F89" s="45" t="str">
        <f t="shared" si="67"/>
        <v>$Millions</v>
      </c>
      <c r="G89" s="45" t="str">
        <f t="shared" si="68"/>
        <v>Nominal</v>
      </c>
      <c r="H89" s="45" t="str">
        <f t="shared" si="69"/>
        <v>End year</v>
      </c>
      <c r="J89" s="58">
        <f>Input_RAB_SCS!J91-Calc_RAB_Connection!J89</f>
        <v>-1.1429164209846789</v>
      </c>
      <c r="K89" s="56">
        <f>Input_RAB_SCS!K91-Calc_RAB_Connection!K89</f>
        <v>-0.82722183523248405</v>
      </c>
      <c r="L89" s="57">
        <f>Input_RAB_SCS!L91-Calc_RAB_Connection!L89</f>
        <v>-1.3213336503288109</v>
      </c>
      <c r="M89" s="57">
        <f>Input_RAB_SCS!M91-Calc_RAB_Connection!M89</f>
        <v>-1.4301054627241347</v>
      </c>
      <c r="N89" s="57">
        <f>Input_RAB_SCS!N91-Calc_RAB_Connection!N89</f>
        <v>-1.579357231579295</v>
      </c>
      <c r="O89" s="58">
        <f>Input_RAB_SCS!O91-Calc_RAB_Connection!O89</f>
        <v>-1.2174655811015831</v>
      </c>
      <c r="P89" s="56">
        <f>Input_RAB_SCS!P91-Calc_RAB_Connection!P89</f>
        <v>-0.87957121267919924</v>
      </c>
      <c r="Q89" s="57">
        <f>Input_RAB_SCS!Q91-Calc_RAB_Connection!Q89</f>
        <v>-1.0972648462339596</v>
      </c>
      <c r="R89" s="57">
        <f>Input_RAB_SCS!R91-Calc_RAB_Connection!R89</f>
        <v>-1.3580753032763733</v>
      </c>
      <c r="S89" s="57">
        <f>Input_RAB_SCS!S91-Calc_RAB_Connection!S89</f>
        <v>-1.6272652928870754</v>
      </c>
      <c r="T89" s="58">
        <f>Input_RAB_SCS!T91-Calc_RAB_Connection!T89</f>
        <v>-1.8776801325403667</v>
      </c>
    </row>
    <row r="90" spans="4:20" ht="12.3" x14ac:dyDescent="0.35">
      <c r="D90" s="10" t="str">
        <f t="shared" si="66"/>
        <v>Property Leases</v>
      </c>
      <c r="E90" s="45" t="str">
        <f t="shared" si="70"/>
        <v>Calculated</v>
      </c>
      <c r="F90" s="45" t="str">
        <f t="shared" si="67"/>
        <v>$Millions</v>
      </c>
      <c r="G90" s="45" t="str">
        <f t="shared" si="68"/>
        <v>Nominal</v>
      </c>
      <c r="H90" s="45" t="str">
        <f t="shared" si="69"/>
        <v>End year</v>
      </c>
      <c r="J90" s="58">
        <f>Input_RAB_SCS!J92-Calc_RAB_Connection!J90</f>
        <v>0</v>
      </c>
      <c r="K90" s="56">
        <f>Input_RAB_SCS!K92-Calc_RAB_Connection!K90</f>
        <v>0</v>
      </c>
      <c r="L90" s="57">
        <f>Input_RAB_SCS!L92-Calc_RAB_Connection!L90</f>
        <v>-0.33555511050686565</v>
      </c>
      <c r="M90" s="57">
        <f>Input_RAB_SCS!M92-Calc_RAB_Connection!M90</f>
        <v>-0.3429050006989281</v>
      </c>
      <c r="N90" s="57">
        <f>Input_RAB_SCS!N92-Calc_RAB_Connection!N90</f>
        <v>-1.5910110883791149</v>
      </c>
      <c r="O90" s="58">
        <f>Input_RAB_SCS!O92-Calc_RAB_Connection!O90</f>
        <v>-1.7236128775467914</v>
      </c>
      <c r="P90" s="56">
        <f>Input_RAB_SCS!P92-Calc_RAB_Connection!P90</f>
        <v>-1.2826527903203473</v>
      </c>
      <c r="Q90" s="57">
        <f>Input_RAB_SCS!Q92-Calc_RAB_Connection!Q90</f>
        <v>-1.3201016348872925</v>
      </c>
      <c r="R90" s="57">
        <f>Input_RAB_SCS!R92-Calc_RAB_Connection!R90</f>
        <v>-1.3586438509184271</v>
      </c>
      <c r="S90" s="57">
        <f>Input_RAB_SCS!S92-Calc_RAB_Connection!S90</f>
        <v>-3.3244672341509012</v>
      </c>
      <c r="T90" s="58">
        <f>Input_RAB_SCS!T92-Calc_RAB_Connection!T90</f>
        <v>-3.4215297109639167</v>
      </c>
    </row>
    <row r="91" spans="4:20" ht="12.3" x14ac:dyDescent="0.35">
      <c r="D91" s="10" t="str">
        <f t="shared" si="66"/>
        <v>Fleet Leases</v>
      </c>
      <c r="E91" s="45" t="str">
        <f t="shared" si="70"/>
        <v>Calculated</v>
      </c>
      <c r="F91" s="45" t="str">
        <f t="shared" si="67"/>
        <v>$Millions</v>
      </c>
      <c r="G91" s="45" t="str">
        <f t="shared" si="68"/>
        <v>Nominal</v>
      </c>
      <c r="H91" s="45" t="str">
        <f t="shared" si="69"/>
        <v>End year</v>
      </c>
      <c r="J91" s="58">
        <f>Input_RAB_SCS!J93-Calc_RAB_Connection!J91</f>
        <v>0</v>
      </c>
      <c r="K91" s="56">
        <f>Input_RAB_SCS!K93-Calc_RAB_Connection!K91</f>
        <v>0</v>
      </c>
      <c r="L91" s="57">
        <f>Input_RAB_SCS!L93-Calc_RAB_Connection!L91</f>
        <v>-2.8262441675157794</v>
      </c>
      <c r="M91" s="57">
        <f>Input_RAB_SCS!M93-Calc_RAB_Connection!M91</f>
        <v>-3.6041324310279381</v>
      </c>
      <c r="N91" s="57">
        <f>Input_RAB_SCS!N93-Calc_RAB_Connection!N91</f>
        <v>-4.4037528802953778</v>
      </c>
      <c r="O91" s="58">
        <f>Input_RAB_SCS!O93-Calc_RAB_Connection!O91</f>
        <v>-5.6422876778660349</v>
      </c>
      <c r="P91" s="56">
        <f>Input_RAB_SCS!P93-Calc_RAB_Connection!P91</f>
        <v>-4.4689675266550042</v>
      </c>
      <c r="Q91" s="57">
        <f>Input_RAB_SCS!Q93-Calc_RAB_Connection!Q91</f>
        <v>-4.0568892594847137</v>
      </c>
      <c r="R91" s="57">
        <f>Input_RAB_SCS!R93-Calc_RAB_Connection!R91</f>
        <v>-2.9168575157077132</v>
      </c>
      <c r="S91" s="57">
        <f>Input_RAB_SCS!S93-Calc_RAB_Connection!S91</f>
        <v>-3.258740643875881</v>
      </c>
      <c r="T91" s="58">
        <f>Input_RAB_SCS!T93-Calc_RAB_Connection!T91</f>
        <v>-3.4611232177599183</v>
      </c>
    </row>
    <row r="92" spans="4:20" ht="12.3" x14ac:dyDescent="0.35">
      <c r="D92" s="10" t="str">
        <f t="shared" si="66"/>
        <v>Community Batteries</v>
      </c>
      <c r="E92" s="45" t="str">
        <f t="shared" si="70"/>
        <v>Calculated</v>
      </c>
      <c r="F92" s="45" t="str">
        <f t="shared" si="67"/>
        <v>$Millions</v>
      </c>
      <c r="G92" s="45" t="str">
        <f t="shared" si="68"/>
        <v>Nominal</v>
      </c>
      <c r="H92" s="45" t="str">
        <f t="shared" si="69"/>
        <v>End year</v>
      </c>
      <c r="J92" s="58">
        <f>Input_RAB_SCS!J94-Calc_RAB_Connection!J92</f>
        <v>0</v>
      </c>
      <c r="K92" s="56">
        <f>Input_RAB_SCS!K94-Calc_RAB_Connection!K92</f>
        <v>0</v>
      </c>
      <c r="L92" s="57">
        <f>Input_RAB_SCS!L94-Calc_RAB_Connection!L92</f>
        <v>0</v>
      </c>
      <c r="M92" s="57">
        <f>Input_RAB_SCS!M94-Calc_RAB_Connection!M92</f>
        <v>0</v>
      </c>
      <c r="N92" s="57">
        <f>Input_RAB_SCS!N94-Calc_RAB_Connection!N92</f>
        <v>0</v>
      </c>
      <c r="O92" s="58">
        <f>Input_RAB_SCS!O94-Calc_RAB_Connection!O92</f>
        <v>0</v>
      </c>
      <c r="P92" s="56">
        <f>Input_RAB_SCS!P94-Calc_RAB_Connection!P92</f>
        <v>0</v>
      </c>
      <c r="Q92" s="57">
        <f>Input_RAB_SCS!Q94-Calc_RAB_Connection!Q92</f>
        <v>0</v>
      </c>
      <c r="R92" s="57">
        <f>Input_RAB_SCS!R94-Calc_RAB_Connection!R92</f>
        <v>0</v>
      </c>
      <c r="S92" s="57">
        <f>Input_RAB_SCS!S94-Calc_RAB_Connection!S92</f>
        <v>0</v>
      </c>
      <c r="T92" s="58">
        <f>Input_RAB_SCS!T94-Calc_RAB_Connection!T92</f>
        <v>0</v>
      </c>
    </row>
    <row r="93" spans="4:20" ht="12.3" x14ac:dyDescent="0.35">
      <c r="D93" s="10" t="str">
        <f>D35</f>
        <v>Buildings</v>
      </c>
      <c r="E93" s="45" t="str">
        <f>E91</f>
        <v>Calculated</v>
      </c>
      <c r="F93" s="45" t="str">
        <f t="shared" si="67"/>
        <v>$Millions</v>
      </c>
      <c r="G93" s="45" t="str">
        <f t="shared" si="68"/>
        <v>Nominal</v>
      </c>
      <c r="H93" s="45" t="str">
        <f t="shared" si="69"/>
        <v>End year</v>
      </c>
      <c r="J93" s="58">
        <f>Input_RAB_SCS!J95-Calc_RAB_Connection!J93</f>
        <v>0</v>
      </c>
      <c r="K93" s="56">
        <f>Input_RAB_SCS!K95-Calc_RAB_Connection!K93</f>
        <v>0</v>
      </c>
      <c r="L93" s="57">
        <f>Input_RAB_SCS!L95-Calc_RAB_Connection!L93</f>
        <v>-1.2666318682381513E-2</v>
      </c>
      <c r="M93" s="57">
        <f>Input_RAB_SCS!M95-Calc_RAB_Connection!M93</f>
        <v>-1.6343115297003122E-2</v>
      </c>
      <c r="N93" s="57">
        <f>Input_RAB_SCS!N95-Calc_RAB_Connection!N93</f>
        <v>-2.0549372893062402E-2</v>
      </c>
      <c r="O93" s="58">
        <f>Input_RAB_SCS!O95-Calc_RAB_Connection!O93</f>
        <v>-2.644774307383942E-2</v>
      </c>
      <c r="P93" s="56">
        <f>Input_RAB_SCS!P95-Calc_RAB_Connection!P93</f>
        <v>-9.5801924043627973E-2</v>
      </c>
      <c r="Q93" s="57">
        <f>Input_RAB_SCS!Q95-Calc_RAB_Connection!Q93</f>
        <v>-9.8598995386550078E-2</v>
      </c>
      <c r="R93" s="57">
        <f>Input_RAB_SCS!R95-Calc_RAB_Connection!R93</f>
        <v>-0.10147773114462351</v>
      </c>
      <c r="S93" s="57">
        <f>Input_RAB_SCS!S95-Calc_RAB_Connection!S93</f>
        <v>-0.10444051562481954</v>
      </c>
      <c r="T93" s="58">
        <f>Input_RAB_SCS!T95-Calc_RAB_Connection!T93</f>
        <v>-0.10748980274729064</v>
      </c>
    </row>
    <row r="94" spans="4:20" ht="12.3" x14ac:dyDescent="0.35">
      <c r="D94" s="10" t="str">
        <f>D36</f>
        <v>in-house software</v>
      </c>
      <c r="E94" s="45" t="str">
        <f t="shared" si="70"/>
        <v>Calculated</v>
      </c>
      <c r="F94" s="45" t="str">
        <f t="shared" si="67"/>
        <v>$Millions</v>
      </c>
      <c r="G94" s="45" t="str">
        <f t="shared" si="68"/>
        <v>Nominal</v>
      </c>
      <c r="H94" s="45" t="str">
        <f t="shared" si="69"/>
        <v>End year</v>
      </c>
      <c r="J94" s="58">
        <f>Input_RAB_SCS!J96-Calc_RAB_Connection!J94</f>
        <v>0</v>
      </c>
      <c r="K94" s="56">
        <f>Input_RAB_SCS!K96-Calc_RAB_Connection!K94</f>
        <v>0</v>
      </c>
      <c r="L94" s="57">
        <f>Input_RAB_SCS!L96-Calc_RAB_Connection!L94</f>
        <v>-5.2086373898768877E-2</v>
      </c>
      <c r="M94" s="57">
        <f>Input_RAB_SCS!M96-Calc_RAB_Connection!M94</f>
        <v>-0.24167015955134466</v>
      </c>
      <c r="N94" s="57">
        <f>Input_RAB_SCS!N96-Calc_RAB_Connection!N94</f>
        <v>-0.31325953705319998</v>
      </c>
      <c r="O94" s="58">
        <f>Input_RAB_SCS!O96-Calc_RAB_Connection!O94</f>
        <v>-0.61480502261790038</v>
      </c>
      <c r="P94" s="56">
        <f>Input_RAB_SCS!P96-Calc_RAB_Connection!P94</f>
        <v>1.3143005713005569</v>
      </c>
      <c r="Q94" s="57">
        <f>Input_RAB_SCS!Q96-Calc_RAB_Connection!Q94</f>
        <v>0</v>
      </c>
      <c r="R94" s="57">
        <f>Input_RAB_SCS!R96-Calc_RAB_Connection!R94</f>
        <v>0</v>
      </c>
      <c r="S94" s="57">
        <f>Input_RAB_SCS!S96-Calc_RAB_Connection!S94</f>
        <v>0</v>
      </c>
      <c r="T94" s="58">
        <f>Input_RAB_SCS!T96-Calc_RAB_Connection!T94</f>
        <v>0</v>
      </c>
    </row>
    <row r="95" spans="4:20" ht="12.3" x14ac:dyDescent="0.35">
      <c r="D95" s="10" t="str">
        <f t="shared" ref="D95" si="71">D37</f>
        <v>Equity Raising Costs</v>
      </c>
      <c r="E95" s="45" t="str">
        <f>E89</f>
        <v>Calculated</v>
      </c>
      <c r="F95" s="45" t="str">
        <f t="shared" si="67"/>
        <v>$Millions</v>
      </c>
      <c r="G95" s="45" t="str">
        <f t="shared" si="68"/>
        <v>Nominal</v>
      </c>
      <c r="H95" s="45" t="str">
        <f t="shared" si="69"/>
        <v>End year</v>
      </c>
      <c r="J95" s="58">
        <f>Input_RAB_SCS!J97-Calc_RAB_Connection!J95</f>
        <v>0</v>
      </c>
      <c r="K95" s="56">
        <f>Input_RAB_SCS!K97-Calc_RAB_Connection!K95</f>
        <v>0</v>
      </c>
      <c r="L95" s="57">
        <f>Input_RAB_SCS!L97-Calc_RAB_Connection!L95</f>
        <v>0</v>
      </c>
      <c r="M95" s="57">
        <f>Input_RAB_SCS!M97-Calc_RAB_Connection!M95</f>
        <v>0</v>
      </c>
      <c r="N95" s="57">
        <f>Input_RAB_SCS!N97-Calc_RAB_Connection!N95</f>
        <v>0</v>
      </c>
      <c r="O95" s="58">
        <f>Input_RAB_SCS!O97-Calc_RAB_Connection!O95</f>
        <v>0</v>
      </c>
      <c r="P95" s="56">
        <f>Input_RAB_SCS!P97-Calc_RAB_Connection!P95</f>
        <v>0</v>
      </c>
      <c r="Q95" s="57">
        <f>Input_RAB_SCS!Q97-Calc_RAB_Connection!Q95</f>
        <v>0</v>
      </c>
      <c r="R95" s="57">
        <f>Input_RAB_SCS!R97-Calc_RAB_Connection!R95</f>
        <v>0</v>
      </c>
      <c r="S95" s="57">
        <f>Input_RAB_SCS!S97-Calc_RAB_Connection!S95</f>
        <v>0</v>
      </c>
      <c r="T95" s="58">
        <f>Input_RAB_SCS!T97-Calc_RAB_Connection!T95</f>
        <v>0</v>
      </c>
    </row>
    <row r="96" spans="4:20" x14ac:dyDescent="0.35">
      <c r="J96" s="49"/>
      <c r="K96" s="48"/>
      <c r="O96" s="49"/>
      <c r="P96" s="48"/>
      <c r="T96" s="49"/>
    </row>
    <row r="97" spans="1:20" ht="12.3" x14ac:dyDescent="0.35">
      <c r="D97" s="44" t="str">
        <f>"Total "&amp;D74</f>
        <v>Total RAB asset class</v>
      </c>
      <c r="E97" s="40" t="s">
        <v>91</v>
      </c>
      <c r="F97" s="40" t="str">
        <f>F76</f>
        <v>$Millions</v>
      </c>
      <c r="G97" s="40" t="str">
        <f>G76</f>
        <v>Nominal</v>
      </c>
      <c r="H97" s="40" t="str">
        <f>H76</f>
        <v>End year</v>
      </c>
      <c r="J97" s="54">
        <f t="shared" ref="J97:T97" si="72">SUM(J76:J95)</f>
        <v>-49.140705877849335</v>
      </c>
      <c r="K97" s="53">
        <f t="shared" si="72"/>
        <v>-40.621924173764931</v>
      </c>
      <c r="L97" s="39">
        <f t="shared" si="72"/>
        <v>-45.815157063215665</v>
      </c>
      <c r="M97" s="39">
        <f t="shared" si="72"/>
        <v>-50.095361814684814</v>
      </c>
      <c r="N97" s="39">
        <f t="shared" si="72"/>
        <v>-56.250808046078859</v>
      </c>
      <c r="O97" s="54">
        <f t="shared" si="72"/>
        <v>-63.247169340348528</v>
      </c>
      <c r="P97" s="53">
        <f t="shared" si="72"/>
        <v>-70.261052476971614</v>
      </c>
      <c r="Q97" s="39">
        <f t="shared" si="72"/>
        <v>-73.581868434870486</v>
      </c>
      <c r="R97" s="39">
        <f t="shared" si="72"/>
        <v>-78.669999154146723</v>
      </c>
      <c r="S97" s="39">
        <f t="shared" si="72"/>
        <v>-86.85047879173392</v>
      </c>
      <c r="T97" s="54">
        <f t="shared" si="72"/>
        <v>-93.949007460019587</v>
      </c>
    </row>
    <row r="98" spans="1:20" ht="11.25" customHeight="1" x14ac:dyDescent="0.35"/>
    <row r="99" spans="1:20" ht="11.25" customHeight="1" x14ac:dyDescent="0.35">
      <c r="A99" s="42">
        <f>IF(SUM($J99:$T99)&lt;&gt;0,1,0)</f>
        <v>0</v>
      </c>
      <c r="D99" s="10" t="s">
        <v>94</v>
      </c>
      <c r="J99" s="42">
        <f t="shared" ref="J99:K99" si="73">IF(ISERROR(J97),1,0)</f>
        <v>0</v>
      </c>
      <c r="K99" s="42">
        <f t="shared" si="73"/>
        <v>0</v>
      </c>
      <c r="L99" s="42">
        <f>IF(ISERROR(L97),1,0)</f>
        <v>0</v>
      </c>
      <c r="M99" s="42">
        <f t="shared" ref="M99:P99" si="74">IF(ISERROR(M97),1,0)</f>
        <v>0</v>
      </c>
      <c r="N99" s="42">
        <f t="shared" si="74"/>
        <v>0</v>
      </c>
      <c r="O99" s="42">
        <f t="shared" si="74"/>
        <v>0</v>
      </c>
      <c r="P99" s="42">
        <f t="shared" si="74"/>
        <v>0</v>
      </c>
      <c r="Q99" s="42">
        <f>IF(ISERROR(Q97),1,0)</f>
        <v>0</v>
      </c>
      <c r="R99" s="42">
        <f t="shared" ref="R99:T99" si="75">IF(ISERROR(R97),1,0)</f>
        <v>0</v>
      </c>
      <c r="S99" s="42">
        <f t="shared" si="75"/>
        <v>0</v>
      </c>
      <c r="T99" s="42">
        <f t="shared" si="75"/>
        <v>0</v>
      </c>
    </row>
    <row r="100" spans="1:20" ht="11.25" customHeight="1" x14ac:dyDescent="0.35">
      <c r="N100" s="5"/>
      <c r="S100" s="5"/>
    </row>
    <row r="101" spans="1:20" s="8" customFormat="1" ht="14.1" x14ac:dyDescent="0.35">
      <c r="C101" s="8" t="s">
        <v>438</v>
      </c>
    </row>
    <row r="102" spans="1:20" ht="11.25" customHeight="1" x14ac:dyDescent="0.35"/>
    <row r="103" spans="1:20" ht="12.3" x14ac:dyDescent="0.35">
      <c r="D103" s="43" t="str">
        <f>D$16</f>
        <v>RAB asset class</v>
      </c>
      <c r="E103" s="38" t="str">
        <f>Lookup!E$20</f>
        <v>Source</v>
      </c>
      <c r="F103" s="38" t="str">
        <f>Lookup!F$20</f>
        <v>Unit</v>
      </c>
      <c r="G103" s="38" t="str">
        <f>Lookup!G$20</f>
        <v>Basis</v>
      </c>
      <c r="H103" s="38" t="str">
        <f>Lookup!H$20</f>
        <v>Timing</v>
      </c>
      <c r="J103" s="47" t="str">
        <f t="shared" ref="J103:T103" si="76">J$10</f>
        <v>RY19</v>
      </c>
      <c r="K103" s="46" t="str">
        <f t="shared" si="76"/>
        <v>RY20</v>
      </c>
      <c r="L103" s="38" t="str">
        <f>L$10</f>
        <v>RY21</v>
      </c>
      <c r="M103" s="38" t="str">
        <f t="shared" si="76"/>
        <v>RY22</v>
      </c>
      <c r="N103" s="38" t="str">
        <f t="shared" si="76"/>
        <v>RY23</v>
      </c>
      <c r="O103" s="47" t="str">
        <f t="shared" si="76"/>
        <v>RY24</v>
      </c>
      <c r="P103" s="46" t="str">
        <f t="shared" si="76"/>
        <v>RY25</v>
      </c>
      <c r="Q103" s="38" t="str">
        <f>Q$10</f>
        <v>RY26</v>
      </c>
      <c r="R103" s="38" t="str">
        <f t="shared" si="76"/>
        <v>RY27</v>
      </c>
      <c r="S103" s="38" t="str">
        <f t="shared" si="76"/>
        <v>RY28</v>
      </c>
      <c r="T103" s="47" t="str">
        <f t="shared" si="76"/>
        <v>RY29</v>
      </c>
    </row>
    <row r="104" spans="1:20" x14ac:dyDescent="0.35">
      <c r="J104" s="49"/>
      <c r="K104" s="48"/>
      <c r="O104" s="49"/>
      <c r="P104" s="48"/>
      <c r="T104" s="49"/>
    </row>
    <row r="105" spans="1:20" ht="12.3" x14ac:dyDescent="0.35">
      <c r="D105" s="10" t="str">
        <f t="shared" ref="D105:D121" si="77">D18</f>
        <v>Substations</v>
      </c>
      <c r="E105" s="45" t="str">
        <f>$E$18</f>
        <v>Calculated</v>
      </c>
      <c r="F105" s="45" t="str">
        <f t="shared" ref="F105:F124" si="78">Millions</f>
        <v>$Millions</v>
      </c>
      <c r="G105" s="45" t="str">
        <f t="shared" ref="G105:G124" si="79">Nominal</f>
        <v>Nominal</v>
      </c>
      <c r="H105" s="45" t="str">
        <f t="shared" ref="H105:H124" si="80">End_year</f>
        <v>End year</v>
      </c>
      <c r="J105" s="58">
        <f>Input_RAB_SCS!J109-Calc_RAB_Connection!J105</f>
        <v>13.512555175057903</v>
      </c>
      <c r="K105" s="56">
        <f>Input_RAB_SCS!K109-Calc_RAB_Connection!K105</f>
        <v>16.329556570947439</v>
      </c>
      <c r="L105" s="57">
        <f>Input_RAB_SCS!L109-Calc_RAB_Connection!L105</f>
        <v>10.0408096393733</v>
      </c>
      <c r="M105" s="57">
        <f>Input_RAB_SCS!M109-Calc_RAB_Connection!M105</f>
        <v>8.752797051941732</v>
      </c>
      <c r="N105" s="57">
        <f>Input_RAB_SCS!N109-Calc_RAB_Connection!N105</f>
        <v>10.277673984770724</v>
      </c>
      <c r="O105" s="58">
        <f>Input_RAB_SCS!O109-Calc_RAB_Connection!O105</f>
        <v>19.264841664295432</v>
      </c>
      <c r="P105" s="56">
        <f>Input_RAB_SCS!P109-Calc_RAB_Connection!P105</f>
        <v>19.245574238471455</v>
      </c>
      <c r="Q105" s="57">
        <f>Input_RAB_SCS!Q109-Calc_RAB_Connection!Q105</f>
        <v>17.073909619520823</v>
      </c>
      <c r="R105" s="57">
        <f>Input_RAB_SCS!R109-Calc_RAB_Connection!R105</f>
        <v>4.259660494643545</v>
      </c>
      <c r="S105" s="57">
        <f>Input_RAB_SCS!S109-Calc_RAB_Connection!S105</f>
        <v>3.6804751345842046</v>
      </c>
      <c r="T105" s="58">
        <f>Input_RAB_SCS!T109-Calc_RAB_Connection!T105</f>
        <v>3.937804383205179</v>
      </c>
    </row>
    <row r="106" spans="1:20" ht="12.3" x14ac:dyDescent="0.35">
      <c r="D106" s="10" t="str">
        <f t="shared" si="77"/>
        <v>Distribution Lines</v>
      </c>
      <c r="E106" s="45" t="str">
        <f t="shared" ref="E106:E123" si="81">E105</f>
        <v>Calculated</v>
      </c>
      <c r="F106" s="45" t="str">
        <f t="shared" si="78"/>
        <v>$Millions</v>
      </c>
      <c r="G106" s="45" t="str">
        <f t="shared" si="79"/>
        <v>Nominal</v>
      </c>
      <c r="H106" s="45" t="str">
        <f t="shared" si="80"/>
        <v>End year</v>
      </c>
      <c r="J106" s="58">
        <f>Input_RAB_SCS!J110-Calc_RAB_Connection!J106</f>
        <v>8.1920147564307975</v>
      </c>
      <c r="K106" s="56">
        <f>Input_RAB_SCS!K110-Calc_RAB_Connection!K106</f>
        <v>7.9099979231291648</v>
      </c>
      <c r="L106" s="57">
        <f>Input_RAB_SCS!L110-Calc_RAB_Connection!L106</f>
        <v>8.4937608008602759</v>
      </c>
      <c r="M106" s="57">
        <f>Input_RAB_SCS!M110-Calc_RAB_Connection!M106</f>
        <v>16.95918618950186</v>
      </c>
      <c r="N106" s="57">
        <f>Input_RAB_SCS!N110-Calc_RAB_Connection!N106</f>
        <v>25.339395345984393</v>
      </c>
      <c r="O106" s="58">
        <f>Input_RAB_SCS!O110-Calc_RAB_Connection!O106</f>
        <v>22.182706199199306</v>
      </c>
      <c r="P106" s="56">
        <f>Input_RAB_SCS!P110-Calc_RAB_Connection!P106</f>
        <v>18.133544233503585</v>
      </c>
      <c r="Q106" s="57">
        <f>Input_RAB_SCS!Q110-Calc_RAB_Connection!Q106</f>
        <v>20.553543476349518</v>
      </c>
      <c r="R106" s="57">
        <f>Input_RAB_SCS!R110-Calc_RAB_Connection!R106</f>
        <v>21.217605737913871</v>
      </c>
      <c r="S106" s="57">
        <f>Input_RAB_SCS!S110-Calc_RAB_Connection!S106</f>
        <v>18.792561425934508</v>
      </c>
      <c r="T106" s="58">
        <f>Input_RAB_SCS!T110-Calc_RAB_Connection!T106</f>
        <v>19.568817308971717</v>
      </c>
    </row>
    <row r="107" spans="1:20" ht="12.3" x14ac:dyDescent="0.35">
      <c r="D107" s="10" t="str">
        <f t="shared" si="77"/>
        <v>Transmission Lines</v>
      </c>
      <c r="E107" s="45" t="str">
        <f t="shared" si="81"/>
        <v>Calculated</v>
      </c>
      <c r="F107" s="45" t="str">
        <f t="shared" si="78"/>
        <v>$Millions</v>
      </c>
      <c r="G107" s="45" t="str">
        <f t="shared" si="79"/>
        <v>Nominal</v>
      </c>
      <c r="H107" s="45" t="str">
        <f t="shared" si="80"/>
        <v>End year</v>
      </c>
      <c r="J107" s="58">
        <f>Input_RAB_SCS!J111-Calc_RAB_Connection!J107</f>
        <v>0.22697997586977081</v>
      </c>
      <c r="K107" s="56">
        <f>Input_RAB_SCS!K111-Calc_RAB_Connection!K107</f>
        <v>0.95398627661436053</v>
      </c>
      <c r="L107" s="57">
        <f>Input_RAB_SCS!L111-Calc_RAB_Connection!L107</f>
        <v>1.6590003897175705</v>
      </c>
      <c r="M107" s="57">
        <f>Input_RAB_SCS!M111-Calc_RAB_Connection!M107</f>
        <v>2.441266010024532</v>
      </c>
      <c r="N107" s="57">
        <f>Input_RAB_SCS!N111-Calc_RAB_Connection!N107</f>
        <v>3.0240435006678767</v>
      </c>
      <c r="O107" s="58">
        <f>Input_RAB_SCS!O111-Calc_RAB_Connection!O107</f>
        <v>5.521330669172162</v>
      </c>
      <c r="P107" s="56">
        <f>Input_RAB_SCS!P111-Calc_RAB_Connection!P107</f>
        <v>3.6639973926579281</v>
      </c>
      <c r="Q107" s="57">
        <f>Input_RAB_SCS!Q111-Calc_RAB_Connection!Q107</f>
        <v>7.6673473011271227</v>
      </c>
      <c r="R107" s="57">
        <f>Input_RAB_SCS!R111-Calc_RAB_Connection!R107</f>
        <v>3.2937581270710621</v>
      </c>
      <c r="S107" s="57">
        <f>Input_RAB_SCS!S111-Calc_RAB_Connection!S107</f>
        <v>2.2845145499820938</v>
      </c>
      <c r="T107" s="58">
        <f>Input_RAB_SCS!T111-Calc_RAB_Connection!T107</f>
        <v>2.3669332969691701</v>
      </c>
    </row>
    <row r="108" spans="1:20" ht="12.3" x14ac:dyDescent="0.35">
      <c r="D108" s="10" t="str">
        <f t="shared" si="77"/>
        <v>LV Services</v>
      </c>
      <c r="E108" s="45" t="str">
        <f t="shared" si="81"/>
        <v>Calculated</v>
      </c>
      <c r="F108" s="45" t="str">
        <f t="shared" si="78"/>
        <v>$Millions</v>
      </c>
      <c r="G108" s="45" t="str">
        <f t="shared" si="79"/>
        <v>Nominal</v>
      </c>
      <c r="H108" s="45" t="str">
        <f t="shared" si="80"/>
        <v>End year</v>
      </c>
      <c r="J108" s="58">
        <f>Input_RAB_SCS!J112-Calc_RAB_Connection!J108</f>
        <v>0.38432051748203477</v>
      </c>
      <c r="K108" s="56">
        <f>Input_RAB_SCS!K112-Calc_RAB_Connection!K108</f>
        <v>0.61484754282807974</v>
      </c>
      <c r="L108" s="57">
        <f>Input_RAB_SCS!L112-Calc_RAB_Connection!L108</f>
        <v>0.92731640164836304</v>
      </c>
      <c r="M108" s="57">
        <f>Input_RAB_SCS!M112-Calc_RAB_Connection!M108</f>
        <v>1.9843958808834206</v>
      </c>
      <c r="N108" s="57">
        <f>Input_RAB_SCS!N112-Calc_RAB_Connection!N108</f>
        <v>1.3663187342873093</v>
      </c>
      <c r="O108" s="58">
        <f>Input_RAB_SCS!O112-Calc_RAB_Connection!O108</f>
        <v>1.4661471795407384</v>
      </c>
      <c r="P108" s="56">
        <f>Input_RAB_SCS!P112-Calc_RAB_Connection!P108</f>
        <v>4.0954478483649428</v>
      </c>
      <c r="Q108" s="57">
        <f>Input_RAB_SCS!Q112-Calc_RAB_Connection!Q108</f>
        <v>4.3013093527559159</v>
      </c>
      <c r="R108" s="57">
        <f>Input_RAB_SCS!R112-Calc_RAB_Connection!R108</f>
        <v>4.4923798410107123</v>
      </c>
      <c r="S108" s="57">
        <f>Input_RAB_SCS!S112-Calc_RAB_Connection!S108</f>
        <v>4.6822684335229283</v>
      </c>
      <c r="T108" s="58">
        <f>Input_RAB_SCS!T112-Calc_RAB_Connection!T108</f>
        <v>4.8918679308054189</v>
      </c>
    </row>
    <row r="109" spans="1:20" ht="12.3" x14ac:dyDescent="0.35">
      <c r="D109" s="10" t="str">
        <f t="shared" si="77"/>
        <v>Distribution Substations</v>
      </c>
      <c r="E109" s="45" t="str">
        <f t="shared" si="81"/>
        <v>Calculated</v>
      </c>
      <c r="F109" s="45" t="str">
        <f t="shared" si="78"/>
        <v>$Millions</v>
      </c>
      <c r="G109" s="45" t="str">
        <f t="shared" si="79"/>
        <v>Nominal</v>
      </c>
      <c r="H109" s="45" t="str">
        <f t="shared" si="80"/>
        <v>End year</v>
      </c>
      <c r="J109" s="58">
        <f>Input_RAB_SCS!J113-Calc_RAB_Connection!J109</f>
        <v>2.8818685520388425</v>
      </c>
      <c r="K109" s="56">
        <f>Input_RAB_SCS!K113-Calc_RAB_Connection!K109</f>
        <v>4.0382635104475613</v>
      </c>
      <c r="L109" s="57">
        <f>Input_RAB_SCS!L113-Calc_RAB_Connection!L109</f>
        <v>3.6857664637390859</v>
      </c>
      <c r="M109" s="57">
        <f>Input_RAB_SCS!M113-Calc_RAB_Connection!M109</f>
        <v>5.1351228611487389</v>
      </c>
      <c r="N109" s="57">
        <f>Input_RAB_SCS!N113-Calc_RAB_Connection!N109</f>
        <v>3.1511023377218597</v>
      </c>
      <c r="O109" s="58">
        <f>Input_RAB_SCS!O113-Calc_RAB_Connection!O109</f>
        <v>3.5741749533546865</v>
      </c>
      <c r="P109" s="56">
        <f>Input_RAB_SCS!P113-Calc_RAB_Connection!P109</f>
        <v>4.7302528044965539</v>
      </c>
      <c r="Q109" s="57">
        <f>Input_RAB_SCS!Q113-Calc_RAB_Connection!Q109</f>
        <v>5.0629768685679606</v>
      </c>
      <c r="R109" s="57">
        <f>Input_RAB_SCS!R113-Calc_RAB_Connection!R109</f>
        <v>5.3905803973824566</v>
      </c>
      <c r="S109" s="57">
        <f>Input_RAB_SCS!S113-Calc_RAB_Connection!S109</f>
        <v>5.7266251575817861</v>
      </c>
      <c r="T109" s="58">
        <f>Input_RAB_SCS!T113-Calc_RAB_Connection!T109</f>
        <v>6.0940546322031821</v>
      </c>
    </row>
    <row r="110" spans="1:20" ht="12.3" x14ac:dyDescent="0.35">
      <c r="D110" s="10" t="str">
        <f t="shared" si="77"/>
        <v>Distribution Switchgear</v>
      </c>
      <c r="E110" s="45" t="str">
        <f t="shared" si="81"/>
        <v>Calculated</v>
      </c>
      <c r="F110" s="45" t="str">
        <f t="shared" si="78"/>
        <v>$Millions</v>
      </c>
      <c r="G110" s="45" t="str">
        <f t="shared" si="79"/>
        <v>Nominal</v>
      </c>
      <c r="H110" s="45" t="str">
        <f t="shared" si="80"/>
        <v>End year</v>
      </c>
      <c r="J110" s="58">
        <f>Input_RAB_SCS!J114-Calc_RAB_Connection!J110</f>
        <v>2.6357466322208842</v>
      </c>
      <c r="K110" s="56">
        <f>Input_RAB_SCS!K114-Calc_RAB_Connection!K110</f>
        <v>1.538880141623957</v>
      </c>
      <c r="L110" s="57">
        <f>Input_RAB_SCS!L114-Calc_RAB_Connection!L110</f>
        <v>2.3021966993494432</v>
      </c>
      <c r="M110" s="57">
        <f>Input_RAB_SCS!M114-Calc_RAB_Connection!M110</f>
        <v>2.1712856985111011</v>
      </c>
      <c r="N110" s="57">
        <f>Input_RAB_SCS!N114-Calc_RAB_Connection!N110</f>
        <v>3.5075017057269404</v>
      </c>
      <c r="O110" s="58">
        <f>Input_RAB_SCS!O114-Calc_RAB_Connection!O110</f>
        <v>2.83217945820414</v>
      </c>
      <c r="P110" s="56">
        <f>Input_RAB_SCS!P114-Calc_RAB_Connection!P110</f>
        <v>4.7719509508016191</v>
      </c>
      <c r="Q110" s="57">
        <f>Input_RAB_SCS!Q114-Calc_RAB_Connection!Q110</f>
        <v>5.0585390281212446</v>
      </c>
      <c r="R110" s="57">
        <f>Input_RAB_SCS!R114-Calc_RAB_Connection!R110</f>
        <v>5.3346156413402701</v>
      </c>
      <c r="S110" s="57">
        <f>Input_RAB_SCS!S114-Calc_RAB_Connection!S110</f>
        <v>5.6145226324114592</v>
      </c>
      <c r="T110" s="58">
        <f>Input_RAB_SCS!T114-Calc_RAB_Connection!T110</f>
        <v>5.9213798004695226</v>
      </c>
    </row>
    <row r="111" spans="1:20" ht="12.3" x14ac:dyDescent="0.35">
      <c r="D111" s="10" t="str">
        <f t="shared" si="77"/>
        <v>Protection</v>
      </c>
      <c r="E111" s="45" t="str">
        <f t="shared" si="81"/>
        <v>Calculated</v>
      </c>
      <c r="F111" s="45" t="str">
        <f t="shared" si="78"/>
        <v>$Millions</v>
      </c>
      <c r="G111" s="45" t="str">
        <f t="shared" si="79"/>
        <v>Nominal</v>
      </c>
      <c r="H111" s="45" t="str">
        <f t="shared" si="80"/>
        <v>End year</v>
      </c>
      <c r="J111" s="58">
        <f>Input_RAB_SCS!J115-Calc_RAB_Connection!J111</f>
        <v>2.5793985459127571</v>
      </c>
      <c r="K111" s="56">
        <f>Input_RAB_SCS!K115-Calc_RAB_Connection!K111</f>
        <v>1.5389122592913562</v>
      </c>
      <c r="L111" s="57">
        <f>Input_RAB_SCS!L115-Calc_RAB_Connection!L111</f>
        <v>1.5645863791992083</v>
      </c>
      <c r="M111" s="57">
        <f>Input_RAB_SCS!M115-Calc_RAB_Connection!M111</f>
        <v>3.107599911737625</v>
      </c>
      <c r="N111" s="57">
        <f>Input_RAB_SCS!N115-Calc_RAB_Connection!N111</f>
        <v>3.1207887863608739</v>
      </c>
      <c r="O111" s="58">
        <f>Input_RAB_SCS!O115-Calc_RAB_Connection!O111</f>
        <v>5.3590530170769917</v>
      </c>
      <c r="P111" s="56">
        <f>Input_RAB_SCS!P115-Calc_RAB_Connection!P111</f>
        <v>9.6002966220218564</v>
      </c>
      <c r="Q111" s="57">
        <f>Input_RAB_SCS!Q115-Calc_RAB_Connection!Q111</f>
        <v>5.1202414494583532</v>
      </c>
      <c r="R111" s="57">
        <f>Input_RAB_SCS!R115-Calc_RAB_Connection!R111</f>
        <v>4.1175890548508054</v>
      </c>
      <c r="S111" s="57">
        <f>Input_RAB_SCS!S115-Calc_RAB_Connection!S111</f>
        <v>3.7328596986215747</v>
      </c>
      <c r="T111" s="58">
        <f>Input_RAB_SCS!T115-Calc_RAB_Connection!T111</f>
        <v>3.2843606218739811</v>
      </c>
    </row>
    <row r="112" spans="1:20" ht="12.3" x14ac:dyDescent="0.35">
      <c r="D112" s="10" t="str">
        <f t="shared" si="77"/>
        <v>SCADA</v>
      </c>
      <c r="E112" s="45" t="str">
        <f t="shared" si="81"/>
        <v>Calculated</v>
      </c>
      <c r="F112" s="45" t="str">
        <f t="shared" si="78"/>
        <v>$Millions</v>
      </c>
      <c r="G112" s="45" t="str">
        <f t="shared" si="79"/>
        <v>Nominal</v>
      </c>
      <c r="H112" s="45" t="str">
        <f t="shared" si="80"/>
        <v>End year</v>
      </c>
      <c r="J112" s="58">
        <f>Input_RAB_SCS!J116-Calc_RAB_Connection!J112</f>
        <v>1.2184524914889736</v>
      </c>
      <c r="K112" s="56">
        <f>Input_RAB_SCS!K116-Calc_RAB_Connection!K112</f>
        <v>1.649792778119602</v>
      </c>
      <c r="L112" s="57">
        <f>Input_RAB_SCS!L116-Calc_RAB_Connection!L112</f>
        <v>1.4088865562084623</v>
      </c>
      <c r="M112" s="57">
        <f>Input_RAB_SCS!M116-Calc_RAB_Connection!M112</f>
        <v>1.6193473898092661</v>
      </c>
      <c r="N112" s="57">
        <f>Input_RAB_SCS!N116-Calc_RAB_Connection!N112</f>
        <v>5.6652993596436669</v>
      </c>
      <c r="O112" s="58">
        <f>Input_RAB_SCS!O116-Calc_RAB_Connection!O112</f>
        <v>7.4109556952272362</v>
      </c>
      <c r="P112" s="56">
        <f>Input_RAB_SCS!P116-Calc_RAB_Connection!P112</f>
        <v>3.4276293674837346</v>
      </c>
      <c r="Q112" s="57">
        <f>Input_RAB_SCS!Q116-Calc_RAB_Connection!Q112</f>
        <v>0.2319515105632797</v>
      </c>
      <c r="R112" s="57">
        <f>Input_RAB_SCS!R116-Calc_RAB_Connection!R112</f>
        <v>0</v>
      </c>
      <c r="S112" s="57">
        <f>Input_RAB_SCS!S116-Calc_RAB_Connection!S112</f>
        <v>0</v>
      </c>
      <c r="T112" s="58">
        <f>Input_RAB_SCS!T116-Calc_RAB_Connection!T112</f>
        <v>0</v>
      </c>
    </row>
    <row r="113" spans="1:20" ht="12.3" x14ac:dyDescent="0.35">
      <c r="D113" s="10" t="str">
        <f t="shared" si="77"/>
        <v>Communications</v>
      </c>
      <c r="E113" s="45" t="str">
        <f t="shared" si="81"/>
        <v>Calculated</v>
      </c>
      <c r="F113" s="45" t="str">
        <f t="shared" si="78"/>
        <v>$Millions</v>
      </c>
      <c r="G113" s="45" t="str">
        <f t="shared" si="79"/>
        <v>Nominal</v>
      </c>
      <c r="H113" s="45" t="str">
        <f t="shared" si="80"/>
        <v>End year</v>
      </c>
      <c r="J113" s="58">
        <f>Input_RAB_SCS!J117-Calc_RAB_Connection!J113</f>
        <v>1.8804573681168917</v>
      </c>
      <c r="K113" s="56">
        <f>Input_RAB_SCS!K117-Calc_RAB_Connection!K113</f>
        <v>2.1540754464456833</v>
      </c>
      <c r="L113" s="57">
        <f>Input_RAB_SCS!L117-Calc_RAB_Connection!L113</f>
        <v>1.8092414316005134</v>
      </c>
      <c r="M113" s="57">
        <f>Input_RAB_SCS!M117-Calc_RAB_Connection!M113</f>
        <v>2.0887026790870364</v>
      </c>
      <c r="N113" s="57">
        <f>Input_RAB_SCS!N117-Calc_RAB_Connection!N113</f>
        <v>2.0390723178457284</v>
      </c>
      <c r="O113" s="58">
        <f>Input_RAB_SCS!O117-Calc_RAB_Connection!O113</f>
        <v>2.4547306487282499</v>
      </c>
      <c r="P113" s="56">
        <f>Input_RAB_SCS!P117-Calc_RAB_Connection!P113</f>
        <v>5.9265605451162298</v>
      </c>
      <c r="Q113" s="57">
        <f>Input_RAB_SCS!Q117-Calc_RAB_Connection!Q113</f>
        <v>5.5713746498788543</v>
      </c>
      <c r="R113" s="57">
        <f>Input_RAB_SCS!R117-Calc_RAB_Connection!R113</f>
        <v>6.2401314177913543</v>
      </c>
      <c r="S113" s="57">
        <f>Input_RAB_SCS!S117-Calc_RAB_Connection!S113</f>
        <v>4.2806500428022751</v>
      </c>
      <c r="T113" s="58">
        <f>Input_RAB_SCS!T117-Calc_RAB_Connection!T113</f>
        <v>3.0978550801432649</v>
      </c>
    </row>
    <row r="114" spans="1:20" ht="12.3" x14ac:dyDescent="0.35">
      <c r="D114" s="10" t="str">
        <f t="shared" si="77"/>
        <v>Land and Easements</v>
      </c>
      <c r="E114" s="45" t="str">
        <f t="shared" si="81"/>
        <v>Calculated</v>
      </c>
      <c r="F114" s="45" t="str">
        <f t="shared" si="78"/>
        <v>$Millions</v>
      </c>
      <c r="G114" s="45" t="str">
        <f t="shared" si="79"/>
        <v>Nominal</v>
      </c>
      <c r="H114" s="45" t="str">
        <f t="shared" si="80"/>
        <v>End year</v>
      </c>
      <c r="J114" s="58">
        <f>Input_RAB_SCS!J118-Calc_RAB_Connection!J114</f>
        <v>0</v>
      </c>
      <c r="K114" s="56">
        <f>Input_RAB_SCS!K118-Calc_RAB_Connection!K114</f>
        <v>0</v>
      </c>
      <c r="L114" s="57">
        <f>Input_RAB_SCS!L118-Calc_RAB_Connection!L114</f>
        <v>0</v>
      </c>
      <c r="M114" s="57">
        <f>Input_RAB_SCS!M118-Calc_RAB_Connection!M114</f>
        <v>0</v>
      </c>
      <c r="N114" s="57">
        <f>Input_RAB_SCS!N118-Calc_RAB_Connection!N114</f>
        <v>0</v>
      </c>
      <c r="O114" s="58">
        <f>Input_RAB_SCS!O118-Calc_RAB_Connection!O114</f>
        <v>0</v>
      </c>
      <c r="P114" s="56">
        <f>Input_RAB_SCS!P118-Calc_RAB_Connection!P114</f>
        <v>0</v>
      </c>
      <c r="Q114" s="57">
        <f>Input_RAB_SCS!Q118-Calc_RAB_Connection!Q114</f>
        <v>0</v>
      </c>
      <c r="R114" s="57">
        <f>Input_RAB_SCS!R118-Calc_RAB_Connection!R114</f>
        <v>0</v>
      </c>
      <c r="S114" s="57">
        <f>Input_RAB_SCS!S118-Calc_RAB_Connection!S114</f>
        <v>0</v>
      </c>
      <c r="T114" s="58">
        <f>Input_RAB_SCS!T118-Calc_RAB_Connection!T114</f>
        <v>0</v>
      </c>
    </row>
    <row r="115" spans="1:20" ht="12.3" x14ac:dyDescent="0.35">
      <c r="D115" s="10" t="str">
        <f t="shared" si="77"/>
        <v>Property</v>
      </c>
      <c r="E115" s="45" t="str">
        <f t="shared" si="81"/>
        <v>Calculated</v>
      </c>
      <c r="F115" s="45" t="str">
        <f t="shared" si="78"/>
        <v>$Millions</v>
      </c>
      <c r="G115" s="45" t="str">
        <f t="shared" si="79"/>
        <v>Nominal</v>
      </c>
      <c r="H115" s="45" t="str">
        <f t="shared" si="80"/>
        <v>End year</v>
      </c>
      <c r="J115" s="58">
        <f>Input_RAB_SCS!J119-Calc_RAB_Connection!J115</f>
        <v>0</v>
      </c>
      <c r="K115" s="56">
        <f>Input_RAB_SCS!K119-Calc_RAB_Connection!K115</f>
        <v>0.51777111467914261</v>
      </c>
      <c r="L115" s="57">
        <f>Input_RAB_SCS!L119-Calc_RAB_Connection!L115</f>
        <v>0.50194953674235743</v>
      </c>
      <c r="M115" s="57">
        <f>Input_RAB_SCS!M119-Calc_RAB_Connection!M115</f>
        <v>0.29023573663338009</v>
      </c>
      <c r="N115" s="57">
        <f>Input_RAB_SCS!N119-Calc_RAB_Connection!N115</f>
        <v>2.6837112919380317</v>
      </c>
      <c r="O115" s="58">
        <f>Input_RAB_SCS!O119-Calc_RAB_Connection!O115</f>
        <v>1.7613620812629758</v>
      </c>
      <c r="P115" s="56">
        <f>Input_RAB_SCS!P119-Calc_RAB_Connection!P115</f>
        <v>1.4766770415494963</v>
      </c>
      <c r="Q115" s="57">
        <f>Input_RAB_SCS!Q119-Calc_RAB_Connection!Q115</f>
        <v>1.1775990628160971</v>
      </c>
      <c r="R115" s="57">
        <f>Input_RAB_SCS!R119-Calc_RAB_Connection!R115</f>
        <v>4.1906225582869707</v>
      </c>
      <c r="S115" s="57">
        <f>Input_RAB_SCS!S119-Calc_RAB_Connection!S115</f>
        <v>59.227510329484126</v>
      </c>
      <c r="T115" s="58">
        <f>Input_RAB_SCS!T119-Calc_RAB_Connection!T115</f>
        <v>89.741530653709489</v>
      </c>
    </row>
    <row r="116" spans="1:20" ht="12.3" x14ac:dyDescent="0.35">
      <c r="D116" s="10" t="str">
        <f t="shared" si="77"/>
        <v>IT and Communications</v>
      </c>
      <c r="E116" s="45" t="str">
        <f t="shared" si="81"/>
        <v>Calculated</v>
      </c>
      <c r="F116" s="45" t="str">
        <f t="shared" si="78"/>
        <v>$Millions</v>
      </c>
      <c r="G116" s="45" t="str">
        <f t="shared" si="79"/>
        <v>Nominal</v>
      </c>
      <c r="H116" s="45" t="str">
        <f t="shared" si="80"/>
        <v>End year</v>
      </c>
      <c r="J116" s="58">
        <f>Input_RAB_SCS!J120-Calc_RAB_Connection!J116</f>
        <v>4.9242373581575452</v>
      </c>
      <c r="K116" s="56">
        <f>Input_RAB_SCS!K120-Calc_RAB_Connection!K116</f>
        <v>6.5550374351960619</v>
      </c>
      <c r="L116" s="57">
        <f>Input_RAB_SCS!L120-Calc_RAB_Connection!L116</f>
        <v>1.6750434679516222</v>
      </c>
      <c r="M116" s="57">
        <f>Input_RAB_SCS!M120-Calc_RAB_Connection!M116</f>
        <v>5.1556596931924785</v>
      </c>
      <c r="N116" s="57">
        <f>Input_RAB_SCS!N120-Calc_RAB_Connection!N116</f>
        <v>22.543568023287975</v>
      </c>
      <c r="O116" s="58">
        <f>Input_RAB_SCS!O120-Calc_RAB_Connection!O116</f>
        <v>24.818084929528069</v>
      </c>
      <c r="P116" s="56">
        <f>Input_RAB_SCS!P120-Calc_RAB_Connection!P116</f>
        <v>23.736094547650197</v>
      </c>
      <c r="Q116" s="57">
        <f>Input_RAB_SCS!Q120-Calc_RAB_Connection!Q116</f>
        <v>28.658603336111771</v>
      </c>
      <c r="R116" s="57">
        <f>Input_RAB_SCS!R120-Calc_RAB_Connection!R116</f>
        <v>24.364400738502294</v>
      </c>
      <c r="S116" s="57">
        <f>Input_RAB_SCS!S120-Calc_RAB_Connection!S116</f>
        <v>20.768921862812341</v>
      </c>
      <c r="T116" s="58">
        <f>Input_RAB_SCS!T120-Calc_RAB_Connection!T116</f>
        <v>23.475320154389902</v>
      </c>
    </row>
    <row r="117" spans="1:20" ht="12.3" x14ac:dyDescent="0.35">
      <c r="D117" s="10" t="str">
        <f t="shared" si="77"/>
        <v>Motor Vehicles</v>
      </c>
      <c r="E117" s="45" t="str">
        <f t="shared" si="81"/>
        <v>Calculated</v>
      </c>
      <c r="F117" s="45" t="str">
        <f t="shared" si="78"/>
        <v>$Millions</v>
      </c>
      <c r="G117" s="45" t="str">
        <f t="shared" si="79"/>
        <v>Nominal</v>
      </c>
      <c r="H117" s="45" t="str">
        <f t="shared" si="80"/>
        <v>End year</v>
      </c>
      <c r="J117" s="58">
        <f>Input_RAB_SCS!J121-Calc_RAB_Connection!J117</f>
        <v>0</v>
      </c>
      <c r="K117" s="56">
        <f>Input_RAB_SCS!K121-Calc_RAB_Connection!K117</f>
        <v>6.7902222768083192E-2</v>
      </c>
      <c r="L117" s="57">
        <f>Input_RAB_SCS!L121-Calc_RAB_Connection!L117</f>
        <v>0.50511465497876729</v>
      </c>
      <c r="M117" s="57">
        <f>Input_RAB_SCS!M121-Calc_RAB_Connection!M117</f>
        <v>0.12304792232371618</v>
      </c>
      <c r="N117" s="57">
        <f>Input_RAB_SCS!N121-Calc_RAB_Connection!N117</f>
        <v>0</v>
      </c>
      <c r="O117" s="58">
        <f>Input_RAB_SCS!O121-Calc_RAB_Connection!O117</f>
        <v>0</v>
      </c>
      <c r="P117" s="56">
        <f>Input_RAB_SCS!P121-Calc_RAB_Connection!P117</f>
        <v>0</v>
      </c>
      <c r="Q117" s="57">
        <f>Input_RAB_SCS!Q121-Calc_RAB_Connection!Q117</f>
        <v>0</v>
      </c>
      <c r="R117" s="57">
        <f>Input_RAB_SCS!R121-Calc_RAB_Connection!R117</f>
        <v>0</v>
      </c>
      <c r="S117" s="57">
        <f>Input_RAB_SCS!S121-Calc_RAB_Connection!S117</f>
        <v>0</v>
      </c>
      <c r="T117" s="58">
        <f>Input_RAB_SCS!T121-Calc_RAB_Connection!T117</f>
        <v>0</v>
      </c>
    </row>
    <row r="118" spans="1:20" ht="12.3" x14ac:dyDescent="0.35">
      <c r="D118" s="10" t="str">
        <f t="shared" si="77"/>
        <v>Plant and Equipment</v>
      </c>
      <c r="E118" s="45" t="str">
        <f t="shared" si="81"/>
        <v>Calculated</v>
      </c>
      <c r="F118" s="45" t="str">
        <f t="shared" si="78"/>
        <v>$Millions</v>
      </c>
      <c r="G118" s="45" t="str">
        <f t="shared" si="79"/>
        <v>Nominal</v>
      </c>
      <c r="H118" s="45" t="str">
        <f t="shared" si="80"/>
        <v>End year</v>
      </c>
      <c r="J118" s="58">
        <f>Input_RAB_SCS!J122-Calc_RAB_Connection!J118</f>
        <v>0.57286807798612494</v>
      </c>
      <c r="K118" s="56">
        <f>Input_RAB_SCS!K122-Calc_RAB_Connection!K118</f>
        <v>0.90202495983774067</v>
      </c>
      <c r="L118" s="57">
        <f>Input_RAB_SCS!L122-Calc_RAB_Connection!L118</f>
        <v>2.2574227449563868</v>
      </c>
      <c r="M118" s="57">
        <f>Input_RAB_SCS!M122-Calc_RAB_Connection!M118</f>
        <v>1.9673678099551608</v>
      </c>
      <c r="N118" s="57">
        <f>Input_RAB_SCS!N122-Calc_RAB_Connection!N118</f>
        <v>1.8313750379602822</v>
      </c>
      <c r="O118" s="58">
        <f>Input_RAB_SCS!O122-Calc_RAB_Connection!O118</f>
        <v>1.5944552087461976</v>
      </c>
      <c r="P118" s="56">
        <f>Input_RAB_SCS!P122-Calc_RAB_Connection!P118</f>
        <v>2.551775146300304</v>
      </c>
      <c r="Q118" s="57">
        <f>Input_RAB_SCS!Q122-Calc_RAB_Connection!Q118</f>
        <v>3.0170901156191636</v>
      </c>
      <c r="R118" s="57">
        <f>Input_RAB_SCS!R122-Calc_RAB_Connection!R118</f>
        <v>2.5210239506528698</v>
      </c>
      <c r="S118" s="57">
        <f>Input_RAB_SCS!S122-Calc_RAB_Connection!S118</f>
        <v>2.3110997182313975</v>
      </c>
      <c r="T118" s="58">
        <f>Input_RAB_SCS!T122-Calc_RAB_Connection!T118</f>
        <v>2.510813395716069</v>
      </c>
    </row>
    <row r="119" spans="1:20" ht="12.3" x14ac:dyDescent="0.35">
      <c r="D119" s="10" t="str">
        <f t="shared" si="77"/>
        <v>Property Leases</v>
      </c>
      <c r="E119" s="45" t="str">
        <f t="shared" si="81"/>
        <v>Calculated</v>
      </c>
      <c r="F119" s="45" t="str">
        <f t="shared" si="78"/>
        <v>$Millions</v>
      </c>
      <c r="G119" s="45" t="str">
        <f t="shared" si="79"/>
        <v>Nominal</v>
      </c>
      <c r="H119" s="45" t="str">
        <f t="shared" si="80"/>
        <v>End year</v>
      </c>
      <c r="J119" s="58">
        <f>Input_RAB_SCS!J123-Calc_RAB_Connection!J119</f>
        <v>0</v>
      </c>
      <c r="K119" s="56">
        <f>Input_RAB_SCS!K123-Calc_RAB_Connection!K119</f>
        <v>3.3387922007628603</v>
      </c>
      <c r="L119" s="57">
        <f>Input_RAB_SCS!L123-Calc_RAB_Connection!L119</f>
        <v>0.8308273490371203</v>
      </c>
      <c r="M119" s="57">
        <f>Input_RAB_SCS!M123-Calc_RAB_Connection!M119</f>
        <v>10.076464318337056</v>
      </c>
      <c r="N119" s="57">
        <f>Input_RAB_SCS!N123-Calc_RAB_Connection!N119</f>
        <v>0</v>
      </c>
      <c r="O119" s="58">
        <f>Input_RAB_SCS!O123-Calc_RAB_Connection!O119</f>
        <v>5.1606824236105275</v>
      </c>
      <c r="P119" s="56">
        <f>Input_RAB_SCS!P123-Calc_RAB_Connection!P119</f>
        <v>0</v>
      </c>
      <c r="Q119" s="57">
        <f>Input_RAB_SCS!Q123-Calc_RAB_Connection!Q119</f>
        <v>0</v>
      </c>
      <c r="R119" s="57">
        <f>Input_RAB_SCS!R123-Calc_RAB_Connection!R119</f>
        <v>8.3639746238497246</v>
      </c>
      <c r="S119" s="57">
        <f>Input_RAB_SCS!S123-Calc_RAB_Connection!S119</f>
        <v>0</v>
      </c>
      <c r="T119" s="58">
        <f>Input_RAB_SCS!T123-Calc_RAB_Connection!T119</f>
        <v>1.1605264558641684</v>
      </c>
    </row>
    <row r="120" spans="1:20" ht="12.3" x14ac:dyDescent="0.35">
      <c r="D120" s="10" t="str">
        <f t="shared" si="77"/>
        <v>Fleet Leases</v>
      </c>
      <c r="E120" s="45" t="str">
        <f t="shared" si="81"/>
        <v>Calculated</v>
      </c>
      <c r="F120" s="45" t="str">
        <f t="shared" si="78"/>
        <v>$Millions</v>
      </c>
      <c r="G120" s="45" t="str">
        <f t="shared" si="79"/>
        <v>Nominal</v>
      </c>
      <c r="H120" s="45" t="str">
        <f t="shared" si="80"/>
        <v>End year</v>
      </c>
      <c r="J120" s="58">
        <f>Input_RAB_SCS!J124-Calc_RAB_Connection!J120</f>
        <v>0</v>
      </c>
      <c r="K120" s="56">
        <f>Input_RAB_SCS!K124-Calc_RAB_Connection!K120</f>
        <v>14.579348294461219</v>
      </c>
      <c r="L120" s="57">
        <f>Input_RAB_SCS!L124-Calc_RAB_Connection!L120</f>
        <v>2.4831995735196766</v>
      </c>
      <c r="M120" s="57">
        <f>Input_RAB_SCS!M124-Calc_RAB_Connection!M120</f>
        <v>2.8215684750968215</v>
      </c>
      <c r="N120" s="57">
        <f>Input_RAB_SCS!N124-Calc_RAB_Connection!N120</f>
        <v>3.6254904403992398</v>
      </c>
      <c r="O120" s="58">
        <f>Input_RAB_SCS!O124-Calc_RAB_Connection!O120</f>
        <v>2.2837458912555459</v>
      </c>
      <c r="P120" s="56">
        <f>Input_RAB_SCS!P124-Calc_RAB_Connection!P120</f>
        <v>2.3223542678958244</v>
      </c>
      <c r="Q120" s="57">
        <f>Input_RAB_SCS!Q124-Calc_RAB_Connection!Q120</f>
        <v>4.9234287912892496</v>
      </c>
      <c r="R120" s="57">
        <f>Input_RAB_SCS!R124-Calc_RAB_Connection!R120</f>
        <v>5.0788963438551029</v>
      </c>
      <c r="S120" s="57">
        <f>Input_RAB_SCS!S124-Calc_RAB_Connection!S120</f>
        <v>4.7386477254706305</v>
      </c>
      <c r="T120" s="58">
        <f>Input_RAB_SCS!T124-Calc_RAB_Connection!T120</f>
        <v>3.8108171408267602</v>
      </c>
    </row>
    <row r="121" spans="1:20" ht="12.3" x14ac:dyDescent="0.35">
      <c r="D121" s="10" t="str">
        <f t="shared" si="77"/>
        <v>Community Batteries</v>
      </c>
      <c r="E121" s="45" t="str">
        <f t="shared" si="81"/>
        <v>Calculated</v>
      </c>
      <c r="F121" s="45" t="str">
        <f t="shared" si="78"/>
        <v>$Millions</v>
      </c>
      <c r="G121" s="45" t="str">
        <f t="shared" si="79"/>
        <v>Nominal</v>
      </c>
      <c r="H121" s="45" t="str">
        <f t="shared" si="80"/>
        <v>End year</v>
      </c>
      <c r="J121" s="58">
        <f>Input_RAB_SCS!J125-Calc_RAB_Connection!J121</f>
        <v>0</v>
      </c>
      <c r="K121" s="56">
        <f>Input_RAB_SCS!K125-Calc_RAB_Connection!K121</f>
        <v>0</v>
      </c>
      <c r="L121" s="57">
        <f>Input_RAB_SCS!L125-Calc_RAB_Connection!L121</f>
        <v>0</v>
      </c>
      <c r="M121" s="57">
        <f>Input_RAB_SCS!M125-Calc_RAB_Connection!M121</f>
        <v>0</v>
      </c>
      <c r="N121" s="57">
        <f>Input_RAB_SCS!N125-Calc_RAB_Connection!N121</f>
        <v>0</v>
      </c>
      <c r="O121" s="58">
        <f>Input_RAB_SCS!O125-Calc_RAB_Connection!O121</f>
        <v>0</v>
      </c>
      <c r="P121" s="56">
        <f>Input_RAB_SCS!P125-Calc_RAB_Connection!P121</f>
        <v>0</v>
      </c>
      <c r="Q121" s="57">
        <f>Input_RAB_SCS!Q125-Calc_RAB_Connection!Q121</f>
        <v>0</v>
      </c>
      <c r="R121" s="57">
        <f>Input_RAB_SCS!R125-Calc_RAB_Connection!R121</f>
        <v>0</v>
      </c>
      <c r="S121" s="57">
        <f>Input_RAB_SCS!S125-Calc_RAB_Connection!S121</f>
        <v>0</v>
      </c>
      <c r="T121" s="58">
        <f>Input_RAB_SCS!T125-Calc_RAB_Connection!T121</f>
        <v>0</v>
      </c>
    </row>
    <row r="122" spans="1:20" ht="12.3" x14ac:dyDescent="0.35">
      <c r="D122" s="10" t="str">
        <f>D35</f>
        <v>Buildings</v>
      </c>
      <c r="E122" s="45" t="str">
        <f>E120</f>
        <v>Calculated</v>
      </c>
      <c r="F122" s="45" t="str">
        <f t="shared" si="78"/>
        <v>$Millions</v>
      </c>
      <c r="G122" s="45" t="str">
        <f t="shared" si="79"/>
        <v>Nominal</v>
      </c>
      <c r="H122" s="45" t="str">
        <f t="shared" si="80"/>
        <v>End year</v>
      </c>
      <c r="J122" s="58">
        <f>Input_RAB_SCS!J126-Calc_RAB_Connection!J122</f>
        <v>0</v>
      </c>
      <c r="K122" s="56">
        <f>Input_RAB_SCS!K126-Calc_RAB_Connection!K122</f>
        <v>0.1639301154679205</v>
      </c>
      <c r="L122" s="57">
        <f>Input_RAB_SCS!L126-Calc_RAB_Connection!L122</f>
        <v>0.70291329121742696</v>
      </c>
      <c r="M122" s="57">
        <f>Input_RAB_SCS!M126-Calc_RAB_Connection!M122</f>
        <v>2.2740860860935377</v>
      </c>
      <c r="N122" s="57">
        <f>Input_RAB_SCS!N126-Calc_RAB_Connection!N122</f>
        <v>0</v>
      </c>
      <c r="O122" s="58">
        <f>Input_RAB_SCS!O126-Calc_RAB_Connection!O122</f>
        <v>0</v>
      </c>
      <c r="P122" s="56">
        <f>Input_RAB_SCS!P126-Calc_RAB_Connection!P122</f>
        <v>0</v>
      </c>
      <c r="Q122" s="57">
        <f>Input_RAB_SCS!Q126-Calc_RAB_Connection!Q122</f>
        <v>0</v>
      </c>
      <c r="R122" s="57">
        <f>Input_RAB_SCS!R126-Calc_RAB_Connection!R122</f>
        <v>0</v>
      </c>
      <c r="S122" s="57">
        <f>Input_RAB_SCS!S126-Calc_RAB_Connection!S122</f>
        <v>0</v>
      </c>
      <c r="T122" s="58">
        <f>Input_RAB_SCS!T126-Calc_RAB_Connection!T122</f>
        <v>0</v>
      </c>
    </row>
    <row r="123" spans="1:20" ht="12.3" x14ac:dyDescent="0.35">
      <c r="D123" s="10" t="str">
        <f>D36</f>
        <v>in-house software</v>
      </c>
      <c r="E123" s="45" t="str">
        <f t="shared" si="81"/>
        <v>Calculated</v>
      </c>
      <c r="F123" s="45" t="str">
        <f t="shared" si="78"/>
        <v>$Millions</v>
      </c>
      <c r="G123" s="45" t="str">
        <f t="shared" si="79"/>
        <v>Nominal</v>
      </c>
      <c r="H123" s="45" t="str">
        <f t="shared" si="80"/>
        <v>End year</v>
      </c>
      <c r="J123" s="58">
        <f>Input_RAB_SCS!J127-Calc_RAB_Connection!J123</f>
        <v>0</v>
      </c>
      <c r="K123" s="56">
        <f>Input_RAB_SCS!K127-Calc_RAB_Connection!K123</f>
        <v>0</v>
      </c>
      <c r="L123" s="57">
        <f>Input_RAB_SCS!L127-Calc_RAB_Connection!L123</f>
        <v>0</v>
      </c>
      <c r="M123" s="57">
        <f>Input_RAB_SCS!M127-Calc_RAB_Connection!M123</f>
        <v>0</v>
      </c>
      <c r="N123" s="57">
        <f>Input_RAB_SCS!N127-Calc_RAB_Connection!N123</f>
        <v>0</v>
      </c>
      <c r="O123" s="58">
        <f>Input_RAB_SCS!O127-Calc_RAB_Connection!O123</f>
        <v>0</v>
      </c>
      <c r="P123" s="56">
        <f>Input_RAB_SCS!P127-Calc_RAB_Connection!P123</f>
        <v>0</v>
      </c>
      <c r="Q123" s="57">
        <f>Input_RAB_SCS!Q127-Calc_RAB_Connection!Q123</f>
        <v>0</v>
      </c>
      <c r="R123" s="57">
        <f>Input_RAB_SCS!R127-Calc_RAB_Connection!R123</f>
        <v>0</v>
      </c>
      <c r="S123" s="57">
        <f>Input_RAB_SCS!S127-Calc_RAB_Connection!S123</f>
        <v>0</v>
      </c>
      <c r="T123" s="58">
        <f>Input_RAB_SCS!T127-Calc_RAB_Connection!T123</f>
        <v>0</v>
      </c>
    </row>
    <row r="124" spans="1:20" ht="12.3" x14ac:dyDescent="0.35">
      <c r="D124" s="10" t="str">
        <f t="shared" ref="D124" si="82">D37</f>
        <v>Equity Raising Costs</v>
      </c>
      <c r="E124" s="45" t="str">
        <f>E118</f>
        <v>Calculated</v>
      </c>
      <c r="F124" s="45" t="str">
        <f t="shared" si="78"/>
        <v>$Millions</v>
      </c>
      <c r="G124" s="45" t="str">
        <f t="shared" si="79"/>
        <v>Nominal</v>
      </c>
      <c r="H124" s="45" t="str">
        <f t="shared" si="80"/>
        <v>End year</v>
      </c>
      <c r="J124" s="58">
        <f>Input_RAB_SCS!J128-Calc_RAB_Connection!J124</f>
        <v>0</v>
      </c>
      <c r="K124" s="56">
        <f>Input_RAB_SCS!K128-Calc_RAB_Connection!K124</f>
        <v>0</v>
      </c>
      <c r="L124" s="57">
        <f>Input_RAB_SCS!L128-Calc_RAB_Connection!L124</f>
        <v>0</v>
      </c>
      <c r="M124" s="57">
        <f>Input_RAB_SCS!M128-Calc_RAB_Connection!M124</f>
        <v>0</v>
      </c>
      <c r="N124" s="57">
        <f>Input_RAB_SCS!N128-Calc_RAB_Connection!N124</f>
        <v>0</v>
      </c>
      <c r="O124" s="58">
        <f>Input_RAB_SCS!O128-Calc_RAB_Connection!O124</f>
        <v>0</v>
      </c>
      <c r="P124" s="56">
        <f>Input_RAB_SCS!P128-Calc_RAB_Connection!P124</f>
        <v>0</v>
      </c>
      <c r="Q124" s="57">
        <f>Input_RAB_SCS!Q128-Calc_RAB_Connection!Q124</f>
        <v>0</v>
      </c>
      <c r="R124" s="57">
        <f>Input_RAB_SCS!R128-Calc_RAB_Connection!R124</f>
        <v>0</v>
      </c>
      <c r="S124" s="57">
        <f>Input_RAB_SCS!S128-Calc_RAB_Connection!S124</f>
        <v>0</v>
      </c>
      <c r="T124" s="58">
        <f>Input_RAB_SCS!T128-Calc_RAB_Connection!T124</f>
        <v>0</v>
      </c>
    </row>
    <row r="125" spans="1:20" x14ac:dyDescent="0.35">
      <c r="J125" s="49"/>
      <c r="K125" s="48"/>
      <c r="O125" s="49"/>
      <c r="P125" s="48"/>
      <c r="T125" s="49"/>
    </row>
    <row r="126" spans="1:20" ht="12.3" x14ac:dyDescent="0.35">
      <c r="D126" s="44" t="str">
        <f>"Total "&amp;D103</f>
        <v>Total RAB asset class</v>
      </c>
      <c r="E126" s="40" t="s">
        <v>91</v>
      </c>
      <c r="F126" s="40" t="str">
        <f>F105</f>
        <v>$Millions</v>
      </c>
      <c r="G126" s="40" t="str">
        <f>G105</f>
        <v>Nominal</v>
      </c>
      <c r="H126" s="40" t="str">
        <f>H105</f>
        <v>End year</v>
      </c>
      <c r="J126" s="54">
        <f t="shared" ref="J126:T126" si="83">SUM(J105:J124)</f>
        <v>39.00889945076252</v>
      </c>
      <c r="K126" s="53">
        <f t="shared" si="83"/>
        <v>62.853118792620229</v>
      </c>
      <c r="L126" s="39">
        <f t="shared" si="83"/>
        <v>40.848035380099581</v>
      </c>
      <c r="M126" s="39">
        <f t="shared" si="83"/>
        <v>66.968133714277442</v>
      </c>
      <c r="N126" s="39">
        <f t="shared" si="83"/>
        <v>88.175340866594922</v>
      </c>
      <c r="O126" s="54">
        <f t="shared" si="83"/>
        <v>105.68445001920223</v>
      </c>
      <c r="P126" s="53">
        <f t="shared" si="83"/>
        <v>103.68215500631371</v>
      </c>
      <c r="Q126" s="39">
        <f t="shared" si="83"/>
        <v>108.41791456217935</v>
      </c>
      <c r="R126" s="39">
        <f t="shared" si="83"/>
        <v>98.86523892715104</v>
      </c>
      <c r="S126" s="39">
        <f t="shared" si="83"/>
        <v>135.84065671143932</v>
      </c>
      <c r="T126" s="54">
        <f t="shared" si="83"/>
        <v>169.86208085514781</v>
      </c>
    </row>
    <row r="127" spans="1:20" ht="11.25" customHeight="1" x14ac:dyDescent="0.35"/>
    <row r="128" spans="1:20" ht="11.25" customHeight="1" x14ac:dyDescent="0.35">
      <c r="A128" s="42">
        <f>IF(SUM($J128:$T128)&lt;&gt;0,1,0)</f>
        <v>0</v>
      </c>
      <c r="D128" s="10" t="s">
        <v>94</v>
      </c>
      <c r="J128" s="42">
        <f t="shared" ref="J128:K128" si="84">IF(ISERROR(J126),1,0)</f>
        <v>0</v>
      </c>
      <c r="K128" s="42">
        <f t="shared" si="84"/>
        <v>0</v>
      </c>
      <c r="L128" s="42">
        <f>IF(ISERROR(L126),1,0)</f>
        <v>0</v>
      </c>
      <c r="M128" s="42">
        <f t="shared" ref="M128:P128" si="85">IF(ISERROR(M126),1,0)</f>
        <v>0</v>
      </c>
      <c r="N128" s="42">
        <f t="shared" si="85"/>
        <v>0</v>
      </c>
      <c r="O128" s="42">
        <f t="shared" si="85"/>
        <v>0</v>
      </c>
      <c r="P128" s="42">
        <f t="shared" si="85"/>
        <v>0</v>
      </c>
      <c r="Q128" s="42">
        <f>IF(ISERROR(Q126),1,0)</f>
        <v>0</v>
      </c>
      <c r="R128" s="42">
        <f t="shared" ref="R128:T128" si="86">IF(ISERROR(R126),1,0)</f>
        <v>0</v>
      </c>
      <c r="S128" s="42">
        <f t="shared" si="86"/>
        <v>0</v>
      </c>
      <c r="T128" s="42">
        <f t="shared" si="86"/>
        <v>0</v>
      </c>
    </row>
    <row r="130" spans="3:20" s="8" customFormat="1" ht="14.1" x14ac:dyDescent="0.35">
      <c r="C130" s="8" t="s">
        <v>126</v>
      </c>
    </row>
    <row r="131" spans="3:20" ht="11.25" customHeight="1" x14ac:dyDescent="0.35"/>
    <row r="132" spans="3:20" ht="12.3" x14ac:dyDescent="0.35">
      <c r="D132" s="43" t="str">
        <f>D$16</f>
        <v>RAB asset class</v>
      </c>
      <c r="E132" s="38" t="str">
        <f>Lookup!E$20</f>
        <v>Source</v>
      </c>
      <c r="F132" s="38" t="str">
        <f>Lookup!F$20</f>
        <v>Unit</v>
      </c>
      <c r="G132" s="38" t="str">
        <f>Lookup!G$20</f>
        <v>Basis</v>
      </c>
      <c r="H132" s="38" t="str">
        <f>Lookup!H$20</f>
        <v>Timing</v>
      </c>
      <c r="J132" s="47" t="str">
        <f t="shared" ref="J132:T132" si="87">J$10</f>
        <v>RY19</v>
      </c>
      <c r="K132" s="46" t="str">
        <f t="shared" si="87"/>
        <v>RY20</v>
      </c>
      <c r="L132" s="38" t="str">
        <f>L$10</f>
        <v>RY21</v>
      </c>
      <c r="M132" s="38" t="str">
        <f t="shared" si="87"/>
        <v>RY22</v>
      </c>
      <c r="N132" s="38" t="str">
        <f t="shared" si="87"/>
        <v>RY23</v>
      </c>
      <c r="O132" s="47" t="str">
        <f t="shared" si="87"/>
        <v>RY24</v>
      </c>
      <c r="P132" s="46" t="str">
        <f t="shared" si="87"/>
        <v>RY25</v>
      </c>
      <c r="Q132" s="38" t="str">
        <f>Q$10</f>
        <v>RY26</v>
      </c>
      <c r="R132" s="38" t="str">
        <f t="shared" si="87"/>
        <v>RY27</v>
      </c>
      <c r="S132" s="38" t="str">
        <f t="shared" si="87"/>
        <v>RY28</v>
      </c>
      <c r="T132" s="47" t="str">
        <f t="shared" si="87"/>
        <v>RY29</v>
      </c>
    </row>
    <row r="133" spans="3:20" x14ac:dyDescent="0.35">
      <c r="J133" s="49"/>
      <c r="K133" s="48"/>
      <c r="O133" s="49"/>
      <c r="P133" s="48"/>
      <c r="T133" s="49"/>
    </row>
    <row r="134" spans="3:20" ht="12.3" x14ac:dyDescent="0.35">
      <c r="D134" s="10" t="str">
        <f t="shared" ref="D134:D150" si="88">D18</f>
        <v>Substations</v>
      </c>
      <c r="E134" s="45" t="str">
        <f>$E$18</f>
        <v>Calculated</v>
      </c>
      <c r="F134" s="45" t="str">
        <f t="shared" ref="F134:F153" si="89">Millions</f>
        <v>$Millions</v>
      </c>
      <c r="G134" s="45" t="str">
        <f t="shared" ref="G134:G153" si="90">Nominal</f>
        <v>Nominal</v>
      </c>
      <c r="H134" s="45" t="str">
        <f t="shared" ref="H134:H153" si="91">End_year</f>
        <v>End year</v>
      </c>
      <c r="J134" s="58">
        <f>Input_RAB_SCS!J140-Calc_RAB_Connection!J134</f>
        <v>-2.9543411839054325E-2</v>
      </c>
      <c r="K134" s="56">
        <f>Input_RAB_SCS!K140-Calc_RAB_Connection!K134</f>
        <v>-1.5862025241209592E-2</v>
      </c>
      <c r="L134" s="57">
        <f>Input_RAB_SCS!L140-Calc_RAB_Connection!L134</f>
        <v>-2.9126290932327339E-2</v>
      </c>
      <c r="M134" s="57">
        <f>Input_RAB_SCS!M140-Calc_RAB_Connection!M134</f>
        <v>-4.7129858513230871E-2</v>
      </c>
      <c r="N134" s="57">
        <f>Input_RAB_SCS!N140-Calc_RAB_Connection!N134</f>
        <v>-4.2499138516089968E-2</v>
      </c>
      <c r="O134" s="58">
        <f>Input_RAB_SCS!O140-Calc_RAB_Connection!O134</f>
        <v>-4.391974784638733E-2</v>
      </c>
      <c r="P134" s="56">
        <f>Input_RAB_SCS!P140-Calc_RAB_Connection!P134</f>
        <v>-4.3725565147307195E-2</v>
      </c>
      <c r="Q134" s="57">
        <f>Input_RAB_SCS!Q140-Calc_RAB_Connection!Q134</f>
        <v>-4.3759164163666577E-2</v>
      </c>
      <c r="R134" s="57">
        <f>Input_RAB_SCS!R140-Calc_RAB_Connection!R134</f>
        <v>-4.379273740192588E-2</v>
      </c>
      <c r="S134" s="57">
        <f>Input_RAB_SCS!S140-Calc_RAB_Connection!S134</f>
        <v>-4.3826284921327223E-2</v>
      </c>
      <c r="T134" s="58">
        <f>Input_RAB_SCS!T140-Calc_RAB_Connection!T134</f>
        <v>-4.3859806780886183E-2</v>
      </c>
    </row>
    <row r="135" spans="3:20" ht="12.3" x14ac:dyDescent="0.35">
      <c r="D135" s="10" t="str">
        <f t="shared" si="88"/>
        <v>Distribution Lines</v>
      </c>
      <c r="E135" s="45" t="str">
        <f t="shared" ref="E135:E152" si="92">E134</f>
        <v>Calculated</v>
      </c>
      <c r="F135" s="45" t="str">
        <f t="shared" si="89"/>
        <v>$Millions</v>
      </c>
      <c r="G135" s="45" t="str">
        <f t="shared" si="90"/>
        <v>Nominal</v>
      </c>
      <c r="H135" s="45" t="str">
        <f t="shared" si="91"/>
        <v>End year</v>
      </c>
      <c r="J135" s="58">
        <f>Input_RAB_SCS!J141-Calc_RAB_Connection!J135</f>
        <v>-4.4608805408420035E-2</v>
      </c>
      <c r="K135" s="56">
        <f>Input_RAB_SCS!K141-Calc_RAB_Connection!K135</f>
        <v>-3.380316848005839E-2</v>
      </c>
      <c r="L135" s="57">
        <f>Input_RAB_SCS!L141-Calc_RAB_Connection!L135</f>
        <v>-8.0370837987285865E-2</v>
      </c>
      <c r="M135" s="57">
        <f>Input_RAB_SCS!M141-Calc_RAB_Connection!M135</f>
        <v>-8.592284693631419E-2</v>
      </c>
      <c r="N135" s="57">
        <f>Input_RAB_SCS!N141-Calc_RAB_Connection!N135</f>
        <v>-8.5460917848507498E-2</v>
      </c>
      <c r="O135" s="58">
        <f>Input_RAB_SCS!O141-Calc_RAB_Connection!O135</f>
        <v>-8.8317601101637513E-2</v>
      </c>
      <c r="P135" s="56">
        <f>Input_RAB_SCS!P141-Calc_RAB_Connection!P135</f>
        <v>-8.7927121852572121E-2</v>
      </c>
      <c r="Q135" s="57">
        <f>Input_RAB_SCS!Q141-Calc_RAB_Connection!Q135</f>
        <v>-8.7994685640383791E-2</v>
      </c>
      <c r="R135" s="57">
        <f>Input_RAB_SCS!R141-Calc_RAB_Connection!R135</f>
        <v>-8.8062197591377817E-2</v>
      </c>
      <c r="S135" s="57">
        <f>Input_RAB_SCS!S141-Calc_RAB_Connection!S135</f>
        <v>-8.8129657824683336E-2</v>
      </c>
      <c r="T135" s="58">
        <f>Input_RAB_SCS!T141-Calc_RAB_Connection!T135</f>
        <v>-8.8197066458973961E-2</v>
      </c>
    </row>
    <row r="136" spans="3:20" ht="12.3" x14ac:dyDescent="0.35">
      <c r="D136" s="10" t="str">
        <f t="shared" si="88"/>
        <v>Transmission Lines</v>
      </c>
      <c r="E136" s="45" t="str">
        <f t="shared" si="92"/>
        <v>Calculated</v>
      </c>
      <c r="F136" s="45" t="str">
        <f t="shared" si="89"/>
        <v>$Millions</v>
      </c>
      <c r="G136" s="45" t="str">
        <f t="shared" si="90"/>
        <v>Nominal</v>
      </c>
      <c r="H136" s="45" t="str">
        <f t="shared" si="91"/>
        <v>End year</v>
      </c>
      <c r="J136" s="58">
        <f>Input_RAB_SCS!J142-Calc_RAB_Connection!J136</f>
        <v>0</v>
      </c>
      <c r="K136" s="56">
        <f>Input_RAB_SCS!K142-Calc_RAB_Connection!K136</f>
        <v>-5.2873451509715405E-3</v>
      </c>
      <c r="L136" s="57">
        <f>Input_RAB_SCS!L142-Calc_RAB_Connection!L136</f>
        <v>-9.7087602577059645E-3</v>
      </c>
      <c r="M136" s="57">
        <f>Input_RAB_SCS!M142-Calc_RAB_Connection!M136</f>
        <v>-1.5709956266510044E-2</v>
      </c>
      <c r="N136" s="57">
        <f>Input_RAB_SCS!N142-Calc_RAB_Connection!N136</f>
        <v>-1.2010416281185366E-2</v>
      </c>
      <c r="O136" s="58">
        <f>Input_RAB_SCS!O142-Calc_RAB_Connection!O136</f>
        <v>-1.2411885817405439E-2</v>
      </c>
      <c r="P136" s="56">
        <f>Input_RAB_SCS!P142-Calc_RAB_Connection!P136</f>
        <v>-1.2357009056793608E-2</v>
      </c>
      <c r="Q136" s="57">
        <f>Input_RAB_SCS!Q142-Calc_RAB_Connection!Q136</f>
        <v>-1.236650426510146E-2</v>
      </c>
      <c r="R136" s="57">
        <f>Input_RAB_SCS!R142-Calc_RAB_Connection!R136</f>
        <v>-1.237599218842134E-2</v>
      </c>
      <c r="S136" s="57">
        <f>Input_RAB_SCS!S142-Calc_RAB_Connection!S136</f>
        <v>-1.2385472843495294E-2</v>
      </c>
      <c r="T136" s="58">
        <f>Input_RAB_SCS!T142-Calc_RAB_Connection!T136</f>
        <v>-1.2394946247001347E-2</v>
      </c>
    </row>
    <row r="137" spans="3:20" ht="12.3" x14ac:dyDescent="0.35">
      <c r="D137" s="10" t="str">
        <f t="shared" si="88"/>
        <v>LV Services</v>
      </c>
      <c r="E137" s="45" t="str">
        <f t="shared" si="92"/>
        <v>Calculated</v>
      </c>
      <c r="F137" s="45" t="str">
        <f t="shared" si="89"/>
        <v>$Millions</v>
      </c>
      <c r="G137" s="45" t="str">
        <f t="shared" si="90"/>
        <v>Nominal</v>
      </c>
      <c r="H137" s="45" t="str">
        <f t="shared" si="91"/>
        <v>End year</v>
      </c>
      <c r="J137" s="58">
        <f>Input_RAB_SCS!J143-Calc_RAB_Connection!J137</f>
        <v>0</v>
      </c>
      <c r="K137" s="56">
        <f>Input_RAB_SCS!K143-Calc_RAB_Connection!K137</f>
        <v>0</v>
      </c>
      <c r="L137" s="57">
        <f>Input_RAB_SCS!L143-Calc_RAB_Connection!L137</f>
        <v>0</v>
      </c>
      <c r="M137" s="57">
        <f>Input_RAB_SCS!M143-Calc_RAB_Connection!M137</f>
        <v>0</v>
      </c>
      <c r="N137" s="57">
        <f>Input_RAB_SCS!N143-Calc_RAB_Connection!N137</f>
        <v>0</v>
      </c>
      <c r="O137" s="58">
        <f>Input_RAB_SCS!O143-Calc_RAB_Connection!O137</f>
        <v>0</v>
      </c>
      <c r="P137" s="56">
        <f>Input_RAB_SCS!P143-Calc_RAB_Connection!P137</f>
        <v>0</v>
      </c>
      <c r="Q137" s="57">
        <f>Input_RAB_SCS!Q143-Calc_RAB_Connection!Q137</f>
        <v>0</v>
      </c>
      <c r="R137" s="57">
        <f>Input_RAB_SCS!R143-Calc_RAB_Connection!R137</f>
        <v>0</v>
      </c>
      <c r="S137" s="57">
        <f>Input_RAB_SCS!S143-Calc_RAB_Connection!S137</f>
        <v>0</v>
      </c>
      <c r="T137" s="58">
        <f>Input_RAB_SCS!T143-Calc_RAB_Connection!T137</f>
        <v>0</v>
      </c>
    </row>
    <row r="138" spans="3:20" ht="12.3" x14ac:dyDescent="0.35">
      <c r="D138" s="10" t="str">
        <f t="shared" si="88"/>
        <v>Distribution Substations</v>
      </c>
      <c r="E138" s="45" t="str">
        <f t="shared" si="92"/>
        <v>Calculated</v>
      </c>
      <c r="F138" s="45" t="str">
        <f t="shared" si="89"/>
        <v>$Millions</v>
      </c>
      <c r="G138" s="45" t="str">
        <f t="shared" si="90"/>
        <v>Nominal</v>
      </c>
      <c r="H138" s="45" t="str">
        <f t="shared" si="91"/>
        <v>End year</v>
      </c>
      <c r="J138" s="58">
        <f>Input_RAB_SCS!J144-Calc_RAB_Connection!J138</f>
        <v>-2.0304865505321887E-2</v>
      </c>
      <c r="K138" s="56">
        <f>Input_RAB_SCS!K144-Calc_RAB_Connection!K138</f>
        <v>-3.5033463973696791E-2</v>
      </c>
      <c r="L138" s="57">
        <f>Input_RAB_SCS!L144-Calc_RAB_Connection!L138</f>
        <v>-5.1527445430013001E-3</v>
      </c>
      <c r="M138" s="57">
        <f>Input_RAB_SCS!M144-Calc_RAB_Connection!M138</f>
        <v>0</v>
      </c>
      <c r="N138" s="57">
        <f>Input_RAB_SCS!N144-Calc_RAB_Connection!N138</f>
        <v>-1.4974818224706948E-2</v>
      </c>
      <c r="O138" s="58">
        <f>Input_RAB_SCS!O144-Calc_RAB_Connection!O138</f>
        <v>-1.5475378170915544E-2</v>
      </c>
      <c r="P138" s="56">
        <f>Input_RAB_SCS!P144-Calc_RAB_Connection!P138</f>
        <v>-1.5406956769385086E-2</v>
      </c>
      <c r="Q138" s="57">
        <f>Input_RAB_SCS!Q144-Calc_RAB_Connection!Q138</f>
        <v>-1.5418795577889877E-2</v>
      </c>
      <c r="R138" s="57">
        <f>Input_RAB_SCS!R144-Calc_RAB_Connection!R138</f>
        <v>-1.5430625303331431E-2</v>
      </c>
      <c r="S138" s="57">
        <f>Input_RAB_SCS!S144-Calc_RAB_Connection!S138</f>
        <v>-1.5442445966584046E-2</v>
      </c>
      <c r="T138" s="58">
        <f>Input_RAB_SCS!T144-Calc_RAB_Connection!T138</f>
        <v>-1.5454257588442204E-2</v>
      </c>
    </row>
    <row r="139" spans="3:20" ht="12.3" x14ac:dyDescent="0.35">
      <c r="D139" s="10" t="str">
        <f t="shared" si="88"/>
        <v>Distribution Switchgear</v>
      </c>
      <c r="E139" s="45" t="str">
        <f t="shared" si="92"/>
        <v>Calculated</v>
      </c>
      <c r="F139" s="45" t="str">
        <f t="shared" si="89"/>
        <v>$Millions</v>
      </c>
      <c r="G139" s="45" t="str">
        <f t="shared" si="90"/>
        <v>Nominal</v>
      </c>
      <c r="H139" s="45" t="str">
        <f t="shared" si="91"/>
        <v>End year</v>
      </c>
      <c r="J139" s="58">
        <f>Input_RAB_SCS!J145-Calc_RAB_Connection!J139</f>
        <v>-3.0420445304144704E-3</v>
      </c>
      <c r="K139" s="56">
        <f>Input_RAB_SCS!K145-Calc_RAB_Connection!K139</f>
        <v>0</v>
      </c>
      <c r="L139" s="57">
        <f>Input_RAB_SCS!L145-Calc_RAB_Connection!L139</f>
        <v>0</v>
      </c>
      <c r="M139" s="57">
        <f>Input_RAB_SCS!M145-Calc_RAB_Connection!M139</f>
        <v>0</v>
      </c>
      <c r="N139" s="57">
        <f>Input_RAB_SCS!N145-Calc_RAB_Connection!N139</f>
        <v>-8.5846458680930359E-4</v>
      </c>
      <c r="O139" s="58">
        <f>Input_RAB_SCS!O145-Calc_RAB_Connection!O139</f>
        <v>-8.8716029322437502E-4</v>
      </c>
      <c r="P139" s="56">
        <f>Input_RAB_SCS!P145-Calc_RAB_Connection!P139</f>
        <v>-8.8323788499795333E-4</v>
      </c>
      <c r="Q139" s="57">
        <f>Input_RAB_SCS!Q145-Calc_RAB_Connection!Q139</f>
        <v>-8.8391657088908579E-4</v>
      </c>
      <c r="R139" s="57">
        <f>Input_RAB_SCS!R145-Calc_RAB_Connection!R139</f>
        <v>-8.8459473607352152E-4</v>
      </c>
      <c r="S139" s="57">
        <f>Input_RAB_SCS!S145-Calc_RAB_Connection!S139</f>
        <v>-8.8527238174792601E-4</v>
      </c>
      <c r="T139" s="58">
        <f>Input_RAB_SCS!T145-Calc_RAB_Connection!T139</f>
        <v>-8.8594950910438931E-4</v>
      </c>
    </row>
    <row r="140" spans="3:20" ht="12.3" x14ac:dyDescent="0.35">
      <c r="D140" s="10" t="str">
        <f t="shared" si="88"/>
        <v>Protection</v>
      </c>
      <c r="E140" s="45" t="str">
        <f t="shared" si="92"/>
        <v>Calculated</v>
      </c>
      <c r="F140" s="45" t="str">
        <f t="shared" si="89"/>
        <v>$Millions</v>
      </c>
      <c r="G140" s="45" t="str">
        <f t="shared" si="90"/>
        <v>Nominal</v>
      </c>
      <c r="H140" s="45" t="str">
        <f t="shared" si="91"/>
        <v>End year</v>
      </c>
      <c r="J140" s="58">
        <f>Input_RAB_SCS!J146-Calc_RAB_Connection!J140</f>
        <v>0</v>
      </c>
      <c r="K140" s="56">
        <f>Input_RAB_SCS!K146-Calc_RAB_Connection!K140</f>
        <v>0</v>
      </c>
      <c r="L140" s="57">
        <f>Input_RAB_SCS!L146-Calc_RAB_Connection!L140</f>
        <v>0</v>
      </c>
      <c r="M140" s="57">
        <f>Input_RAB_SCS!M146-Calc_RAB_Connection!M140</f>
        <v>0</v>
      </c>
      <c r="N140" s="57">
        <f>Input_RAB_SCS!N146-Calc_RAB_Connection!N140</f>
        <v>0</v>
      </c>
      <c r="O140" s="58">
        <f>Input_RAB_SCS!O146-Calc_RAB_Connection!O140</f>
        <v>0</v>
      </c>
      <c r="P140" s="56">
        <f>Input_RAB_SCS!P146-Calc_RAB_Connection!P140</f>
        <v>0</v>
      </c>
      <c r="Q140" s="57">
        <f>Input_RAB_SCS!Q146-Calc_RAB_Connection!Q140</f>
        <v>0</v>
      </c>
      <c r="R140" s="57">
        <f>Input_RAB_SCS!R146-Calc_RAB_Connection!R140</f>
        <v>0</v>
      </c>
      <c r="S140" s="57">
        <f>Input_RAB_SCS!S146-Calc_RAB_Connection!S140</f>
        <v>0</v>
      </c>
      <c r="T140" s="58">
        <f>Input_RAB_SCS!T146-Calc_RAB_Connection!T140</f>
        <v>0</v>
      </c>
    </row>
    <row r="141" spans="3:20" ht="12.3" x14ac:dyDescent="0.35">
      <c r="D141" s="10" t="str">
        <f t="shared" si="88"/>
        <v>SCADA</v>
      </c>
      <c r="E141" s="45" t="str">
        <f t="shared" si="92"/>
        <v>Calculated</v>
      </c>
      <c r="F141" s="45" t="str">
        <f t="shared" si="89"/>
        <v>$Millions</v>
      </c>
      <c r="G141" s="45" t="str">
        <f t="shared" si="90"/>
        <v>Nominal</v>
      </c>
      <c r="H141" s="45" t="str">
        <f t="shared" si="91"/>
        <v>End year</v>
      </c>
      <c r="J141" s="58">
        <f>Input_RAB_SCS!J147-Calc_RAB_Connection!J141</f>
        <v>0</v>
      </c>
      <c r="K141" s="56">
        <f>Input_RAB_SCS!K147-Calc_RAB_Connection!K141</f>
        <v>0</v>
      </c>
      <c r="L141" s="57">
        <f>Input_RAB_SCS!L147-Calc_RAB_Connection!L141</f>
        <v>0</v>
      </c>
      <c r="M141" s="57">
        <f>Input_RAB_SCS!M147-Calc_RAB_Connection!M141</f>
        <v>0</v>
      </c>
      <c r="N141" s="57">
        <f>Input_RAB_SCS!N147-Calc_RAB_Connection!N141</f>
        <v>0</v>
      </c>
      <c r="O141" s="58">
        <f>Input_RAB_SCS!O147-Calc_RAB_Connection!O141</f>
        <v>0</v>
      </c>
      <c r="P141" s="56">
        <f>Input_RAB_SCS!P147-Calc_RAB_Connection!P141</f>
        <v>0</v>
      </c>
      <c r="Q141" s="57">
        <f>Input_RAB_SCS!Q147-Calc_RAB_Connection!Q141</f>
        <v>0</v>
      </c>
      <c r="R141" s="57">
        <f>Input_RAB_SCS!R147-Calc_RAB_Connection!R141</f>
        <v>0</v>
      </c>
      <c r="S141" s="57">
        <f>Input_RAB_SCS!S147-Calc_RAB_Connection!S141</f>
        <v>0</v>
      </c>
      <c r="T141" s="58">
        <f>Input_RAB_SCS!T147-Calc_RAB_Connection!T141</f>
        <v>0</v>
      </c>
    </row>
    <row r="142" spans="3:20" ht="12.3" x14ac:dyDescent="0.35">
      <c r="D142" s="10" t="str">
        <f t="shared" si="88"/>
        <v>Communications</v>
      </c>
      <c r="E142" s="45" t="str">
        <f t="shared" si="92"/>
        <v>Calculated</v>
      </c>
      <c r="F142" s="45" t="str">
        <f t="shared" si="89"/>
        <v>$Millions</v>
      </c>
      <c r="G142" s="45" t="str">
        <f t="shared" si="90"/>
        <v>Nominal</v>
      </c>
      <c r="H142" s="45" t="str">
        <f t="shared" si="91"/>
        <v>End year</v>
      </c>
      <c r="J142" s="58">
        <f>Input_RAB_SCS!J148-Calc_RAB_Connection!J142</f>
        <v>0</v>
      </c>
      <c r="K142" s="56">
        <f>Input_RAB_SCS!K148-Calc_RAB_Connection!K142</f>
        <v>0</v>
      </c>
      <c r="L142" s="57">
        <f>Input_RAB_SCS!L148-Calc_RAB_Connection!L142</f>
        <v>0</v>
      </c>
      <c r="M142" s="57">
        <f>Input_RAB_SCS!M148-Calc_RAB_Connection!M142</f>
        <v>0</v>
      </c>
      <c r="N142" s="57">
        <f>Input_RAB_SCS!N148-Calc_RAB_Connection!N142</f>
        <v>0</v>
      </c>
      <c r="O142" s="58">
        <f>Input_RAB_SCS!O148-Calc_RAB_Connection!O142</f>
        <v>0</v>
      </c>
      <c r="P142" s="56">
        <f>Input_RAB_SCS!P148-Calc_RAB_Connection!P142</f>
        <v>0</v>
      </c>
      <c r="Q142" s="57">
        <f>Input_RAB_SCS!Q148-Calc_RAB_Connection!Q142</f>
        <v>0</v>
      </c>
      <c r="R142" s="57">
        <f>Input_RAB_SCS!R148-Calc_RAB_Connection!R142</f>
        <v>0</v>
      </c>
      <c r="S142" s="57">
        <f>Input_RAB_SCS!S148-Calc_RAB_Connection!S142</f>
        <v>0</v>
      </c>
      <c r="T142" s="58">
        <f>Input_RAB_SCS!T148-Calc_RAB_Connection!T142</f>
        <v>0</v>
      </c>
    </row>
    <row r="143" spans="3:20" ht="12.3" x14ac:dyDescent="0.35">
      <c r="D143" s="10" t="str">
        <f t="shared" si="88"/>
        <v>Land and Easements</v>
      </c>
      <c r="E143" s="45" t="str">
        <f t="shared" si="92"/>
        <v>Calculated</v>
      </c>
      <c r="F143" s="45" t="str">
        <f t="shared" si="89"/>
        <v>$Millions</v>
      </c>
      <c r="G143" s="45" t="str">
        <f t="shared" si="90"/>
        <v>Nominal</v>
      </c>
      <c r="H143" s="45" t="str">
        <f t="shared" si="91"/>
        <v>End year</v>
      </c>
      <c r="J143" s="58">
        <f>Input_RAB_SCS!J149-Calc_RAB_Connection!J143</f>
        <v>0</v>
      </c>
      <c r="K143" s="56">
        <f>Input_RAB_SCS!K149-Calc_RAB_Connection!K143</f>
        <v>0</v>
      </c>
      <c r="L143" s="57">
        <f>Input_RAB_SCS!L149-Calc_RAB_Connection!L143</f>
        <v>0</v>
      </c>
      <c r="M143" s="57">
        <f>Input_RAB_SCS!M149-Calc_RAB_Connection!M143</f>
        <v>0</v>
      </c>
      <c r="N143" s="57">
        <f>Input_RAB_SCS!N149-Calc_RAB_Connection!N143</f>
        <v>0</v>
      </c>
      <c r="O143" s="58">
        <f>Input_RAB_SCS!O149-Calc_RAB_Connection!O143</f>
        <v>0</v>
      </c>
      <c r="P143" s="56">
        <f>Input_RAB_SCS!P149-Calc_RAB_Connection!P143</f>
        <v>0</v>
      </c>
      <c r="Q143" s="57">
        <f>Input_RAB_SCS!Q149-Calc_RAB_Connection!Q143</f>
        <v>0</v>
      </c>
      <c r="R143" s="57">
        <f>Input_RAB_SCS!R149-Calc_RAB_Connection!R143</f>
        <v>0</v>
      </c>
      <c r="S143" s="57">
        <f>Input_RAB_SCS!S149-Calc_RAB_Connection!S143</f>
        <v>0</v>
      </c>
      <c r="T143" s="58">
        <f>Input_RAB_SCS!T149-Calc_RAB_Connection!T143</f>
        <v>0</v>
      </c>
    </row>
    <row r="144" spans="3:20" ht="12.3" x14ac:dyDescent="0.35">
      <c r="D144" s="10" t="str">
        <f t="shared" si="88"/>
        <v>Property</v>
      </c>
      <c r="E144" s="45" t="str">
        <f t="shared" si="92"/>
        <v>Calculated</v>
      </c>
      <c r="F144" s="45" t="str">
        <f t="shared" si="89"/>
        <v>$Millions</v>
      </c>
      <c r="G144" s="45" t="str">
        <f t="shared" si="90"/>
        <v>Nominal</v>
      </c>
      <c r="H144" s="45" t="str">
        <f t="shared" si="91"/>
        <v>End year</v>
      </c>
      <c r="J144" s="58">
        <f>Input_RAB_SCS!J150-Calc_RAB_Connection!J144</f>
        <v>0</v>
      </c>
      <c r="K144" s="56">
        <f>Input_RAB_SCS!K150-Calc_RAB_Connection!K144</f>
        <v>0</v>
      </c>
      <c r="L144" s="57">
        <f>Input_RAB_SCS!L150-Calc_RAB_Connection!L144</f>
        <v>0</v>
      </c>
      <c r="M144" s="57">
        <f>Input_RAB_SCS!M150-Calc_RAB_Connection!M144</f>
        <v>0</v>
      </c>
      <c r="N144" s="57">
        <f>Input_RAB_SCS!N150-Calc_RAB_Connection!N144</f>
        <v>0</v>
      </c>
      <c r="O144" s="58">
        <f>Input_RAB_SCS!O150-Calc_RAB_Connection!O144</f>
        <v>0</v>
      </c>
      <c r="P144" s="56">
        <f>Input_RAB_SCS!P150-Calc_RAB_Connection!P144</f>
        <v>0</v>
      </c>
      <c r="Q144" s="57">
        <f>Input_RAB_SCS!Q150-Calc_RAB_Connection!Q144</f>
        <v>0</v>
      </c>
      <c r="R144" s="57">
        <f>Input_RAB_SCS!R150-Calc_RAB_Connection!R144</f>
        <v>0</v>
      </c>
      <c r="S144" s="57">
        <f>Input_RAB_SCS!S150-Calc_RAB_Connection!S144</f>
        <v>0</v>
      </c>
      <c r="T144" s="58">
        <f>Input_RAB_SCS!T150-Calc_RAB_Connection!T144</f>
        <v>0</v>
      </c>
    </row>
    <row r="145" spans="1:20" ht="12.3" x14ac:dyDescent="0.35">
      <c r="D145" s="10" t="str">
        <f t="shared" si="88"/>
        <v>IT and Communications</v>
      </c>
      <c r="E145" s="45" t="str">
        <f t="shared" si="92"/>
        <v>Calculated</v>
      </c>
      <c r="F145" s="45" t="str">
        <f t="shared" si="89"/>
        <v>$Millions</v>
      </c>
      <c r="G145" s="45" t="str">
        <f t="shared" si="90"/>
        <v>Nominal</v>
      </c>
      <c r="H145" s="45" t="str">
        <f t="shared" si="91"/>
        <v>End year</v>
      </c>
      <c r="J145" s="58">
        <f>Input_RAB_SCS!J151-Calc_RAB_Connection!J145</f>
        <v>0</v>
      </c>
      <c r="K145" s="56">
        <f>Input_RAB_SCS!K151-Calc_RAB_Connection!K145</f>
        <v>0</v>
      </c>
      <c r="L145" s="57">
        <f>Input_RAB_SCS!L151-Calc_RAB_Connection!L145</f>
        <v>0</v>
      </c>
      <c r="M145" s="57">
        <f>Input_RAB_SCS!M151-Calc_RAB_Connection!M145</f>
        <v>0</v>
      </c>
      <c r="N145" s="57">
        <f>Input_RAB_SCS!N151-Calc_RAB_Connection!N145</f>
        <v>0</v>
      </c>
      <c r="O145" s="58">
        <f>Input_RAB_SCS!O151-Calc_RAB_Connection!O145</f>
        <v>0</v>
      </c>
      <c r="P145" s="56">
        <f>Input_RAB_SCS!P151-Calc_RAB_Connection!P145</f>
        <v>0</v>
      </c>
      <c r="Q145" s="57">
        <f>Input_RAB_SCS!Q151-Calc_RAB_Connection!Q145</f>
        <v>0</v>
      </c>
      <c r="R145" s="57">
        <f>Input_RAB_SCS!R151-Calc_RAB_Connection!R145</f>
        <v>0</v>
      </c>
      <c r="S145" s="57">
        <f>Input_RAB_SCS!S151-Calc_RAB_Connection!S145</f>
        <v>0</v>
      </c>
      <c r="T145" s="58">
        <f>Input_RAB_SCS!T151-Calc_RAB_Connection!T145</f>
        <v>0</v>
      </c>
    </row>
    <row r="146" spans="1:20" ht="12.3" x14ac:dyDescent="0.35">
      <c r="D146" s="10" t="str">
        <f t="shared" si="88"/>
        <v>Motor Vehicles</v>
      </c>
      <c r="E146" s="45" t="str">
        <f t="shared" si="92"/>
        <v>Calculated</v>
      </c>
      <c r="F146" s="45" t="str">
        <f t="shared" si="89"/>
        <v>$Millions</v>
      </c>
      <c r="G146" s="45" t="str">
        <f t="shared" si="90"/>
        <v>Nominal</v>
      </c>
      <c r="H146" s="45" t="str">
        <f t="shared" si="91"/>
        <v>End year</v>
      </c>
      <c r="J146" s="58">
        <f>Input_RAB_SCS!J152-Calc_RAB_Connection!J146</f>
        <v>0</v>
      </c>
      <c r="K146" s="56">
        <f>Input_RAB_SCS!K152-Calc_RAB_Connection!K146</f>
        <v>0</v>
      </c>
      <c r="L146" s="57">
        <f>Input_RAB_SCS!L152-Calc_RAB_Connection!L146</f>
        <v>0</v>
      </c>
      <c r="M146" s="57">
        <f>Input_RAB_SCS!M152-Calc_RAB_Connection!M146</f>
        <v>0</v>
      </c>
      <c r="N146" s="57">
        <f>Input_RAB_SCS!N152-Calc_RAB_Connection!N146</f>
        <v>0</v>
      </c>
      <c r="O146" s="58">
        <f>Input_RAB_SCS!O152-Calc_RAB_Connection!O146</f>
        <v>0</v>
      </c>
      <c r="P146" s="56">
        <f>Input_RAB_SCS!P152-Calc_RAB_Connection!P146</f>
        <v>0</v>
      </c>
      <c r="Q146" s="57">
        <f>Input_RAB_SCS!Q152-Calc_RAB_Connection!Q146</f>
        <v>0</v>
      </c>
      <c r="R146" s="57">
        <f>Input_RAB_SCS!R152-Calc_RAB_Connection!R146</f>
        <v>0</v>
      </c>
      <c r="S146" s="57">
        <f>Input_RAB_SCS!S152-Calc_RAB_Connection!S146</f>
        <v>0</v>
      </c>
      <c r="T146" s="58">
        <f>Input_RAB_SCS!T152-Calc_RAB_Connection!T146</f>
        <v>0</v>
      </c>
    </row>
    <row r="147" spans="1:20" ht="12.3" x14ac:dyDescent="0.35">
      <c r="D147" s="10" t="str">
        <f t="shared" si="88"/>
        <v>Plant and Equipment</v>
      </c>
      <c r="E147" s="45" t="str">
        <f t="shared" si="92"/>
        <v>Calculated</v>
      </c>
      <c r="F147" s="45" t="str">
        <f t="shared" si="89"/>
        <v>$Millions</v>
      </c>
      <c r="G147" s="45" t="str">
        <f t="shared" si="90"/>
        <v>Nominal</v>
      </c>
      <c r="H147" s="45" t="str">
        <f t="shared" si="91"/>
        <v>End year</v>
      </c>
      <c r="J147" s="58">
        <f>Input_RAB_SCS!J153-Calc_RAB_Connection!J147</f>
        <v>0</v>
      </c>
      <c r="K147" s="56">
        <f>Input_RAB_SCS!K153-Calc_RAB_Connection!K147</f>
        <v>0</v>
      </c>
      <c r="L147" s="57">
        <f>Input_RAB_SCS!L153-Calc_RAB_Connection!L147</f>
        <v>0</v>
      </c>
      <c r="M147" s="57">
        <f>Input_RAB_SCS!M153-Calc_RAB_Connection!M147</f>
        <v>0</v>
      </c>
      <c r="N147" s="57">
        <f>Input_RAB_SCS!N153-Calc_RAB_Connection!N147</f>
        <v>0</v>
      </c>
      <c r="O147" s="58">
        <f>Input_RAB_SCS!O153-Calc_RAB_Connection!O147</f>
        <v>0</v>
      </c>
      <c r="P147" s="56">
        <f>Input_RAB_SCS!P153-Calc_RAB_Connection!P147</f>
        <v>0</v>
      </c>
      <c r="Q147" s="57">
        <f>Input_RAB_SCS!Q153-Calc_RAB_Connection!Q147</f>
        <v>0</v>
      </c>
      <c r="R147" s="57">
        <f>Input_RAB_SCS!R153-Calc_RAB_Connection!R147</f>
        <v>0</v>
      </c>
      <c r="S147" s="57">
        <f>Input_RAB_SCS!S153-Calc_RAB_Connection!S147</f>
        <v>0</v>
      </c>
      <c r="T147" s="58">
        <f>Input_RAB_SCS!T153-Calc_RAB_Connection!T147</f>
        <v>0</v>
      </c>
    </row>
    <row r="148" spans="1:20" ht="12.3" x14ac:dyDescent="0.35">
      <c r="D148" s="10" t="str">
        <f t="shared" si="88"/>
        <v>Property Leases</v>
      </c>
      <c r="E148" s="45" t="str">
        <f t="shared" si="92"/>
        <v>Calculated</v>
      </c>
      <c r="F148" s="45" t="str">
        <f t="shared" si="89"/>
        <v>$Millions</v>
      </c>
      <c r="G148" s="45" t="str">
        <f t="shared" si="90"/>
        <v>Nominal</v>
      </c>
      <c r="H148" s="45" t="str">
        <f t="shared" si="91"/>
        <v>End year</v>
      </c>
      <c r="J148" s="58">
        <f>Input_RAB_SCS!J154-Calc_RAB_Connection!J148</f>
        <v>0</v>
      </c>
      <c r="K148" s="56">
        <f>Input_RAB_SCS!K154-Calc_RAB_Connection!K148</f>
        <v>0</v>
      </c>
      <c r="L148" s="57">
        <f>Input_RAB_SCS!L154-Calc_RAB_Connection!L148</f>
        <v>0</v>
      </c>
      <c r="M148" s="57">
        <f>Input_RAB_SCS!M154-Calc_RAB_Connection!M148</f>
        <v>0</v>
      </c>
      <c r="N148" s="57">
        <f>Input_RAB_SCS!N154-Calc_RAB_Connection!N148</f>
        <v>0</v>
      </c>
      <c r="O148" s="58">
        <f>Input_RAB_SCS!O154-Calc_RAB_Connection!O148</f>
        <v>0</v>
      </c>
      <c r="P148" s="56">
        <f>Input_RAB_SCS!P154-Calc_RAB_Connection!P148</f>
        <v>0</v>
      </c>
      <c r="Q148" s="57">
        <f>Input_RAB_SCS!Q154-Calc_RAB_Connection!Q148</f>
        <v>0</v>
      </c>
      <c r="R148" s="57">
        <f>Input_RAB_SCS!R154-Calc_RAB_Connection!R148</f>
        <v>0</v>
      </c>
      <c r="S148" s="57">
        <f>Input_RAB_SCS!S154-Calc_RAB_Connection!S148</f>
        <v>0</v>
      </c>
      <c r="T148" s="58">
        <f>Input_RAB_SCS!T154-Calc_RAB_Connection!T148</f>
        <v>0</v>
      </c>
    </row>
    <row r="149" spans="1:20" ht="12.3" x14ac:dyDescent="0.35">
      <c r="D149" s="10" t="str">
        <f t="shared" si="88"/>
        <v>Fleet Leases</v>
      </c>
      <c r="E149" s="45" t="str">
        <f t="shared" si="92"/>
        <v>Calculated</v>
      </c>
      <c r="F149" s="45" t="str">
        <f t="shared" si="89"/>
        <v>$Millions</v>
      </c>
      <c r="G149" s="45" t="str">
        <f t="shared" si="90"/>
        <v>Nominal</v>
      </c>
      <c r="H149" s="45" t="str">
        <f t="shared" si="91"/>
        <v>End year</v>
      </c>
      <c r="J149" s="58">
        <f>Input_RAB_SCS!J155-Calc_RAB_Connection!J149</f>
        <v>0</v>
      </c>
      <c r="K149" s="56">
        <f>Input_RAB_SCS!K155-Calc_RAB_Connection!K149</f>
        <v>0</v>
      </c>
      <c r="L149" s="57">
        <f>Input_RAB_SCS!L155-Calc_RAB_Connection!L149</f>
        <v>0</v>
      </c>
      <c r="M149" s="57">
        <f>Input_RAB_SCS!M155-Calc_RAB_Connection!M149</f>
        <v>0</v>
      </c>
      <c r="N149" s="57">
        <f>Input_RAB_SCS!N155-Calc_RAB_Connection!N149</f>
        <v>0</v>
      </c>
      <c r="O149" s="58">
        <f>Input_RAB_SCS!O155-Calc_RAB_Connection!O149</f>
        <v>0</v>
      </c>
      <c r="P149" s="56">
        <f>Input_RAB_SCS!P155-Calc_RAB_Connection!P149</f>
        <v>0</v>
      </c>
      <c r="Q149" s="57">
        <f>Input_RAB_SCS!Q155-Calc_RAB_Connection!Q149</f>
        <v>0</v>
      </c>
      <c r="R149" s="57">
        <f>Input_RAB_SCS!R155-Calc_RAB_Connection!R149</f>
        <v>0</v>
      </c>
      <c r="S149" s="57">
        <f>Input_RAB_SCS!S155-Calc_RAB_Connection!S149</f>
        <v>0</v>
      </c>
      <c r="T149" s="58">
        <f>Input_RAB_SCS!T155-Calc_RAB_Connection!T149</f>
        <v>0</v>
      </c>
    </row>
    <row r="150" spans="1:20" ht="12.3" x14ac:dyDescent="0.35">
      <c r="D150" s="10" t="str">
        <f t="shared" si="88"/>
        <v>Community Batteries</v>
      </c>
      <c r="E150" s="45" t="str">
        <f t="shared" si="92"/>
        <v>Calculated</v>
      </c>
      <c r="F150" s="45" t="str">
        <f t="shared" si="89"/>
        <v>$Millions</v>
      </c>
      <c r="G150" s="45" t="str">
        <f t="shared" si="90"/>
        <v>Nominal</v>
      </c>
      <c r="H150" s="45" t="str">
        <f t="shared" si="91"/>
        <v>End year</v>
      </c>
      <c r="J150" s="58">
        <f>Input_RAB_SCS!J156-Calc_RAB_Connection!J150</f>
        <v>0</v>
      </c>
      <c r="K150" s="56">
        <f>Input_RAB_SCS!K156-Calc_RAB_Connection!K150</f>
        <v>0</v>
      </c>
      <c r="L150" s="57">
        <f>Input_RAB_SCS!L156-Calc_RAB_Connection!L150</f>
        <v>0</v>
      </c>
      <c r="M150" s="57">
        <f>Input_RAB_SCS!M156-Calc_RAB_Connection!M150</f>
        <v>0</v>
      </c>
      <c r="N150" s="57">
        <f>Input_RAB_SCS!N156-Calc_RAB_Connection!N150</f>
        <v>0</v>
      </c>
      <c r="O150" s="58">
        <f>Input_RAB_SCS!O156-Calc_RAB_Connection!O150</f>
        <v>0</v>
      </c>
      <c r="P150" s="56">
        <f>Input_RAB_SCS!P156-Calc_RAB_Connection!P150</f>
        <v>0</v>
      </c>
      <c r="Q150" s="57">
        <f>Input_RAB_SCS!Q156-Calc_RAB_Connection!Q150</f>
        <v>0</v>
      </c>
      <c r="R150" s="57">
        <f>Input_RAB_SCS!R156-Calc_RAB_Connection!R150</f>
        <v>0</v>
      </c>
      <c r="S150" s="57">
        <f>Input_RAB_SCS!S156-Calc_RAB_Connection!S150</f>
        <v>0</v>
      </c>
      <c r="T150" s="58">
        <f>Input_RAB_SCS!T156-Calc_RAB_Connection!T150</f>
        <v>0</v>
      </c>
    </row>
    <row r="151" spans="1:20" ht="12.3" x14ac:dyDescent="0.35">
      <c r="D151" s="10" t="str">
        <f>D35</f>
        <v>Buildings</v>
      </c>
      <c r="E151" s="45" t="str">
        <f>E149</f>
        <v>Calculated</v>
      </c>
      <c r="F151" s="45" t="str">
        <f t="shared" si="89"/>
        <v>$Millions</v>
      </c>
      <c r="G151" s="45" t="str">
        <f t="shared" si="90"/>
        <v>Nominal</v>
      </c>
      <c r="H151" s="45" t="str">
        <f t="shared" si="91"/>
        <v>End year</v>
      </c>
      <c r="J151" s="58">
        <f>Input_RAB_SCS!J157-Calc_RAB_Connection!J151</f>
        <v>0</v>
      </c>
      <c r="K151" s="56">
        <f>Input_RAB_SCS!K157-Calc_RAB_Connection!K151</f>
        <v>0</v>
      </c>
      <c r="L151" s="57">
        <f>Input_RAB_SCS!L157-Calc_RAB_Connection!L151</f>
        <v>0</v>
      </c>
      <c r="M151" s="57">
        <f>Input_RAB_SCS!M157-Calc_RAB_Connection!M151</f>
        <v>0</v>
      </c>
      <c r="N151" s="57">
        <f>Input_RAB_SCS!N157-Calc_RAB_Connection!N151</f>
        <v>0</v>
      </c>
      <c r="O151" s="58">
        <f>Input_RAB_SCS!O157-Calc_RAB_Connection!O151</f>
        <v>0</v>
      </c>
      <c r="P151" s="56">
        <f>Input_RAB_SCS!P157-Calc_RAB_Connection!P151</f>
        <v>0</v>
      </c>
      <c r="Q151" s="57">
        <f>Input_RAB_SCS!Q157-Calc_RAB_Connection!Q151</f>
        <v>0</v>
      </c>
      <c r="R151" s="57">
        <f>Input_RAB_SCS!R157-Calc_RAB_Connection!R151</f>
        <v>0</v>
      </c>
      <c r="S151" s="57">
        <f>Input_RAB_SCS!S157-Calc_RAB_Connection!S151</f>
        <v>0</v>
      </c>
      <c r="T151" s="58">
        <f>Input_RAB_SCS!T157-Calc_RAB_Connection!T151</f>
        <v>0</v>
      </c>
    </row>
    <row r="152" spans="1:20" ht="12.3" x14ac:dyDescent="0.35">
      <c r="D152" s="10" t="str">
        <f>D36</f>
        <v>in-house software</v>
      </c>
      <c r="E152" s="45" t="str">
        <f t="shared" si="92"/>
        <v>Calculated</v>
      </c>
      <c r="F152" s="45" t="str">
        <f t="shared" si="89"/>
        <v>$Millions</v>
      </c>
      <c r="G152" s="45" t="str">
        <f t="shared" si="90"/>
        <v>Nominal</v>
      </c>
      <c r="H152" s="45" t="str">
        <f t="shared" si="91"/>
        <v>End year</v>
      </c>
      <c r="J152" s="58">
        <f>Input_RAB_SCS!J158-Calc_RAB_Connection!J152</f>
        <v>0</v>
      </c>
      <c r="K152" s="56">
        <f>Input_RAB_SCS!K158-Calc_RAB_Connection!K152</f>
        <v>0</v>
      </c>
      <c r="L152" s="57">
        <f>Input_RAB_SCS!L158-Calc_RAB_Connection!L152</f>
        <v>0</v>
      </c>
      <c r="M152" s="57">
        <f>Input_RAB_SCS!M158-Calc_RAB_Connection!M152</f>
        <v>0</v>
      </c>
      <c r="N152" s="57">
        <f>Input_RAB_SCS!N158-Calc_RAB_Connection!N152</f>
        <v>0</v>
      </c>
      <c r="O152" s="58">
        <f>Input_RAB_SCS!O158-Calc_RAB_Connection!O152</f>
        <v>0</v>
      </c>
      <c r="P152" s="56">
        <f>Input_RAB_SCS!P158-Calc_RAB_Connection!P152</f>
        <v>0</v>
      </c>
      <c r="Q152" s="57">
        <f>Input_RAB_SCS!Q158-Calc_RAB_Connection!Q152</f>
        <v>0</v>
      </c>
      <c r="R152" s="57">
        <f>Input_RAB_SCS!R158-Calc_RAB_Connection!R152</f>
        <v>0</v>
      </c>
      <c r="S152" s="57">
        <f>Input_RAB_SCS!S158-Calc_RAB_Connection!S152</f>
        <v>0</v>
      </c>
      <c r="T152" s="58">
        <f>Input_RAB_SCS!T158-Calc_RAB_Connection!T152</f>
        <v>0</v>
      </c>
    </row>
    <row r="153" spans="1:20" ht="12.3" x14ac:dyDescent="0.35">
      <c r="D153" s="10" t="str">
        <f t="shared" ref="D153" si="93">D37</f>
        <v>Equity Raising Costs</v>
      </c>
      <c r="E153" s="45" t="str">
        <f>E147</f>
        <v>Calculated</v>
      </c>
      <c r="F153" s="45" t="str">
        <f t="shared" si="89"/>
        <v>$Millions</v>
      </c>
      <c r="G153" s="45" t="str">
        <f t="shared" si="90"/>
        <v>Nominal</v>
      </c>
      <c r="H153" s="45" t="str">
        <f t="shared" si="91"/>
        <v>End year</v>
      </c>
      <c r="J153" s="58">
        <f>Input_RAB_SCS!J159-Calc_RAB_Connection!J153</f>
        <v>0</v>
      </c>
      <c r="K153" s="56">
        <f>Input_RAB_SCS!K159-Calc_RAB_Connection!K153</f>
        <v>0</v>
      </c>
      <c r="L153" s="57">
        <f>Input_RAB_SCS!L159-Calc_RAB_Connection!L153</f>
        <v>0</v>
      </c>
      <c r="M153" s="57">
        <f>Input_RAB_SCS!M159-Calc_RAB_Connection!M153</f>
        <v>0</v>
      </c>
      <c r="N153" s="57">
        <f>Input_RAB_SCS!N159-Calc_RAB_Connection!N153</f>
        <v>0</v>
      </c>
      <c r="O153" s="58">
        <f>Input_RAB_SCS!O159-Calc_RAB_Connection!O153</f>
        <v>0</v>
      </c>
      <c r="P153" s="56">
        <f>Input_RAB_SCS!P159-Calc_RAB_Connection!P153</f>
        <v>0</v>
      </c>
      <c r="Q153" s="57">
        <f>Input_RAB_SCS!Q159-Calc_RAB_Connection!Q153</f>
        <v>0</v>
      </c>
      <c r="R153" s="57">
        <f>Input_RAB_SCS!R159-Calc_RAB_Connection!R153</f>
        <v>0</v>
      </c>
      <c r="S153" s="57">
        <f>Input_RAB_SCS!S159-Calc_RAB_Connection!S153</f>
        <v>0</v>
      </c>
      <c r="T153" s="58">
        <f>Input_RAB_SCS!T159-Calc_RAB_Connection!T153</f>
        <v>0</v>
      </c>
    </row>
    <row r="154" spans="1:20" x14ac:dyDescent="0.35">
      <c r="J154" s="49"/>
      <c r="K154" s="48"/>
      <c r="O154" s="49"/>
      <c r="P154" s="48"/>
      <c r="T154" s="49"/>
    </row>
    <row r="155" spans="1:20" ht="12.3" x14ac:dyDescent="0.35">
      <c r="D155" s="44" t="str">
        <f>"Total "&amp;D132</f>
        <v>Total RAB asset class</v>
      </c>
      <c r="E155" s="40" t="s">
        <v>91</v>
      </c>
      <c r="F155" s="40" t="str">
        <f>F134</f>
        <v>$Millions</v>
      </c>
      <c r="G155" s="40" t="str">
        <f>G134</f>
        <v>Nominal</v>
      </c>
      <c r="H155" s="40" t="str">
        <f>H134</f>
        <v>End year</v>
      </c>
      <c r="J155" s="54">
        <f t="shared" ref="J155:T155" si="94">SUM(J134:J153)</f>
        <v>-9.7499127283210724E-2</v>
      </c>
      <c r="K155" s="53">
        <f t="shared" si="94"/>
        <v>-8.9986002845936316E-2</v>
      </c>
      <c r="L155" s="39">
        <f t="shared" si="94"/>
        <v>-0.12435863372032047</v>
      </c>
      <c r="M155" s="39">
        <f t="shared" si="94"/>
        <v>-0.14876266171605509</v>
      </c>
      <c r="N155" s="39">
        <f t="shared" si="94"/>
        <v>-0.15580375545729908</v>
      </c>
      <c r="O155" s="54">
        <f t="shared" si="94"/>
        <v>-0.16101177322957022</v>
      </c>
      <c r="P155" s="53">
        <f t="shared" si="94"/>
        <v>-0.16029989071105594</v>
      </c>
      <c r="Q155" s="39">
        <f t="shared" si="94"/>
        <v>-0.16042306621793082</v>
      </c>
      <c r="R155" s="39">
        <f t="shared" si="94"/>
        <v>-0.16054614722112998</v>
      </c>
      <c r="S155" s="39">
        <f t="shared" si="94"/>
        <v>-0.1606691339378378</v>
      </c>
      <c r="T155" s="54">
        <f t="shared" si="94"/>
        <v>-0.16079202658440811</v>
      </c>
    </row>
    <row r="156" spans="1:20" ht="11.25" customHeight="1" x14ac:dyDescent="0.35"/>
    <row r="157" spans="1:20" ht="11.25" customHeight="1" x14ac:dyDescent="0.35">
      <c r="A157" s="42">
        <f>IF(SUM($J157:$T157)&lt;&gt;0,1,0)</f>
        <v>0</v>
      </c>
      <c r="D157" s="10" t="s">
        <v>94</v>
      </c>
      <c r="J157" s="42">
        <f t="shared" ref="J157:K157" si="95">IF(ISERROR(J155),1,0)</f>
        <v>0</v>
      </c>
      <c r="K157" s="42">
        <f t="shared" si="95"/>
        <v>0</v>
      </c>
      <c r="L157" s="42">
        <f>IF(ISERROR(L155),1,0)</f>
        <v>0</v>
      </c>
      <c r="M157" s="42">
        <f t="shared" ref="M157:P157" si="96">IF(ISERROR(M155),1,0)</f>
        <v>0</v>
      </c>
      <c r="N157" s="42">
        <f t="shared" si="96"/>
        <v>0</v>
      </c>
      <c r="O157" s="42">
        <f t="shared" si="96"/>
        <v>0</v>
      </c>
      <c r="P157" s="42">
        <f t="shared" si="96"/>
        <v>0</v>
      </c>
      <c r="Q157" s="42">
        <f>IF(ISERROR(Q155),1,0)</f>
        <v>0</v>
      </c>
      <c r="R157" s="42">
        <f t="shared" ref="R157:T157" si="97">IF(ISERROR(R155),1,0)</f>
        <v>0</v>
      </c>
      <c r="S157" s="42">
        <f t="shared" si="97"/>
        <v>0</v>
      </c>
      <c r="T157" s="42">
        <f t="shared" si="97"/>
        <v>0</v>
      </c>
    </row>
    <row r="159" spans="1:20" s="8" customFormat="1" ht="14.1" x14ac:dyDescent="0.35">
      <c r="C159" s="8" t="s">
        <v>406</v>
      </c>
    </row>
    <row r="160" spans="1:20" ht="11.25" customHeight="1" x14ac:dyDescent="0.35"/>
    <row r="161" spans="4:20" ht="12.3" x14ac:dyDescent="0.35">
      <c r="D161" s="43" t="str">
        <f>D$16</f>
        <v>RAB asset class</v>
      </c>
      <c r="E161" s="38" t="str">
        <f>Lookup!E$20</f>
        <v>Source</v>
      </c>
      <c r="F161" s="38" t="str">
        <f>Lookup!F$20</f>
        <v>Unit</v>
      </c>
      <c r="G161" s="38" t="str">
        <f>Lookup!G$20</f>
        <v>Basis</v>
      </c>
      <c r="H161" s="38" t="str">
        <f>Lookup!H$20</f>
        <v>Timing</v>
      </c>
      <c r="J161" s="47" t="str">
        <f t="shared" ref="J161:T161" si="98">J$10</f>
        <v>RY19</v>
      </c>
      <c r="K161" s="46" t="str">
        <f t="shared" si="98"/>
        <v>RY20</v>
      </c>
      <c r="L161" s="38" t="str">
        <f>L$10</f>
        <v>RY21</v>
      </c>
      <c r="M161" s="38" t="str">
        <f t="shared" si="98"/>
        <v>RY22</v>
      </c>
      <c r="N161" s="38" t="str">
        <f t="shared" si="98"/>
        <v>RY23</v>
      </c>
      <c r="O161" s="47" t="str">
        <f t="shared" si="98"/>
        <v>RY24</v>
      </c>
      <c r="P161" s="46" t="str">
        <f t="shared" si="98"/>
        <v>RY25</v>
      </c>
      <c r="Q161" s="38" t="str">
        <f>Q$10</f>
        <v>RY26</v>
      </c>
      <c r="R161" s="38" t="str">
        <f t="shared" si="98"/>
        <v>RY27</v>
      </c>
      <c r="S161" s="38" t="str">
        <f t="shared" si="98"/>
        <v>RY28</v>
      </c>
      <c r="T161" s="47" t="str">
        <f t="shared" si="98"/>
        <v>RY29</v>
      </c>
    </row>
    <row r="162" spans="4:20" x14ac:dyDescent="0.35">
      <c r="J162" s="49"/>
      <c r="K162" s="48"/>
      <c r="O162" s="49"/>
      <c r="P162" s="48"/>
      <c r="T162" s="49"/>
    </row>
    <row r="163" spans="4:20" ht="12.3" x14ac:dyDescent="0.35">
      <c r="D163" s="10" t="str">
        <f t="shared" ref="D163:D179" si="99">D18</f>
        <v>Substations</v>
      </c>
      <c r="E163" s="45" t="s">
        <v>91</v>
      </c>
      <c r="F163" s="45" t="str">
        <f t="shared" ref="F163:F182" si="100">Millions</f>
        <v>$Millions</v>
      </c>
      <c r="G163" s="45" t="str">
        <f t="shared" ref="G163:G182" si="101">Nominal</f>
        <v>Nominal</v>
      </c>
      <c r="H163" s="45" t="str">
        <f t="shared" ref="H163:H182" si="102">End_year</f>
        <v>End year</v>
      </c>
      <c r="J163" s="58">
        <f t="shared" ref="J163:T163" si="103">J18+J47+J76+J105+J134</f>
        <v>295.24774185583709</v>
      </c>
      <c r="K163" s="56">
        <f t="shared" si="103"/>
        <v>273.91279026633384</v>
      </c>
      <c r="L163" s="57">
        <f t="shared" si="103"/>
        <v>269.77621313494836</v>
      </c>
      <c r="M163" s="57">
        <f t="shared" si="103"/>
        <v>271.0040939068233</v>
      </c>
      <c r="N163" s="57">
        <f t="shared" si="103"/>
        <v>285.24939154493137</v>
      </c>
      <c r="O163" s="58">
        <f t="shared" si="103"/>
        <v>298.65791231445047</v>
      </c>
      <c r="P163" s="56">
        <f t="shared" si="103"/>
        <v>301.20458656271086</v>
      </c>
      <c r="Q163" s="57">
        <f t="shared" si="103"/>
        <v>303.82385306222454</v>
      </c>
      <c r="R163" s="57">
        <f t="shared" si="103"/>
        <v>292.61022492292562</v>
      </c>
      <c r="S163" s="57">
        <f t="shared" si="103"/>
        <v>279.67713195694216</v>
      </c>
      <c r="T163" s="58">
        <f t="shared" si="103"/>
        <v>265.80135695623346</v>
      </c>
    </row>
    <row r="164" spans="4:20" ht="12.3" x14ac:dyDescent="0.35">
      <c r="D164" s="10" t="str">
        <f t="shared" si="99"/>
        <v>Distribution Lines</v>
      </c>
      <c r="E164" s="45" t="s">
        <v>91</v>
      </c>
      <c r="F164" s="45" t="str">
        <f t="shared" si="100"/>
        <v>$Millions</v>
      </c>
      <c r="G164" s="45" t="str">
        <f t="shared" si="101"/>
        <v>Nominal</v>
      </c>
      <c r="H164" s="45" t="str">
        <f t="shared" si="102"/>
        <v>End year</v>
      </c>
      <c r="J164" s="58">
        <f t="shared" ref="J164:T164" si="104">J19+J48+J77+J106+J135</f>
        <v>185.37516369876013</v>
      </c>
      <c r="K164" s="56">
        <f t="shared" si="104"/>
        <v>186.16966258607172</v>
      </c>
      <c r="L164" s="57">
        <f t="shared" si="104"/>
        <v>189.01106040444299</v>
      </c>
      <c r="M164" s="57">
        <f t="shared" si="104"/>
        <v>205.51741662792369</v>
      </c>
      <c r="N164" s="57">
        <f t="shared" si="104"/>
        <v>241.4025714267722</v>
      </c>
      <c r="O164" s="58">
        <f t="shared" si="104"/>
        <v>266.74522037484354</v>
      </c>
      <c r="P164" s="56">
        <f t="shared" si="104"/>
        <v>282.70232609953365</v>
      </c>
      <c r="Q164" s="57">
        <f t="shared" si="104"/>
        <v>301.14430296679143</v>
      </c>
      <c r="R164" s="57">
        <f t="shared" si="104"/>
        <v>320.07550713037693</v>
      </c>
      <c r="S164" s="57">
        <f t="shared" si="104"/>
        <v>336.38797028180858</v>
      </c>
      <c r="T164" s="58">
        <f t="shared" si="104"/>
        <v>353.22974919682463</v>
      </c>
    </row>
    <row r="165" spans="4:20" ht="12.3" x14ac:dyDescent="0.35">
      <c r="D165" s="10" t="str">
        <f t="shared" si="99"/>
        <v>Transmission Lines</v>
      </c>
      <c r="E165" s="45" t="s">
        <v>91</v>
      </c>
      <c r="F165" s="45" t="str">
        <f t="shared" si="100"/>
        <v>$Millions</v>
      </c>
      <c r="G165" s="45" t="str">
        <f t="shared" si="101"/>
        <v>Nominal</v>
      </c>
      <c r="H165" s="45" t="str">
        <f t="shared" si="102"/>
        <v>End year</v>
      </c>
      <c r="J165" s="58">
        <f t="shared" ref="J165:T165" si="105">J20+J49+J78+J107+J136</f>
        <v>176.20193744829672</v>
      </c>
      <c r="K165" s="56">
        <f t="shared" si="105"/>
        <v>175.43506757109449</v>
      </c>
      <c r="L165" s="57">
        <f t="shared" si="105"/>
        <v>171.8898895972944</v>
      </c>
      <c r="M165" s="57">
        <f t="shared" si="105"/>
        <v>173.51494534151189</v>
      </c>
      <c r="N165" s="57">
        <f t="shared" si="105"/>
        <v>183.30335340718091</v>
      </c>
      <c r="O165" s="58">
        <f t="shared" si="105"/>
        <v>189.69255762727849</v>
      </c>
      <c r="P165" s="56">
        <f t="shared" si="105"/>
        <v>194.96429976036262</v>
      </c>
      <c r="Q165" s="57">
        <f t="shared" si="105"/>
        <v>199.68833826689925</v>
      </c>
      <c r="R165" s="57">
        <f t="shared" si="105"/>
        <v>199.78554739725411</v>
      </c>
      <c r="S165" s="57">
        <f t="shared" si="105"/>
        <v>198.55340436775612</v>
      </c>
      <c r="T165" s="58">
        <f t="shared" si="105"/>
        <v>197.05370806139175</v>
      </c>
    </row>
    <row r="166" spans="4:20" ht="12.3" x14ac:dyDescent="0.35">
      <c r="D166" s="10" t="str">
        <f t="shared" si="99"/>
        <v>LV Services</v>
      </c>
      <c r="E166" s="45" t="s">
        <v>91</v>
      </c>
      <c r="F166" s="45" t="str">
        <f t="shared" si="100"/>
        <v>$Millions</v>
      </c>
      <c r="G166" s="45" t="str">
        <f t="shared" si="101"/>
        <v>Nominal</v>
      </c>
      <c r="H166" s="45" t="str">
        <f t="shared" si="102"/>
        <v>End year</v>
      </c>
      <c r="J166" s="58">
        <f t="shared" ref="J166:T166" si="106">J21+J50+J79+J108+J137</f>
        <v>5.0683676935395123</v>
      </c>
      <c r="K166" s="56">
        <f t="shared" si="106"/>
        <v>6.8378138428779556</v>
      </c>
      <c r="L166" s="57">
        <f t="shared" si="106"/>
        <v>7.6814919546382328</v>
      </c>
      <c r="M166" s="57">
        <f t="shared" si="106"/>
        <v>9.8127678159362848</v>
      </c>
      <c r="N166" s="57">
        <f t="shared" si="106"/>
        <v>11.886895220575653</v>
      </c>
      <c r="O166" s="58">
        <f t="shared" si="106"/>
        <v>13.764132246318047</v>
      </c>
      <c r="P166" s="56">
        <f t="shared" si="106"/>
        <v>18.067479104163915</v>
      </c>
      <c r="Q166" s="57">
        <f t="shared" si="106"/>
        <v>22.536781038911812</v>
      </c>
      <c r="R166" s="57">
        <f t="shared" si="106"/>
        <v>27.236589692505635</v>
      </c>
      <c r="S166" s="57">
        <f t="shared" si="106"/>
        <v>32.166268818513245</v>
      </c>
      <c r="T166" s="58">
        <f t="shared" si="106"/>
        <v>37.345897645393435</v>
      </c>
    </row>
    <row r="167" spans="4:20" ht="12.3" x14ac:dyDescent="0.35">
      <c r="D167" s="10" t="str">
        <f t="shared" si="99"/>
        <v>Distribution Substations</v>
      </c>
      <c r="E167" s="45" t="s">
        <v>91</v>
      </c>
      <c r="F167" s="45" t="str">
        <f t="shared" si="100"/>
        <v>$Millions</v>
      </c>
      <c r="G167" s="45" t="str">
        <f t="shared" si="101"/>
        <v>Nominal</v>
      </c>
      <c r="H167" s="45" t="str">
        <f t="shared" si="102"/>
        <v>End year</v>
      </c>
      <c r="J167" s="58">
        <f t="shared" ref="J167:T167" si="107">J22+J51+J80+J109+J138</f>
        <v>72.430371682510739</v>
      </c>
      <c r="K167" s="56">
        <f t="shared" si="107"/>
        <v>77.187285571019203</v>
      </c>
      <c r="L167" s="57">
        <f t="shared" si="107"/>
        <v>77.651021706882673</v>
      </c>
      <c r="M167" s="57">
        <f t="shared" si="107"/>
        <v>81.685871327683245</v>
      </c>
      <c r="N167" s="57">
        <f t="shared" si="107"/>
        <v>88.007498558878567</v>
      </c>
      <c r="O167" s="58">
        <f t="shared" si="107"/>
        <v>91.307711810657182</v>
      </c>
      <c r="P167" s="56">
        <f t="shared" si="107"/>
        <v>93.942702840066573</v>
      </c>
      <c r="Q167" s="57">
        <f t="shared" si="107"/>
        <v>96.438515483894491</v>
      </c>
      <c r="R167" s="57">
        <f t="shared" si="107"/>
        <v>99.050836935554898</v>
      </c>
      <c r="S167" s="57">
        <f t="shared" si="107"/>
        <v>101.77572138936196</v>
      </c>
      <c r="T167" s="58">
        <f t="shared" si="107"/>
        <v>104.63139713317958</v>
      </c>
    </row>
    <row r="168" spans="4:20" ht="12.3" x14ac:dyDescent="0.35">
      <c r="D168" s="10" t="str">
        <f t="shared" si="99"/>
        <v>Distribution Switchgear</v>
      </c>
      <c r="E168" s="45" t="s">
        <v>91</v>
      </c>
      <c r="F168" s="45" t="str">
        <f t="shared" si="100"/>
        <v>$Millions</v>
      </c>
      <c r="G168" s="45" t="str">
        <f t="shared" si="101"/>
        <v>Nominal</v>
      </c>
      <c r="H168" s="45" t="str">
        <f t="shared" si="102"/>
        <v>End year</v>
      </c>
      <c r="J168" s="58">
        <f t="shared" ref="J168:T168" si="108">J23+J52+J81+J110+J139</f>
        <v>27.605142989569117</v>
      </c>
      <c r="K168" s="56">
        <f t="shared" si="108"/>
        <v>32.092784320108272</v>
      </c>
      <c r="L168" s="57">
        <f t="shared" si="108"/>
        <v>33.654821154741228</v>
      </c>
      <c r="M168" s="57">
        <f t="shared" si="108"/>
        <v>36.012860861908976</v>
      </c>
      <c r="N168" s="57">
        <f t="shared" si="108"/>
        <v>41.579582944356183</v>
      </c>
      <c r="O168" s="58">
        <f t="shared" si="108"/>
        <v>45.10697325764496</v>
      </c>
      <c r="P168" s="56">
        <f t="shared" si="108"/>
        <v>49.106271873313453</v>
      </c>
      <c r="Q168" s="57">
        <f t="shared" si="108"/>
        <v>54.165290115353876</v>
      </c>
      <c r="R168" s="57">
        <f t="shared" si="108"/>
        <v>59.501183503658133</v>
      </c>
      <c r="S168" s="57">
        <f t="shared" si="108"/>
        <v>65.11615320089723</v>
      </c>
      <c r="T168" s="58">
        <f t="shared" si="108"/>
        <v>71.035225598572723</v>
      </c>
    </row>
    <row r="169" spans="4:20" ht="12.3" x14ac:dyDescent="0.35">
      <c r="D169" s="10" t="str">
        <f t="shared" si="99"/>
        <v>Protection</v>
      </c>
      <c r="E169" s="45" t="s">
        <v>91</v>
      </c>
      <c r="F169" s="45" t="str">
        <f t="shared" si="100"/>
        <v>$Millions</v>
      </c>
      <c r="G169" s="45" t="str">
        <f t="shared" si="101"/>
        <v>Nominal</v>
      </c>
      <c r="H169" s="45" t="str">
        <f t="shared" si="102"/>
        <v>End year</v>
      </c>
      <c r="J169" s="58">
        <f t="shared" ref="J169:T169" si="109">J24+J53+J82+J111+J140</f>
        <v>23.653071049322367</v>
      </c>
      <c r="K169" s="56">
        <f t="shared" si="109"/>
        <v>32.894895149212104</v>
      </c>
      <c r="L169" s="57">
        <f t="shared" si="109"/>
        <v>33.470157055147993</v>
      </c>
      <c r="M169" s="57">
        <f t="shared" si="109"/>
        <v>36.360791731901813</v>
      </c>
      <c r="N169" s="57">
        <f t="shared" si="109"/>
        <v>40.914084709069016</v>
      </c>
      <c r="O169" s="58">
        <f t="shared" si="109"/>
        <v>46.561892580082912</v>
      </c>
      <c r="P169" s="56">
        <f t="shared" si="109"/>
        <v>52.609020173988803</v>
      </c>
      <c r="Q169" s="57">
        <f t="shared" si="109"/>
        <v>57.233228178866732</v>
      </c>
      <c r="R169" s="57">
        <f t="shared" si="109"/>
        <v>60.805013666717443</v>
      </c>
      <c r="S169" s="57">
        <f t="shared" si="109"/>
        <v>63.930744071391409</v>
      </c>
      <c r="T169" s="58">
        <f t="shared" si="109"/>
        <v>66.538217643876578</v>
      </c>
    </row>
    <row r="170" spans="4:20" ht="12.3" x14ac:dyDescent="0.35">
      <c r="D170" s="10" t="str">
        <f t="shared" si="99"/>
        <v>SCADA</v>
      </c>
      <c r="E170" s="45" t="s">
        <v>91</v>
      </c>
      <c r="F170" s="45" t="str">
        <f t="shared" si="100"/>
        <v>$Millions</v>
      </c>
      <c r="G170" s="45" t="str">
        <f t="shared" si="101"/>
        <v>Nominal</v>
      </c>
      <c r="H170" s="45" t="str">
        <f t="shared" si="102"/>
        <v>End year</v>
      </c>
      <c r="J170" s="58">
        <f t="shared" ref="J170:T170" si="110">J25+J54+J83+J112+J141</f>
        <v>6.0661264207651762</v>
      </c>
      <c r="K170" s="56">
        <f t="shared" si="110"/>
        <v>11.175621128341014</v>
      </c>
      <c r="L170" s="57">
        <f t="shared" si="110"/>
        <v>12.029990879891887</v>
      </c>
      <c r="M170" s="57">
        <f t="shared" si="110"/>
        <v>13.354470727943674</v>
      </c>
      <c r="N170" s="57">
        <f t="shared" si="110"/>
        <v>19.312772506178618</v>
      </c>
      <c r="O170" s="58">
        <f t="shared" si="110"/>
        <v>26.774463828107802</v>
      </c>
      <c r="P170" s="56">
        <f t="shared" si="110"/>
        <v>28.331707597221918</v>
      </c>
      <c r="Q170" s="57">
        <f t="shared" si="110"/>
        <v>27.525585419683328</v>
      </c>
      <c r="R170" s="57">
        <f t="shared" si="110"/>
        <v>26.568240411665233</v>
      </c>
      <c r="S170" s="57">
        <f t="shared" si="110"/>
        <v>25.673673926752539</v>
      </c>
      <c r="T170" s="58">
        <f t="shared" si="110"/>
        <v>24.70422363919171</v>
      </c>
    </row>
    <row r="171" spans="4:20" ht="12.3" x14ac:dyDescent="0.35">
      <c r="D171" s="10" t="str">
        <f t="shared" si="99"/>
        <v>Communications</v>
      </c>
      <c r="E171" s="45" t="s">
        <v>91</v>
      </c>
      <c r="F171" s="45" t="str">
        <f t="shared" si="100"/>
        <v>$Millions</v>
      </c>
      <c r="G171" s="45" t="str">
        <f t="shared" si="101"/>
        <v>Nominal</v>
      </c>
      <c r="H171" s="45" t="str">
        <f t="shared" si="102"/>
        <v>End year</v>
      </c>
      <c r="J171" s="58">
        <f t="shared" ref="J171:T171" si="111">J26+J55+J84+J113+J142</f>
        <v>7.9853674043256104</v>
      </c>
      <c r="K171" s="56">
        <f t="shared" si="111"/>
        <v>9.4346802737152267</v>
      </c>
      <c r="L171" s="57">
        <f t="shared" si="111"/>
        <v>10.386563680303832</v>
      </c>
      <c r="M171" s="57">
        <f t="shared" si="111"/>
        <v>11.653475507999303</v>
      </c>
      <c r="N171" s="57">
        <f t="shared" si="111"/>
        <v>13.201677605624806</v>
      </c>
      <c r="O171" s="58">
        <f t="shared" si="111"/>
        <v>14.559448877790878</v>
      </c>
      <c r="P171" s="56">
        <f t="shared" si="111"/>
        <v>20.816576487265387</v>
      </c>
      <c r="Q171" s="57">
        <f t="shared" si="111"/>
        <v>24.596682548278661</v>
      </c>
      <c r="R171" s="57">
        <f t="shared" si="111"/>
        <v>28.659079628380734</v>
      </c>
      <c r="S171" s="57">
        <f t="shared" si="111"/>
        <v>30.296302420770299</v>
      </c>
      <c r="T171" s="58">
        <f t="shared" si="111"/>
        <v>30.536897083152358</v>
      </c>
    </row>
    <row r="172" spans="4:20" ht="12.3" x14ac:dyDescent="0.35">
      <c r="D172" s="10" t="str">
        <f t="shared" si="99"/>
        <v>Land and Easements</v>
      </c>
      <c r="E172" s="45" t="s">
        <v>91</v>
      </c>
      <c r="F172" s="45" t="str">
        <f t="shared" si="100"/>
        <v>$Millions</v>
      </c>
      <c r="G172" s="45" t="str">
        <f t="shared" si="101"/>
        <v>Nominal</v>
      </c>
      <c r="H172" s="45" t="str">
        <f t="shared" si="102"/>
        <v>End year</v>
      </c>
      <c r="J172" s="58">
        <f t="shared" ref="J172:T172" si="112">J27+J56+J85+J114+J143</f>
        <v>37.671980238857458</v>
      </c>
      <c r="K172" s="56">
        <f t="shared" si="112"/>
        <v>46.658995785295687</v>
      </c>
      <c r="L172" s="57">
        <f t="shared" si="112"/>
        <v>47.060536196528865</v>
      </c>
      <c r="M172" s="57">
        <f t="shared" si="112"/>
        <v>48.706851882584907</v>
      </c>
      <c r="N172" s="57">
        <f t="shared" si="112"/>
        <v>52.603400033191697</v>
      </c>
      <c r="O172" s="58">
        <f t="shared" si="112"/>
        <v>55.075759834751707</v>
      </c>
      <c r="P172" s="56">
        <f t="shared" si="112"/>
        <v>56.864530337569484</v>
      </c>
      <c r="Q172" s="57">
        <f t="shared" si="112"/>
        <v>58.524769939474631</v>
      </c>
      <c r="R172" s="57">
        <f t="shared" si="112"/>
        <v>60.23348256172077</v>
      </c>
      <c r="S172" s="57">
        <f t="shared" si="112"/>
        <v>61.992083442023159</v>
      </c>
      <c r="T172" s="58">
        <f t="shared" si="112"/>
        <v>63.802029137944196</v>
      </c>
    </row>
    <row r="173" spans="4:20" ht="12.3" x14ac:dyDescent="0.35">
      <c r="D173" s="10" t="str">
        <f t="shared" si="99"/>
        <v>Property</v>
      </c>
      <c r="E173" s="45" t="s">
        <v>91</v>
      </c>
      <c r="F173" s="45" t="str">
        <f t="shared" si="100"/>
        <v>$Millions</v>
      </c>
      <c r="G173" s="45" t="str">
        <f t="shared" si="101"/>
        <v>Nominal</v>
      </c>
      <c r="H173" s="45" t="str">
        <f t="shared" si="102"/>
        <v>End year</v>
      </c>
      <c r="J173" s="58">
        <f t="shared" ref="J173:T173" si="113">J28+J57+J86+J115+J144</f>
        <v>0.91434008822441104</v>
      </c>
      <c r="K173" s="56">
        <f t="shared" si="113"/>
        <v>10.941722982064954</v>
      </c>
      <c r="L173" s="57">
        <f t="shared" si="113"/>
        <v>10.815075257970452</v>
      </c>
      <c r="M173" s="57">
        <f t="shared" si="113"/>
        <v>10.731754174176267</v>
      </c>
      <c r="N173" s="57">
        <f t="shared" si="113"/>
        <v>13.471510378004057</v>
      </c>
      <c r="O173" s="58">
        <f t="shared" si="113"/>
        <v>14.975625799260101</v>
      </c>
      <c r="P173" s="56">
        <f t="shared" si="113"/>
        <v>20.128088940048617</v>
      </c>
      <c r="Q173" s="57">
        <f t="shared" si="113"/>
        <v>20.744314732811375</v>
      </c>
      <c r="R173" s="57">
        <f t="shared" si="113"/>
        <v>24.327708216477969</v>
      </c>
      <c r="S173" s="57">
        <f t="shared" si="113"/>
        <v>82.909375345955254</v>
      </c>
      <c r="T173" s="58">
        <f t="shared" si="113"/>
        <v>172.12672975069495</v>
      </c>
    </row>
    <row r="174" spans="4:20" ht="12.3" x14ac:dyDescent="0.35">
      <c r="D174" s="10" t="str">
        <f t="shared" si="99"/>
        <v>IT and Communications</v>
      </c>
      <c r="E174" s="45" t="s">
        <v>91</v>
      </c>
      <c r="F174" s="45" t="str">
        <f t="shared" si="100"/>
        <v>$Millions</v>
      </c>
      <c r="G174" s="45" t="str">
        <f t="shared" si="101"/>
        <v>Nominal</v>
      </c>
      <c r="H174" s="45" t="str">
        <f t="shared" si="102"/>
        <v>End year</v>
      </c>
      <c r="J174" s="58">
        <f t="shared" ref="J174:T174" si="114">J29+J58+J87+J116+J145</f>
        <v>11.141157902223615</v>
      </c>
      <c r="K174" s="56">
        <f t="shared" si="114"/>
        <v>17.651763795502941</v>
      </c>
      <c r="L174" s="57">
        <f t="shared" si="114"/>
        <v>17.591454752257381</v>
      </c>
      <c r="M174" s="57">
        <f t="shared" si="114"/>
        <v>20.823444725561622</v>
      </c>
      <c r="N174" s="57">
        <f t="shared" si="114"/>
        <v>41.113045055941342</v>
      </c>
      <c r="O174" s="58">
        <f t="shared" si="114"/>
        <v>62.814563366806325</v>
      </c>
      <c r="P174" s="56">
        <f t="shared" si="114"/>
        <v>78.497582342187997</v>
      </c>
      <c r="Q174" s="57">
        <f t="shared" si="114"/>
        <v>101.05365713305562</v>
      </c>
      <c r="R174" s="57">
        <f t="shared" si="114"/>
        <v>117.41435246755303</v>
      </c>
      <c r="S174" s="57">
        <f t="shared" si="114"/>
        <v>128.29852441576458</v>
      </c>
      <c r="T174" s="58">
        <f t="shared" si="114"/>
        <v>140.14356949778585</v>
      </c>
    </row>
    <row r="175" spans="4:20" ht="12.3" x14ac:dyDescent="0.35">
      <c r="D175" s="10" t="str">
        <f t="shared" si="99"/>
        <v>Motor Vehicles</v>
      </c>
      <c r="E175" s="45" t="s">
        <v>91</v>
      </c>
      <c r="F175" s="45" t="str">
        <f t="shared" si="100"/>
        <v>$Millions</v>
      </c>
      <c r="G175" s="45" t="str">
        <f t="shared" si="101"/>
        <v>Nominal</v>
      </c>
      <c r="H175" s="45" t="str">
        <f t="shared" si="102"/>
        <v>End year</v>
      </c>
      <c r="J175" s="58">
        <f t="shared" ref="J175:T175" si="115">J30+J59+J88+J117+J146</f>
        <v>8.9217707199888099E-2</v>
      </c>
      <c r="K175" s="56">
        <f t="shared" si="115"/>
        <v>0.35493483755678068</v>
      </c>
      <c r="L175" s="57">
        <f t="shared" si="115"/>
        <v>0.82718418450465681</v>
      </c>
      <c r="M175" s="57">
        <f t="shared" si="115"/>
        <v>0.94294049211521414</v>
      </c>
      <c r="N175" s="57">
        <f t="shared" si="115"/>
        <v>0.98087939123707368</v>
      </c>
      <c r="O175" s="58">
        <f t="shared" si="115"/>
        <v>0.98648467515806992</v>
      </c>
      <c r="P175" s="56">
        <f t="shared" si="115"/>
        <v>0.93760454651347402</v>
      </c>
      <c r="Q175" s="57">
        <f t="shared" si="115"/>
        <v>0.84005949956203996</v>
      </c>
      <c r="R175" s="57">
        <f t="shared" si="115"/>
        <v>0.73601928203767897</v>
      </c>
      <c r="S175" s="57">
        <f t="shared" si="115"/>
        <v>0.62518777304274875</v>
      </c>
      <c r="T175" s="58">
        <f t="shared" si="115"/>
        <v>0.53488614534255674</v>
      </c>
    </row>
    <row r="176" spans="4:20" ht="12.3" x14ac:dyDescent="0.35">
      <c r="D176" s="10" t="str">
        <f t="shared" si="99"/>
        <v>Plant and Equipment</v>
      </c>
      <c r="E176" s="45" t="s">
        <v>91</v>
      </c>
      <c r="F176" s="45" t="str">
        <f t="shared" si="100"/>
        <v>$Millions</v>
      </c>
      <c r="G176" s="45" t="str">
        <f t="shared" si="101"/>
        <v>Nominal</v>
      </c>
      <c r="H176" s="45" t="str">
        <f t="shared" si="102"/>
        <v>End year</v>
      </c>
      <c r="J176" s="58">
        <f t="shared" ref="J176:T176" si="116">J31+J60+J89+J118+J147</f>
        <v>5.3862280615350535</v>
      </c>
      <c r="K176" s="56">
        <f t="shared" si="116"/>
        <v>4.9340649284162454</v>
      </c>
      <c r="L176" s="57">
        <f t="shared" si="116"/>
        <v>5.9126158554742538</v>
      </c>
      <c r="M176" s="57">
        <f t="shared" si="116"/>
        <v>6.6567188597653857</v>
      </c>
      <c r="N176" s="57">
        <f t="shared" si="116"/>
        <v>7.4412741749276039</v>
      </c>
      <c r="O176" s="58">
        <f t="shared" si="116"/>
        <v>8.1680036887938154</v>
      </c>
      <c r="P176" s="56">
        <f t="shared" si="116"/>
        <v>11.13152251469093</v>
      </c>
      <c r="Q176" s="57">
        <f t="shared" si="116"/>
        <v>13.376348173575149</v>
      </c>
      <c r="R176" s="57">
        <f t="shared" si="116"/>
        <v>14.929838039437163</v>
      </c>
      <c r="S176" s="57">
        <f t="shared" si="116"/>
        <v>16.049569995561352</v>
      </c>
      <c r="T176" s="58">
        <f t="shared" si="116"/>
        <v>17.151292932159098</v>
      </c>
    </row>
    <row r="177" spans="1:20" ht="12.3" x14ac:dyDescent="0.35">
      <c r="D177" s="10" t="str">
        <f t="shared" si="99"/>
        <v>Property Leases</v>
      </c>
      <c r="E177" s="45" t="s">
        <v>91</v>
      </c>
      <c r="F177" s="45" t="str">
        <f t="shared" si="100"/>
        <v>$Millions</v>
      </c>
      <c r="G177" s="45" t="str">
        <f t="shared" si="101"/>
        <v>Nominal</v>
      </c>
      <c r="H177" s="45" t="str">
        <f t="shared" si="102"/>
        <v>End year</v>
      </c>
      <c r="J177" s="58">
        <f t="shared" ref="J177:T177" si="117">J32+J61+J90+J119+J148</f>
        <v>0</v>
      </c>
      <c r="K177" s="56">
        <f t="shared" si="117"/>
        <v>3.3387922007628603</v>
      </c>
      <c r="L177" s="57">
        <f t="shared" si="117"/>
        <v>3.8627975907626748</v>
      </c>
      <c r="M177" s="57">
        <f t="shared" si="117"/>
        <v>13.731488906029872</v>
      </c>
      <c r="N177" s="57">
        <f t="shared" si="117"/>
        <v>13.238996930133146</v>
      </c>
      <c r="O177" s="58">
        <f t="shared" si="117"/>
        <v>17.298299331913139</v>
      </c>
      <c r="P177" s="56">
        <f t="shared" si="117"/>
        <v>16.520694616833413</v>
      </c>
      <c r="Q177" s="57">
        <f t="shared" si="117"/>
        <v>15.682937798495614</v>
      </c>
      <c r="R177" s="57">
        <f t="shared" si="117"/>
        <v>23.146153904387713</v>
      </c>
      <c r="S177" s="57">
        <f t="shared" si="117"/>
        <v>20.497471049633454</v>
      </c>
      <c r="T177" s="58">
        <f t="shared" si="117"/>
        <v>18.834920168508948</v>
      </c>
    </row>
    <row r="178" spans="1:20" ht="12.3" x14ac:dyDescent="0.35">
      <c r="D178" s="10" t="str">
        <f t="shared" si="99"/>
        <v>Fleet Leases</v>
      </c>
      <c r="E178" s="45" t="s">
        <v>91</v>
      </c>
      <c r="F178" s="45" t="str">
        <f t="shared" si="100"/>
        <v>$Millions</v>
      </c>
      <c r="G178" s="45" t="str">
        <f t="shared" si="101"/>
        <v>Nominal</v>
      </c>
      <c r="H178" s="45" t="str">
        <f t="shared" si="102"/>
        <v>End year</v>
      </c>
      <c r="J178" s="58">
        <f t="shared" ref="J178:T179" si="118">J33+J62+J91+J120+J149</f>
        <v>0</v>
      </c>
      <c r="K178" s="56">
        <f t="shared" si="118"/>
        <v>14.579348294461219</v>
      </c>
      <c r="L178" s="57">
        <f t="shared" si="118"/>
        <v>14.361771413842579</v>
      </c>
      <c r="M178" s="57">
        <f t="shared" si="118"/>
        <v>14.081624375972506</v>
      </c>
      <c r="N178" s="57">
        <f t="shared" si="118"/>
        <v>14.42989188615417</v>
      </c>
      <c r="O178" s="58">
        <f t="shared" si="118"/>
        <v>11.749555018192927</v>
      </c>
      <c r="P178" s="56">
        <f t="shared" si="118"/>
        <v>9.9459864734262098</v>
      </c>
      <c r="Q178" s="57">
        <f t="shared" si="118"/>
        <v>11.102913009663373</v>
      </c>
      <c r="R178" s="57">
        <f t="shared" si="118"/>
        <v>13.589116932742924</v>
      </c>
      <c r="S178" s="57">
        <f t="shared" si="118"/>
        <v>15.465777314729461</v>
      </c>
      <c r="T178" s="58">
        <f t="shared" si="118"/>
        <v>16.26701626630058</v>
      </c>
    </row>
    <row r="179" spans="1:20" ht="12.3" x14ac:dyDescent="0.35">
      <c r="D179" s="10" t="str">
        <f t="shared" si="99"/>
        <v>Community Batteries</v>
      </c>
      <c r="E179" s="45" t="s">
        <v>91</v>
      </c>
      <c r="F179" s="45" t="str">
        <f t="shared" si="100"/>
        <v>$Millions</v>
      </c>
      <c r="G179" s="45" t="str">
        <f t="shared" si="101"/>
        <v>Nominal</v>
      </c>
      <c r="H179" s="45" t="str">
        <f t="shared" si="102"/>
        <v>End year</v>
      </c>
      <c r="J179" s="58">
        <f t="shared" si="118"/>
        <v>0</v>
      </c>
      <c r="K179" s="56">
        <f t="shared" si="118"/>
        <v>0</v>
      </c>
      <c r="L179" s="57">
        <f t="shared" si="118"/>
        <v>0</v>
      </c>
      <c r="M179" s="57">
        <f t="shared" si="118"/>
        <v>0</v>
      </c>
      <c r="N179" s="57">
        <f t="shared" si="118"/>
        <v>0</v>
      </c>
      <c r="O179" s="58">
        <f t="shared" si="118"/>
        <v>0</v>
      </c>
      <c r="P179" s="56">
        <f t="shared" si="118"/>
        <v>0</v>
      </c>
      <c r="Q179" s="57">
        <f t="shared" si="118"/>
        <v>0</v>
      </c>
      <c r="R179" s="57">
        <f t="shared" si="118"/>
        <v>0</v>
      </c>
      <c r="S179" s="57">
        <f t="shared" si="118"/>
        <v>0</v>
      </c>
      <c r="T179" s="58">
        <f t="shared" si="118"/>
        <v>0</v>
      </c>
    </row>
    <row r="180" spans="1:20" ht="12.3" x14ac:dyDescent="0.35">
      <c r="D180" s="10" t="str">
        <f>D35</f>
        <v>Buildings</v>
      </c>
      <c r="E180" s="45" t="s">
        <v>91</v>
      </c>
      <c r="F180" s="45" t="str">
        <f t="shared" si="100"/>
        <v>$Millions</v>
      </c>
      <c r="G180" s="45" t="str">
        <f t="shared" si="101"/>
        <v>Nominal</v>
      </c>
      <c r="H180" s="45" t="str">
        <f t="shared" si="102"/>
        <v>End year</v>
      </c>
      <c r="J180" s="58">
        <f t="shared" ref="J180:T180" si="119">J35+J64+J93+J122+J151</f>
        <v>0</v>
      </c>
      <c r="K180" s="56">
        <f t="shared" si="119"/>
        <v>0.1639301154679205</v>
      </c>
      <c r="L180" s="57">
        <f t="shared" si="119"/>
        <v>0.85558784631163998</v>
      </c>
      <c r="M180" s="57">
        <f t="shared" si="119"/>
        <v>3.1432617912538889</v>
      </c>
      <c r="N180" s="57">
        <f t="shared" si="119"/>
        <v>3.3741733616611373</v>
      </c>
      <c r="O180" s="58">
        <f t="shared" si="119"/>
        <v>3.5063117665853714</v>
      </c>
      <c r="P180" s="56">
        <f t="shared" si="119"/>
        <v>3.5128815251522116</v>
      </c>
      <c r="Q180" s="57">
        <f t="shared" si="119"/>
        <v>3.5168460256784271</v>
      </c>
      <c r="R180" s="57">
        <f t="shared" si="119"/>
        <v>3.5180475395917097</v>
      </c>
      <c r="S180" s="57">
        <f t="shared" si="119"/>
        <v>3.5163213489062133</v>
      </c>
      <c r="T180" s="58">
        <f t="shared" si="119"/>
        <v>3.5114954725436549</v>
      </c>
    </row>
    <row r="181" spans="1:20" ht="12.3" x14ac:dyDescent="0.35">
      <c r="D181" s="10" t="str">
        <f>D36</f>
        <v>in-house software</v>
      </c>
      <c r="E181" s="45" t="s">
        <v>91</v>
      </c>
      <c r="F181" s="45" t="str">
        <f t="shared" si="100"/>
        <v>$Millions</v>
      </c>
      <c r="G181" s="45" t="str">
        <f t="shared" si="101"/>
        <v>Nominal</v>
      </c>
      <c r="H181" s="45" t="str">
        <f t="shared" si="102"/>
        <v>End year</v>
      </c>
      <c r="J181" s="58">
        <f t="shared" ref="J181:T181" si="120">J36+J65+J94+J123+J152</f>
        <v>0</v>
      </c>
      <c r="K181" s="56">
        <f t="shared" si="120"/>
        <v>0</v>
      </c>
      <c r="L181" s="57">
        <f t="shared" si="120"/>
        <v>-5.2086373898768877E-2</v>
      </c>
      <c r="M181" s="57">
        <f t="shared" si="120"/>
        <v>-0.29557866769059948</v>
      </c>
      <c r="N181" s="57">
        <f t="shared" si="120"/>
        <v>-0.63248449815904739</v>
      </c>
      <c r="O181" s="58">
        <f t="shared" si="120"/>
        <v>-1.2770162921904231</v>
      </c>
      <c r="P181" s="56">
        <f t="shared" si="120"/>
        <v>0</v>
      </c>
      <c r="Q181" s="57">
        <f t="shared" si="120"/>
        <v>0</v>
      </c>
      <c r="R181" s="57">
        <f t="shared" si="120"/>
        <v>0</v>
      </c>
      <c r="S181" s="57">
        <f t="shared" si="120"/>
        <v>0</v>
      </c>
      <c r="T181" s="58">
        <f t="shared" si="120"/>
        <v>0</v>
      </c>
    </row>
    <row r="182" spans="1:20" ht="12.3" x14ac:dyDescent="0.35">
      <c r="D182" s="10" t="str">
        <f t="shared" ref="D182" si="121">D37</f>
        <v>Equity Raising Costs</v>
      </c>
      <c r="E182" s="45" t="s">
        <v>91</v>
      </c>
      <c r="F182" s="45" t="str">
        <f t="shared" si="100"/>
        <v>$Millions</v>
      </c>
      <c r="G182" s="45" t="str">
        <f t="shared" si="101"/>
        <v>Nominal</v>
      </c>
      <c r="H182" s="45" t="str">
        <f t="shared" si="102"/>
        <v>End year</v>
      </c>
      <c r="J182" s="58">
        <f t="shared" ref="J182:T182" si="122">J37+J66+J95+J124+J153</f>
        <v>0</v>
      </c>
      <c r="K182" s="56">
        <f t="shared" si="122"/>
        <v>0</v>
      </c>
      <c r="L182" s="57">
        <f t="shared" si="122"/>
        <v>0</v>
      </c>
      <c r="M182" s="57">
        <f t="shared" si="122"/>
        <v>0</v>
      </c>
      <c r="N182" s="57">
        <f t="shared" si="122"/>
        <v>0</v>
      </c>
      <c r="O182" s="58">
        <f t="shared" si="122"/>
        <v>0</v>
      </c>
      <c r="P182" s="56">
        <f t="shared" si="122"/>
        <v>0</v>
      </c>
      <c r="Q182" s="57">
        <f t="shared" si="122"/>
        <v>0</v>
      </c>
      <c r="R182" s="57">
        <f t="shared" si="122"/>
        <v>0</v>
      </c>
      <c r="S182" s="57">
        <f t="shared" si="122"/>
        <v>0</v>
      </c>
      <c r="T182" s="58">
        <f t="shared" si="122"/>
        <v>0</v>
      </c>
    </row>
    <row r="183" spans="1:20" x14ac:dyDescent="0.35">
      <c r="J183" s="49"/>
      <c r="K183" s="48"/>
      <c r="O183" s="49"/>
      <c r="P183" s="48"/>
      <c r="T183" s="49"/>
    </row>
    <row r="184" spans="1:20" ht="12.3" x14ac:dyDescent="0.35">
      <c r="D184" s="44" t="str">
        <f>"Total "&amp;D161</f>
        <v>Total RAB asset class</v>
      </c>
      <c r="E184" s="40" t="s">
        <v>91</v>
      </c>
      <c r="F184" s="40" t="str">
        <f>F163</f>
        <v>$Millions</v>
      </c>
      <c r="G184" s="40" t="str">
        <f>G163</f>
        <v>Nominal</v>
      </c>
      <c r="H184" s="40" t="str">
        <f>H163</f>
        <v>End year</v>
      </c>
      <c r="J184" s="54">
        <f t="shared" ref="J184:T184" si="123">SUM(J163:J182)</f>
        <v>854.83621424096691</v>
      </c>
      <c r="K184" s="53">
        <f t="shared" si="123"/>
        <v>903.76415364830234</v>
      </c>
      <c r="L184" s="39">
        <f t="shared" si="123"/>
        <v>906.78614629204526</v>
      </c>
      <c r="M184" s="39">
        <f t="shared" si="123"/>
        <v>957.43920038940121</v>
      </c>
      <c r="N184" s="39">
        <f t="shared" si="123"/>
        <v>1070.8785146366586</v>
      </c>
      <c r="O184" s="54">
        <f t="shared" si="123"/>
        <v>1166.4679001064455</v>
      </c>
      <c r="P184" s="53">
        <f t="shared" si="123"/>
        <v>1239.2838617950497</v>
      </c>
      <c r="Q184" s="39">
        <f t="shared" si="123"/>
        <v>1311.9944233932206</v>
      </c>
      <c r="R184" s="39">
        <f t="shared" si="123"/>
        <v>1372.1869422329878</v>
      </c>
      <c r="S184" s="39">
        <f t="shared" si="123"/>
        <v>1462.9316811198098</v>
      </c>
      <c r="T184" s="54">
        <f t="shared" si="123"/>
        <v>1583.2486123290957</v>
      </c>
    </row>
    <row r="185" spans="1:20" ht="11.25" customHeight="1" x14ac:dyDescent="0.35"/>
    <row r="186" spans="1:20" ht="11.25" customHeight="1" x14ac:dyDescent="0.35">
      <c r="A186" s="42">
        <f>IF(SUM($J186:$T186)&lt;&gt;0,1,0)</f>
        <v>0</v>
      </c>
      <c r="D186" s="10" t="s">
        <v>94</v>
      </c>
      <c r="J186" s="42">
        <f t="shared" ref="J186:K186" si="124">IF(ISERROR(J184),1,0)</f>
        <v>0</v>
      </c>
      <c r="K186" s="42">
        <f t="shared" si="124"/>
        <v>0</v>
      </c>
      <c r="L186" s="42">
        <f>IF(ISERROR(L184),1,0)</f>
        <v>0</v>
      </c>
      <c r="M186" s="42">
        <f t="shared" ref="M186:P186" si="125">IF(ISERROR(M184),1,0)</f>
        <v>0</v>
      </c>
      <c r="N186" s="42">
        <f t="shared" si="125"/>
        <v>0</v>
      </c>
      <c r="O186" s="42">
        <f t="shared" si="125"/>
        <v>0</v>
      </c>
      <c r="P186" s="42">
        <f t="shared" si="125"/>
        <v>0</v>
      </c>
      <c r="Q186" s="42">
        <f>IF(ISERROR(Q184),1,0)</f>
        <v>0</v>
      </c>
      <c r="R186" s="42">
        <f t="shared" ref="R186:T186" si="126">IF(ISERROR(R184),1,0)</f>
        <v>0</v>
      </c>
      <c r="S186" s="42">
        <f t="shared" si="126"/>
        <v>0</v>
      </c>
      <c r="T186" s="42">
        <f t="shared" si="126"/>
        <v>0</v>
      </c>
    </row>
    <row r="188" spans="1:20" s="8" customFormat="1" ht="14.1" x14ac:dyDescent="0.35">
      <c r="C188" s="8" t="s">
        <v>144</v>
      </c>
    </row>
    <row r="189" spans="1:20" ht="11.25" customHeight="1" x14ac:dyDescent="0.35"/>
    <row r="190" spans="1:20" ht="12.3" x14ac:dyDescent="0.35">
      <c r="D190" s="43" t="str">
        <f>D$16</f>
        <v>RAB asset class</v>
      </c>
      <c r="E190" s="38" t="str">
        <f>Lookup!E$20</f>
        <v>Source</v>
      </c>
      <c r="F190" s="38" t="str">
        <f>Lookup!F$20</f>
        <v>Unit</v>
      </c>
      <c r="G190" s="38" t="str">
        <f>Lookup!G$20</f>
        <v>Basis</v>
      </c>
      <c r="H190" s="38" t="str">
        <f>Lookup!H$20</f>
        <v>Timing</v>
      </c>
      <c r="J190" s="47" t="str">
        <f t="shared" ref="J190:T190" si="127">J$10</f>
        <v>RY19</v>
      </c>
      <c r="K190" s="46" t="str">
        <f t="shared" si="127"/>
        <v>RY20</v>
      </c>
      <c r="L190" s="38" t="str">
        <f>L$10</f>
        <v>RY21</v>
      </c>
      <c r="M190" s="38" t="str">
        <f t="shared" si="127"/>
        <v>RY22</v>
      </c>
      <c r="N190" s="38" t="str">
        <f t="shared" si="127"/>
        <v>RY23</v>
      </c>
      <c r="O190" s="47" t="str">
        <f t="shared" si="127"/>
        <v>RY24</v>
      </c>
      <c r="P190" s="46" t="str">
        <f t="shared" si="127"/>
        <v>RY25</v>
      </c>
      <c r="Q190" s="38" t="str">
        <f>Q$10</f>
        <v>RY26</v>
      </c>
      <c r="R190" s="38" t="str">
        <f t="shared" si="127"/>
        <v>RY27</v>
      </c>
      <c r="S190" s="38" t="str">
        <f t="shared" si="127"/>
        <v>RY28</v>
      </c>
      <c r="T190" s="47" t="str">
        <f t="shared" si="127"/>
        <v>RY29</v>
      </c>
    </row>
    <row r="191" spans="1:20" x14ac:dyDescent="0.35">
      <c r="J191" s="49"/>
      <c r="K191" s="48"/>
      <c r="O191" s="49"/>
      <c r="P191" s="48"/>
      <c r="T191" s="49"/>
    </row>
    <row r="192" spans="1:20" ht="12.3" x14ac:dyDescent="0.35">
      <c r="D192" s="10" t="str">
        <f t="shared" ref="D192:D208" si="128">D18</f>
        <v>Substations</v>
      </c>
      <c r="E192" s="45" t="str">
        <f>$E$18</f>
        <v>Calculated</v>
      </c>
      <c r="F192" s="45" t="str">
        <f t="shared" ref="F192:F211" si="129">Millions</f>
        <v>$Millions</v>
      </c>
      <c r="G192" s="45" t="str">
        <f t="shared" ref="G192:G211" si="130">Nominal</f>
        <v>Nominal</v>
      </c>
      <c r="H192" s="45" t="str">
        <f t="shared" ref="H192:H211" si="131">End_year</f>
        <v>End year</v>
      </c>
      <c r="J192" s="58">
        <f>Input_RAB_SCS!J200-Calc_RAB_Connection!J192</f>
        <v>-26.678528229365554</v>
      </c>
      <c r="K192" s="56">
        <f>Input_RAB_SCS!K200-Calc_RAB_Connection!K192</f>
        <v>0</v>
      </c>
      <c r="L192" s="57">
        <f>Input_RAB_SCS!L200-Calc_RAB_Connection!L192</f>
        <v>0</v>
      </c>
      <c r="M192" s="57">
        <f>Input_RAB_SCS!M200-Calc_RAB_Connection!M192</f>
        <v>0</v>
      </c>
      <c r="N192" s="57">
        <f>Input_RAB_SCS!N200-Calc_RAB_Connection!N192</f>
        <v>0</v>
      </c>
      <c r="O192" s="58">
        <f>Input_RAB_SCS!O200-Calc_RAB_Connection!O192</f>
        <v>-3.1924871120250886</v>
      </c>
      <c r="P192" s="56">
        <f>Input_RAB_SCS!P200-Calc_RAB_Connection!P192</f>
        <v>0</v>
      </c>
      <c r="Q192" s="57">
        <f>Input_RAB_SCS!Q200-Calc_RAB_Connection!Q192</f>
        <v>0</v>
      </c>
      <c r="R192" s="57">
        <f>Input_RAB_SCS!R200-Calc_RAB_Connection!R192</f>
        <v>0</v>
      </c>
      <c r="S192" s="57">
        <f>Input_RAB_SCS!S200-Calc_RAB_Connection!S192</f>
        <v>0</v>
      </c>
      <c r="T192" s="58">
        <f>Input_RAB_SCS!T200-Calc_RAB_Connection!T192</f>
        <v>0</v>
      </c>
    </row>
    <row r="193" spans="4:20" ht="12.3" x14ac:dyDescent="0.35">
      <c r="D193" s="10" t="str">
        <f t="shared" si="128"/>
        <v>Distribution Lines</v>
      </c>
      <c r="E193" s="45" t="str">
        <f t="shared" ref="E193:E210" si="132">E192</f>
        <v>Calculated</v>
      </c>
      <c r="F193" s="45" t="str">
        <f t="shared" si="129"/>
        <v>$Millions</v>
      </c>
      <c r="G193" s="45" t="str">
        <f t="shared" si="130"/>
        <v>Nominal</v>
      </c>
      <c r="H193" s="45" t="str">
        <f t="shared" si="131"/>
        <v>End year</v>
      </c>
      <c r="J193" s="58">
        <f>Input_RAB_SCS!J201-Calc_RAB_Connection!J193</f>
        <v>-3.6158037998904344</v>
      </c>
      <c r="K193" s="56">
        <f>Input_RAB_SCS!K201-Calc_RAB_Connection!K193</f>
        <v>0</v>
      </c>
      <c r="L193" s="57">
        <f>Input_RAB_SCS!L201-Calc_RAB_Connection!L193</f>
        <v>0</v>
      </c>
      <c r="M193" s="57">
        <f>Input_RAB_SCS!M201-Calc_RAB_Connection!M193</f>
        <v>0</v>
      </c>
      <c r="N193" s="57">
        <f>Input_RAB_SCS!N201-Calc_RAB_Connection!N193</f>
        <v>0</v>
      </c>
      <c r="O193" s="58">
        <f>Input_RAB_SCS!O201-Calc_RAB_Connection!O193</f>
        <v>-0.24134249610490774</v>
      </c>
      <c r="P193" s="56">
        <f>Input_RAB_SCS!P201-Calc_RAB_Connection!P193</f>
        <v>0</v>
      </c>
      <c r="Q193" s="57">
        <f>Input_RAB_SCS!Q201-Calc_RAB_Connection!Q193</f>
        <v>0</v>
      </c>
      <c r="R193" s="57">
        <f>Input_RAB_SCS!R201-Calc_RAB_Connection!R193</f>
        <v>0</v>
      </c>
      <c r="S193" s="57">
        <f>Input_RAB_SCS!S201-Calc_RAB_Connection!S193</f>
        <v>0</v>
      </c>
      <c r="T193" s="58">
        <f>Input_RAB_SCS!T201-Calc_RAB_Connection!T193</f>
        <v>0</v>
      </c>
    </row>
    <row r="194" spans="4:20" ht="12.3" x14ac:dyDescent="0.35">
      <c r="D194" s="10" t="str">
        <f t="shared" si="128"/>
        <v>Transmission Lines</v>
      </c>
      <c r="E194" s="45" t="str">
        <f t="shared" si="132"/>
        <v>Calculated</v>
      </c>
      <c r="F194" s="45" t="str">
        <f t="shared" si="129"/>
        <v>$Millions</v>
      </c>
      <c r="G194" s="45" t="str">
        <f t="shared" si="130"/>
        <v>Nominal</v>
      </c>
      <c r="H194" s="45" t="str">
        <f t="shared" si="131"/>
        <v>End year</v>
      </c>
      <c r="J194" s="58">
        <f>Input_RAB_SCS!J202-Calc_RAB_Connection!J194</f>
        <v>1.5437897219319539</v>
      </c>
      <c r="K194" s="56">
        <f>Input_RAB_SCS!K202-Calc_RAB_Connection!K194</f>
        <v>0</v>
      </c>
      <c r="L194" s="57">
        <f>Input_RAB_SCS!L202-Calc_RAB_Connection!L194</f>
        <v>0</v>
      </c>
      <c r="M194" s="57">
        <f>Input_RAB_SCS!M202-Calc_RAB_Connection!M194</f>
        <v>0</v>
      </c>
      <c r="N194" s="57">
        <f>Input_RAB_SCS!N202-Calc_RAB_Connection!N194</f>
        <v>0</v>
      </c>
      <c r="O194" s="58">
        <f>Input_RAB_SCS!O202-Calc_RAB_Connection!O194</f>
        <v>4.2710306878240178</v>
      </c>
      <c r="P194" s="56">
        <f>Input_RAB_SCS!P202-Calc_RAB_Connection!P194</f>
        <v>0</v>
      </c>
      <c r="Q194" s="57">
        <f>Input_RAB_SCS!Q202-Calc_RAB_Connection!Q194</f>
        <v>0</v>
      </c>
      <c r="R194" s="57">
        <f>Input_RAB_SCS!R202-Calc_RAB_Connection!R194</f>
        <v>0</v>
      </c>
      <c r="S194" s="57">
        <f>Input_RAB_SCS!S202-Calc_RAB_Connection!S194</f>
        <v>0</v>
      </c>
      <c r="T194" s="58">
        <f>Input_RAB_SCS!T202-Calc_RAB_Connection!T194</f>
        <v>0</v>
      </c>
    </row>
    <row r="195" spans="4:20" ht="12.3" x14ac:dyDescent="0.35">
      <c r="D195" s="10" t="str">
        <f t="shared" si="128"/>
        <v>LV Services</v>
      </c>
      <c r="E195" s="45" t="str">
        <f t="shared" si="132"/>
        <v>Calculated</v>
      </c>
      <c r="F195" s="45" t="str">
        <f t="shared" si="129"/>
        <v>$Millions</v>
      </c>
      <c r="G195" s="45" t="str">
        <f t="shared" si="130"/>
        <v>Nominal</v>
      </c>
      <c r="H195" s="45" t="str">
        <f t="shared" si="131"/>
        <v>End year</v>
      </c>
      <c r="J195" s="58">
        <f>Input_RAB_SCS!J203-Calc_RAB_Connection!J195</f>
        <v>1.1649956734222269</v>
      </c>
      <c r="K195" s="56">
        <f>Input_RAB_SCS!K203-Calc_RAB_Connection!K195</f>
        <v>0</v>
      </c>
      <c r="L195" s="57">
        <f>Input_RAB_SCS!L203-Calc_RAB_Connection!L195</f>
        <v>0</v>
      </c>
      <c r="M195" s="57">
        <f>Input_RAB_SCS!M203-Calc_RAB_Connection!M195</f>
        <v>0</v>
      </c>
      <c r="N195" s="57">
        <f>Input_RAB_SCS!N203-Calc_RAB_Connection!N195</f>
        <v>0</v>
      </c>
      <c r="O195" s="58">
        <f>Input_RAB_SCS!O203-Calc_RAB_Connection!O195</f>
        <v>7.8480114968021653E-2</v>
      </c>
      <c r="P195" s="56">
        <f>Input_RAB_SCS!P203-Calc_RAB_Connection!P195</f>
        <v>0</v>
      </c>
      <c r="Q195" s="57">
        <f>Input_RAB_SCS!Q203-Calc_RAB_Connection!Q195</f>
        <v>0</v>
      </c>
      <c r="R195" s="57">
        <f>Input_RAB_SCS!R203-Calc_RAB_Connection!R195</f>
        <v>0</v>
      </c>
      <c r="S195" s="57">
        <f>Input_RAB_SCS!S203-Calc_RAB_Connection!S195</f>
        <v>0</v>
      </c>
      <c r="T195" s="58">
        <f>Input_RAB_SCS!T203-Calc_RAB_Connection!T195</f>
        <v>0</v>
      </c>
    </row>
    <row r="196" spans="4:20" ht="12.3" x14ac:dyDescent="0.35">
      <c r="D196" s="10" t="str">
        <f t="shared" si="128"/>
        <v>Distribution Substations</v>
      </c>
      <c r="E196" s="45" t="str">
        <f t="shared" si="132"/>
        <v>Calculated</v>
      </c>
      <c r="F196" s="45" t="str">
        <f t="shared" si="129"/>
        <v>$Millions</v>
      </c>
      <c r="G196" s="45" t="str">
        <f t="shared" si="130"/>
        <v>Nominal</v>
      </c>
      <c r="H196" s="45" t="str">
        <f t="shared" si="131"/>
        <v>End year</v>
      </c>
      <c r="J196" s="58">
        <f>Input_RAB_SCS!J204-Calc_RAB_Connection!J196</f>
        <v>3.205031309875122</v>
      </c>
      <c r="K196" s="56">
        <f>Input_RAB_SCS!K204-Calc_RAB_Connection!K196</f>
        <v>0</v>
      </c>
      <c r="L196" s="57">
        <f>Input_RAB_SCS!L204-Calc_RAB_Connection!L196</f>
        <v>0</v>
      </c>
      <c r="M196" s="57">
        <f>Input_RAB_SCS!M204-Calc_RAB_Connection!M196</f>
        <v>0</v>
      </c>
      <c r="N196" s="57">
        <f>Input_RAB_SCS!N204-Calc_RAB_Connection!N196</f>
        <v>0</v>
      </c>
      <c r="O196" s="58">
        <f>Input_RAB_SCS!O204-Calc_RAB_Connection!O196</f>
        <v>0.27237356781742722</v>
      </c>
      <c r="P196" s="56">
        <f>Input_RAB_SCS!P204-Calc_RAB_Connection!P196</f>
        <v>0</v>
      </c>
      <c r="Q196" s="57">
        <f>Input_RAB_SCS!Q204-Calc_RAB_Connection!Q196</f>
        <v>0</v>
      </c>
      <c r="R196" s="57">
        <f>Input_RAB_SCS!R204-Calc_RAB_Connection!R196</f>
        <v>0</v>
      </c>
      <c r="S196" s="57">
        <f>Input_RAB_SCS!S204-Calc_RAB_Connection!S196</f>
        <v>0</v>
      </c>
      <c r="T196" s="58">
        <f>Input_RAB_SCS!T204-Calc_RAB_Connection!T196</f>
        <v>0</v>
      </c>
    </row>
    <row r="197" spans="4:20" ht="12.3" x14ac:dyDescent="0.35">
      <c r="D197" s="10" t="str">
        <f t="shared" si="128"/>
        <v>Distribution Switchgear</v>
      </c>
      <c r="E197" s="45" t="str">
        <f t="shared" si="132"/>
        <v>Calculated</v>
      </c>
      <c r="F197" s="45" t="str">
        <f t="shared" si="129"/>
        <v>$Millions</v>
      </c>
      <c r="G197" s="45" t="str">
        <f t="shared" si="130"/>
        <v>Nominal</v>
      </c>
      <c r="H197" s="45" t="str">
        <f t="shared" si="131"/>
        <v>End year</v>
      </c>
      <c r="J197" s="58">
        <f>Input_RAB_SCS!J205-Calc_RAB_Connection!J197</f>
        <v>3.288242404730827</v>
      </c>
      <c r="K197" s="56">
        <f>Input_RAB_SCS!K205-Calc_RAB_Connection!K197</f>
        <v>0</v>
      </c>
      <c r="L197" s="57">
        <f>Input_RAB_SCS!L205-Calc_RAB_Connection!L197</f>
        <v>0</v>
      </c>
      <c r="M197" s="57">
        <f>Input_RAB_SCS!M205-Calc_RAB_Connection!M197</f>
        <v>0</v>
      </c>
      <c r="N197" s="57">
        <f>Input_RAB_SCS!N205-Calc_RAB_Connection!N197</f>
        <v>0</v>
      </c>
      <c r="O197" s="58">
        <f>Input_RAB_SCS!O205-Calc_RAB_Connection!O197</f>
        <v>-0.77112097193742624</v>
      </c>
      <c r="P197" s="56">
        <f>Input_RAB_SCS!P205-Calc_RAB_Connection!P197</f>
        <v>0</v>
      </c>
      <c r="Q197" s="57">
        <f>Input_RAB_SCS!Q205-Calc_RAB_Connection!Q197</f>
        <v>0</v>
      </c>
      <c r="R197" s="57">
        <f>Input_RAB_SCS!R205-Calc_RAB_Connection!R197</f>
        <v>0</v>
      </c>
      <c r="S197" s="57">
        <f>Input_RAB_SCS!S205-Calc_RAB_Connection!S197</f>
        <v>0</v>
      </c>
      <c r="T197" s="58">
        <f>Input_RAB_SCS!T205-Calc_RAB_Connection!T197</f>
        <v>0</v>
      </c>
    </row>
    <row r="198" spans="4:20" ht="12.3" x14ac:dyDescent="0.35">
      <c r="D198" s="10" t="str">
        <f t="shared" si="128"/>
        <v>Protection</v>
      </c>
      <c r="E198" s="45" t="str">
        <f t="shared" si="132"/>
        <v>Calculated</v>
      </c>
      <c r="F198" s="45" t="str">
        <f t="shared" si="129"/>
        <v>$Millions</v>
      </c>
      <c r="G198" s="45" t="str">
        <f t="shared" si="130"/>
        <v>Nominal</v>
      </c>
      <c r="H198" s="45" t="str">
        <f t="shared" si="131"/>
        <v>End year</v>
      </c>
      <c r="J198" s="58">
        <f>Input_RAB_SCS!J206-Calc_RAB_Connection!J198</f>
        <v>8.2724221304934424</v>
      </c>
      <c r="K198" s="56">
        <f>Input_RAB_SCS!K206-Calc_RAB_Connection!K198</f>
        <v>0</v>
      </c>
      <c r="L198" s="57">
        <f>Input_RAB_SCS!L206-Calc_RAB_Connection!L198</f>
        <v>0</v>
      </c>
      <c r="M198" s="57">
        <f>Input_RAB_SCS!M206-Calc_RAB_Connection!M198</f>
        <v>0</v>
      </c>
      <c r="N198" s="57">
        <f>Input_RAB_SCS!N206-Calc_RAB_Connection!N198</f>
        <v>0</v>
      </c>
      <c r="O198" s="58">
        <f>Input_RAB_SCS!O206-Calc_RAB_Connection!O198</f>
        <v>-3.0769373938661335</v>
      </c>
      <c r="P198" s="56">
        <f>Input_RAB_SCS!P206-Calc_RAB_Connection!P198</f>
        <v>0</v>
      </c>
      <c r="Q198" s="57">
        <f>Input_RAB_SCS!Q206-Calc_RAB_Connection!Q198</f>
        <v>0</v>
      </c>
      <c r="R198" s="57">
        <f>Input_RAB_SCS!R206-Calc_RAB_Connection!R198</f>
        <v>0</v>
      </c>
      <c r="S198" s="57">
        <f>Input_RAB_SCS!S206-Calc_RAB_Connection!S198</f>
        <v>0</v>
      </c>
      <c r="T198" s="58">
        <f>Input_RAB_SCS!T206-Calc_RAB_Connection!T198</f>
        <v>0</v>
      </c>
    </row>
    <row r="199" spans="4:20" ht="12.3" x14ac:dyDescent="0.35">
      <c r="D199" s="10" t="str">
        <f t="shared" si="128"/>
        <v>SCADA</v>
      </c>
      <c r="E199" s="45" t="str">
        <f t="shared" si="132"/>
        <v>Calculated</v>
      </c>
      <c r="F199" s="45" t="str">
        <f t="shared" si="129"/>
        <v>$Millions</v>
      </c>
      <c r="G199" s="45" t="str">
        <f t="shared" si="130"/>
        <v>Nominal</v>
      </c>
      <c r="H199" s="45" t="str">
        <f t="shared" si="131"/>
        <v>End year</v>
      </c>
      <c r="J199" s="58">
        <f>Input_RAB_SCS!J207-Calc_RAB_Connection!J199</f>
        <v>3.8692786435490318</v>
      </c>
      <c r="K199" s="56">
        <f>Input_RAB_SCS!K207-Calc_RAB_Connection!K199</f>
        <v>0</v>
      </c>
      <c r="L199" s="57">
        <f>Input_RAB_SCS!L207-Calc_RAB_Connection!L199</f>
        <v>0</v>
      </c>
      <c r="M199" s="57">
        <f>Input_RAB_SCS!M207-Calc_RAB_Connection!M199</f>
        <v>0</v>
      </c>
      <c r="N199" s="57">
        <f>Input_RAB_SCS!N207-Calc_RAB_Connection!N199</f>
        <v>0</v>
      </c>
      <c r="O199" s="58">
        <f>Input_RAB_SCS!O207-Calc_RAB_Connection!O199</f>
        <v>-0.96079139595229102</v>
      </c>
      <c r="P199" s="56">
        <f>Input_RAB_SCS!P207-Calc_RAB_Connection!P199</f>
        <v>0</v>
      </c>
      <c r="Q199" s="57">
        <f>Input_RAB_SCS!Q207-Calc_RAB_Connection!Q199</f>
        <v>0</v>
      </c>
      <c r="R199" s="57">
        <f>Input_RAB_SCS!R207-Calc_RAB_Connection!R199</f>
        <v>0</v>
      </c>
      <c r="S199" s="57">
        <f>Input_RAB_SCS!S207-Calc_RAB_Connection!S199</f>
        <v>0</v>
      </c>
      <c r="T199" s="58">
        <f>Input_RAB_SCS!T207-Calc_RAB_Connection!T199</f>
        <v>0</v>
      </c>
    </row>
    <row r="200" spans="4:20" ht="12.3" x14ac:dyDescent="0.35">
      <c r="D200" s="10" t="str">
        <f t="shared" si="128"/>
        <v>Communications</v>
      </c>
      <c r="E200" s="45" t="str">
        <f t="shared" si="132"/>
        <v>Calculated</v>
      </c>
      <c r="F200" s="45" t="str">
        <f t="shared" si="129"/>
        <v>$Millions</v>
      </c>
      <c r="G200" s="45" t="str">
        <f t="shared" si="130"/>
        <v>Nominal</v>
      </c>
      <c r="H200" s="45" t="str">
        <f t="shared" si="131"/>
        <v>End year</v>
      </c>
      <c r="J200" s="58">
        <f>Input_RAB_SCS!J208-Calc_RAB_Connection!J200</f>
        <v>-0.24421560644480911</v>
      </c>
      <c r="K200" s="56">
        <f>Input_RAB_SCS!K208-Calc_RAB_Connection!K200</f>
        <v>0</v>
      </c>
      <c r="L200" s="57">
        <f>Input_RAB_SCS!L208-Calc_RAB_Connection!L200</f>
        <v>0</v>
      </c>
      <c r="M200" s="57">
        <f>Input_RAB_SCS!M208-Calc_RAB_Connection!M200</f>
        <v>0</v>
      </c>
      <c r="N200" s="57">
        <f>Input_RAB_SCS!N208-Calc_RAB_Connection!N200</f>
        <v>0</v>
      </c>
      <c r="O200" s="58">
        <f>Input_RAB_SCS!O208-Calc_RAB_Connection!O200</f>
        <v>1.7444168089882186</v>
      </c>
      <c r="P200" s="56">
        <f>Input_RAB_SCS!P208-Calc_RAB_Connection!P200</f>
        <v>0</v>
      </c>
      <c r="Q200" s="57">
        <f>Input_RAB_SCS!Q208-Calc_RAB_Connection!Q200</f>
        <v>0</v>
      </c>
      <c r="R200" s="57">
        <f>Input_RAB_SCS!R208-Calc_RAB_Connection!R200</f>
        <v>0</v>
      </c>
      <c r="S200" s="57">
        <f>Input_RAB_SCS!S208-Calc_RAB_Connection!S200</f>
        <v>0</v>
      </c>
      <c r="T200" s="58">
        <f>Input_RAB_SCS!T208-Calc_RAB_Connection!T200</f>
        <v>0</v>
      </c>
    </row>
    <row r="201" spans="4:20" ht="12.3" x14ac:dyDescent="0.35">
      <c r="D201" s="10" t="str">
        <f t="shared" si="128"/>
        <v>Land and Easements</v>
      </c>
      <c r="E201" s="45" t="str">
        <f t="shared" si="132"/>
        <v>Calculated</v>
      </c>
      <c r="F201" s="45" t="str">
        <f t="shared" si="129"/>
        <v>$Millions</v>
      </c>
      <c r="G201" s="45" t="str">
        <f t="shared" si="130"/>
        <v>Nominal</v>
      </c>
      <c r="H201" s="45" t="str">
        <f t="shared" si="131"/>
        <v>End year</v>
      </c>
      <c r="J201" s="58">
        <f>Input_RAB_SCS!J209-Calc_RAB_Connection!J201</f>
        <v>8.14378068284854</v>
      </c>
      <c r="K201" s="56">
        <f>Input_RAB_SCS!K209-Calc_RAB_Connection!K201</f>
        <v>0</v>
      </c>
      <c r="L201" s="57">
        <f>Input_RAB_SCS!L209-Calc_RAB_Connection!L201</f>
        <v>0</v>
      </c>
      <c r="M201" s="57">
        <f>Input_RAB_SCS!M209-Calc_RAB_Connection!M201</f>
        <v>0</v>
      </c>
      <c r="N201" s="57">
        <f>Input_RAB_SCS!N209-Calc_RAB_Connection!N201</f>
        <v>0</v>
      </c>
      <c r="O201" s="58">
        <f>Input_RAB_SCS!O209-Calc_RAB_Connection!O201</f>
        <v>0.17562883121777981</v>
      </c>
      <c r="P201" s="56">
        <f>Input_RAB_SCS!P209-Calc_RAB_Connection!P201</f>
        <v>0</v>
      </c>
      <c r="Q201" s="57">
        <f>Input_RAB_SCS!Q209-Calc_RAB_Connection!Q201</f>
        <v>0</v>
      </c>
      <c r="R201" s="57">
        <f>Input_RAB_SCS!R209-Calc_RAB_Connection!R201</f>
        <v>0</v>
      </c>
      <c r="S201" s="57">
        <f>Input_RAB_SCS!S209-Calc_RAB_Connection!S201</f>
        <v>0</v>
      </c>
      <c r="T201" s="58">
        <f>Input_RAB_SCS!T209-Calc_RAB_Connection!T201</f>
        <v>0</v>
      </c>
    </row>
    <row r="202" spans="4:20" ht="12.3" x14ac:dyDescent="0.35">
      <c r="D202" s="10" t="str">
        <f t="shared" si="128"/>
        <v>Property</v>
      </c>
      <c r="E202" s="45" t="str">
        <f t="shared" si="132"/>
        <v>Calculated</v>
      </c>
      <c r="F202" s="45" t="str">
        <f t="shared" si="129"/>
        <v>$Millions</v>
      </c>
      <c r="G202" s="45" t="str">
        <f t="shared" si="130"/>
        <v>Nominal</v>
      </c>
      <c r="H202" s="45" t="str">
        <f t="shared" si="131"/>
        <v>End year</v>
      </c>
      <c r="J202" s="58">
        <f>Input_RAB_SCS!J210-Calc_RAB_Connection!J202</f>
        <v>9.9675703753806477</v>
      </c>
      <c r="K202" s="56">
        <f>Input_RAB_SCS!K210-Calc_RAB_Connection!K202</f>
        <v>0</v>
      </c>
      <c r="L202" s="57">
        <f>Input_RAB_SCS!L210-Calc_RAB_Connection!L202</f>
        <v>0</v>
      </c>
      <c r="M202" s="57">
        <f>Input_RAB_SCS!M210-Calc_RAB_Connection!M202</f>
        <v>0</v>
      </c>
      <c r="N202" s="57">
        <f>Input_RAB_SCS!N210-Calc_RAB_Connection!N202</f>
        <v>0</v>
      </c>
      <c r="O202" s="58">
        <f>Input_RAB_SCS!O210-Calc_RAB_Connection!O202</f>
        <v>4.2417320709821826</v>
      </c>
      <c r="P202" s="56">
        <f>Input_RAB_SCS!P210-Calc_RAB_Connection!P202</f>
        <v>0</v>
      </c>
      <c r="Q202" s="57">
        <f>Input_RAB_SCS!Q210-Calc_RAB_Connection!Q202</f>
        <v>0</v>
      </c>
      <c r="R202" s="57">
        <f>Input_RAB_SCS!R210-Calc_RAB_Connection!R202</f>
        <v>0</v>
      </c>
      <c r="S202" s="57">
        <f>Input_RAB_SCS!S210-Calc_RAB_Connection!S202</f>
        <v>0</v>
      </c>
      <c r="T202" s="58">
        <f>Input_RAB_SCS!T210-Calc_RAB_Connection!T202</f>
        <v>0</v>
      </c>
    </row>
    <row r="203" spans="4:20" ht="12.3" x14ac:dyDescent="0.35">
      <c r="D203" s="10" t="str">
        <f t="shared" si="128"/>
        <v>IT and Communications</v>
      </c>
      <c r="E203" s="45" t="str">
        <f t="shared" si="132"/>
        <v>Calculated</v>
      </c>
      <c r="F203" s="45" t="str">
        <f t="shared" si="129"/>
        <v>$Millions</v>
      </c>
      <c r="G203" s="45" t="str">
        <f t="shared" si="130"/>
        <v>Nominal</v>
      </c>
      <c r="H203" s="45" t="str">
        <f t="shared" si="131"/>
        <v>End year</v>
      </c>
      <c r="J203" s="58">
        <f>Input_RAB_SCS!J211-Calc_RAB_Connection!J203</f>
        <v>1.0208192447411564</v>
      </c>
      <c r="K203" s="56">
        <f>Input_RAB_SCS!K211-Calc_RAB_Connection!K203</f>
        <v>0</v>
      </c>
      <c r="L203" s="57">
        <f>Input_RAB_SCS!L211-Calc_RAB_Connection!L203</f>
        <v>0</v>
      </c>
      <c r="M203" s="57">
        <f>Input_RAB_SCS!M211-Calc_RAB_Connection!M203</f>
        <v>0</v>
      </c>
      <c r="N203" s="57">
        <f>Input_RAB_SCS!N211-Calc_RAB_Connection!N203</f>
        <v>0</v>
      </c>
      <c r="O203" s="58">
        <f>Input_RAB_SCS!O211-Calc_RAB_Connection!O203</f>
        <v>-6.6428514690868745E-2</v>
      </c>
      <c r="P203" s="56">
        <f>Input_RAB_SCS!P211-Calc_RAB_Connection!P203</f>
        <v>0</v>
      </c>
      <c r="Q203" s="57">
        <f>Input_RAB_SCS!Q211-Calc_RAB_Connection!Q203</f>
        <v>0</v>
      </c>
      <c r="R203" s="57">
        <f>Input_RAB_SCS!R211-Calc_RAB_Connection!R203</f>
        <v>0</v>
      </c>
      <c r="S203" s="57">
        <f>Input_RAB_SCS!S211-Calc_RAB_Connection!S203</f>
        <v>0</v>
      </c>
      <c r="T203" s="58">
        <f>Input_RAB_SCS!T211-Calc_RAB_Connection!T203</f>
        <v>0</v>
      </c>
    </row>
    <row r="204" spans="4:20" ht="12.3" x14ac:dyDescent="0.35">
      <c r="D204" s="10" t="str">
        <f t="shared" si="128"/>
        <v>Motor Vehicles</v>
      </c>
      <c r="E204" s="45" t="str">
        <f t="shared" si="132"/>
        <v>Calculated</v>
      </c>
      <c r="F204" s="45" t="str">
        <f t="shared" si="129"/>
        <v>$Millions</v>
      </c>
      <c r="G204" s="45" t="str">
        <f t="shared" si="130"/>
        <v>Nominal</v>
      </c>
      <c r="H204" s="45" t="str">
        <f t="shared" si="131"/>
        <v>End year</v>
      </c>
      <c r="J204" s="58">
        <f>Input_RAB_SCS!J212-Calc_RAB_Connection!J204</f>
        <v>0.227260820654137</v>
      </c>
      <c r="K204" s="56">
        <f>Input_RAB_SCS!K212-Calc_RAB_Connection!K204</f>
        <v>0</v>
      </c>
      <c r="L204" s="57">
        <f>Input_RAB_SCS!L212-Calc_RAB_Connection!L204</f>
        <v>0</v>
      </c>
      <c r="M204" s="57">
        <f>Input_RAB_SCS!M212-Calc_RAB_Connection!M204</f>
        <v>0</v>
      </c>
      <c r="N204" s="57">
        <f>Input_RAB_SCS!N212-Calc_RAB_Connection!N204</f>
        <v>0</v>
      </c>
      <c r="O204" s="58">
        <f>Input_RAB_SCS!O212-Calc_RAB_Connection!O204</f>
        <v>4.522327818663887E-2</v>
      </c>
      <c r="P204" s="56">
        <f>Input_RAB_SCS!P212-Calc_RAB_Connection!P204</f>
        <v>0</v>
      </c>
      <c r="Q204" s="57">
        <f>Input_RAB_SCS!Q212-Calc_RAB_Connection!Q204</f>
        <v>0</v>
      </c>
      <c r="R204" s="57">
        <f>Input_RAB_SCS!R212-Calc_RAB_Connection!R204</f>
        <v>0</v>
      </c>
      <c r="S204" s="57">
        <f>Input_RAB_SCS!S212-Calc_RAB_Connection!S204</f>
        <v>0</v>
      </c>
      <c r="T204" s="58">
        <f>Input_RAB_SCS!T212-Calc_RAB_Connection!T204</f>
        <v>0</v>
      </c>
    </row>
    <row r="205" spans="4:20" ht="12.3" x14ac:dyDescent="0.35">
      <c r="D205" s="10" t="str">
        <f t="shared" si="128"/>
        <v>Plant and Equipment</v>
      </c>
      <c r="E205" s="45" t="str">
        <f t="shared" si="132"/>
        <v>Calculated</v>
      </c>
      <c r="F205" s="45" t="str">
        <f t="shared" si="129"/>
        <v>$Millions</v>
      </c>
      <c r="G205" s="45" t="str">
        <f t="shared" si="130"/>
        <v>Nominal</v>
      </c>
      <c r="H205" s="45" t="str">
        <f t="shared" si="131"/>
        <v>End year</v>
      </c>
      <c r="J205" s="58">
        <f>Input_RAB_SCS!J213-Calc_RAB_Connection!J205</f>
        <v>-0.61478424213028826</v>
      </c>
      <c r="K205" s="56">
        <f>Input_RAB_SCS!K213-Calc_RAB_Connection!K205</f>
        <v>0</v>
      </c>
      <c r="L205" s="57">
        <f>Input_RAB_SCS!L213-Calc_RAB_Connection!L205</f>
        <v>0</v>
      </c>
      <c r="M205" s="57">
        <f>Input_RAB_SCS!M213-Calc_RAB_Connection!M205</f>
        <v>0</v>
      </c>
      <c r="N205" s="57">
        <f>Input_RAB_SCS!N213-Calc_RAB_Connection!N205</f>
        <v>0</v>
      </c>
      <c r="O205" s="58">
        <f>Input_RAB_SCS!O213-Calc_RAB_Connection!O205</f>
        <v>1.0229714996993133</v>
      </c>
      <c r="P205" s="56">
        <f>Input_RAB_SCS!P213-Calc_RAB_Connection!P205</f>
        <v>0</v>
      </c>
      <c r="Q205" s="57">
        <f>Input_RAB_SCS!Q213-Calc_RAB_Connection!Q205</f>
        <v>0</v>
      </c>
      <c r="R205" s="57">
        <f>Input_RAB_SCS!R213-Calc_RAB_Connection!R205</f>
        <v>0</v>
      </c>
      <c r="S205" s="57">
        <f>Input_RAB_SCS!S213-Calc_RAB_Connection!S205</f>
        <v>0</v>
      </c>
      <c r="T205" s="58">
        <f>Input_RAB_SCS!T213-Calc_RAB_Connection!T205</f>
        <v>0</v>
      </c>
    </row>
    <row r="206" spans="4:20" ht="12.3" x14ac:dyDescent="0.35">
      <c r="D206" s="10" t="str">
        <f t="shared" si="128"/>
        <v>Property Leases</v>
      </c>
      <c r="E206" s="45" t="str">
        <f t="shared" si="132"/>
        <v>Calculated</v>
      </c>
      <c r="F206" s="45" t="str">
        <f t="shared" si="129"/>
        <v>$Millions</v>
      </c>
      <c r="G206" s="45" t="str">
        <f t="shared" si="130"/>
        <v>Nominal</v>
      </c>
      <c r="H206" s="45" t="str">
        <f t="shared" si="131"/>
        <v>End year</v>
      </c>
      <c r="J206" s="58">
        <f>Input_RAB_SCS!J214-Calc_RAB_Connection!J206</f>
        <v>0</v>
      </c>
      <c r="K206" s="56">
        <f>Input_RAB_SCS!K214-Calc_RAB_Connection!K206</f>
        <v>0</v>
      </c>
      <c r="L206" s="57">
        <f>Input_RAB_SCS!L214-Calc_RAB_Connection!L206</f>
        <v>0</v>
      </c>
      <c r="M206" s="57">
        <f>Input_RAB_SCS!M214-Calc_RAB_Connection!M206</f>
        <v>0</v>
      </c>
      <c r="N206" s="57">
        <f>Input_RAB_SCS!N214-Calc_RAB_Connection!N206</f>
        <v>0</v>
      </c>
      <c r="O206" s="58">
        <f>Input_RAB_SCS!O214-Calc_RAB_Connection!O206</f>
        <v>0</v>
      </c>
      <c r="P206" s="56">
        <f>Input_RAB_SCS!P214-Calc_RAB_Connection!P206</f>
        <v>0</v>
      </c>
      <c r="Q206" s="57">
        <f>Input_RAB_SCS!Q214-Calc_RAB_Connection!Q206</f>
        <v>0</v>
      </c>
      <c r="R206" s="57">
        <f>Input_RAB_SCS!R214-Calc_RAB_Connection!R206</f>
        <v>0</v>
      </c>
      <c r="S206" s="57">
        <f>Input_RAB_SCS!S214-Calc_RAB_Connection!S206</f>
        <v>0</v>
      </c>
      <c r="T206" s="58">
        <f>Input_RAB_SCS!T214-Calc_RAB_Connection!T206</f>
        <v>0</v>
      </c>
    </row>
    <row r="207" spans="4:20" ht="12.3" x14ac:dyDescent="0.35">
      <c r="D207" s="10" t="str">
        <f t="shared" si="128"/>
        <v>Fleet Leases</v>
      </c>
      <c r="E207" s="45" t="str">
        <f t="shared" si="132"/>
        <v>Calculated</v>
      </c>
      <c r="F207" s="45" t="str">
        <f t="shared" si="129"/>
        <v>$Millions</v>
      </c>
      <c r="G207" s="45" t="str">
        <f t="shared" si="130"/>
        <v>Nominal</v>
      </c>
      <c r="H207" s="45" t="str">
        <f t="shared" si="131"/>
        <v>End year</v>
      </c>
      <c r="J207" s="58">
        <f>Input_RAB_SCS!J215-Calc_RAB_Connection!J207</f>
        <v>0</v>
      </c>
      <c r="K207" s="56">
        <f>Input_RAB_SCS!K215-Calc_RAB_Connection!K207</f>
        <v>0</v>
      </c>
      <c r="L207" s="57">
        <f>Input_RAB_SCS!L215-Calc_RAB_Connection!L207</f>
        <v>0</v>
      </c>
      <c r="M207" s="57">
        <f>Input_RAB_SCS!M215-Calc_RAB_Connection!M207</f>
        <v>0</v>
      </c>
      <c r="N207" s="57">
        <f>Input_RAB_SCS!N215-Calc_RAB_Connection!N207</f>
        <v>0</v>
      </c>
      <c r="O207" s="58">
        <f>Input_RAB_SCS!O215-Calc_RAB_Connection!O207</f>
        <v>0</v>
      </c>
      <c r="P207" s="56">
        <f>Input_RAB_SCS!P215-Calc_RAB_Connection!P207</f>
        <v>0</v>
      </c>
      <c r="Q207" s="57">
        <f>Input_RAB_SCS!Q215-Calc_RAB_Connection!Q207</f>
        <v>0</v>
      </c>
      <c r="R207" s="57">
        <f>Input_RAB_SCS!R215-Calc_RAB_Connection!R207</f>
        <v>0</v>
      </c>
      <c r="S207" s="57">
        <f>Input_RAB_SCS!S215-Calc_RAB_Connection!S207</f>
        <v>0</v>
      </c>
      <c r="T207" s="58">
        <f>Input_RAB_SCS!T215-Calc_RAB_Connection!T207</f>
        <v>0</v>
      </c>
    </row>
    <row r="208" spans="4:20" ht="12.3" x14ac:dyDescent="0.35">
      <c r="D208" s="10" t="str">
        <f t="shared" si="128"/>
        <v>Community Batteries</v>
      </c>
      <c r="E208" s="45" t="str">
        <f t="shared" si="132"/>
        <v>Calculated</v>
      </c>
      <c r="F208" s="45" t="str">
        <f t="shared" si="129"/>
        <v>$Millions</v>
      </c>
      <c r="G208" s="45" t="str">
        <f t="shared" si="130"/>
        <v>Nominal</v>
      </c>
      <c r="H208" s="45" t="str">
        <f t="shared" si="131"/>
        <v>End year</v>
      </c>
      <c r="J208" s="58">
        <f>Input_RAB_SCS!J216-Calc_RAB_Connection!J208</f>
        <v>0</v>
      </c>
      <c r="K208" s="56">
        <f>Input_RAB_SCS!K216-Calc_RAB_Connection!K208</f>
        <v>0</v>
      </c>
      <c r="L208" s="57">
        <f>Input_RAB_SCS!L216-Calc_RAB_Connection!L208</f>
        <v>0</v>
      </c>
      <c r="M208" s="57">
        <f>Input_RAB_SCS!M216-Calc_RAB_Connection!M208</f>
        <v>0</v>
      </c>
      <c r="N208" s="57">
        <f>Input_RAB_SCS!N216-Calc_RAB_Connection!N208</f>
        <v>0</v>
      </c>
      <c r="O208" s="58">
        <f>Input_RAB_SCS!O216-Calc_RAB_Connection!O208</f>
        <v>0</v>
      </c>
      <c r="P208" s="56">
        <f>Input_RAB_SCS!P216-Calc_RAB_Connection!P208</f>
        <v>0</v>
      </c>
      <c r="Q208" s="57">
        <f>Input_RAB_SCS!Q216-Calc_RAB_Connection!Q208</f>
        <v>0</v>
      </c>
      <c r="R208" s="57">
        <f>Input_RAB_SCS!R216-Calc_RAB_Connection!R208</f>
        <v>0</v>
      </c>
      <c r="S208" s="57">
        <f>Input_RAB_SCS!S216-Calc_RAB_Connection!S208</f>
        <v>0</v>
      </c>
      <c r="T208" s="58">
        <f>Input_RAB_SCS!T216-Calc_RAB_Connection!T208</f>
        <v>0</v>
      </c>
    </row>
    <row r="209" spans="1:20" ht="12.3" x14ac:dyDescent="0.35">
      <c r="D209" s="10" t="str">
        <f>D35</f>
        <v>Buildings</v>
      </c>
      <c r="E209" s="45" t="str">
        <f>E207</f>
        <v>Calculated</v>
      </c>
      <c r="F209" s="45" t="str">
        <f t="shared" si="129"/>
        <v>$Millions</v>
      </c>
      <c r="G209" s="45" t="str">
        <f t="shared" si="130"/>
        <v>Nominal</v>
      </c>
      <c r="H209" s="45" t="str">
        <f t="shared" si="131"/>
        <v>End year</v>
      </c>
      <c r="J209" s="58">
        <f>Input_RAB_SCS!J217-Calc_RAB_Connection!J209</f>
        <v>0</v>
      </c>
      <c r="K209" s="56">
        <f>Input_RAB_SCS!K217-Calc_RAB_Connection!K209</f>
        <v>0</v>
      </c>
      <c r="L209" s="57">
        <f>Input_RAB_SCS!L217-Calc_RAB_Connection!L209</f>
        <v>0</v>
      </c>
      <c r="M209" s="57">
        <f>Input_RAB_SCS!M217-Calc_RAB_Connection!M209</f>
        <v>0</v>
      </c>
      <c r="N209" s="57">
        <f>Input_RAB_SCS!N217-Calc_RAB_Connection!N209</f>
        <v>0</v>
      </c>
      <c r="O209" s="58">
        <f>Input_RAB_SCS!O217-Calc_RAB_Connection!O209</f>
        <v>0</v>
      </c>
      <c r="P209" s="56">
        <f>Input_RAB_SCS!P217-Calc_RAB_Connection!P209</f>
        <v>0</v>
      </c>
      <c r="Q209" s="57">
        <f>Input_RAB_SCS!Q217-Calc_RAB_Connection!Q209</f>
        <v>0</v>
      </c>
      <c r="R209" s="57">
        <f>Input_RAB_SCS!R217-Calc_RAB_Connection!R209</f>
        <v>0</v>
      </c>
      <c r="S209" s="57">
        <f>Input_RAB_SCS!S217-Calc_RAB_Connection!S209</f>
        <v>0</v>
      </c>
      <c r="T209" s="58">
        <f>Input_RAB_SCS!T217-Calc_RAB_Connection!T209</f>
        <v>0</v>
      </c>
    </row>
    <row r="210" spans="1:20" ht="12.3" x14ac:dyDescent="0.35">
      <c r="D210" s="10" t="str">
        <f>D36</f>
        <v>in-house software</v>
      </c>
      <c r="E210" s="45" t="str">
        <f t="shared" si="132"/>
        <v>Calculated</v>
      </c>
      <c r="F210" s="45" t="str">
        <f t="shared" si="129"/>
        <v>$Millions</v>
      </c>
      <c r="G210" s="45" t="str">
        <f t="shared" si="130"/>
        <v>Nominal</v>
      </c>
      <c r="H210" s="45" t="str">
        <f t="shared" si="131"/>
        <v>End year</v>
      </c>
      <c r="J210" s="58">
        <f>Input_RAB_SCS!J218-Calc_RAB_Connection!J210</f>
        <v>0</v>
      </c>
      <c r="K210" s="56">
        <f>Input_RAB_SCS!K218-Calc_RAB_Connection!K210</f>
        <v>0</v>
      </c>
      <c r="L210" s="57">
        <f>Input_RAB_SCS!L218-Calc_RAB_Connection!L210</f>
        <v>0</v>
      </c>
      <c r="M210" s="57">
        <f>Input_RAB_SCS!M218-Calc_RAB_Connection!M210</f>
        <v>0</v>
      </c>
      <c r="N210" s="57">
        <f>Input_RAB_SCS!N218-Calc_RAB_Connection!N210</f>
        <v>0</v>
      </c>
      <c r="O210" s="58">
        <f>Input_RAB_SCS!O218-Calc_RAB_Connection!O210</f>
        <v>0</v>
      </c>
      <c r="P210" s="56">
        <f>Input_RAB_SCS!P218-Calc_RAB_Connection!P210</f>
        <v>0</v>
      </c>
      <c r="Q210" s="57">
        <f>Input_RAB_SCS!Q218-Calc_RAB_Connection!Q210</f>
        <v>0</v>
      </c>
      <c r="R210" s="57">
        <f>Input_RAB_SCS!R218-Calc_RAB_Connection!R210</f>
        <v>0</v>
      </c>
      <c r="S210" s="57">
        <f>Input_RAB_SCS!S218-Calc_RAB_Connection!S210</f>
        <v>0</v>
      </c>
      <c r="T210" s="58">
        <f>Input_RAB_SCS!T218-Calc_RAB_Connection!T210</f>
        <v>0</v>
      </c>
    </row>
    <row r="211" spans="1:20" ht="12.3" x14ac:dyDescent="0.35">
      <c r="D211" s="10" t="str">
        <f t="shared" ref="D211" si="133">D37</f>
        <v>Equity Raising Costs</v>
      </c>
      <c r="E211" s="45" t="str">
        <f>E205</f>
        <v>Calculated</v>
      </c>
      <c r="F211" s="45" t="str">
        <f t="shared" si="129"/>
        <v>$Millions</v>
      </c>
      <c r="G211" s="45" t="str">
        <f t="shared" si="130"/>
        <v>Nominal</v>
      </c>
      <c r="H211" s="45" t="str">
        <f t="shared" si="131"/>
        <v>End year</v>
      </c>
      <c r="J211" s="58">
        <f>Input_RAB_SCS!J219-Calc_RAB_Connection!J211</f>
        <v>0</v>
      </c>
      <c r="K211" s="56">
        <f>Input_RAB_SCS!K219-Calc_RAB_Connection!K211</f>
        <v>0</v>
      </c>
      <c r="L211" s="57">
        <f>Input_RAB_SCS!L219-Calc_RAB_Connection!L211</f>
        <v>0</v>
      </c>
      <c r="M211" s="57">
        <f>Input_RAB_SCS!M219-Calc_RAB_Connection!M211</f>
        <v>0</v>
      </c>
      <c r="N211" s="57">
        <f>Input_RAB_SCS!N219-Calc_RAB_Connection!N211</f>
        <v>0</v>
      </c>
      <c r="O211" s="58">
        <f>Input_RAB_SCS!O219-Calc_RAB_Connection!O211</f>
        <v>0</v>
      </c>
      <c r="P211" s="56">
        <f>Input_RAB_SCS!P219-Calc_RAB_Connection!P211</f>
        <v>0</v>
      </c>
      <c r="Q211" s="57">
        <f>Input_RAB_SCS!Q219-Calc_RAB_Connection!Q211</f>
        <v>0</v>
      </c>
      <c r="R211" s="57">
        <f>Input_RAB_SCS!R219-Calc_RAB_Connection!R211</f>
        <v>0</v>
      </c>
      <c r="S211" s="57">
        <f>Input_RAB_SCS!S219-Calc_RAB_Connection!S211</f>
        <v>0</v>
      </c>
      <c r="T211" s="58">
        <f>Input_RAB_SCS!T219-Calc_RAB_Connection!T211</f>
        <v>0</v>
      </c>
    </row>
    <row r="212" spans="1:20" x14ac:dyDescent="0.35">
      <c r="J212" s="49"/>
      <c r="K212" s="48"/>
      <c r="O212" s="49"/>
      <c r="P212" s="48"/>
      <c r="T212" s="49"/>
    </row>
    <row r="213" spans="1:20" ht="12.3" x14ac:dyDescent="0.35">
      <c r="D213" s="44" t="str">
        <f>"Total "&amp;D190</f>
        <v>Total RAB asset class</v>
      </c>
      <c r="E213" s="40" t="s">
        <v>91</v>
      </c>
      <c r="F213" s="40" t="str">
        <f>F192</f>
        <v>$Millions</v>
      </c>
      <c r="G213" s="40" t="str">
        <f>G192</f>
        <v>Nominal</v>
      </c>
      <c r="H213" s="40" t="str">
        <f>H192</f>
        <v>End year</v>
      </c>
      <c r="J213" s="54">
        <f t="shared" ref="J213:T213" si="134">SUM(J192:J211)</f>
        <v>9.5498591297959976</v>
      </c>
      <c r="K213" s="53">
        <f t="shared" si="134"/>
        <v>0</v>
      </c>
      <c r="L213" s="39">
        <f t="shared" si="134"/>
        <v>0</v>
      </c>
      <c r="M213" s="39">
        <f t="shared" si="134"/>
        <v>0</v>
      </c>
      <c r="N213" s="39">
        <f t="shared" si="134"/>
        <v>0</v>
      </c>
      <c r="O213" s="54">
        <f t="shared" si="134"/>
        <v>3.5427489751068846</v>
      </c>
      <c r="P213" s="53">
        <f t="shared" si="134"/>
        <v>0</v>
      </c>
      <c r="Q213" s="39">
        <f t="shared" si="134"/>
        <v>0</v>
      </c>
      <c r="R213" s="39">
        <f t="shared" si="134"/>
        <v>0</v>
      </c>
      <c r="S213" s="39">
        <f t="shared" si="134"/>
        <v>0</v>
      </c>
      <c r="T213" s="54">
        <f t="shared" si="134"/>
        <v>0</v>
      </c>
    </row>
    <row r="214" spans="1:20" ht="11.25" customHeight="1" x14ac:dyDescent="0.35"/>
    <row r="215" spans="1:20" ht="11.25" customHeight="1" x14ac:dyDescent="0.35">
      <c r="A215" s="42">
        <f>IF(SUM($J215:$T215)&lt;&gt;0,1,0)</f>
        <v>0</v>
      </c>
      <c r="D215" s="10" t="s">
        <v>94</v>
      </c>
      <c r="J215" s="42">
        <f t="shared" ref="J215:K215" si="135">IF(ISERROR(J213),1,0)</f>
        <v>0</v>
      </c>
      <c r="K215" s="42">
        <f t="shared" si="135"/>
        <v>0</v>
      </c>
      <c r="L215" s="42">
        <f>IF(ISERROR(L213),1,0)</f>
        <v>0</v>
      </c>
      <c r="M215" s="42">
        <f t="shared" ref="M215:P215" si="136">IF(ISERROR(M213),1,0)</f>
        <v>0</v>
      </c>
      <c r="N215" s="42">
        <f t="shared" si="136"/>
        <v>0</v>
      </c>
      <c r="O215" s="42">
        <f t="shared" si="136"/>
        <v>0</v>
      </c>
      <c r="P215" s="42">
        <f t="shared" si="136"/>
        <v>0</v>
      </c>
      <c r="Q215" s="42">
        <f>IF(ISERROR(Q213),1,0)</f>
        <v>0</v>
      </c>
      <c r="R215" s="42">
        <f t="shared" ref="R215:T215" si="137">IF(ISERROR(R213),1,0)</f>
        <v>0</v>
      </c>
      <c r="S215" s="42">
        <f t="shared" si="137"/>
        <v>0</v>
      </c>
      <c r="T215" s="42">
        <f t="shared" si="137"/>
        <v>0</v>
      </c>
    </row>
    <row r="217" spans="1:20" s="8" customFormat="1" ht="14.1" x14ac:dyDescent="0.35">
      <c r="C217" s="8" t="s">
        <v>439</v>
      </c>
    </row>
    <row r="218" spans="1:20" ht="11.25" customHeight="1" x14ac:dyDescent="0.35"/>
    <row r="219" spans="1:20" ht="12.3" x14ac:dyDescent="0.35">
      <c r="D219" s="43" t="str">
        <f>D$16</f>
        <v>RAB asset class</v>
      </c>
      <c r="E219" s="38" t="str">
        <f>Lookup!E$20</f>
        <v>Source</v>
      </c>
      <c r="F219" s="38" t="str">
        <f>Lookup!F$20</f>
        <v>Unit</v>
      </c>
      <c r="G219" s="38" t="str">
        <f>Lookup!G$20</f>
        <v>Basis</v>
      </c>
      <c r="H219" s="38" t="str">
        <f>Lookup!H$20</f>
        <v>Timing</v>
      </c>
      <c r="J219" s="47" t="str">
        <f t="shared" ref="J219:T219" si="138">J$10</f>
        <v>RY19</v>
      </c>
      <c r="K219" s="46" t="str">
        <f t="shared" si="138"/>
        <v>RY20</v>
      </c>
      <c r="L219" s="38" t="str">
        <f>L$10</f>
        <v>RY21</v>
      </c>
      <c r="M219" s="38" t="str">
        <f t="shared" si="138"/>
        <v>RY22</v>
      </c>
      <c r="N219" s="38" t="str">
        <f t="shared" si="138"/>
        <v>RY23</v>
      </c>
      <c r="O219" s="47" t="str">
        <f t="shared" si="138"/>
        <v>RY24</v>
      </c>
      <c r="P219" s="46" t="str">
        <f t="shared" si="138"/>
        <v>RY25</v>
      </c>
      <c r="Q219" s="38" t="str">
        <f>Q$10</f>
        <v>RY26</v>
      </c>
      <c r="R219" s="38" t="str">
        <f t="shared" si="138"/>
        <v>RY27</v>
      </c>
      <c r="S219" s="38" t="str">
        <f t="shared" si="138"/>
        <v>RY28</v>
      </c>
      <c r="T219" s="47" t="str">
        <f t="shared" si="138"/>
        <v>RY29</v>
      </c>
    </row>
    <row r="220" spans="1:20" x14ac:dyDescent="0.35">
      <c r="J220" s="49"/>
      <c r="K220" s="48"/>
      <c r="O220" s="49"/>
      <c r="P220" s="48"/>
      <c r="T220" s="49"/>
    </row>
    <row r="221" spans="1:20" ht="12.3" x14ac:dyDescent="0.35">
      <c r="D221" s="10" t="str">
        <f t="shared" ref="D221:D237" si="139">D18</f>
        <v>Substations</v>
      </c>
      <c r="E221" s="45" t="s">
        <v>91</v>
      </c>
      <c r="F221" s="45" t="str">
        <f t="shared" ref="F221:F240" si="140">Millions</f>
        <v>$Millions</v>
      </c>
      <c r="G221" s="45" t="str">
        <f t="shared" ref="G221:G240" si="141">Nominal</f>
        <v>Nominal</v>
      </c>
      <c r="H221" s="45" t="str">
        <f t="shared" ref="H221:H240" si="142">End_year</f>
        <v>End year</v>
      </c>
      <c r="J221" s="58">
        <f t="shared" ref="J221:T221" si="143">J163+J192</f>
        <v>268.56921362647154</v>
      </c>
      <c r="K221" s="56">
        <f t="shared" si="143"/>
        <v>273.91279026633384</v>
      </c>
      <c r="L221" s="57">
        <f t="shared" si="143"/>
        <v>269.77621313494836</v>
      </c>
      <c r="M221" s="57">
        <f t="shared" si="143"/>
        <v>271.0040939068233</v>
      </c>
      <c r="N221" s="57">
        <f t="shared" si="143"/>
        <v>285.24939154493137</v>
      </c>
      <c r="O221" s="58">
        <f t="shared" si="143"/>
        <v>295.46542520242537</v>
      </c>
      <c r="P221" s="56">
        <f t="shared" si="143"/>
        <v>301.20458656271086</v>
      </c>
      <c r="Q221" s="57">
        <f t="shared" si="143"/>
        <v>303.82385306222454</v>
      </c>
      <c r="R221" s="57">
        <f t="shared" si="143"/>
        <v>292.61022492292562</v>
      </c>
      <c r="S221" s="57">
        <f t="shared" si="143"/>
        <v>279.67713195694216</v>
      </c>
      <c r="T221" s="58">
        <f t="shared" si="143"/>
        <v>265.80135695623346</v>
      </c>
    </row>
    <row r="222" spans="1:20" ht="12.3" x14ac:dyDescent="0.35">
      <c r="D222" s="10" t="str">
        <f t="shared" si="139"/>
        <v>Distribution Lines</v>
      </c>
      <c r="E222" s="45" t="s">
        <v>91</v>
      </c>
      <c r="F222" s="45" t="str">
        <f t="shared" si="140"/>
        <v>$Millions</v>
      </c>
      <c r="G222" s="45" t="str">
        <f t="shared" si="141"/>
        <v>Nominal</v>
      </c>
      <c r="H222" s="45" t="str">
        <f t="shared" si="142"/>
        <v>End year</v>
      </c>
      <c r="J222" s="58">
        <f t="shared" ref="J222:T222" si="144">J164+J193</f>
        <v>181.75935989886969</v>
      </c>
      <c r="K222" s="56">
        <f t="shared" si="144"/>
        <v>186.16966258607172</v>
      </c>
      <c r="L222" s="57">
        <f t="shared" si="144"/>
        <v>189.01106040444299</v>
      </c>
      <c r="M222" s="57">
        <f t="shared" si="144"/>
        <v>205.51741662792369</v>
      </c>
      <c r="N222" s="57">
        <f t="shared" si="144"/>
        <v>241.4025714267722</v>
      </c>
      <c r="O222" s="58">
        <f t="shared" si="144"/>
        <v>266.50387787873865</v>
      </c>
      <c r="P222" s="56">
        <f t="shared" si="144"/>
        <v>282.70232609953365</v>
      </c>
      <c r="Q222" s="57">
        <f t="shared" si="144"/>
        <v>301.14430296679143</v>
      </c>
      <c r="R222" s="57">
        <f t="shared" si="144"/>
        <v>320.07550713037693</v>
      </c>
      <c r="S222" s="57">
        <f t="shared" si="144"/>
        <v>336.38797028180858</v>
      </c>
      <c r="T222" s="58">
        <f t="shared" si="144"/>
        <v>353.22974919682463</v>
      </c>
    </row>
    <row r="223" spans="1:20" ht="12.3" x14ac:dyDescent="0.35">
      <c r="D223" s="10" t="str">
        <f t="shared" si="139"/>
        <v>Transmission Lines</v>
      </c>
      <c r="E223" s="45" t="s">
        <v>91</v>
      </c>
      <c r="F223" s="45" t="str">
        <f t="shared" si="140"/>
        <v>$Millions</v>
      </c>
      <c r="G223" s="45" t="str">
        <f t="shared" si="141"/>
        <v>Nominal</v>
      </c>
      <c r="H223" s="45" t="str">
        <f t="shared" si="142"/>
        <v>End year</v>
      </c>
      <c r="J223" s="58">
        <f t="shared" ref="J223:T223" si="145">J165+J194</f>
        <v>177.74572717022866</v>
      </c>
      <c r="K223" s="56">
        <f t="shared" si="145"/>
        <v>175.43506757109449</v>
      </c>
      <c r="L223" s="57">
        <f t="shared" si="145"/>
        <v>171.8898895972944</v>
      </c>
      <c r="M223" s="57">
        <f t="shared" si="145"/>
        <v>173.51494534151189</v>
      </c>
      <c r="N223" s="57">
        <f t="shared" si="145"/>
        <v>183.30335340718091</v>
      </c>
      <c r="O223" s="58">
        <f t="shared" si="145"/>
        <v>193.9635883151025</v>
      </c>
      <c r="P223" s="56">
        <f t="shared" si="145"/>
        <v>194.96429976036262</v>
      </c>
      <c r="Q223" s="57">
        <f t="shared" si="145"/>
        <v>199.68833826689925</v>
      </c>
      <c r="R223" s="57">
        <f t="shared" si="145"/>
        <v>199.78554739725411</v>
      </c>
      <c r="S223" s="57">
        <f t="shared" si="145"/>
        <v>198.55340436775612</v>
      </c>
      <c r="T223" s="58">
        <f t="shared" si="145"/>
        <v>197.05370806139175</v>
      </c>
    </row>
    <row r="224" spans="1:20" ht="12.3" x14ac:dyDescent="0.35">
      <c r="D224" s="10" t="str">
        <f t="shared" si="139"/>
        <v>LV Services</v>
      </c>
      <c r="E224" s="45" t="s">
        <v>91</v>
      </c>
      <c r="F224" s="45" t="str">
        <f t="shared" si="140"/>
        <v>$Millions</v>
      </c>
      <c r="G224" s="45" t="str">
        <f t="shared" si="141"/>
        <v>Nominal</v>
      </c>
      <c r="H224" s="45" t="str">
        <f t="shared" si="142"/>
        <v>End year</v>
      </c>
      <c r="J224" s="58">
        <f t="shared" ref="J224:T224" si="146">J166+J195</f>
        <v>6.233363366961739</v>
      </c>
      <c r="K224" s="56">
        <f t="shared" si="146"/>
        <v>6.8378138428779556</v>
      </c>
      <c r="L224" s="57">
        <f t="shared" si="146"/>
        <v>7.6814919546382328</v>
      </c>
      <c r="M224" s="57">
        <f t="shared" si="146"/>
        <v>9.8127678159362848</v>
      </c>
      <c r="N224" s="57">
        <f t="shared" si="146"/>
        <v>11.886895220575653</v>
      </c>
      <c r="O224" s="58">
        <f t="shared" si="146"/>
        <v>13.842612361286069</v>
      </c>
      <c r="P224" s="56">
        <f t="shared" si="146"/>
        <v>18.067479104163915</v>
      </c>
      <c r="Q224" s="57">
        <f t="shared" si="146"/>
        <v>22.536781038911812</v>
      </c>
      <c r="R224" s="57">
        <f t="shared" si="146"/>
        <v>27.236589692505635</v>
      </c>
      <c r="S224" s="57">
        <f t="shared" si="146"/>
        <v>32.166268818513245</v>
      </c>
      <c r="T224" s="58">
        <f t="shared" si="146"/>
        <v>37.345897645393435</v>
      </c>
    </row>
    <row r="225" spans="4:20" ht="12.3" x14ac:dyDescent="0.35">
      <c r="D225" s="10" t="str">
        <f t="shared" si="139"/>
        <v>Distribution Substations</v>
      </c>
      <c r="E225" s="45" t="s">
        <v>91</v>
      </c>
      <c r="F225" s="45" t="str">
        <f t="shared" si="140"/>
        <v>$Millions</v>
      </c>
      <c r="G225" s="45" t="str">
        <f t="shared" si="141"/>
        <v>Nominal</v>
      </c>
      <c r="H225" s="45" t="str">
        <f t="shared" si="142"/>
        <v>End year</v>
      </c>
      <c r="J225" s="58">
        <f t="shared" ref="J225:T225" si="147">J167+J196</f>
        <v>75.635402992385863</v>
      </c>
      <c r="K225" s="56">
        <f t="shared" si="147"/>
        <v>77.187285571019203</v>
      </c>
      <c r="L225" s="57">
        <f t="shared" si="147"/>
        <v>77.651021706882673</v>
      </c>
      <c r="M225" s="57">
        <f t="shared" si="147"/>
        <v>81.685871327683245</v>
      </c>
      <c r="N225" s="57">
        <f t="shared" si="147"/>
        <v>88.007498558878567</v>
      </c>
      <c r="O225" s="58">
        <f t="shared" si="147"/>
        <v>91.580085378474607</v>
      </c>
      <c r="P225" s="56">
        <f t="shared" si="147"/>
        <v>93.942702840066573</v>
      </c>
      <c r="Q225" s="57">
        <f t="shared" si="147"/>
        <v>96.438515483894491</v>
      </c>
      <c r="R225" s="57">
        <f t="shared" si="147"/>
        <v>99.050836935554898</v>
      </c>
      <c r="S225" s="57">
        <f t="shared" si="147"/>
        <v>101.77572138936196</v>
      </c>
      <c r="T225" s="58">
        <f t="shared" si="147"/>
        <v>104.63139713317958</v>
      </c>
    </row>
    <row r="226" spans="4:20" ht="12.3" x14ac:dyDescent="0.35">
      <c r="D226" s="10" t="str">
        <f t="shared" si="139"/>
        <v>Distribution Switchgear</v>
      </c>
      <c r="E226" s="45" t="s">
        <v>91</v>
      </c>
      <c r="F226" s="45" t="str">
        <f t="shared" si="140"/>
        <v>$Millions</v>
      </c>
      <c r="G226" s="45" t="str">
        <f t="shared" si="141"/>
        <v>Nominal</v>
      </c>
      <c r="H226" s="45" t="str">
        <f t="shared" si="142"/>
        <v>End year</v>
      </c>
      <c r="J226" s="58">
        <f t="shared" ref="J226:T226" si="148">J168+J197</f>
        <v>30.893385394299944</v>
      </c>
      <c r="K226" s="56">
        <f t="shared" si="148"/>
        <v>32.092784320108272</v>
      </c>
      <c r="L226" s="57">
        <f t="shared" si="148"/>
        <v>33.654821154741228</v>
      </c>
      <c r="M226" s="57">
        <f t="shared" si="148"/>
        <v>36.012860861908976</v>
      </c>
      <c r="N226" s="57">
        <f t="shared" si="148"/>
        <v>41.579582944356183</v>
      </c>
      <c r="O226" s="58">
        <f t="shared" si="148"/>
        <v>44.335852285707531</v>
      </c>
      <c r="P226" s="56">
        <f t="shared" si="148"/>
        <v>49.106271873313453</v>
      </c>
      <c r="Q226" s="57">
        <f t="shared" si="148"/>
        <v>54.165290115353876</v>
      </c>
      <c r="R226" s="57">
        <f t="shared" si="148"/>
        <v>59.501183503658133</v>
      </c>
      <c r="S226" s="57">
        <f t="shared" si="148"/>
        <v>65.11615320089723</v>
      </c>
      <c r="T226" s="58">
        <f t="shared" si="148"/>
        <v>71.035225598572723</v>
      </c>
    </row>
    <row r="227" spans="4:20" ht="12.3" x14ac:dyDescent="0.35">
      <c r="D227" s="10" t="str">
        <f t="shared" si="139"/>
        <v>Protection</v>
      </c>
      <c r="E227" s="45" t="s">
        <v>91</v>
      </c>
      <c r="F227" s="45" t="str">
        <f t="shared" si="140"/>
        <v>$Millions</v>
      </c>
      <c r="G227" s="45" t="str">
        <f t="shared" si="141"/>
        <v>Nominal</v>
      </c>
      <c r="H227" s="45" t="str">
        <f t="shared" si="142"/>
        <v>End year</v>
      </c>
      <c r="J227" s="58">
        <f t="shared" ref="J227:T227" si="149">J169+J198</f>
        <v>31.92549317981581</v>
      </c>
      <c r="K227" s="56">
        <f t="shared" si="149"/>
        <v>32.894895149212104</v>
      </c>
      <c r="L227" s="57">
        <f t="shared" si="149"/>
        <v>33.470157055147993</v>
      </c>
      <c r="M227" s="57">
        <f t="shared" si="149"/>
        <v>36.360791731901813</v>
      </c>
      <c r="N227" s="57">
        <f t="shared" si="149"/>
        <v>40.914084709069016</v>
      </c>
      <c r="O227" s="58">
        <f t="shared" si="149"/>
        <v>43.48495518621678</v>
      </c>
      <c r="P227" s="56">
        <f t="shared" si="149"/>
        <v>52.609020173988803</v>
      </c>
      <c r="Q227" s="57">
        <f t="shared" si="149"/>
        <v>57.233228178866732</v>
      </c>
      <c r="R227" s="57">
        <f t="shared" si="149"/>
        <v>60.805013666717443</v>
      </c>
      <c r="S227" s="57">
        <f t="shared" si="149"/>
        <v>63.930744071391409</v>
      </c>
      <c r="T227" s="58">
        <f t="shared" si="149"/>
        <v>66.538217643876578</v>
      </c>
    </row>
    <row r="228" spans="4:20" ht="12.3" x14ac:dyDescent="0.35">
      <c r="D228" s="10" t="str">
        <f t="shared" si="139"/>
        <v>SCADA</v>
      </c>
      <c r="E228" s="45" t="s">
        <v>91</v>
      </c>
      <c r="F228" s="45" t="str">
        <f t="shared" si="140"/>
        <v>$Millions</v>
      </c>
      <c r="G228" s="45" t="str">
        <f t="shared" si="141"/>
        <v>Nominal</v>
      </c>
      <c r="H228" s="45" t="str">
        <f t="shared" si="142"/>
        <v>End year</v>
      </c>
      <c r="J228" s="58">
        <f t="shared" ref="J228:T228" si="150">J170+J199</f>
        <v>9.9354050643142084</v>
      </c>
      <c r="K228" s="56">
        <f t="shared" si="150"/>
        <v>11.175621128341014</v>
      </c>
      <c r="L228" s="57">
        <f t="shared" si="150"/>
        <v>12.029990879891887</v>
      </c>
      <c r="M228" s="57">
        <f t="shared" si="150"/>
        <v>13.354470727943674</v>
      </c>
      <c r="N228" s="57">
        <f t="shared" si="150"/>
        <v>19.312772506178618</v>
      </c>
      <c r="O228" s="58">
        <f t="shared" si="150"/>
        <v>25.81367243215551</v>
      </c>
      <c r="P228" s="56">
        <f t="shared" si="150"/>
        <v>28.331707597221918</v>
      </c>
      <c r="Q228" s="57">
        <f t="shared" si="150"/>
        <v>27.525585419683328</v>
      </c>
      <c r="R228" s="57">
        <f t="shared" si="150"/>
        <v>26.568240411665233</v>
      </c>
      <c r="S228" s="57">
        <f t="shared" si="150"/>
        <v>25.673673926752539</v>
      </c>
      <c r="T228" s="58">
        <f t="shared" si="150"/>
        <v>24.70422363919171</v>
      </c>
    </row>
    <row r="229" spans="4:20" ht="12.3" x14ac:dyDescent="0.35">
      <c r="D229" s="10" t="str">
        <f t="shared" si="139"/>
        <v>Communications</v>
      </c>
      <c r="E229" s="45" t="s">
        <v>91</v>
      </c>
      <c r="F229" s="45" t="str">
        <f t="shared" si="140"/>
        <v>$Millions</v>
      </c>
      <c r="G229" s="45" t="str">
        <f t="shared" si="141"/>
        <v>Nominal</v>
      </c>
      <c r="H229" s="45" t="str">
        <f t="shared" si="142"/>
        <v>End year</v>
      </c>
      <c r="J229" s="58">
        <f t="shared" ref="J229:T229" si="151">J171+J200</f>
        <v>7.7411517978808018</v>
      </c>
      <c r="K229" s="56">
        <f t="shared" si="151"/>
        <v>9.4346802737152267</v>
      </c>
      <c r="L229" s="57">
        <f t="shared" si="151"/>
        <v>10.386563680303832</v>
      </c>
      <c r="M229" s="57">
        <f t="shared" si="151"/>
        <v>11.653475507999303</v>
      </c>
      <c r="N229" s="57">
        <f t="shared" si="151"/>
        <v>13.201677605624806</v>
      </c>
      <c r="O229" s="58">
        <f t="shared" si="151"/>
        <v>16.303865686779098</v>
      </c>
      <c r="P229" s="56">
        <f t="shared" si="151"/>
        <v>20.816576487265387</v>
      </c>
      <c r="Q229" s="57">
        <f t="shared" si="151"/>
        <v>24.596682548278661</v>
      </c>
      <c r="R229" s="57">
        <f t="shared" si="151"/>
        <v>28.659079628380734</v>
      </c>
      <c r="S229" s="57">
        <f t="shared" si="151"/>
        <v>30.296302420770299</v>
      </c>
      <c r="T229" s="58">
        <f t="shared" si="151"/>
        <v>30.536897083152358</v>
      </c>
    </row>
    <row r="230" spans="4:20" ht="12.3" x14ac:dyDescent="0.35">
      <c r="D230" s="10" t="str">
        <f t="shared" si="139"/>
        <v>Land and Easements</v>
      </c>
      <c r="E230" s="45" t="s">
        <v>91</v>
      </c>
      <c r="F230" s="45" t="str">
        <f t="shared" si="140"/>
        <v>$Millions</v>
      </c>
      <c r="G230" s="45" t="str">
        <f t="shared" si="141"/>
        <v>Nominal</v>
      </c>
      <c r="H230" s="45" t="str">
        <f t="shared" si="142"/>
        <v>End year</v>
      </c>
      <c r="J230" s="58">
        <f t="shared" ref="J230:T230" si="152">J172+J201</f>
        <v>45.815760921706001</v>
      </c>
      <c r="K230" s="56">
        <f t="shared" si="152"/>
        <v>46.658995785295687</v>
      </c>
      <c r="L230" s="57">
        <f t="shared" si="152"/>
        <v>47.060536196528865</v>
      </c>
      <c r="M230" s="57">
        <f t="shared" si="152"/>
        <v>48.706851882584907</v>
      </c>
      <c r="N230" s="57">
        <f t="shared" si="152"/>
        <v>52.603400033191697</v>
      </c>
      <c r="O230" s="58">
        <f t="shared" si="152"/>
        <v>55.251388665969486</v>
      </c>
      <c r="P230" s="56">
        <f t="shared" si="152"/>
        <v>56.864530337569484</v>
      </c>
      <c r="Q230" s="57">
        <f t="shared" si="152"/>
        <v>58.524769939474631</v>
      </c>
      <c r="R230" s="57">
        <f t="shared" si="152"/>
        <v>60.23348256172077</v>
      </c>
      <c r="S230" s="57">
        <f t="shared" si="152"/>
        <v>61.992083442023159</v>
      </c>
      <c r="T230" s="58">
        <f t="shared" si="152"/>
        <v>63.802029137944196</v>
      </c>
    </row>
    <row r="231" spans="4:20" ht="12.3" x14ac:dyDescent="0.35">
      <c r="D231" s="10" t="str">
        <f t="shared" si="139"/>
        <v>Property</v>
      </c>
      <c r="E231" s="45" t="s">
        <v>91</v>
      </c>
      <c r="F231" s="45" t="str">
        <f t="shared" si="140"/>
        <v>$Millions</v>
      </c>
      <c r="G231" s="45" t="str">
        <f t="shared" si="141"/>
        <v>Nominal</v>
      </c>
      <c r="H231" s="45" t="str">
        <f t="shared" si="142"/>
        <v>End year</v>
      </c>
      <c r="J231" s="58">
        <f t="shared" ref="J231:T231" si="153">J173+J202</f>
        <v>10.88191046360506</v>
      </c>
      <c r="K231" s="56">
        <f t="shared" si="153"/>
        <v>10.941722982064954</v>
      </c>
      <c r="L231" s="57">
        <f t="shared" si="153"/>
        <v>10.815075257970452</v>
      </c>
      <c r="M231" s="57">
        <f t="shared" si="153"/>
        <v>10.731754174176267</v>
      </c>
      <c r="N231" s="57">
        <f t="shared" si="153"/>
        <v>13.471510378004057</v>
      </c>
      <c r="O231" s="58">
        <f t="shared" si="153"/>
        <v>19.217357870242282</v>
      </c>
      <c r="P231" s="56">
        <f t="shared" si="153"/>
        <v>20.128088940048617</v>
      </c>
      <c r="Q231" s="57">
        <f t="shared" si="153"/>
        <v>20.744314732811375</v>
      </c>
      <c r="R231" s="57">
        <f t="shared" si="153"/>
        <v>24.327708216477969</v>
      </c>
      <c r="S231" s="57">
        <f t="shared" si="153"/>
        <v>82.909375345955254</v>
      </c>
      <c r="T231" s="58">
        <f t="shared" si="153"/>
        <v>172.12672975069495</v>
      </c>
    </row>
    <row r="232" spans="4:20" ht="12.3" x14ac:dyDescent="0.35">
      <c r="D232" s="10" t="str">
        <f t="shared" si="139"/>
        <v>IT and Communications</v>
      </c>
      <c r="E232" s="45" t="s">
        <v>91</v>
      </c>
      <c r="F232" s="45" t="str">
        <f t="shared" si="140"/>
        <v>$Millions</v>
      </c>
      <c r="G232" s="45" t="str">
        <f t="shared" si="141"/>
        <v>Nominal</v>
      </c>
      <c r="H232" s="45" t="str">
        <f t="shared" si="142"/>
        <v>End year</v>
      </c>
      <c r="J232" s="58">
        <f t="shared" ref="J232:T232" si="154">J174+J203</f>
        <v>12.161977146964771</v>
      </c>
      <c r="K232" s="56">
        <f t="shared" si="154"/>
        <v>17.651763795502941</v>
      </c>
      <c r="L232" s="57">
        <f t="shared" si="154"/>
        <v>17.591454752257381</v>
      </c>
      <c r="M232" s="57">
        <f t="shared" si="154"/>
        <v>20.823444725561622</v>
      </c>
      <c r="N232" s="57">
        <f t="shared" si="154"/>
        <v>41.113045055941342</v>
      </c>
      <c r="O232" s="58">
        <f t="shared" si="154"/>
        <v>62.748134852115456</v>
      </c>
      <c r="P232" s="56">
        <f t="shared" si="154"/>
        <v>78.497582342187997</v>
      </c>
      <c r="Q232" s="57">
        <f t="shared" si="154"/>
        <v>101.05365713305562</v>
      </c>
      <c r="R232" s="57">
        <f t="shared" si="154"/>
        <v>117.41435246755303</v>
      </c>
      <c r="S232" s="57">
        <f t="shared" si="154"/>
        <v>128.29852441576458</v>
      </c>
      <c r="T232" s="58">
        <f t="shared" si="154"/>
        <v>140.14356949778585</v>
      </c>
    </row>
    <row r="233" spans="4:20" ht="12.3" x14ac:dyDescent="0.35">
      <c r="D233" s="10" t="str">
        <f t="shared" si="139"/>
        <v>Motor Vehicles</v>
      </c>
      <c r="E233" s="45" t="s">
        <v>91</v>
      </c>
      <c r="F233" s="45" t="str">
        <f t="shared" si="140"/>
        <v>$Millions</v>
      </c>
      <c r="G233" s="45" t="str">
        <f t="shared" si="141"/>
        <v>Nominal</v>
      </c>
      <c r="H233" s="45" t="str">
        <f t="shared" si="142"/>
        <v>End year</v>
      </c>
      <c r="J233" s="58">
        <f t="shared" ref="J233:T233" si="155">J175+J204</f>
        <v>0.31647852785402508</v>
      </c>
      <c r="K233" s="56">
        <f t="shared" si="155"/>
        <v>0.35493483755678068</v>
      </c>
      <c r="L233" s="57">
        <f t="shared" si="155"/>
        <v>0.82718418450465681</v>
      </c>
      <c r="M233" s="57">
        <f t="shared" si="155"/>
        <v>0.94294049211521414</v>
      </c>
      <c r="N233" s="57">
        <f t="shared" si="155"/>
        <v>0.98087939123707368</v>
      </c>
      <c r="O233" s="58">
        <f t="shared" si="155"/>
        <v>1.0317079533447089</v>
      </c>
      <c r="P233" s="56">
        <f t="shared" si="155"/>
        <v>0.93760454651347402</v>
      </c>
      <c r="Q233" s="57">
        <f t="shared" si="155"/>
        <v>0.84005949956203996</v>
      </c>
      <c r="R233" s="57">
        <f t="shared" si="155"/>
        <v>0.73601928203767897</v>
      </c>
      <c r="S233" s="57">
        <f t="shared" si="155"/>
        <v>0.62518777304274875</v>
      </c>
      <c r="T233" s="58">
        <f t="shared" si="155"/>
        <v>0.53488614534255674</v>
      </c>
    </row>
    <row r="234" spans="4:20" ht="12.3" x14ac:dyDescent="0.35">
      <c r="D234" s="10" t="str">
        <f t="shared" si="139"/>
        <v>Plant and Equipment</v>
      </c>
      <c r="E234" s="45" t="s">
        <v>91</v>
      </c>
      <c r="F234" s="45" t="str">
        <f t="shared" si="140"/>
        <v>$Millions</v>
      </c>
      <c r="G234" s="45" t="str">
        <f t="shared" si="141"/>
        <v>Nominal</v>
      </c>
      <c r="H234" s="45" t="str">
        <f t="shared" si="142"/>
        <v>End year</v>
      </c>
      <c r="J234" s="58">
        <f t="shared" ref="J234:T234" si="156">J176+J205</f>
        <v>4.771443819404765</v>
      </c>
      <c r="K234" s="56">
        <f t="shared" si="156"/>
        <v>4.9340649284162454</v>
      </c>
      <c r="L234" s="57">
        <f t="shared" si="156"/>
        <v>5.9126158554742538</v>
      </c>
      <c r="M234" s="57">
        <f t="shared" si="156"/>
        <v>6.6567188597653857</v>
      </c>
      <c r="N234" s="57">
        <f t="shared" si="156"/>
        <v>7.4412741749276039</v>
      </c>
      <c r="O234" s="58">
        <f t="shared" si="156"/>
        <v>9.1909751884931286</v>
      </c>
      <c r="P234" s="56">
        <f t="shared" si="156"/>
        <v>11.13152251469093</v>
      </c>
      <c r="Q234" s="57">
        <f t="shared" si="156"/>
        <v>13.376348173575149</v>
      </c>
      <c r="R234" s="57">
        <f t="shared" si="156"/>
        <v>14.929838039437163</v>
      </c>
      <c r="S234" s="57">
        <f t="shared" si="156"/>
        <v>16.049569995561352</v>
      </c>
      <c r="T234" s="58">
        <f t="shared" si="156"/>
        <v>17.151292932159098</v>
      </c>
    </row>
    <row r="235" spans="4:20" ht="12.3" x14ac:dyDescent="0.35">
      <c r="D235" s="10" t="str">
        <f t="shared" si="139"/>
        <v>Property Leases</v>
      </c>
      <c r="E235" s="45" t="s">
        <v>91</v>
      </c>
      <c r="F235" s="45" t="str">
        <f t="shared" si="140"/>
        <v>$Millions</v>
      </c>
      <c r="G235" s="45" t="str">
        <f t="shared" si="141"/>
        <v>Nominal</v>
      </c>
      <c r="H235" s="45" t="str">
        <f t="shared" si="142"/>
        <v>End year</v>
      </c>
      <c r="J235" s="58">
        <f t="shared" ref="J235:T235" si="157">J177+J206</f>
        <v>0</v>
      </c>
      <c r="K235" s="56">
        <f t="shared" si="157"/>
        <v>3.3387922007628603</v>
      </c>
      <c r="L235" s="57">
        <f t="shared" si="157"/>
        <v>3.8627975907626748</v>
      </c>
      <c r="M235" s="57">
        <f t="shared" si="157"/>
        <v>13.731488906029872</v>
      </c>
      <c r="N235" s="57">
        <f t="shared" si="157"/>
        <v>13.238996930133146</v>
      </c>
      <c r="O235" s="58">
        <f t="shared" si="157"/>
        <v>17.298299331913139</v>
      </c>
      <c r="P235" s="56">
        <f t="shared" si="157"/>
        <v>16.520694616833413</v>
      </c>
      <c r="Q235" s="57">
        <f t="shared" si="157"/>
        <v>15.682937798495614</v>
      </c>
      <c r="R235" s="57">
        <f t="shared" si="157"/>
        <v>23.146153904387713</v>
      </c>
      <c r="S235" s="57">
        <f t="shared" si="157"/>
        <v>20.497471049633454</v>
      </c>
      <c r="T235" s="58">
        <f t="shared" si="157"/>
        <v>18.834920168508948</v>
      </c>
    </row>
    <row r="236" spans="4:20" ht="12.3" x14ac:dyDescent="0.35">
      <c r="D236" s="10" t="str">
        <f t="shared" si="139"/>
        <v>Fleet Leases</v>
      </c>
      <c r="E236" s="45" t="s">
        <v>91</v>
      </c>
      <c r="F236" s="45" t="str">
        <f t="shared" si="140"/>
        <v>$Millions</v>
      </c>
      <c r="G236" s="45" t="str">
        <f t="shared" si="141"/>
        <v>Nominal</v>
      </c>
      <c r="H236" s="45" t="str">
        <f t="shared" si="142"/>
        <v>End year</v>
      </c>
      <c r="J236" s="58">
        <f t="shared" ref="J236:T237" si="158">J178+J207</f>
        <v>0</v>
      </c>
      <c r="K236" s="56">
        <f t="shared" si="158"/>
        <v>14.579348294461219</v>
      </c>
      <c r="L236" s="57">
        <f t="shared" si="158"/>
        <v>14.361771413842579</v>
      </c>
      <c r="M236" s="57">
        <f t="shared" si="158"/>
        <v>14.081624375972506</v>
      </c>
      <c r="N236" s="57">
        <f t="shared" si="158"/>
        <v>14.42989188615417</v>
      </c>
      <c r="O236" s="58">
        <f t="shared" si="158"/>
        <v>11.749555018192927</v>
      </c>
      <c r="P236" s="56">
        <f t="shared" si="158"/>
        <v>9.9459864734262098</v>
      </c>
      <c r="Q236" s="57">
        <f t="shared" si="158"/>
        <v>11.102913009663373</v>
      </c>
      <c r="R236" s="57">
        <f t="shared" si="158"/>
        <v>13.589116932742924</v>
      </c>
      <c r="S236" s="57">
        <f t="shared" si="158"/>
        <v>15.465777314729461</v>
      </c>
      <c r="T236" s="58">
        <f t="shared" si="158"/>
        <v>16.26701626630058</v>
      </c>
    </row>
    <row r="237" spans="4:20" ht="12.3" x14ac:dyDescent="0.35">
      <c r="D237" s="10" t="str">
        <f t="shared" si="139"/>
        <v>Community Batteries</v>
      </c>
      <c r="E237" s="45" t="s">
        <v>91</v>
      </c>
      <c r="F237" s="45" t="str">
        <f t="shared" si="140"/>
        <v>$Millions</v>
      </c>
      <c r="G237" s="45" t="str">
        <f t="shared" si="141"/>
        <v>Nominal</v>
      </c>
      <c r="H237" s="45" t="str">
        <f t="shared" si="142"/>
        <v>End year</v>
      </c>
      <c r="J237" s="58">
        <f t="shared" si="158"/>
        <v>0</v>
      </c>
      <c r="K237" s="56">
        <f t="shared" si="158"/>
        <v>0</v>
      </c>
      <c r="L237" s="57">
        <f t="shared" si="158"/>
        <v>0</v>
      </c>
      <c r="M237" s="57">
        <f t="shared" si="158"/>
        <v>0</v>
      </c>
      <c r="N237" s="57">
        <f t="shared" si="158"/>
        <v>0</v>
      </c>
      <c r="O237" s="58">
        <f t="shared" si="158"/>
        <v>0</v>
      </c>
      <c r="P237" s="56">
        <f t="shared" si="158"/>
        <v>0</v>
      </c>
      <c r="Q237" s="57">
        <f t="shared" si="158"/>
        <v>0</v>
      </c>
      <c r="R237" s="57">
        <f t="shared" si="158"/>
        <v>0</v>
      </c>
      <c r="S237" s="57">
        <f t="shared" si="158"/>
        <v>0</v>
      </c>
      <c r="T237" s="58">
        <f t="shared" si="158"/>
        <v>0</v>
      </c>
    </row>
    <row r="238" spans="4:20" ht="12.3" x14ac:dyDescent="0.35">
      <c r="D238" s="10" t="str">
        <f>D35</f>
        <v>Buildings</v>
      </c>
      <c r="E238" s="45" t="s">
        <v>91</v>
      </c>
      <c r="F238" s="45" t="str">
        <f t="shared" si="140"/>
        <v>$Millions</v>
      </c>
      <c r="G238" s="45" t="str">
        <f t="shared" si="141"/>
        <v>Nominal</v>
      </c>
      <c r="H238" s="45" t="str">
        <f t="shared" si="142"/>
        <v>End year</v>
      </c>
      <c r="J238" s="58">
        <f t="shared" ref="J238:T238" si="159">J180+J209</f>
        <v>0</v>
      </c>
      <c r="K238" s="56">
        <f t="shared" si="159"/>
        <v>0.1639301154679205</v>
      </c>
      <c r="L238" s="57">
        <f t="shared" si="159"/>
        <v>0.85558784631163998</v>
      </c>
      <c r="M238" s="57">
        <f t="shared" si="159"/>
        <v>3.1432617912538889</v>
      </c>
      <c r="N238" s="57">
        <f t="shared" si="159"/>
        <v>3.3741733616611373</v>
      </c>
      <c r="O238" s="58">
        <f t="shared" si="159"/>
        <v>3.5063117665853714</v>
      </c>
      <c r="P238" s="56">
        <f t="shared" si="159"/>
        <v>3.5128815251522116</v>
      </c>
      <c r="Q238" s="57">
        <f t="shared" si="159"/>
        <v>3.5168460256784271</v>
      </c>
      <c r="R238" s="57">
        <f t="shared" si="159"/>
        <v>3.5180475395917097</v>
      </c>
      <c r="S238" s="57">
        <f t="shared" si="159"/>
        <v>3.5163213489062133</v>
      </c>
      <c r="T238" s="58">
        <f t="shared" si="159"/>
        <v>3.5114954725436549</v>
      </c>
    </row>
    <row r="239" spans="4:20" ht="12.3" x14ac:dyDescent="0.35">
      <c r="D239" s="10" t="str">
        <f>D36</f>
        <v>in-house software</v>
      </c>
      <c r="E239" s="45" t="s">
        <v>91</v>
      </c>
      <c r="F239" s="45" t="str">
        <f t="shared" si="140"/>
        <v>$Millions</v>
      </c>
      <c r="G239" s="45" t="str">
        <f t="shared" si="141"/>
        <v>Nominal</v>
      </c>
      <c r="H239" s="45" t="str">
        <f t="shared" si="142"/>
        <v>End year</v>
      </c>
      <c r="J239" s="58">
        <f t="shared" ref="J239:T239" si="160">J181+J210</f>
        <v>0</v>
      </c>
      <c r="K239" s="56">
        <f t="shared" si="160"/>
        <v>0</v>
      </c>
      <c r="L239" s="57">
        <f t="shared" si="160"/>
        <v>-5.2086373898768877E-2</v>
      </c>
      <c r="M239" s="57">
        <f t="shared" si="160"/>
        <v>-0.29557866769059948</v>
      </c>
      <c r="N239" s="57">
        <f t="shared" si="160"/>
        <v>-0.63248449815904739</v>
      </c>
      <c r="O239" s="58">
        <f t="shared" si="160"/>
        <v>-1.2770162921904231</v>
      </c>
      <c r="P239" s="56">
        <f t="shared" si="160"/>
        <v>0</v>
      </c>
      <c r="Q239" s="57">
        <f t="shared" si="160"/>
        <v>0</v>
      </c>
      <c r="R239" s="57">
        <f t="shared" si="160"/>
        <v>0</v>
      </c>
      <c r="S239" s="57">
        <f t="shared" si="160"/>
        <v>0</v>
      </c>
      <c r="T239" s="58">
        <f t="shared" si="160"/>
        <v>0</v>
      </c>
    </row>
    <row r="240" spans="4:20" ht="12.3" x14ac:dyDescent="0.35">
      <c r="D240" s="10" t="str">
        <f t="shared" ref="D240" si="161">D37</f>
        <v>Equity Raising Costs</v>
      </c>
      <c r="E240" s="45" t="s">
        <v>91</v>
      </c>
      <c r="F240" s="45" t="str">
        <f t="shared" si="140"/>
        <v>$Millions</v>
      </c>
      <c r="G240" s="45" t="str">
        <f t="shared" si="141"/>
        <v>Nominal</v>
      </c>
      <c r="H240" s="45" t="str">
        <f t="shared" si="142"/>
        <v>End year</v>
      </c>
      <c r="J240" s="58">
        <f t="shared" ref="J240:T240" si="162">J182+J211</f>
        <v>0</v>
      </c>
      <c r="K240" s="56">
        <f t="shared" si="162"/>
        <v>0</v>
      </c>
      <c r="L240" s="57">
        <f t="shared" si="162"/>
        <v>0</v>
      </c>
      <c r="M240" s="57">
        <f t="shared" si="162"/>
        <v>0</v>
      </c>
      <c r="N240" s="57">
        <f t="shared" si="162"/>
        <v>0</v>
      </c>
      <c r="O240" s="58">
        <f t="shared" si="162"/>
        <v>0</v>
      </c>
      <c r="P240" s="56">
        <f t="shared" si="162"/>
        <v>0</v>
      </c>
      <c r="Q240" s="57">
        <f t="shared" si="162"/>
        <v>0</v>
      </c>
      <c r="R240" s="57">
        <f t="shared" si="162"/>
        <v>0</v>
      </c>
      <c r="S240" s="57">
        <f t="shared" si="162"/>
        <v>0</v>
      </c>
      <c r="T240" s="58">
        <f t="shared" si="162"/>
        <v>0</v>
      </c>
    </row>
    <row r="241" spans="1:20" x14ac:dyDescent="0.35">
      <c r="J241" s="49"/>
      <c r="K241" s="48"/>
      <c r="O241" s="49"/>
      <c r="P241" s="48"/>
      <c r="T241" s="49"/>
    </row>
    <row r="242" spans="1:20" ht="12.3" x14ac:dyDescent="0.35">
      <c r="D242" s="44" t="str">
        <f>"Total "&amp;D219</f>
        <v>Total RAB asset class</v>
      </c>
      <c r="E242" s="40" t="s">
        <v>91</v>
      </c>
      <c r="F242" s="40" t="str">
        <f>F221</f>
        <v>$Millions</v>
      </c>
      <c r="G242" s="40" t="str">
        <f>G221</f>
        <v>Nominal</v>
      </c>
      <c r="H242" s="40" t="str">
        <f>H221</f>
        <v>End year</v>
      </c>
      <c r="J242" s="54">
        <f t="shared" ref="J242:T242" si="163">SUM(J221:J240)</f>
        <v>864.38607337076269</v>
      </c>
      <c r="K242" s="53">
        <f t="shared" si="163"/>
        <v>903.76415364830234</v>
      </c>
      <c r="L242" s="39">
        <f t="shared" si="163"/>
        <v>906.78614629204526</v>
      </c>
      <c r="M242" s="39">
        <f t="shared" si="163"/>
        <v>957.43920038940121</v>
      </c>
      <c r="N242" s="39">
        <f t="shared" si="163"/>
        <v>1070.8785146366586</v>
      </c>
      <c r="O242" s="54">
        <f t="shared" si="163"/>
        <v>1170.0106490815524</v>
      </c>
      <c r="P242" s="53">
        <f t="shared" si="163"/>
        <v>1239.2838617950497</v>
      </c>
      <c r="Q242" s="39">
        <f t="shared" si="163"/>
        <v>1311.9944233932206</v>
      </c>
      <c r="R242" s="39">
        <f t="shared" si="163"/>
        <v>1372.1869422329878</v>
      </c>
      <c r="S242" s="39">
        <f t="shared" si="163"/>
        <v>1462.9316811198098</v>
      </c>
      <c r="T242" s="54">
        <f t="shared" si="163"/>
        <v>1583.2486123290957</v>
      </c>
    </row>
    <row r="243" spans="1:20" ht="11.25" customHeight="1" x14ac:dyDescent="0.35"/>
    <row r="244" spans="1:20" ht="11.25" customHeight="1" x14ac:dyDescent="0.35">
      <c r="A244" s="42">
        <f>IF(SUM($J244:$T244)&lt;&gt;0,1,0)</f>
        <v>0</v>
      </c>
      <c r="D244" s="10" t="s">
        <v>94</v>
      </c>
      <c r="J244" s="42">
        <f t="shared" ref="J244:T244" si="164">IF(ROUND(SUM(J39,J68,J97,J126,J155,J213)-J242,5)&lt;&gt;0,1,0)</f>
        <v>0</v>
      </c>
      <c r="K244" s="42">
        <f t="shared" si="164"/>
        <v>0</v>
      </c>
      <c r="L244" s="42">
        <f t="shared" si="164"/>
        <v>0</v>
      </c>
      <c r="M244" s="42">
        <f t="shared" si="164"/>
        <v>0</v>
      </c>
      <c r="N244" s="42">
        <f t="shared" si="164"/>
        <v>0</v>
      </c>
      <c r="O244" s="42">
        <f t="shared" si="164"/>
        <v>0</v>
      </c>
      <c r="P244" s="42">
        <f t="shared" si="164"/>
        <v>0</v>
      </c>
      <c r="Q244" s="42">
        <f t="shared" si="164"/>
        <v>0</v>
      </c>
      <c r="R244" s="42">
        <f t="shared" si="164"/>
        <v>0</v>
      </c>
      <c r="S244" s="42">
        <f t="shared" si="164"/>
        <v>0</v>
      </c>
      <c r="T244" s="42">
        <f t="shared" si="164"/>
        <v>0</v>
      </c>
    </row>
    <row r="246" spans="1:20" s="2" customFormat="1" ht="15" x14ac:dyDescent="0.35">
      <c r="B246" s="2" t="s">
        <v>26</v>
      </c>
    </row>
  </sheetData>
  <conditionalFormatting sqref="B2">
    <cfRule type="cellIs" dxfId="12" priority="1" operator="notEqual">
      <formula>"No Errors Found"</formula>
    </cfRule>
  </conditionalFormatting>
  <hyperlinks>
    <hyperlink ref="B3:E3" location="TOC!A1" display="TOC!A1"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tint="0.59999389629810485"/>
  </sheetPr>
  <dimension ref="A1:T166"/>
  <sheetViews>
    <sheetView showGridLines="0" zoomScaleNormal="100" workbookViewId="0">
      <pane xSplit="1" ySplit="10" topLeftCell="B11" activePane="bottomRight" state="frozen"/>
      <selection activeCell="D44" sqref="D44"/>
      <selection pane="topRight" activeCell="D44" sqref="D44"/>
      <selection pane="bottomLeft" activeCell="D44" sqref="D44"/>
      <selection pane="bottomRight" activeCell="B11" sqref="B11"/>
    </sheetView>
  </sheetViews>
  <sheetFormatPr defaultColWidth="9.33203125" defaultRowHeight="10.199999999999999" outlineLevelRow="1" x14ac:dyDescent="0.35"/>
  <cols>
    <col min="1" max="1" width="3.33203125" customWidth="1"/>
    <col min="2" max="3" width="2.796875" customWidth="1"/>
    <col min="4" max="4" width="47.46484375" customWidth="1"/>
    <col min="5" max="8" width="12.1328125" customWidth="1"/>
    <col min="9" max="9" width="4.46484375" customWidth="1"/>
    <col min="10" max="20" width="12.796875" customWidth="1"/>
    <col min="21" max="21" width="4.33203125" customWidth="1"/>
    <col min="22" max="23" width="10.796875" customWidth="1"/>
  </cols>
  <sheetData>
    <row r="1" spans="1:20" ht="18.899999999999999" x14ac:dyDescent="0.35">
      <c r="A1" s="42">
        <f>IF(SUM($A11:$A166)&gt;0,1,0)</f>
        <v>0</v>
      </c>
      <c r="B1" s="3" t="s">
        <v>441</v>
      </c>
    </row>
    <row r="2" spans="1:20" x14ac:dyDescent="0.35">
      <c r="B2" s="13" t="str">
        <f>Title_Msg</f>
        <v>No Errors Found</v>
      </c>
    </row>
    <row r="3" spans="1:20" x14ac:dyDescent="0.35">
      <c r="B3" s="30" t="str">
        <f>TOC!B1</f>
        <v>Table of Contents</v>
      </c>
      <c r="C3" s="28"/>
      <c r="D3" s="28"/>
      <c r="E3" s="28"/>
    </row>
    <row r="4" spans="1:20" ht="12.3" x14ac:dyDescent="0.35">
      <c r="B4" s="27" t="str">
        <f>Model_Name</f>
        <v>Power and Water Corporation (PWC) - RAB Allocation - EB RIN</v>
      </c>
    </row>
    <row r="5" spans="1:20" ht="12.3" hidden="1" outlineLevel="1" x14ac:dyDescent="0.35">
      <c r="B5" s="10" t="str">
        <f>Lookup!B15</f>
        <v>Period start date</v>
      </c>
      <c r="J5" s="35">
        <f>Lookup!R15</f>
        <v>43282</v>
      </c>
      <c r="K5" s="35">
        <f>Lookup!S15</f>
        <v>43647</v>
      </c>
      <c r="L5" s="35">
        <f>Lookup!T15</f>
        <v>44013</v>
      </c>
      <c r="M5" s="35">
        <f>Lookup!U15</f>
        <v>44378</v>
      </c>
      <c r="N5" s="35">
        <f>Lookup!V15</f>
        <v>44743</v>
      </c>
      <c r="O5" s="35">
        <f>Lookup!W15</f>
        <v>45108</v>
      </c>
      <c r="P5" s="35">
        <f>Lookup!X15</f>
        <v>45474</v>
      </c>
      <c r="Q5" s="35">
        <f>Lookup!Y15</f>
        <v>45839</v>
      </c>
      <c r="R5" s="35">
        <f>Lookup!Z15</f>
        <v>46204</v>
      </c>
      <c r="S5" s="35">
        <f>Lookup!AA15</f>
        <v>46569</v>
      </c>
      <c r="T5" s="35">
        <f>Lookup!AB15</f>
        <v>46935</v>
      </c>
    </row>
    <row r="6" spans="1:20" ht="12.3" hidden="1" outlineLevel="1" x14ac:dyDescent="0.35">
      <c r="B6" s="10" t="str">
        <f>Lookup!B16</f>
        <v>Period end date</v>
      </c>
      <c r="J6" s="35">
        <f>Lookup!R16</f>
        <v>43646</v>
      </c>
      <c r="K6" s="35">
        <f>Lookup!S16</f>
        <v>44012</v>
      </c>
      <c r="L6" s="35">
        <f>Lookup!T16</f>
        <v>44377</v>
      </c>
      <c r="M6" s="35">
        <f>Lookup!U16</f>
        <v>44742</v>
      </c>
      <c r="N6" s="35">
        <f>Lookup!V16</f>
        <v>45107</v>
      </c>
      <c r="O6" s="35">
        <f>Lookup!W16</f>
        <v>45473</v>
      </c>
      <c r="P6" s="35">
        <f>Lookup!X16</f>
        <v>45838</v>
      </c>
      <c r="Q6" s="35">
        <f>Lookup!Y16</f>
        <v>46203</v>
      </c>
      <c r="R6" s="35">
        <f>Lookup!Z16</f>
        <v>46568</v>
      </c>
      <c r="S6" s="35">
        <f>Lookup!AA16</f>
        <v>46934</v>
      </c>
      <c r="T6" s="35">
        <f>Lookup!AB16</f>
        <v>47299</v>
      </c>
    </row>
    <row r="7" spans="1:20" ht="12.3" hidden="1" outlineLevel="1" x14ac:dyDescent="0.35">
      <c r="B7" s="10" t="str">
        <f>Lookup!B17</f>
        <v>Period counter</v>
      </c>
      <c r="J7" s="36">
        <f>Lookup!R17</f>
        <v>9</v>
      </c>
      <c r="K7" s="36">
        <f>Lookup!S17</f>
        <v>10</v>
      </c>
      <c r="L7" s="36">
        <f>Lookup!T17</f>
        <v>11</v>
      </c>
      <c r="M7" s="36">
        <f>Lookup!U17</f>
        <v>12</v>
      </c>
      <c r="N7" s="36">
        <f>Lookup!V17</f>
        <v>13</v>
      </c>
      <c r="O7" s="36">
        <f>Lookup!W17</f>
        <v>14</v>
      </c>
      <c r="P7" s="36">
        <f>Lookup!X17</f>
        <v>15</v>
      </c>
      <c r="Q7" s="36">
        <f>Lookup!Y17</f>
        <v>16</v>
      </c>
      <c r="R7" s="36">
        <f>Lookup!Z17</f>
        <v>17</v>
      </c>
      <c r="S7" s="36">
        <f>Lookup!AA17</f>
        <v>18</v>
      </c>
      <c r="T7" s="36">
        <f>Lookup!AB17</f>
        <v>19</v>
      </c>
    </row>
    <row r="8" spans="1:20" ht="12.3" hidden="1" outlineLevel="1" x14ac:dyDescent="0.35">
      <c r="B8" s="10" t="str">
        <f>Lookup!B18</f>
        <v>Year</v>
      </c>
      <c r="J8" s="37">
        <f>Lookup!R18</f>
        <v>2019</v>
      </c>
      <c r="K8" s="37">
        <f>Lookup!S18</f>
        <v>2020</v>
      </c>
      <c r="L8" s="37">
        <f>Lookup!T18</f>
        <v>2021</v>
      </c>
      <c r="M8" s="37">
        <f>Lookup!U18</f>
        <v>2022</v>
      </c>
      <c r="N8" s="37">
        <f>Lookup!V18</f>
        <v>2023</v>
      </c>
      <c r="O8" s="37">
        <f>Lookup!W18</f>
        <v>2024</v>
      </c>
      <c r="P8" s="37">
        <f>Lookup!X18</f>
        <v>2025</v>
      </c>
      <c r="Q8" s="37">
        <f>Lookup!Y18</f>
        <v>2026</v>
      </c>
      <c r="R8" s="37">
        <f>Lookup!Z18</f>
        <v>2027</v>
      </c>
      <c r="S8" s="37">
        <f>Lookup!AA18</f>
        <v>2028</v>
      </c>
      <c r="T8" s="37">
        <f>Lookup!AB18</f>
        <v>2029</v>
      </c>
    </row>
    <row r="9" spans="1:20" ht="12.3" hidden="1" outlineLevel="1" x14ac:dyDescent="0.35">
      <c r="B9" s="10" t="str">
        <f>Lookup!B19</f>
        <v>Period type</v>
      </c>
      <c r="J9" s="37" t="str">
        <f>Lookup!R19</f>
        <v>Actual</v>
      </c>
      <c r="K9" s="37" t="str">
        <f>Lookup!S19</f>
        <v>Actual</v>
      </c>
      <c r="L9" s="37" t="str">
        <f>Lookup!T19</f>
        <v>Actual</v>
      </c>
      <c r="M9" s="37" t="str">
        <f>Lookup!U19</f>
        <v>Base Year</v>
      </c>
      <c r="N9" s="37" t="str">
        <f>Lookup!V19</f>
        <v>Estimate</v>
      </c>
      <c r="O9" s="37" t="str">
        <f>Lookup!W19</f>
        <v>Estimate</v>
      </c>
      <c r="P9" s="37" t="str">
        <f>Lookup!X19</f>
        <v>Forecast</v>
      </c>
      <c r="Q9" s="37" t="str">
        <f>Lookup!Y19</f>
        <v>Forecast</v>
      </c>
      <c r="R9" s="37" t="str">
        <f>Lookup!Z19</f>
        <v>Forecast</v>
      </c>
      <c r="S9" s="37" t="str">
        <f>Lookup!AA19</f>
        <v>Forecast</v>
      </c>
      <c r="T9" s="37" t="str">
        <f>Lookup!AB19</f>
        <v>Forecast</v>
      </c>
    </row>
    <row r="10" spans="1:20" ht="12.3" collapsed="1" x14ac:dyDescent="0.35">
      <c r="B10" s="5" t="str">
        <f>Lookup!B20</f>
        <v>Regulatory year</v>
      </c>
      <c r="E10" s="34" t="str">
        <f>Lookup!E20</f>
        <v>Source</v>
      </c>
      <c r="F10" s="34" t="str">
        <f>Lookup!F20</f>
        <v>Unit</v>
      </c>
      <c r="G10" s="34" t="str">
        <f>Lookup!G20</f>
        <v>Basis</v>
      </c>
      <c r="H10" s="34" t="str">
        <f>Lookup!H20</f>
        <v>Timing</v>
      </c>
      <c r="I10" s="34"/>
      <c r="J10" s="34" t="str">
        <f>Lookup!R20</f>
        <v>RY19</v>
      </c>
      <c r="K10" s="34" t="str">
        <f>Lookup!S20</f>
        <v>RY20</v>
      </c>
      <c r="L10" s="34" t="str">
        <f>Lookup!T20</f>
        <v>RY21</v>
      </c>
      <c r="M10" s="34" t="str">
        <f>Lookup!U20</f>
        <v>RY22</v>
      </c>
      <c r="N10" s="34" t="str">
        <f>Lookup!V20</f>
        <v>RY23</v>
      </c>
      <c r="O10" s="34" t="str">
        <f>Lookup!W20</f>
        <v>RY24</v>
      </c>
      <c r="P10" s="34" t="str">
        <f>Lookup!X20</f>
        <v>RY25</v>
      </c>
      <c r="Q10" s="34" t="str">
        <f>Lookup!Y20</f>
        <v>RY26</v>
      </c>
      <c r="R10" s="34" t="str">
        <f>Lookup!Z20</f>
        <v>RY27</v>
      </c>
      <c r="S10" s="34" t="str">
        <f>Lookup!AA20</f>
        <v>RY28</v>
      </c>
      <c r="T10" s="34" t="str">
        <f>Lookup!AB20</f>
        <v>RY29</v>
      </c>
    </row>
    <row r="12" spans="1:20" s="2" customFormat="1" ht="15" x14ac:dyDescent="0.35">
      <c r="B12" s="2" t="s">
        <v>442</v>
      </c>
    </row>
    <row r="13" spans="1:20" ht="4.5" customHeight="1" x14ac:dyDescent="0.35"/>
    <row r="14" spans="1:20" s="8" customFormat="1" ht="14.1" x14ac:dyDescent="0.35">
      <c r="C14" s="8" t="s">
        <v>402</v>
      </c>
    </row>
    <row r="15" spans="1:20" ht="11.25" customHeight="1" x14ac:dyDescent="0.35"/>
    <row r="16" spans="1:20" ht="12.3" x14ac:dyDescent="0.35">
      <c r="D16" s="43" t="s">
        <v>443</v>
      </c>
      <c r="E16" s="38" t="str">
        <f>Lookup!E$20</f>
        <v>Source</v>
      </c>
      <c r="F16" s="38" t="str">
        <f>Lookup!F$20</f>
        <v>Unit</v>
      </c>
      <c r="G16" s="38" t="str">
        <f>Lookup!G$20</f>
        <v>Basis</v>
      </c>
      <c r="H16" s="38" t="str">
        <f>Lookup!H$20</f>
        <v>Timing</v>
      </c>
      <c r="J16" s="47" t="str">
        <f t="shared" ref="J16:T16" si="0">J$10</f>
        <v>RY19</v>
      </c>
      <c r="K16" s="46" t="str">
        <f t="shared" si="0"/>
        <v>RY20</v>
      </c>
      <c r="L16" s="38" t="str">
        <f>L$10</f>
        <v>RY21</v>
      </c>
      <c r="M16" s="38" t="str">
        <f t="shared" si="0"/>
        <v>RY22</v>
      </c>
      <c r="N16" s="38" t="str">
        <f t="shared" si="0"/>
        <v>RY23</v>
      </c>
      <c r="O16" s="47" t="str">
        <f t="shared" si="0"/>
        <v>RY24</v>
      </c>
      <c r="P16" s="46" t="str">
        <f t="shared" si="0"/>
        <v>RY25</v>
      </c>
      <c r="Q16" s="38" t="str">
        <f>Q$10</f>
        <v>RY26</v>
      </c>
      <c r="R16" s="38" t="str">
        <f t="shared" si="0"/>
        <v>RY27</v>
      </c>
      <c r="S16" s="38" t="str">
        <f t="shared" si="0"/>
        <v>RY28</v>
      </c>
      <c r="T16" s="47" t="str">
        <f t="shared" si="0"/>
        <v>RY29</v>
      </c>
    </row>
    <row r="17" spans="1:20" x14ac:dyDescent="0.35">
      <c r="J17" s="49"/>
      <c r="K17" s="48"/>
      <c r="O17" s="49"/>
      <c r="P17" s="48"/>
      <c r="T17" s="49"/>
    </row>
    <row r="18" spans="1:20" ht="12.3" x14ac:dyDescent="0.35">
      <c r="D18" s="10" t="str">
        <f>Lookup!D106</f>
        <v>Overhead network assets less than 33kV</v>
      </c>
      <c r="E18" s="45" t="s">
        <v>91</v>
      </c>
      <c r="F18" s="45" t="str">
        <f t="shared" ref="F18:F27" si="1">Millions</f>
        <v>$Millions</v>
      </c>
      <c r="G18" s="45" t="str">
        <f t="shared" ref="G18:G27" si="2">Nominal</f>
        <v>Nominal</v>
      </c>
      <c r="H18" s="45" t="str">
        <f t="shared" ref="H18:H27" si="3">Start_year</f>
        <v>Start year</v>
      </c>
      <c r="J18" s="58">
        <f>SUMPRODUCT(Calc_Alloc!$E$11:$E$30,Calc_RAB_NS!$J$18:$J$37)</f>
        <v>60.997265702808299</v>
      </c>
      <c r="K18" s="56">
        <f t="shared" ref="K18:T18" si="4">J151</f>
        <v>61.20623533761254</v>
      </c>
      <c r="L18" s="57">
        <f t="shared" si="4"/>
        <v>62.838927055301163</v>
      </c>
      <c r="M18" s="57">
        <f t="shared" si="4"/>
        <v>64.038705539799537</v>
      </c>
      <c r="N18" s="57">
        <f t="shared" si="4"/>
        <v>70.106702618089344</v>
      </c>
      <c r="O18" s="58">
        <f t="shared" si="4"/>
        <v>82.465397781562217</v>
      </c>
      <c r="P18" s="56">
        <f t="shared" si="4"/>
        <v>91.274560842660946</v>
      </c>
      <c r="Q18" s="57">
        <f t="shared" si="4"/>
        <v>97.923936415954429</v>
      </c>
      <c r="R18" s="57">
        <f t="shared" si="4"/>
        <v>105.38333749212411</v>
      </c>
      <c r="S18" s="57">
        <f t="shared" si="4"/>
        <v>113.07706790162077</v>
      </c>
      <c r="T18" s="58">
        <f t="shared" si="4"/>
        <v>119.99303537483786</v>
      </c>
    </row>
    <row r="19" spans="1:20" ht="12.3" x14ac:dyDescent="0.35">
      <c r="D19" s="10" t="str">
        <f>Lookup!D107</f>
        <v>Underground network assets less than 33kV</v>
      </c>
      <c r="E19" s="45" t="str">
        <f>E18</f>
        <v>Calculated</v>
      </c>
      <c r="F19" s="45" t="str">
        <f t="shared" si="1"/>
        <v>$Millions</v>
      </c>
      <c r="G19" s="45" t="str">
        <f t="shared" si="2"/>
        <v>Nominal</v>
      </c>
      <c r="H19" s="45" t="str">
        <f t="shared" si="3"/>
        <v>Start year</v>
      </c>
      <c r="J19" s="58">
        <f>SUMPRODUCT(Calc_Alloc!$F$11:$F$30,Calc_RAB_NS!$J$18:$J$37)</f>
        <v>126.35361493849278</v>
      </c>
      <c r="K19" s="56">
        <f t="shared" ref="K19:T27" si="5">J152</f>
        <v>126.78648792821889</v>
      </c>
      <c r="L19" s="57">
        <f t="shared" si="5"/>
        <v>130.16854937364855</v>
      </c>
      <c r="M19" s="57">
        <f t="shared" si="5"/>
        <v>132.65384681928171</v>
      </c>
      <c r="N19" s="57">
        <f t="shared" si="5"/>
        <v>145.2234818257707</v>
      </c>
      <c r="O19" s="58">
        <f t="shared" si="5"/>
        <v>170.8240688657857</v>
      </c>
      <c r="P19" s="56">
        <f t="shared" si="5"/>
        <v>189.07192939736385</v>
      </c>
      <c r="Q19" s="57">
        <f t="shared" si="5"/>
        <v>202.84586878774317</v>
      </c>
      <c r="R19" s="57">
        <f t="shared" si="5"/>
        <v>218.29774651357917</v>
      </c>
      <c r="S19" s="57">
        <f t="shared" si="5"/>
        <v>234.23502892126183</v>
      </c>
      <c r="T19" s="58">
        <f t="shared" si="5"/>
        <v>248.56120372548395</v>
      </c>
    </row>
    <row r="20" spans="1:20" ht="12.3" x14ac:dyDescent="0.35">
      <c r="D20" s="10" t="str">
        <f>Lookup!D108</f>
        <v>Distribution substations and transformers</v>
      </c>
      <c r="E20" s="45" t="str">
        <f t="shared" ref="E20:E27" si="6">E19</f>
        <v>Calculated</v>
      </c>
      <c r="F20" s="45" t="str">
        <f t="shared" si="1"/>
        <v>$Millions</v>
      </c>
      <c r="G20" s="45" t="str">
        <f t="shared" si="2"/>
        <v>Nominal</v>
      </c>
      <c r="H20" s="45" t="str">
        <f t="shared" si="3"/>
        <v>Start year</v>
      </c>
      <c r="J20" s="58">
        <f>SUMPRODUCT(Calc_Alloc!$G$11:$G$30,Calc_RAB_NS!$J$18:$J$37)</f>
        <v>96.973391439179736</v>
      </c>
      <c r="K20" s="56">
        <f t="shared" si="5"/>
        <v>106.5287883866858</v>
      </c>
      <c r="L20" s="57">
        <f t="shared" si="5"/>
        <v>109.28006989112745</v>
      </c>
      <c r="M20" s="57">
        <f t="shared" si="5"/>
        <v>111.30584286162387</v>
      </c>
      <c r="N20" s="57">
        <f t="shared" si="5"/>
        <v>117.69873218959219</v>
      </c>
      <c r="O20" s="58">
        <f t="shared" si="5"/>
        <v>129.58708150323471</v>
      </c>
      <c r="P20" s="56">
        <f t="shared" si="5"/>
        <v>135.91593766418211</v>
      </c>
      <c r="Q20" s="57">
        <f t="shared" si="5"/>
        <v>143.04897471338003</v>
      </c>
      <c r="R20" s="57">
        <f t="shared" si="5"/>
        <v>150.60380559924835</v>
      </c>
      <c r="S20" s="57">
        <f t="shared" si="5"/>
        <v>158.55202043921298</v>
      </c>
      <c r="T20" s="58">
        <f t="shared" si="5"/>
        <v>166.89187459025916</v>
      </c>
    </row>
    <row r="21" spans="1:20" ht="12.3" x14ac:dyDescent="0.35">
      <c r="D21" s="10" t="str">
        <f>Lookup!D109</f>
        <v>Overhead network assets 33kV and above</v>
      </c>
      <c r="E21" s="45" t="str">
        <f t="shared" si="6"/>
        <v>Calculated</v>
      </c>
      <c r="F21" s="45" t="str">
        <f t="shared" si="1"/>
        <v>$Millions</v>
      </c>
      <c r="G21" s="45" t="str">
        <f t="shared" si="2"/>
        <v>Nominal</v>
      </c>
      <c r="H21" s="45" t="str">
        <f t="shared" si="3"/>
        <v>Start year</v>
      </c>
      <c r="J21" s="58">
        <f>SUMPRODUCT(Calc_Alloc!$H$11:$H$30,Calc_RAB_NS!$J$18:$J$37)</f>
        <v>119.51922575092475</v>
      </c>
      <c r="K21" s="56">
        <f t="shared" si="5"/>
        <v>118.46667024464533</v>
      </c>
      <c r="L21" s="57">
        <f t="shared" si="5"/>
        <v>116.92662676154043</v>
      </c>
      <c r="M21" s="57">
        <f t="shared" si="5"/>
        <v>114.5637827333488</v>
      </c>
      <c r="N21" s="57">
        <f t="shared" si="5"/>
        <v>115.64687455245625</v>
      </c>
      <c r="O21" s="58">
        <f t="shared" si="5"/>
        <v>122.17080133819033</v>
      </c>
      <c r="P21" s="56">
        <f t="shared" si="5"/>
        <v>129.27579651119797</v>
      </c>
      <c r="Q21" s="57">
        <f t="shared" si="5"/>
        <v>129.94276586502178</v>
      </c>
      <c r="R21" s="57">
        <f t="shared" si="5"/>
        <v>133.09131475498137</v>
      </c>
      <c r="S21" s="57">
        <f t="shared" si="5"/>
        <v>133.15610417171649</v>
      </c>
      <c r="T21" s="58">
        <f t="shared" si="5"/>
        <v>132.33488678273261</v>
      </c>
    </row>
    <row r="22" spans="1:20" ht="12.3" x14ac:dyDescent="0.35">
      <c r="D22" s="10" t="str">
        <f>Lookup!D110</f>
        <v>Underground network assets 33kV and above</v>
      </c>
      <c r="E22" s="45" t="str">
        <f t="shared" si="6"/>
        <v>Calculated</v>
      </c>
      <c r="F22" s="45" t="str">
        <f t="shared" si="1"/>
        <v>$Millions</v>
      </c>
      <c r="G22" s="45" t="str">
        <f t="shared" si="2"/>
        <v>Nominal</v>
      </c>
      <c r="H22" s="45" t="str">
        <f t="shared" si="3"/>
        <v>Start year</v>
      </c>
      <c r="J22" s="58">
        <f>SUMPRODUCT(Calc_Alloc!$I$11:$I$30,Calc_RAB_NS!$J$18:$J$37)</f>
        <v>59.80574090889462</v>
      </c>
      <c r="K22" s="56">
        <f t="shared" si="5"/>
        <v>59.27905692558334</v>
      </c>
      <c r="L22" s="57">
        <f t="shared" si="5"/>
        <v>58.508440809554067</v>
      </c>
      <c r="M22" s="57">
        <f t="shared" si="5"/>
        <v>57.326106863945611</v>
      </c>
      <c r="N22" s="57">
        <f t="shared" si="5"/>
        <v>57.86807078905565</v>
      </c>
      <c r="O22" s="58">
        <f t="shared" si="5"/>
        <v>61.132552068990577</v>
      </c>
      <c r="P22" s="56">
        <f t="shared" si="5"/>
        <v>64.687791803904574</v>
      </c>
      <c r="Q22" s="57">
        <f t="shared" si="5"/>
        <v>65.021533895340852</v>
      </c>
      <c r="R22" s="57">
        <f t="shared" si="5"/>
        <v>66.597023511917897</v>
      </c>
      <c r="S22" s="57">
        <f t="shared" si="5"/>
        <v>66.629443225537642</v>
      </c>
      <c r="T22" s="58">
        <f t="shared" si="5"/>
        <v>66.218517585023534</v>
      </c>
    </row>
    <row r="23" spans="1:20" ht="12.3" x14ac:dyDescent="0.35">
      <c r="D23" s="10" t="str">
        <f>Lookup!D111</f>
        <v>Zone substations and transformers</v>
      </c>
      <c r="E23" s="45" t="str">
        <f t="shared" si="6"/>
        <v>Calculated</v>
      </c>
      <c r="F23" s="45" t="str">
        <f t="shared" si="1"/>
        <v>$Millions</v>
      </c>
      <c r="G23" s="45" t="str">
        <f t="shared" si="2"/>
        <v>Nominal</v>
      </c>
      <c r="H23" s="45" t="str">
        <f t="shared" si="3"/>
        <v>Start year</v>
      </c>
      <c r="J23" s="58">
        <f>SUMPRODUCT(Calc_Alloc!$J$11:$J$30,Calc_RAB_NS!$J$18:$J$37)</f>
        <v>335.44314403487158</v>
      </c>
      <c r="K23" s="56">
        <f t="shared" si="5"/>
        <v>318.17126366848231</v>
      </c>
      <c r="L23" s="57">
        <f t="shared" si="5"/>
        <v>327.41798681760213</v>
      </c>
      <c r="M23" s="57">
        <f t="shared" si="5"/>
        <v>325.66292475029201</v>
      </c>
      <c r="N23" s="57">
        <f t="shared" si="5"/>
        <v>332.37283187466795</v>
      </c>
      <c r="O23" s="58">
        <f t="shared" si="5"/>
        <v>358.67792636580361</v>
      </c>
      <c r="P23" s="56">
        <f t="shared" si="5"/>
        <v>381.06791850757656</v>
      </c>
      <c r="Q23" s="57">
        <f t="shared" si="5"/>
        <v>402.96189082118678</v>
      </c>
      <c r="R23" s="57">
        <f t="shared" si="5"/>
        <v>413.17934920905304</v>
      </c>
      <c r="S23" s="57">
        <f t="shared" si="5"/>
        <v>408.64255862968884</v>
      </c>
      <c r="T23" s="58">
        <f t="shared" si="5"/>
        <v>399.5778523758562</v>
      </c>
    </row>
    <row r="24" spans="1:20" ht="12.3" x14ac:dyDescent="0.35">
      <c r="D24" s="10" t="str">
        <f>Lookup!D112</f>
        <v>Easements</v>
      </c>
      <c r="E24" s="45" t="str">
        <f t="shared" si="6"/>
        <v>Calculated</v>
      </c>
      <c r="F24" s="45" t="str">
        <f t="shared" si="1"/>
        <v>$Millions</v>
      </c>
      <c r="G24" s="45" t="str">
        <f t="shared" si="2"/>
        <v>Nominal</v>
      </c>
      <c r="H24" s="45" t="str">
        <f t="shared" si="3"/>
        <v>Start year</v>
      </c>
      <c r="J24" s="58">
        <f>SUMPRODUCT(Calc_Alloc!$K$11:$K$30,Calc_RAB_NS!$J$18:$J$37)</f>
        <v>37.011647544048387</v>
      </c>
      <c r="K24" s="56">
        <f t="shared" si="5"/>
        <v>45.815760921706001</v>
      </c>
      <c r="L24" s="57">
        <f t="shared" si="5"/>
        <v>46.658995785295687</v>
      </c>
      <c r="M24" s="57">
        <f t="shared" si="5"/>
        <v>47.060536196528865</v>
      </c>
      <c r="N24" s="57">
        <f t="shared" si="5"/>
        <v>48.706851882584907</v>
      </c>
      <c r="O24" s="58">
        <f t="shared" si="5"/>
        <v>52.603400033191697</v>
      </c>
      <c r="P24" s="56">
        <f t="shared" si="5"/>
        <v>55.251388665969486</v>
      </c>
      <c r="Q24" s="57">
        <f t="shared" si="5"/>
        <v>56.864530337569484</v>
      </c>
      <c r="R24" s="57">
        <f t="shared" si="5"/>
        <v>58.524769939474631</v>
      </c>
      <c r="S24" s="57">
        <f t="shared" si="5"/>
        <v>60.23348256172077</v>
      </c>
      <c r="T24" s="58">
        <f t="shared" si="5"/>
        <v>61.992083442023159</v>
      </c>
    </row>
    <row r="25" spans="1:20" ht="12.3" x14ac:dyDescent="0.35">
      <c r="D25" s="10" t="str">
        <f>Lookup!D113</f>
        <v>Meters</v>
      </c>
      <c r="E25" s="45" t="str">
        <f t="shared" si="6"/>
        <v>Calculated</v>
      </c>
      <c r="F25" s="45" t="str">
        <f t="shared" si="1"/>
        <v>$Millions</v>
      </c>
      <c r="G25" s="45" t="str">
        <f t="shared" si="2"/>
        <v>Nominal</v>
      </c>
      <c r="H25" s="45" t="str">
        <f t="shared" si="3"/>
        <v>Start year</v>
      </c>
      <c r="J25" s="58">
        <f>SUMPRODUCT(Calc_Alloc!$L$11:$L$30,Calc_RAB_NS!$J$18:$J$37)</f>
        <v>0</v>
      </c>
      <c r="K25" s="56">
        <f t="shared" si="5"/>
        <v>0</v>
      </c>
      <c r="L25" s="57">
        <f t="shared" si="5"/>
        <v>0</v>
      </c>
      <c r="M25" s="57">
        <f t="shared" si="5"/>
        <v>0</v>
      </c>
      <c r="N25" s="57">
        <f t="shared" si="5"/>
        <v>0</v>
      </c>
      <c r="O25" s="58">
        <f t="shared" si="5"/>
        <v>0</v>
      </c>
      <c r="P25" s="56">
        <f t="shared" si="5"/>
        <v>0</v>
      </c>
      <c r="Q25" s="57">
        <f t="shared" si="5"/>
        <v>0</v>
      </c>
      <c r="R25" s="57">
        <f t="shared" si="5"/>
        <v>0</v>
      </c>
      <c r="S25" s="57">
        <f t="shared" si="5"/>
        <v>0</v>
      </c>
      <c r="T25" s="58">
        <f t="shared" si="5"/>
        <v>0</v>
      </c>
    </row>
    <row r="26" spans="1:20" ht="12.3" x14ac:dyDescent="0.35">
      <c r="D26" s="10" t="str">
        <f>Lookup!D114</f>
        <v>“Other” asset items with long lives</v>
      </c>
      <c r="E26" s="45" t="str">
        <f t="shared" si="6"/>
        <v>Calculated</v>
      </c>
      <c r="F26" s="45" t="str">
        <f t="shared" si="1"/>
        <v>$Millions</v>
      </c>
      <c r="G26" s="45" t="str">
        <f t="shared" si="2"/>
        <v>Nominal</v>
      </c>
      <c r="H26" s="45" t="str">
        <f t="shared" si="3"/>
        <v>Start year</v>
      </c>
      <c r="J26" s="58">
        <f>SUMPRODUCT(Calc_Alloc!$M$11:$M$30,Calc_RAB_NS!$J$18:$J$37)</f>
        <v>7.8469175236856543</v>
      </c>
      <c r="K26" s="56">
        <f t="shared" si="5"/>
        <v>23.043887610569833</v>
      </c>
      <c r="L26" s="57">
        <f t="shared" si="5"/>
        <v>28.757416893035817</v>
      </c>
      <c r="M26" s="57">
        <f t="shared" si="5"/>
        <v>29.262117856539479</v>
      </c>
      <c r="N26" s="57">
        <f t="shared" si="5"/>
        <v>34.69846069099178</v>
      </c>
      <c r="O26" s="58">
        <f t="shared" si="5"/>
        <v>57.958728795606547</v>
      </c>
      <c r="P26" s="56">
        <f t="shared" si="5"/>
        <v>85.471804488943135</v>
      </c>
      <c r="Q26" s="57">
        <f t="shared" si="5"/>
        <v>102.13855280738885</v>
      </c>
      <c r="R26" s="57">
        <f t="shared" si="5"/>
        <v>125.31481789154545</v>
      </c>
      <c r="S26" s="57">
        <f t="shared" si="5"/>
        <v>145.26010822362272</v>
      </c>
      <c r="T26" s="58">
        <f t="shared" si="5"/>
        <v>214.72422111062605</v>
      </c>
    </row>
    <row r="27" spans="1:20" ht="12.3" x14ac:dyDescent="0.35">
      <c r="D27" s="10" t="str">
        <f>Lookup!D115</f>
        <v>“Other” asset items with short lives</v>
      </c>
      <c r="E27" s="45" t="str">
        <f t="shared" si="6"/>
        <v>Calculated</v>
      </c>
      <c r="F27" s="45" t="str">
        <f t="shared" si="1"/>
        <v>$Millions</v>
      </c>
      <c r="G27" s="45" t="str">
        <f t="shared" si="2"/>
        <v>Nominal</v>
      </c>
      <c r="H27" s="45" t="str">
        <f t="shared" si="3"/>
        <v>Start year</v>
      </c>
      <c r="J27" s="58">
        <f>SUMPRODUCT(Calc_Alloc!$N$11:$N$30,Calc_RAB_NS!$J$18:$J$37)</f>
        <v>5.9512850147387919</v>
      </c>
      <c r="K27" s="56">
        <f t="shared" si="5"/>
        <v>5.0879223472587896</v>
      </c>
      <c r="L27" s="57">
        <f t="shared" si="5"/>
        <v>23.207140261197104</v>
      </c>
      <c r="M27" s="57">
        <f t="shared" si="5"/>
        <v>24.912282670685393</v>
      </c>
      <c r="N27" s="57">
        <f t="shared" si="5"/>
        <v>35.117193966192374</v>
      </c>
      <c r="O27" s="58">
        <f t="shared" si="5"/>
        <v>35.458557884292944</v>
      </c>
      <c r="P27" s="56">
        <f t="shared" si="5"/>
        <v>37.993521199753474</v>
      </c>
      <c r="Q27" s="57">
        <f t="shared" si="5"/>
        <v>38.535808151464018</v>
      </c>
      <c r="R27" s="57">
        <f t="shared" si="5"/>
        <v>41.002258481296167</v>
      </c>
      <c r="S27" s="57">
        <f t="shared" si="5"/>
        <v>52.401128158605459</v>
      </c>
      <c r="T27" s="58">
        <f t="shared" si="5"/>
        <v>52.638006132966993</v>
      </c>
    </row>
    <row r="28" spans="1:20" x14ac:dyDescent="0.35">
      <c r="J28" s="49"/>
      <c r="K28" s="48"/>
      <c r="O28" s="49"/>
      <c r="P28" s="48"/>
      <c r="T28" s="49"/>
    </row>
    <row r="29" spans="1:20" ht="12.3" x14ac:dyDescent="0.35">
      <c r="D29" s="44" t="str">
        <f>"Total "&amp;D16</f>
        <v>Total EB RIN categories</v>
      </c>
      <c r="E29" s="40" t="s">
        <v>91</v>
      </c>
      <c r="F29" s="40" t="str">
        <f>F18</f>
        <v>$Millions</v>
      </c>
      <c r="G29" s="40" t="str">
        <f>G18</f>
        <v>Nominal</v>
      </c>
      <c r="H29" s="40" t="str">
        <f>H18</f>
        <v>Start year</v>
      </c>
      <c r="J29" s="54">
        <f t="shared" ref="J29:T29" si="7">SUM(J18:J27)</f>
        <v>849.90223285764455</v>
      </c>
      <c r="K29" s="53">
        <f t="shared" si="7"/>
        <v>864.38607337076292</v>
      </c>
      <c r="L29" s="39">
        <f t="shared" si="7"/>
        <v>903.76415364830234</v>
      </c>
      <c r="M29" s="39">
        <f t="shared" si="7"/>
        <v>906.78614629204537</v>
      </c>
      <c r="N29" s="39">
        <f t="shared" si="7"/>
        <v>957.43920038940121</v>
      </c>
      <c r="O29" s="54">
        <f t="shared" si="7"/>
        <v>1070.8785146366583</v>
      </c>
      <c r="P29" s="53">
        <f t="shared" si="7"/>
        <v>1170.0106490815524</v>
      </c>
      <c r="Q29" s="39">
        <f t="shared" si="7"/>
        <v>1239.2838617950492</v>
      </c>
      <c r="R29" s="39">
        <f t="shared" si="7"/>
        <v>1311.9944233932204</v>
      </c>
      <c r="S29" s="39">
        <f t="shared" si="7"/>
        <v>1372.1869422329876</v>
      </c>
      <c r="T29" s="54">
        <f t="shared" si="7"/>
        <v>1462.9316811198094</v>
      </c>
    </row>
    <row r="30" spans="1:20" ht="11.25" customHeight="1" x14ac:dyDescent="0.35"/>
    <row r="31" spans="1:20" ht="11.25" customHeight="1" x14ac:dyDescent="0.35">
      <c r="A31" s="42">
        <f>IF(SUM($J31:$T31)&lt;&gt;0,1,0)</f>
        <v>0</v>
      </c>
      <c r="D31" s="10" t="s">
        <v>94</v>
      </c>
      <c r="J31" s="42">
        <f>IF(ROUND(J29-Calc_RAB_NS!J$39,3)=0,0,1)</f>
        <v>0</v>
      </c>
      <c r="K31" s="42">
        <f>IF(ROUND(K29-Calc_RAB_NS!K$39,3)=0,0,1)</f>
        <v>0</v>
      </c>
      <c r="L31" s="42">
        <f>IF(ROUND(L29-Calc_RAB_NS!L$39,3)=0,0,1)</f>
        <v>0</v>
      </c>
      <c r="M31" s="42">
        <f>IF(ROUND(M29-Calc_RAB_NS!M$39,3)=0,0,1)</f>
        <v>0</v>
      </c>
      <c r="N31" s="42">
        <f>IF(ROUND(N29-Calc_RAB_NS!N$39,3)=0,0,1)</f>
        <v>0</v>
      </c>
      <c r="O31" s="42">
        <f>IF(ROUND(O29-Calc_RAB_NS!O$39,3)=0,0,1)</f>
        <v>0</v>
      </c>
      <c r="P31" s="42">
        <f>IF(ROUND(P29-Calc_RAB_NS!P$39,3)=0,0,1)</f>
        <v>0</v>
      </c>
      <c r="Q31" s="42">
        <f>IF(ROUND(Q29-Calc_RAB_NS!Q$39,3)=0,0,1)</f>
        <v>0</v>
      </c>
      <c r="R31" s="42">
        <f>IF(ROUND(R29-Calc_RAB_NS!R$39,3)=0,0,1)</f>
        <v>0</v>
      </c>
      <c r="S31" s="42">
        <f>IF(ROUND(S29-Calc_RAB_NS!S$39,3)=0,0,1)</f>
        <v>0</v>
      </c>
      <c r="T31" s="42">
        <f>IF(ROUND(T29-Calc_RAB_NS!T$39,3)=0,0,1)</f>
        <v>0</v>
      </c>
    </row>
    <row r="32" spans="1:20" ht="11.25" customHeight="1" x14ac:dyDescent="0.35">
      <c r="N32" s="5"/>
      <c r="S32" s="5"/>
    </row>
    <row r="33" spans="3:20" s="8" customFormat="1" ht="14.1" x14ac:dyDescent="0.35">
      <c r="C33" s="8" t="s">
        <v>125</v>
      </c>
    </row>
    <row r="34" spans="3:20" ht="11.25" customHeight="1" x14ac:dyDescent="0.35"/>
    <row r="35" spans="3:20" ht="12.3" x14ac:dyDescent="0.35">
      <c r="D35" s="43" t="str">
        <f>D$16</f>
        <v>EB RIN categories</v>
      </c>
      <c r="E35" s="38" t="str">
        <f>Lookup!E$20</f>
        <v>Source</v>
      </c>
      <c r="F35" s="38" t="str">
        <f>Lookup!F$20</f>
        <v>Unit</v>
      </c>
      <c r="G35" s="38" t="str">
        <f>Lookup!G$20</f>
        <v>Basis</v>
      </c>
      <c r="H35" s="38" t="str">
        <f>Lookup!H$20</f>
        <v>Timing</v>
      </c>
      <c r="J35" s="47" t="str">
        <f t="shared" ref="J35:T35" si="8">J$10</f>
        <v>RY19</v>
      </c>
      <c r="K35" s="46" t="str">
        <f t="shared" si="8"/>
        <v>RY20</v>
      </c>
      <c r="L35" s="38" t="str">
        <f>L$10</f>
        <v>RY21</v>
      </c>
      <c r="M35" s="38" t="str">
        <f t="shared" si="8"/>
        <v>RY22</v>
      </c>
      <c r="N35" s="38" t="str">
        <f t="shared" si="8"/>
        <v>RY23</v>
      </c>
      <c r="O35" s="47" t="str">
        <f t="shared" si="8"/>
        <v>RY24</v>
      </c>
      <c r="P35" s="46" t="str">
        <f t="shared" si="8"/>
        <v>RY25</v>
      </c>
      <c r="Q35" s="38" t="str">
        <f>Q$10</f>
        <v>RY26</v>
      </c>
      <c r="R35" s="38" t="str">
        <f t="shared" si="8"/>
        <v>RY27</v>
      </c>
      <c r="S35" s="38" t="str">
        <f t="shared" si="8"/>
        <v>RY28</v>
      </c>
      <c r="T35" s="47" t="str">
        <f t="shared" si="8"/>
        <v>RY29</v>
      </c>
    </row>
    <row r="36" spans="3:20" x14ac:dyDescent="0.35">
      <c r="J36" s="49"/>
      <c r="K36" s="48"/>
      <c r="O36" s="49"/>
      <c r="P36" s="48"/>
      <c r="T36" s="49"/>
    </row>
    <row r="37" spans="3:20" ht="12.3" x14ac:dyDescent="0.35">
      <c r="D37" s="10" t="str">
        <f t="shared" ref="D37:E46" si="9">D18</f>
        <v>Overhead network assets less than 33kV</v>
      </c>
      <c r="E37" s="45" t="str">
        <f t="shared" si="9"/>
        <v>Calculated</v>
      </c>
      <c r="F37" s="45" t="str">
        <f t="shared" ref="F37:F46" si="10">Millions</f>
        <v>$Millions</v>
      </c>
      <c r="G37" s="45" t="str">
        <f t="shared" ref="G37:G46" si="11">Nominal</f>
        <v>Nominal</v>
      </c>
      <c r="H37" s="45" t="str">
        <f t="shared" ref="H37:H46" si="12">End_year</f>
        <v>End year</v>
      </c>
      <c r="J37" s="58">
        <f>SUMPRODUCT((Calc_Alloc!$E$11:$E$30)*(Calc_RAB_NS!J$47:J$66))</f>
        <v>1.0882652221732143</v>
      </c>
      <c r="K37" s="56">
        <f>SUMPRODUCT((Calc_Alloc!$E$11:$E$30)*(Calc_RAB_NS!K$47:K$66))</f>
        <v>1.4024590875092284</v>
      </c>
      <c r="L37" s="57">
        <f>SUMPRODUCT((Calc_Alloc!$E$11:$E$30)*(Calc_RAB_NS!L$47:L$66))</f>
        <v>0.61055534241544973</v>
      </c>
      <c r="M37" s="57">
        <f>SUMPRODUCT((Calc_Alloc!$E$11:$E$30)*(Calc_RAB_NS!M$47:M$66))</f>
        <v>2.6989271277548506</v>
      </c>
      <c r="N37" s="57">
        <f>SUMPRODUCT((Calc_Alloc!$E$11:$E$30)*(Calc_RAB_NS!N$47:N$66))</f>
        <v>6.6633933855084839</v>
      </c>
      <c r="O37" s="58">
        <f>SUMPRODUCT((Calc_Alloc!$E$11:$E$30)*(Calc_RAB_NS!O$47:O$66))</f>
        <v>4.4956022866694605</v>
      </c>
      <c r="P37" s="56">
        <f>SUMPRODUCT((Calc_Alloc!$E$11:$E$30)*(Calc_RAB_NS!P$47:P$66))</f>
        <v>3.0498640409686129</v>
      </c>
      <c r="Q37" s="57">
        <f>SUMPRODUCT((Calc_Alloc!$E$11:$E$30)*(Calc_RAB_NS!Q$47:Q$66))</f>
        <v>3.2440018732726443</v>
      </c>
      <c r="R37" s="57">
        <f>SUMPRODUCT((Calc_Alloc!$E$11:$E$30)*(Calc_RAB_NS!R$47:R$66))</f>
        <v>3.4617895345727958</v>
      </c>
      <c r="S37" s="57">
        <f>SUMPRODUCT((Calc_Alloc!$E$11:$E$30)*(Calc_RAB_NS!S$47:S$66))</f>
        <v>3.6864187689373504</v>
      </c>
      <c r="T37" s="58">
        <f>SUMPRODUCT((Calc_Alloc!$E$11:$E$30)*(Calc_RAB_NS!T$47:T$66))</f>
        <v>3.8883401251212573</v>
      </c>
    </row>
    <row r="38" spans="3:20" ht="12.3" x14ac:dyDescent="0.35">
      <c r="D38" s="10" t="str">
        <f t="shared" si="9"/>
        <v>Underground network assets less than 33kV</v>
      </c>
      <c r="E38" s="45" t="str">
        <f t="shared" si="9"/>
        <v>Calculated</v>
      </c>
      <c r="F38" s="45" t="str">
        <f t="shared" si="10"/>
        <v>$Millions</v>
      </c>
      <c r="G38" s="45" t="str">
        <f t="shared" si="11"/>
        <v>Nominal</v>
      </c>
      <c r="H38" s="45" t="str">
        <f t="shared" si="12"/>
        <v>End year</v>
      </c>
      <c r="J38" s="58">
        <f>SUMPRODUCT((Calc_Alloc!$F$11:$F$30)*(Calc_RAB_NS!J$47:J$66))</f>
        <v>2.25430178302397</v>
      </c>
      <c r="K38" s="56">
        <f>SUMPRODUCT((Calc_Alloc!$F$11:$F$30)*(Calc_RAB_NS!K$47:K$66))</f>
        <v>2.9051429349885187</v>
      </c>
      <c r="L38" s="57">
        <f>SUMPRODUCT((Calc_Alloc!$F$11:$F$30)*(Calc_RAB_NS!L$47:L$66))</f>
        <v>1.2647431609487629</v>
      </c>
      <c r="M38" s="57">
        <f>SUMPRODUCT((Calc_Alloc!$F$11:$F$30)*(Calc_RAB_NS!M$47:M$66))</f>
        <v>5.590729274799088</v>
      </c>
      <c r="N38" s="57">
        <f>SUMPRODUCT((Calc_Alloc!$F$11:$F$30)*(Calc_RAB_NS!N$47:N$66))</f>
        <v>13.802976777981639</v>
      </c>
      <c r="O38" s="58">
        <f>SUMPRODUCT((Calc_Alloc!$F$11:$F$30)*(Calc_RAB_NS!O$47:O$66))</f>
        <v>9.3124764479449169</v>
      </c>
      <c r="P38" s="56">
        <f>SUMPRODUCT((Calc_Alloc!$F$11:$F$30)*(Calc_RAB_NS!P$47:P$66))</f>
        <v>6.3176823125952302</v>
      </c>
      <c r="Q38" s="57">
        <f>SUMPRODUCT((Calc_Alloc!$F$11:$F$30)*(Calc_RAB_NS!Q$47:Q$66))</f>
        <v>6.7198317634813201</v>
      </c>
      <c r="R38" s="57">
        <f>SUMPRODUCT((Calc_Alloc!$F$11:$F$30)*(Calc_RAB_NS!R$47:R$66))</f>
        <v>7.170970974021496</v>
      </c>
      <c r="S38" s="57">
        <f>SUMPRODUCT((Calc_Alloc!$F$11:$F$30)*(Calc_RAB_NS!S$47:S$66))</f>
        <v>7.6362822540568018</v>
      </c>
      <c r="T38" s="58">
        <f>SUMPRODUCT((Calc_Alloc!$F$11:$F$30)*(Calc_RAB_NS!T$47:T$66))</f>
        <v>8.054554991255003</v>
      </c>
    </row>
    <row r="39" spans="3:20" ht="12.3" x14ac:dyDescent="0.35">
      <c r="D39" s="10" t="str">
        <f t="shared" si="9"/>
        <v>Distribution substations and transformers</v>
      </c>
      <c r="E39" s="45" t="str">
        <f t="shared" si="9"/>
        <v>Calculated</v>
      </c>
      <c r="F39" s="45" t="str">
        <f t="shared" si="10"/>
        <v>$Millions</v>
      </c>
      <c r="G39" s="45" t="str">
        <f t="shared" si="11"/>
        <v>Nominal</v>
      </c>
      <c r="H39" s="45" t="str">
        <f t="shared" si="12"/>
        <v>End year</v>
      </c>
      <c r="J39" s="58">
        <f>SUMPRODUCT((Calc_Alloc!$G$11:$G$30)*(Calc_RAB_NS!J$47:J$66))</f>
        <v>1.7301229516356877</v>
      </c>
      <c r="K39" s="56">
        <f>SUMPRODUCT((Calc_Alloc!$G$11:$G$30)*(Calc_RAB_NS!K$47:K$66))</f>
        <v>2.4409648221321696</v>
      </c>
      <c r="L39" s="57">
        <f>SUMPRODUCT((Calc_Alloc!$G$11:$G$30)*(Calc_RAB_NS!L$47:L$66))</f>
        <v>1.0619558055091087</v>
      </c>
      <c r="M39" s="57">
        <f>SUMPRODUCT((Calc_Alloc!$G$11:$G$30)*(Calc_RAB_NS!M$47:M$66))</f>
        <v>4.6920353904365548</v>
      </c>
      <c r="N39" s="57">
        <f>SUMPRODUCT((Calc_Alloc!$G$11:$G$30)*(Calc_RAB_NS!N$47:N$66))</f>
        <v>11.251392318232385</v>
      </c>
      <c r="O39" s="58">
        <f>SUMPRODUCT((Calc_Alloc!$G$11:$G$30)*(Calc_RAB_NS!O$47:O$66))</f>
        <v>7.1689454047027237</v>
      </c>
      <c r="P39" s="56">
        <f>SUMPRODUCT((Calc_Alloc!$G$11:$G$30)*(Calc_RAB_NS!P$47:P$66))</f>
        <v>4.6381287806392795</v>
      </c>
      <c r="Q39" s="57">
        <f>SUMPRODUCT((Calc_Alloc!$G$11:$G$30)*(Calc_RAB_NS!Q$47:Q$66))</f>
        <v>4.8463877870995997</v>
      </c>
      <c r="R39" s="57">
        <f>SUMPRODUCT((Calc_Alloc!$G$11:$G$30)*(Calc_RAB_NS!R$47:R$66))</f>
        <v>5.066961655343226</v>
      </c>
      <c r="S39" s="57">
        <f>SUMPRODUCT((Calc_Alloc!$G$11:$G$30)*(Calc_RAB_NS!S$47:S$66))</f>
        <v>5.2990209190604034</v>
      </c>
      <c r="T39" s="58">
        <f>SUMPRODUCT((Calc_Alloc!$G$11:$G$30)*(Calc_RAB_NS!T$47:T$66))</f>
        <v>5.5425146409549457</v>
      </c>
    </row>
    <row r="40" spans="3:20" ht="12.3" x14ac:dyDescent="0.35">
      <c r="D40" s="10" t="str">
        <f t="shared" si="9"/>
        <v>Overhead network assets 33kV and above</v>
      </c>
      <c r="E40" s="45" t="str">
        <f t="shared" si="9"/>
        <v>Calculated</v>
      </c>
      <c r="F40" s="45" t="str">
        <f t="shared" si="10"/>
        <v>$Millions</v>
      </c>
      <c r="G40" s="45" t="str">
        <f t="shared" si="11"/>
        <v>Nominal</v>
      </c>
      <c r="H40" s="45" t="str">
        <f t="shared" si="12"/>
        <v>End year</v>
      </c>
      <c r="J40" s="58">
        <f>SUMPRODUCT((Calc_Alloc!$H$11:$H$30)*(Calc_RAB_NS!J$47:J$66))</f>
        <v>2.1323679884197224</v>
      </c>
      <c r="K40" s="56">
        <f>SUMPRODUCT((Calc_Alloc!$H$11:$H$30)*(Calc_RAB_NS!K$47:K$66))</f>
        <v>2.1803681640118913</v>
      </c>
      <c r="L40" s="57">
        <f>SUMPRODUCT((Calc_Alloc!$H$11:$H$30)*(Calc_RAB_NS!L$47:L$66))</f>
        <v>1.0062532423540462</v>
      </c>
      <c r="M40" s="57">
        <f>SUMPRODUCT((Calc_Alloc!$H$11:$H$30)*(Calc_RAB_NS!M$47:M$66))</f>
        <v>4.0077773823099729</v>
      </c>
      <c r="N40" s="57">
        <f>SUMPRODUCT((Calc_Alloc!$H$11:$H$30)*(Calc_RAB_NS!N$47:N$66))</f>
        <v>9.2517499641964989</v>
      </c>
      <c r="O40" s="58">
        <f>SUMPRODUCT((Calc_Alloc!$H$11:$H$30)*(Calc_RAB_NS!O$47:O$66))</f>
        <v>5.7420276628949463</v>
      </c>
      <c r="P40" s="56">
        <f>SUMPRODUCT((Calc_Alloc!$H$11:$H$30)*(Calc_RAB_NS!P$47:P$66))</f>
        <v>3.774387929727081</v>
      </c>
      <c r="Q40" s="57">
        <f>SUMPRODUCT((Calc_Alloc!$H$11:$H$30)*(Calc_RAB_NS!Q$47:Q$66))</f>
        <v>3.7938610341016692</v>
      </c>
      <c r="R40" s="57">
        <f>SUMPRODUCT((Calc_Alloc!$H$11:$H$30)*(Calc_RAB_NS!R$47:R$66))</f>
        <v>3.8857873284826097</v>
      </c>
      <c r="S40" s="57">
        <f>SUMPRODUCT((Calc_Alloc!$H$11:$H$30)*(Calc_RAB_NS!S$47:S$66))</f>
        <v>3.8876789462416843</v>
      </c>
      <c r="T40" s="58">
        <f>SUMPRODUCT((Calc_Alloc!$H$11:$H$30)*(Calc_RAB_NS!T$47:T$66))</f>
        <v>3.8637023544564286</v>
      </c>
    </row>
    <row r="41" spans="3:20" ht="12.3" x14ac:dyDescent="0.35">
      <c r="D41" s="10" t="str">
        <f t="shared" si="9"/>
        <v>Underground network assets 33kV and above</v>
      </c>
      <c r="E41" s="45" t="str">
        <f t="shared" si="9"/>
        <v>Calculated</v>
      </c>
      <c r="F41" s="45" t="str">
        <f t="shared" si="10"/>
        <v>$Millions</v>
      </c>
      <c r="G41" s="45" t="str">
        <f t="shared" si="11"/>
        <v>Nominal</v>
      </c>
      <c r="H41" s="45" t="str">
        <f t="shared" si="12"/>
        <v>End year</v>
      </c>
      <c r="J41" s="58">
        <f>SUMPRODUCT((Calc_Alloc!$I$11:$I$30)*(Calc_RAB_NS!J$47:J$66))</f>
        <v>1.0670069742889379</v>
      </c>
      <c r="K41" s="56">
        <f>SUMPRODUCT((Calc_Alloc!$I$11:$I$30)*(Calc_RAB_NS!K$47:K$66))</f>
        <v>1.0910255875874304</v>
      </c>
      <c r="L41" s="57">
        <f>SUMPRODUCT((Calc_Alloc!$I$11:$I$30)*(Calc_RAB_NS!L$47:L$66))</f>
        <v>0.50351498114934534</v>
      </c>
      <c r="M41" s="57">
        <f>SUMPRODUCT((Calc_Alloc!$I$11:$I$30)*(Calc_RAB_NS!M$47:M$66))</f>
        <v>2.0054354790288094</v>
      </c>
      <c r="N41" s="57">
        <f>SUMPRODUCT((Calc_Alloc!$I$11:$I$30)*(Calc_RAB_NS!N$47:N$66))</f>
        <v>4.6294456631244527</v>
      </c>
      <c r="O41" s="58">
        <f>SUMPRODUCT((Calc_Alloc!$I$11:$I$30)*(Calc_RAB_NS!O$47:O$66))</f>
        <v>2.8732299472425575</v>
      </c>
      <c r="P41" s="56">
        <f>SUMPRODUCT((Calc_Alloc!$I$11:$I$30)*(Calc_RAB_NS!P$47:P$66))</f>
        <v>1.8886506768821705</v>
      </c>
      <c r="Q41" s="57">
        <f>SUMPRODUCT((Calc_Alloc!$I$11:$I$30)*(Calc_RAB_NS!Q$47:Q$66))</f>
        <v>1.8983947446470126</v>
      </c>
      <c r="R41" s="57">
        <f>SUMPRODUCT((Calc_Alloc!$I$11:$I$30)*(Calc_RAB_NS!R$47:R$66))</f>
        <v>1.9443933704741112</v>
      </c>
      <c r="S41" s="57">
        <f>SUMPRODUCT((Calc_Alloc!$I$11:$I$30)*(Calc_RAB_NS!S$47:S$66))</f>
        <v>1.9453399094170061</v>
      </c>
      <c r="T41" s="58">
        <f>SUMPRODUCT((Calc_Alloc!$I$11:$I$30)*(Calc_RAB_NS!T$47:T$66))</f>
        <v>1.9333423598413784</v>
      </c>
    </row>
    <row r="42" spans="3:20" ht="12.3" x14ac:dyDescent="0.35">
      <c r="D42" s="10" t="str">
        <f t="shared" si="9"/>
        <v>Zone substations and transformers</v>
      </c>
      <c r="E42" s="45" t="str">
        <f t="shared" si="9"/>
        <v>Calculated</v>
      </c>
      <c r="F42" s="45" t="str">
        <f t="shared" si="10"/>
        <v>$Millions</v>
      </c>
      <c r="G42" s="45" t="str">
        <f t="shared" si="11"/>
        <v>Nominal</v>
      </c>
      <c r="H42" s="45" t="str">
        <f t="shared" si="12"/>
        <v>End year</v>
      </c>
      <c r="J42" s="58">
        <f>SUMPRODUCT((Calc_Alloc!$J$11:$J$30)*(Calc_RAB_NS!J$47:J$66))</f>
        <v>5.9847126500423462</v>
      </c>
      <c r="K42" s="56">
        <f>SUMPRODUCT((Calc_Alloc!$J$11:$J$30)*(Calc_RAB_NS!K$47:K$66))</f>
        <v>5.8559128282543131</v>
      </c>
      <c r="L42" s="57">
        <f>SUMPRODUCT((Calc_Alloc!$J$11:$J$30)*(Calc_RAB_NS!L$47:L$66))</f>
        <v>2.8177107299277231</v>
      </c>
      <c r="M42" s="57">
        <f>SUMPRODUCT((Calc_Alloc!$J$11:$J$30)*(Calc_RAB_NS!M$47:M$66))</f>
        <v>11.392644978465821</v>
      </c>
      <c r="N42" s="57">
        <f>SUMPRODUCT((Calc_Alloc!$J$11:$J$30)*(Calc_RAB_NS!N$47:N$66))</f>
        <v>26.589826549973449</v>
      </c>
      <c r="O42" s="58">
        <f>SUMPRODUCT((Calc_Alloc!$J$11:$J$30)*(Calc_RAB_NS!O$47:O$66))</f>
        <v>16.85786253919278</v>
      </c>
      <c r="P42" s="56">
        <f>SUMPRODUCT((Calc_Alloc!$J$11:$J$30)*(Calc_RAB_NS!P$47:P$66))</f>
        <v>11.125811565946409</v>
      </c>
      <c r="Q42" s="57">
        <f>SUMPRODUCT((Calc_Alloc!$J$11:$J$30)*(Calc_RAB_NS!Q$47:Q$66))</f>
        <v>11.765036750121634</v>
      </c>
      <c r="R42" s="57">
        <f>SUMPRODUCT((Calc_Alloc!$J$11:$J$30)*(Calc_RAB_NS!R$47:R$66))</f>
        <v>12.063349757292396</v>
      </c>
      <c r="S42" s="57">
        <f>SUMPRODUCT((Calc_Alloc!$J$11:$J$30)*(Calc_RAB_NS!S$47:S$66))</f>
        <v>11.930891802558632</v>
      </c>
      <c r="T42" s="58">
        <f>SUMPRODUCT((Calc_Alloc!$J$11:$J$30)*(Calc_RAB_NS!T$47:T$66))</f>
        <v>11.666235008368824</v>
      </c>
    </row>
    <row r="43" spans="3:20" ht="12.3" x14ac:dyDescent="0.35">
      <c r="D43" s="10" t="str">
        <f t="shared" si="9"/>
        <v>Easements</v>
      </c>
      <c r="E43" s="45" t="str">
        <f t="shared" si="9"/>
        <v>Calculated</v>
      </c>
      <c r="F43" s="45" t="str">
        <f t="shared" si="10"/>
        <v>$Millions</v>
      </c>
      <c r="G43" s="45" t="str">
        <f t="shared" si="11"/>
        <v>Nominal</v>
      </c>
      <c r="H43" s="45" t="str">
        <f t="shared" si="12"/>
        <v>End year</v>
      </c>
      <c r="J43" s="58">
        <f>SUMPRODUCT((Calc_Alloc!$K$11:$K$30)*(Calc_RAB_NS!J$47:J$66))</f>
        <v>0.66033269480907408</v>
      </c>
      <c r="K43" s="56">
        <f>SUMPRODUCT((Calc_Alloc!$K$11:$K$30)*(Calc_RAB_NS!K$47:K$66))</f>
        <v>0.84323486358968636</v>
      </c>
      <c r="L43" s="57">
        <f>SUMPRODUCT((Calc_Alloc!$K$11:$K$30)*(Calc_RAB_NS!L$47:L$66))</f>
        <v>0.40154041123318057</v>
      </c>
      <c r="M43" s="57">
        <f>SUMPRODUCT((Calc_Alloc!$K$11:$K$30)*(Calc_RAB_NS!M$47:M$66))</f>
        <v>1.6463156860560397</v>
      </c>
      <c r="N43" s="57">
        <f>SUMPRODUCT((Calc_Alloc!$K$11:$K$30)*(Calc_RAB_NS!N$47:N$66))</f>
        <v>3.8965481506067925</v>
      </c>
      <c r="O43" s="58">
        <f>SUMPRODUCT((Calc_Alloc!$K$11:$K$30)*(Calc_RAB_NS!O$47:O$66))</f>
        <v>2.4723598015600099</v>
      </c>
      <c r="P43" s="56">
        <f>SUMPRODUCT((Calc_Alloc!$K$11:$K$30)*(Calc_RAB_NS!P$47:P$66))</f>
        <v>1.6131416715999964</v>
      </c>
      <c r="Q43" s="57">
        <f>SUMPRODUCT((Calc_Alloc!$K$11:$K$30)*(Calc_RAB_NS!Q$47:Q$66))</f>
        <v>1.6602396019051437</v>
      </c>
      <c r="R43" s="57">
        <f>SUMPRODUCT((Calc_Alloc!$K$11:$K$30)*(Calc_RAB_NS!R$47:R$66))</f>
        <v>1.7087126222461391</v>
      </c>
      <c r="S43" s="57">
        <f>SUMPRODUCT((Calc_Alloc!$K$11:$K$30)*(Calc_RAB_NS!S$47:S$66))</f>
        <v>1.7586008803023909</v>
      </c>
      <c r="T43" s="58">
        <f>SUMPRODUCT((Calc_Alloc!$K$11:$K$30)*(Calc_RAB_NS!T$47:T$66))</f>
        <v>1.8099456959210347</v>
      </c>
    </row>
    <row r="44" spans="3:20" ht="12.3" x14ac:dyDescent="0.35">
      <c r="D44" s="10" t="str">
        <f t="shared" si="9"/>
        <v>Meters</v>
      </c>
      <c r="E44" s="45" t="str">
        <f t="shared" si="9"/>
        <v>Calculated</v>
      </c>
      <c r="F44" s="45" t="str">
        <f t="shared" si="10"/>
        <v>$Millions</v>
      </c>
      <c r="G44" s="45" t="str">
        <f t="shared" si="11"/>
        <v>Nominal</v>
      </c>
      <c r="H44" s="45" t="str">
        <f t="shared" si="12"/>
        <v>End year</v>
      </c>
      <c r="J44" s="58">
        <f>SUMPRODUCT((Calc_Alloc!$L$11:$L$30)*(Calc_RAB_NS!J$47:J$66))</f>
        <v>0</v>
      </c>
      <c r="K44" s="56">
        <f>SUMPRODUCT((Calc_Alloc!$L$11:$L$30)*(Calc_RAB_NS!K$47:K$66))</f>
        <v>0</v>
      </c>
      <c r="L44" s="57">
        <f>SUMPRODUCT((Calc_Alloc!$L$11:$L$30)*(Calc_RAB_NS!L$47:L$66))</f>
        <v>0</v>
      </c>
      <c r="M44" s="57">
        <f>SUMPRODUCT((Calc_Alloc!$L$11:$L$30)*(Calc_RAB_NS!M$47:M$66))</f>
        <v>0</v>
      </c>
      <c r="N44" s="57">
        <f>SUMPRODUCT((Calc_Alloc!$L$11:$L$30)*(Calc_RAB_NS!N$47:N$66))</f>
        <v>0</v>
      </c>
      <c r="O44" s="58">
        <f>SUMPRODUCT((Calc_Alloc!$L$11:$L$30)*(Calc_RAB_NS!O$47:O$66))</f>
        <v>0</v>
      </c>
      <c r="P44" s="56">
        <f>SUMPRODUCT((Calc_Alloc!$L$11:$L$30)*(Calc_RAB_NS!P$47:P$66))</f>
        <v>0</v>
      </c>
      <c r="Q44" s="57">
        <f>SUMPRODUCT((Calc_Alloc!$L$11:$L$30)*(Calc_RAB_NS!Q$47:Q$66))</f>
        <v>0</v>
      </c>
      <c r="R44" s="57">
        <f>SUMPRODUCT((Calc_Alloc!$L$11:$L$30)*(Calc_RAB_NS!R$47:R$66))</f>
        <v>0</v>
      </c>
      <c r="S44" s="57">
        <f>SUMPRODUCT((Calc_Alloc!$L$11:$L$30)*(Calc_RAB_NS!S$47:S$66))</f>
        <v>0</v>
      </c>
      <c r="T44" s="58">
        <f>SUMPRODUCT((Calc_Alloc!$L$11:$L$30)*(Calc_RAB_NS!T$47:T$66))</f>
        <v>0</v>
      </c>
    </row>
    <row r="45" spans="3:20" ht="12.3" x14ac:dyDescent="0.35">
      <c r="D45" s="10" t="str">
        <f t="shared" si="9"/>
        <v>“Other” asset items with long lives</v>
      </c>
      <c r="E45" s="45" t="str">
        <f t="shared" si="9"/>
        <v>Calculated</v>
      </c>
      <c r="F45" s="45" t="str">
        <f t="shared" si="10"/>
        <v>$Millions</v>
      </c>
      <c r="G45" s="45" t="str">
        <f t="shared" si="11"/>
        <v>Nominal</v>
      </c>
      <c r="H45" s="45" t="str">
        <f t="shared" si="12"/>
        <v>End year</v>
      </c>
      <c r="J45" s="58">
        <f>SUMPRODUCT((Calc_Alloc!$M$11:$M$30)*(Calc_RAB_NS!J$47:J$66))</f>
        <v>0.13999852852249242</v>
      </c>
      <c r="K45" s="56">
        <f>SUMPRODUCT((Calc_Alloc!$M$11:$M$30)*(Calc_RAB_NS!K$47:K$66))</f>
        <v>0.42412063086938606</v>
      </c>
      <c r="L45" s="57">
        <f>SUMPRODUCT((Calc_Alloc!$M$11:$M$30)*(Calc_RAB_NS!L$47:L$66))</f>
        <v>0.24748207308980852</v>
      </c>
      <c r="M45" s="57">
        <f>SUMPRODUCT((Calc_Alloc!$M$11:$M$30)*(Calc_RAB_NS!M$47:M$66))</f>
        <v>1.023674771431839</v>
      </c>
      <c r="N45" s="57">
        <f>SUMPRODUCT((Calc_Alloc!$M$11:$M$30)*(Calc_RAB_NS!N$47:N$66))</f>
        <v>2.7758768552793422</v>
      </c>
      <c r="O45" s="58">
        <f>SUMPRODUCT((Calc_Alloc!$M$11:$M$30)*(Calc_RAB_NS!O$47:O$66))</f>
        <v>2.7240602533935072</v>
      </c>
      <c r="P45" s="56">
        <f>SUMPRODUCT((Calc_Alloc!$M$11:$M$30)*(Calc_RAB_NS!P$47:P$66))</f>
        <v>2.4954690352042475</v>
      </c>
      <c r="Q45" s="57">
        <f>SUMPRODUCT((Calc_Alloc!$M$11:$M$30)*(Calc_RAB_NS!Q$47:Q$66))</f>
        <v>2.9820780941203267</v>
      </c>
      <c r="R45" s="57">
        <f>SUMPRODUCT((Calc_Alloc!$M$11:$M$30)*(Calc_RAB_NS!R$47:R$66))</f>
        <v>3.6587416115809881</v>
      </c>
      <c r="S45" s="57">
        <f>SUMPRODUCT((Calc_Alloc!$M$11:$M$30)*(Calc_RAB_NS!S$47:S$66))</f>
        <v>4.2410722961788112</v>
      </c>
      <c r="T45" s="58">
        <f>SUMPRODUCT((Calc_Alloc!$M$11:$M$30)*(Calc_RAB_NS!T$47:T$66))</f>
        <v>6.2691743563134334</v>
      </c>
    </row>
    <row r="46" spans="3:20" ht="12.3" x14ac:dyDescent="0.35">
      <c r="D46" s="10" t="str">
        <f t="shared" si="9"/>
        <v>“Other” asset items with short lives</v>
      </c>
      <c r="E46" s="45" t="str">
        <f t="shared" si="9"/>
        <v>Calculated</v>
      </c>
      <c r="F46" s="45" t="str">
        <f t="shared" si="10"/>
        <v>$Millions</v>
      </c>
      <c r="G46" s="45" t="str">
        <f t="shared" si="11"/>
        <v>Nominal</v>
      </c>
      <c r="H46" s="45" t="str">
        <f t="shared" si="12"/>
        <v>End year</v>
      </c>
      <c r="J46" s="58">
        <f>SUMPRODUCT((Calc_Alloc!$N$11:$N$30)*(Calc_RAB_NS!J$47:J$66))</f>
        <v>0.1061781447767855</v>
      </c>
      <c r="K46" s="56">
        <f>SUMPRODUCT((Calc_Alloc!$N$11:$N$30)*(Calc_RAB_NS!K$47:K$66))</f>
        <v>9.3642742587585689E-2</v>
      </c>
      <c r="L46" s="57">
        <f>SUMPRODUCT((Calc_Alloc!$N$11:$N$30)*(Calc_RAB_NS!L$47:L$66))</f>
        <v>0.19971721395178188</v>
      </c>
      <c r="M46" s="57">
        <f>SUMPRODUCT((Calc_Alloc!$N$11:$N$30)*(Calc_RAB_NS!M$47:M$66))</f>
        <v>0.87150476919632991</v>
      </c>
      <c r="N46" s="57">
        <f>SUMPRODUCT((Calc_Alloc!$N$11:$N$30)*(Calc_RAB_NS!N$47:N$66))</f>
        <v>2.8093755172953907</v>
      </c>
      <c r="O46" s="58">
        <f>SUMPRODUCT((Calc_Alloc!$N$11:$N$30)*(Calc_RAB_NS!O$47:O$66))</f>
        <v>1.6665522205617684</v>
      </c>
      <c r="P46" s="56">
        <f>SUMPRODUCT((Calc_Alloc!$N$11:$N$30)*(Calc_RAB_NS!P$47:P$66))</f>
        <v>1.109274061303176</v>
      </c>
      <c r="Q46" s="57">
        <f>SUMPRODUCT((Calc_Alloc!$N$11:$N$30)*(Calc_RAB_NS!Q$47:Q$66))</f>
        <v>1.1251068883305266</v>
      </c>
      <c r="R46" s="57">
        <f>SUMPRODUCT((Calc_Alloc!$N$11:$N$30)*(Calc_RAB_NS!R$47:R$66))</f>
        <v>1.1971183599704129</v>
      </c>
      <c r="S46" s="57">
        <f>SUMPRODUCT((Calc_Alloc!$N$11:$N$30)*(Calc_RAB_NS!S$47:S$66))</f>
        <v>1.5299243243014198</v>
      </c>
      <c r="T46" s="58">
        <f>SUMPRODUCT((Calc_Alloc!$N$11:$N$30)*(Calc_RAB_NS!T$47:T$66))</f>
        <v>1.5368403085101958</v>
      </c>
    </row>
    <row r="47" spans="3:20" x14ac:dyDescent="0.35">
      <c r="J47" s="49"/>
      <c r="K47" s="48"/>
      <c r="O47" s="49"/>
      <c r="P47" s="48"/>
      <c r="T47" s="49"/>
    </row>
    <row r="48" spans="3:20" ht="12.3" x14ac:dyDescent="0.35">
      <c r="D48" s="44" t="str">
        <f>"Total "&amp;D35</f>
        <v>Total EB RIN categories</v>
      </c>
      <c r="E48" s="40" t="s">
        <v>91</v>
      </c>
      <c r="F48" s="40" t="str">
        <f>F37</f>
        <v>$Millions</v>
      </c>
      <c r="G48" s="40" t="str">
        <f>G37</f>
        <v>Nominal</v>
      </c>
      <c r="H48" s="40" t="str">
        <f>H37</f>
        <v>End year</v>
      </c>
      <c r="J48" s="54">
        <f t="shared" ref="J48:T48" si="13">SUM(J37:J46)</f>
        <v>15.163286937692231</v>
      </c>
      <c r="K48" s="53">
        <f t="shared" si="13"/>
        <v>17.236871661530213</v>
      </c>
      <c r="L48" s="39">
        <f t="shared" si="13"/>
        <v>8.1134729605792071</v>
      </c>
      <c r="M48" s="39">
        <f t="shared" si="13"/>
        <v>33.929044859479298</v>
      </c>
      <c r="N48" s="39">
        <f t="shared" si="13"/>
        <v>81.670585182198423</v>
      </c>
      <c r="O48" s="54">
        <f t="shared" si="13"/>
        <v>53.313116564162677</v>
      </c>
      <c r="P48" s="53">
        <f t="shared" si="13"/>
        <v>36.012410074866203</v>
      </c>
      <c r="Q48" s="39">
        <f t="shared" si="13"/>
        <v>38.034938537079881</v>
      </c>
      <c r="R48" s="39">
        <f t="shared" si="13"/>
        <v>40.157825213984168</v>
      </c>
      <c r="S48" s="39">
        <f t="shared" si="13"/>
        <v>41.915230101054497</v>
      </c>
      <c r="T48" s="54">
        <f t="shared" si="13"/>
        <v>44.564649840742504</v>
      </c>
    </row>
    <row r="49" spans="1:20" ht="11.25" customHeight="1" x14ac:dyDescent="0.35"/>
    <row r="50" spans="1:20" ht="11.25" customHeight="1" x14ac:dyDescent="0.35">
      <c r="A50" s="42">
        <f>IF(SUM($J50:$T50)&lt;&gt;0,1,0)</f>
        <v>0</v>
      </c>
      <c r="D50" s="10" t="s">
        <v>94</v>
      </c>
      <c r="J50" s="42">
        <f>IF(ROUND(J48-Calc_RAB_NS!J$68,5)&lt;&gt;0,1,0)</f>
        <v>0</v>
      </c>
      <c r="K50" s="42">
        <f>IF(ROUND(K48-Calc_RAB_NS!K$68,5)&lt;&gt;0,1,0)</f>
        <v>0</v>
      </c>
      <c r="L50" s="42">
        <f>IF(ROUND(L48-Calc_RAB_NS!L$68,5)&lt;&gt;0,1,0)</f>
        <v>0</v>
      </c>
      <c r="M50" s="42">
        <f>IF(ROUND(M48-Calc_RAB_NS!M$68,5)&lt;&gt;0,1,0)</f>
        <v>0</v>
      </c>
      <c r="N50" s="42">
        <f>IF(ROUND(N48-Calc_RAB_NS!N$68,5)&lt;&gt;0,1,0)</f>
        <v>0</v>
      </c>
      <c r="O50" s="42">
        <f>IF(ROUND(O48-Calc_RAB_NS!O$68,5)&lt;&gt;0,1,0)</f>
        <v>0</v>
      </c>
      <c r="P50" s="42">
        <f>IF(ROUND(P48-Calc_RAB_NS!P$68,5)&lt;&gt;0,1,0)</f>
        <v>0</v>
      </c>
      <c r="Q50" s="42">
        <f>IF(ROUND(Q48-Calc_RAB_NS!Q$68,5)&lt;&gt;0,1,0)</f>
        <v>0</v>
      </c>
      <c r="R50" s="42">
        <f>IF(ROUND(R48-Calc_RAB_NS!R$68,5)&lt;&gt;0,1,0)</f>
        <v>0</v>
      </c>
      <c r="S50" s="42">
        <f>IF(ROUND(S48-Calc_RAB_NS!S$68,5)&lt;&gt;0,1,0)</f>
        <v>0</v>
      </c>
      <c r="T50" s="42">
        <f>IF(ROUND(T48-Calc_RAB_NS!T$68,5)&lt;&gt;0,1,0)</f>
        <v>0</v>
      </c>
    </row>
    <row r="51" spans="1:20" ht="11.25" customHeight="1" x14ac:dyDescent="0.35">
      <c r="N51" s="5"/>
      <c r="S51" s="5"/>
    </row>
    <row r="52" spans="1:20" s="8" customFormat="1" ht="14.1" x14ac:dyDescent="0.35">
      <c r="C52" s="8" t="s">
        <v>222</v>
      </c>
    </row>
    <row r="53" spans="1:20" ht="11.25" customHeight="1" x14ac:dyDescent="0.35"/>
    <row r="54" spans="1:20" ht="12.3" x14ac:dyDescent="0.35">
      <c r="D54" s="43" t="str">
        <f>D$16</f>
        <v>EB RIN categories</v>
      </c>
      <c r="E54" s="38" t="str">
        <f>Lookup!E$20</f>
        <v>Source</v>
      </c>
      <c r="F54" s="38" t="str">
        <f>Lookup!F$20</f>
        <v>Unit</v>
      </c>
      <c r="G54" s="38" t="str">
        <f>Lookup!G$20</f>
        <v>Basis</v>
      </c>
      <c r="H54" s="38" t="str">
        <f>Lookup!H$20</f>
        <v>Timing</v>
      </c>
      <c r="J54" s="47" t="str">
        <f t="shared" ref="J54:T54" si="14">J$10</f>
        <v>RY19</v>
      </c>
      <c r="K54" s="46" t="str">
        <f t="shared" si="14"/>
        <v>RY20</v>
      </c>
      <c r="L54" s="38" t="str">
        <f>L$10</f>
        <v>RY21</v>
      </c>
      <c r="M54" s="38" t="str">
        <f t="shared" si="14"/>
        <v>RY22</v>
      </c>
      <c r="N54" s="38" t="str">
        <f t="shared" si="14"/>
        <v>RY23</v>
      </c>
      <c r="O54" s="47" t="str">
        <f t="shared" si="14"/>
        <v>RY24</v>
      </c>
      <c r="P54" s="46" t="str">
        <f t="shared" si="14"/>
        <v>RY25</v>
      </c>
      <c r="Q54" s="38" t="str">
        <f>Q$10</f>
        <v>RY26</v>
      </c>
      <c r="R54" s="38" t="str">
        <f t="shared" si="14"/>
        <v>RY27</v>
      </c>
      <c r="S54" s="38" t="str">
        <f t="shared" si="14"/>
        <v>RY28</v>
      </c>
      <c r="T54" s="47" t="str">
        <f t="shared" si="14"/>
        <v>RY29</v>
      </c>
    </row>
    <row r="55" spans="1:20" x14ac:dyDescent="0.35">
      <c r="J55" s="49"/>
      <c r="K55" s="48"/>
      <c r="O55" s="49"/>
      <c r="P55" s="48"/>
      <c r="T55" s="49"/>
    </row>
    <row r="56" spans="1:20" ht="12.3" x14ac:dyDescent="0.35">
      <c r="D56" s="10" t="str">
        <f>D18</f>
        <v>Overhead network assets less than 33kV</v>
      </c>
      <c r="E56" s="45" t="str">
        <f>E18</f>
        <v>Calculated</v>
      </c>
      <c r="F56" s="45" t="str">
        <f t="shared" ref="F56:F65" si="15">Millions</f>
        <v>$Millions</v>
      </c>
      <c r="G56" s="45" t="str">
        <f t="shared" ref="G56:G65" si="16">Nominal</f>
        <v>Nominal</v>
      </c>
      <c r="H56" s="45" t="str">
        <f t="shared" ref="H56:H65" si="17">End_year</f>
        <v>End year</v>
      </c>
      <c r="J56" s="58">
        <f>SUMPRODUCT((Calc_Alloc!$E$11:$E$30)*(Calc_RAB_NS!J$76:J$95))</f>
        <v>-2.8591068941352322</v>
      </c>
      <c r="K56" s="56">
        <f>SUMPRODUCT((Calc_Alloc!$E$11:$E$30)*(Calc_RAB_NS!K$76:K$95))</f>
        <v>-2.5342612507147138</v>
      </c>
      <c r="L56" s="57">
        <f>SUMPRODUCT((Calc_Alloc!$E$11:$E$30)*(Calc_RAB_NS!L$76:L$95))</f>
        <v>-2.4519023974306573</v>
      </c>
      <c r="M56" s="57">
        <f>SUMPRODUCT((Calc_Alloc!$E$11:$E$30)*(Calc_RAB_NS!M$76:M$95))</f>
        <v>-2.7705630538490005</v>
      </c>
      <c r="N56" s="57">
        <f>SUMPRODUCT((Calc_Alloc!$E$11:$E$30)*(Calc_RAB_NS!N$76:N$95))</f>
        <v>-2.9716585782731668</v>
      </c>
      <c r="O56" s="58">
        <f>SUMPRODUCT((Calc_Alloc!$E$11:$E$30)*(Calc_RAB_NS!O$76:O$95))</f>
        <v>-3.3041995270363951</v>
      </c>
      <c r="P56" s="56">
        <f>SUMPRODUCT((Calc_Alloc!$E$11:$E$30)*(Calc_RAB_NS!P$76:P$95))</f>
        <v>-3.6091251054444582</v>
      </c>
      <c r="Q56" s="57">
        <f>SUMPRODUCT((Calc_Alloc!$E$11:$E$30)*(Calc_RAB_NS!Q$76:Q$95))</f>
        <v>-3.8481370966364499</v>
      </c>
      <c r="R56" s="57">
        <f>SUMPRODUCT((Calc_Alloc!$E$11:$E$30)*(Calc_RAB_NS!R$76:R$95))</f>
        <v>-4.1099855839136508</v>
      </c>
      <c r="S56" s="57">
        <f>SUMPRODUCT((Calc_Alloc!$E$11:$E$30)*(Calc_RAB_NS!S$76:S$95))</f>
        <v>-4.384638969820978</v>
      </c>
      <c r="T56" s="58">
        <f>SUMPRODUCT((Calc_Alloc!$E$11:$E$30)*(Calc_RAB_NS!T$76:T$95))</f>
        <v>-4.6537994454789873</v>
      </c>
    </row>
    <row r="57" spans="1:20" ht="12.3" x14ac:dyDescent="0.35">
      <c r="D57" s="10" t="str">
        <f t="shared" ref="D57:E65" si="18">D19</f>
        <v>Underground network assets less than 33kV</v>
      </c>
      <c r="E57" s="45" t="str">
        <f t="shared" si="18"/>
        <v>Calculated</v>
      </c>
      <c r="F57" s="45" t="str">
        <f t="shared" si="15"/>
        <v>$Millions</v>
      </c>
      <c r="G57" s="45" t="str">
        <f t="shared" si="16"/>
        <v>Nominal</v>
      </c>
      <c r="H57" s="45" t="str">
        <f t="shared" si="17"/>
        <v>End year</v>
      </c>
      <c r="J57" s="58">
        <f>SUMPRODUCT((Calc_Alloc!$F$11:$F$30)*(Calc_RAB_NS!J$76:J$95))</f>
        <v>-5.9225358285678196</v>
      </c>
      <c r="K57" s="56">
        <f>SUMPRODUCT((Calc_Alloc!$F$11:$F$30)*(Calc_RAB_NS!K$76:K$95))</f>
        <v>-5.2496299061419647</v>
      </c>
      <c r="L57" s="57">
        <f>SUMPRODUCT((Calc_Alloc!$F$11:$F$30)*(Calc_RAB_NS!L$76:L$95))</f>
        <v>-5.0790265403233832</v>
      </c>
      <c r="M57" s="57">
        <f>SUMPRODUCT((Calc_Alloc!$F$11:$F$30)*(Calc_RAB_NS!M$76:M$95))</f>
        <v>-5.7391204873751267</v>
      </c>
      <c r="N57" s="57">
        <f>SUMPRODUCT((Calc_Alloc!$F$11:$F$30)*(Calc_RAB_NS!N$76:N$95))</f>
        <v>-6.1556825441522971</v>
      </c>
      <c r="O57" s="58">
        <f>SUMPRODUCT((Calc_Alloc!$F$11:$F$30)*(Calc_RAB_NS!O$76:O$95))</f>
        <v>-6.8445290114026394</v>
      </c>
      <c r="P57" s="56">
        <f>SUMPRODUCT((Calc_Alloc!$F$11:$F$30)*(Calc_RAB_NS!P$76:P$95))</f>
        <v>-7.4761712444625354</v>
      </c>
      <c r="Q57" s="57">
        <f>SUMPRODUCT((Calc_Alloc!$F$11:$F$30)*(Calc_RAB_NS!Q$76:Q$95))</f>
        <v>-7.971275881576867</v>
      </c>
      <c r="R57" s="57">
        <f>SUMPRODUCT((Calc_Alloc!$F$11:$F$30)*(Calc_RAB_NS!R$76:R$95))</f>
        <v>-8.5136854888345077</v>
      </c>
      <c r="S57" s="57">
        <f>SUMPRODUCT((Calc_Alloc!$F$11:$F$30)*(Calc_RAB_NS!S$76:S$95))</f>
        <v>-9.0826199773666705</v>
      </c>
      <c r="T57" s="58">
        <f>SUMPRODUCT((Calc_Alloc!$F$11:$F$30)*(Calc_RAB_NS!T$76:T$95))</f>
        <v>-9.6401761023191366</v>
      </c>
    </row>
    <row r="58" spans="1:20" ht="12.3" x14ac:dyDescent="0.35">
      <c r="D58" s="10" t="str">
        <f t="shared" si="18"/>
        <v>Distribution substations and transformers</v>
      </c>
      <c r="E58" s="45" t="str">
        <f t="shared" si="18"/>
        <v>Calculated</v>
      </c>
      <c r="F58" s="45" t="str">
        <f t="shared" si="15"/>
        <v>$Millions</v>
      </c>
      <c r="G58" s="45" t="str">
        <f t="shared" si="16"/>
        <v>Nominal</v>
      </c>
      <c r="H58" s="45" t="str">
        <f t="shared" si="17"/>
        <v>End year</v>
      </c>
      <c r="J58" s="58">
        <f>SUMPRODUCT((Calc_Alloc!$G$11:$G$30)*(Calc_RAB_NS!J$76:J$95))</f>
        <v>-4.1622679929595581</v>
      </c>
      <c r="K58" s="56">
        <f>SUMPRODUCT((Calc_Alloc!$G$11:$G$30)*(Calc_RAB_NS!K$76:K$95))</f>
        <v>-5.2317935057883469</v>
      </c>
      <c r="L58" s="57">
        <f>SUMPRODUCT((Calc_Alloc!$G$11:$G$30)*(Calc_RAB_NS!L$76:L$95))</f>
        <v>-5.0189932535582233</v>
      </c>
      <c r="M58" s="57">
        <f>SUMPRODUCT((Calc_Alloc!$G$11:$G$30)*(Calc_RAB_NS!M$76:M$95))</f>
        <v>-5.6055546221280839</v>
      </c>
      <c r="N58" s="57">
        <f>SUMPRODUCT((Calc_Alloc!$G$11:$G$30)*(Calc_RAB_NS!N$76:N$95))</f>
        <v>-6.005813765227149</v>
      </c>
      <c r="O58" s="58">
        <f>SUMPRODUCT((Calc_Alloc!$G$11:$G$30)*(Calc_RAB_NS!O$76:O$95))</f>
        <v>-6.7313337127300201</v>
      </c>
      <c r="P58" s="56">
        <f>SUMPRODUCT((Calc_Alloc!$G$11:$G$30)*(Calc_RAB_NS!P$76:P$95))</f>
        <v>-6.9910052920851768</v>
      </c>
      <c r="Q58" s="57">
        <f>SUMPRODUCT((Calc_Alloc!$G$11:$G$30)*(Calc_RAB_NS!Q$76:Q$95))</f>
        <v>-7.3967700857716974</v>
      </c>
      <c r="R58" s="57">
        <f>SUMPRODUCT((Calc_Alloc!$G$11:$G$30)*(Calc_RAB_NS!R$76:R$95))</f>
        <v>-7.827627634061872</v>
      </c>
      <c r="S58" s="57">
        <f>SUMPRODUCT((Calc_Alloc!$G$11:$G$30)*(Calc_RAB_NS!S$76:S$95))</f>
        <v>-8.2839868396591427</v>
      </c>
      <c r="T58" s="58">
        <f>SUMPRODUCT((Calc_Alloc!$G$11:$G$30)*(Calc_RAB_NS!T$76:T$95))</f>
        <v>-8.7668607250370005</v>
      </c>
    </row>
    <row r="59" spans="1:20" ht="12.3" x14ac:dyDescent="0.35">
      <c r="D59" s="10" t="str">
        <f t="shared" si="18"/>
        <v>Overhead network assets 33kV and above</v>
      </c>
      <c r="E59" s="45" t="str">
        <f t="shared" si="18"/>
        <v>Calculated</v>
      </c>
      <c r="F59" s="45" t="str">
        <f t="shared" si="15"/>
        <v>$Millions</v>
      </c>
      <c r="G59" s="45" t="str">
        <f t="shared" si="16"/>
        <v>Nominal</v>
      </c>
      <c r="H59" s="45" t="str">
        <f t="shared" si="17"/>
        <v>End year</v>
      </c>
      <c r="J59" s="58">
        <f>SUMPRODUCT((Calc_Alloc!$H$11:$H$30)*(Calc_RAB_NS!J$76:J$95))</f>
        <v>-4.3651329613817333</v>
      </c>
      <c r="K59" s="56">
        <f>SUMPRODUCT((Calc_Alloc!$H$11:$H$30)*(Calc_RAB_NS!K$76:K$95))</f>
        <v>-4.3527149112480537</v>
      </c>
      <c r="L59" s="57">
        <f>SUMPRODUCT((Calc_Alloc!$H$11:$H$30)*(Calc_RAB_NS!L$76:L$95))</f>
        <v>-4.4683421903256884</v>
      </c>
      <c r="M59" s="57">
        <f>SUMPRODUCT((Calc_Alloc!$H$11:$H$30)*(Calc_RAB_NS!M$76:M$95))</f>
        <v>-4.541306979397012</v>
      </c>
      <c r="N59" s="57">
        <f>SUMPRODUCT((Calc_Alloc!$H$11:$H$30)*(Calc_RAB_NS!N$76:N$95))</f>
        <v>-4.7353287081580113</v>
      </c>
      <c r="O59" s="58">
        <f>SUMPRODUCT((Calc_Alloc!$H$11:$H$30)*(Calc_RAB_NS!O$76:O$95))</f>
        <v>-5.155321663172626</v>
      </c>
      <c r="P59" s="56">
        <f>SUMPRODUCT((Calc_Alloc!$H$11:$H$30)*(Calc_RAB_NS!P$76:P$95))</f>
        <v>-5.541219286970728</v>
      </c>
      <c r="Q59" s="57">
        <f>SUMPRODUCT((Calc_Alloc!$H$11:$H$30)*(Calc_RAB_NS!Q$76:Q$95))</f>
        <v>-5.747319940495129</v>
      </c>
      <c r="R59" s="57">
        <f>SUMPRODUCT((Calc_Alloc!$H$11:$H$30)*(Calc_RAB_NS!R$76:R$95))</f>
        <v>-6.0080232850636097</v>
      </c>
      <c r="S59" s="57">
        <f>SUMPRODUCT((Calc_Alloc!$H$11:$H$30)*(Calc_RAB_NS!S$76:S$95))</f>
        <v>-6.2232594111765325</v>
      </c>
      <c r="T59" s="58">
        <f>SUMPRODUCT((Calc_Alloc!$H$11:$H$30)*(Calc_RAB_NS!T$76:T$95))</f>
        <v>-6.4325311720924487</v>
      </c>
    </row>
    <row r="60" spans="1:20" ht="12.3" x14ac:dyDescent="0.35">
      <c r="D60" s="10" t="str">
        <f t="shared" si="18"/>
        <v>Underground network assets 33kV and above</v>
      </c>
      <c r="E60" s="45" t="str">
        <f t="shared" si="18"/>
        <v>Calculated</v>
      </c>
      <c r="F60" s="45" t="str">
        <f t="shared" si="15"/>
        <v>$Millions</v>
      </c>
      <c r="G60" s="45" t="str">
        <f t="shared" si="16"/>
        <v>Nominal</v>
      </c>
      <c r="H60" s="45" t="str">
        <f t="shared" si="17"/>
        <v>End year</v>
      </c>
      <c r="J60" s="58">
        <f>SUMPRODUCT((Calc_Alloc!$I$11:$I$30)*(Calc_RAB_NS!J$76:J$95))</f>
        <v>-2.1842511887193341</v>
      </c>
      <c r="K60" s="56">
        <f>SUMPRODUCT((Calc_Alloc!$I$11:$I$30)*(Calc_RAB_NS!K$76:K$95))</f>
        <v>-2.1780373709488261</v>
      </c>
      <c r="L60" s="57">
        <f>SUMPRODUCT((Calc_Alloc!$I$11:$I$30)*(Calc_RAB_NS!L$76:L$95))</f>
        <v>-2.2358956364376645</v>
      </c>
      <c r="M60" s="57">
        <f>SUMPRODUCT((Calc_Alloc!$I$11:$I$30)*(Calc_RAB_NS!M$76:M$95))</f>
        <v>-2.2724061914823031</v>
      </c>
      <c r="N60" s="57">
        <f>SUMPRODUCT((Calc_Alloc!$I$11:$I$30)*(Calc_RAB_NS!N$76:N$95))</f>
        <v>-2.3694919378806092</v>
      </c>
      <c r="O60" s="58">
        <f>SUMPRODUCT((Calc_Alloc!$I$11:$I$30)*(Calc_RAB_NS!O$76:O$95))</f>
        <v>-2.5796505102220197</v>
      </c>
      <c r="P60" s="56">
        <f>SUMPRODUCT((Calc_Alloc!$I$11:$I$30)*(Calc_RAB_NS!P$76:P$95))</f>
        <v>-2.7727482579795497</v>
      </c>
      <c r="Q60" s="57">
        <f>SUMPRODUCT((Calc_Alloc!$I$11:$I$30)*(Calc_RAB_NS!Q$76:Q$95))</f>
        <v>-2.875878128578957</v>
      </c>
      <c r="R60" s="57">
        <f>SUMPRODUCT((Calc_Alloc!$I$11:$I$30)*(Calc_RAB_NS!R$76:R$95))</f>
        <v>-3.0063304184209048</v>
      </c>
      <c r="S60" s="57">
        <f>SUMPRODUCT((Calc_Alloc!$I$11:$I$30)*(Calc_RAB_NS!S$76:S$95))</f>
        <v>-3.1140315511187464</v>
      </c>
      <c r="T60" s="58">
        <f>SUMPRODUCT((Calc_Alloc!$I$11:$I$30)*(Calc_RAB_NS!T$76:T$95))</f>
        <v>-3.218748199291884</v>
      </c>
    </row>
    <row r="61" spans="1:20" ht="12.3" x14ac:dyDescent="0.35">
      <c r="D61" s="10" t="str">
        <f t="shared" si="18"/>
        <v>Zone substations and transformers</v>
      </c>
      <c r="E61" s="45" t="str">
        <f t="shared" si="18"/>
        <v>Calculated</v>
      </c>
      <c r="F61" s="45" t="str">
        <f t="shared" si="15"/>
        <v>$Millions</v>
      </c>
      <c r="G61" s="45" t="str">
        <f t="shared" si="16"/>
        <v>Nominal</v>
      </c>
      <c r="H61" s="45" t="str">
        <f t="shared" si="17"/>
        <v>End year</v>
      </c>
      <c r="J61" s="58">
        <f>SUMPRODUCT((Calc_Alloc!$J$11:$J$30)*(Calc_RAB_NS!J$76:J$95))</f>
        <v>-27.636870123401234</v>
      </c>
      <c r="K61" s="56">
        <f>SUMPRODUCT((Calc_Alloc!$J$11:$J$30)*(Calc_RAB_NS!K$76:K$95))</f>
        <v>-18.265664708697326</v>
      </c>
      <c r="L61" s="57">
        <f>SUMPRODUCT((Calc_Alloc!$J$11:$J$30)*(Calc_RAB_NS!L$76:L$95))</f>
        <v>-19.367170512687057</v>
      </c>
      <c r="M61" s="57">
        <f>SUMPRODUCT((Calc_Alloc!$J$11:$J$30)*(Calc_RAB_NS!M$76:M$95))</f>
        <v>-20.204055028152251</v>
      </c>
      <c r="N61" s="57">
        <f>SUMPRODUCT((Calc_Alloc!$J$11:$J$30)*(Calc_RAB_NS!N$76:N$95))</f>
        <v>-21.345067368942679</v>
      </c>
      <c r="O61" s="58">
        <f>SUMPRODUCT((Calc_Alloc!$J$11:$J$30)*(Calc_RAB_NS!O$76:O$95))</f>
        <v>-23.427732582046076</v>
      </c>
      <c r="P61" s="56">
        <f>SUMPRODUCT((Calc_Alloc!$J$11:$J$30)*(Calc_RAB_NS!P$76:P$95))</f>
        <v>-27.388174460282201</v>
      </c>
      <c r="Q61" s="57">
        <f>SUMPRODUCT((Calc_Alloc!$J$11:$J$30)*(Calc_RAB_NS!Q$76:Q$95))</f>
        <v>-29.501296427512994</v>
      </c>
      <c r="R61" s="57">
        <f>SUMPRODUCT((Calc_Alloc!$J$11:$J$30)*(Calc_RAB_NS!R$76:R$95))</f>
        <v>-31.173728566540383</v>
      </c>
      <c r="S61" s="57">
        <f>SUMPRODUCT((Calc_Alloc!$J$11:$J$30)*(Calc_RAB_NS!S$76:S$95))</f>
        <v>-32.645756647477981</v>
      </c>
      <c r="T61" s="58">
        <f>SUMPRODUCT((Calc_Alloc!$J$11:$J$30)*(Calc_RAB_NS!T$76:T$95))</f>
        <v>-33.939552340212678</v>
      </c>
    </row>
    <row r="62" spans="1:20" ht="12.3" x14ac:dyDescent="0.35">
      <c r="D62" s="10" t="str">
        <f t="shared" si="18"/>
        <v>Easements</v>
      </c>
      <c r="E62" s="45" t="str">
        <f t="shared" si="18"/>
        <v>Calculated</v>
      </c>
      <c r="F62" s="45" t="str">
        <f t="shared" si="15"/>
        <v>$Millions</v>
      </c>
      <c r="G62" s="45" t="str">
        <f t="shared" si="16"/>
        <v>Nominal</v>
      </c>
      <c r="H62" s="45" t="str">
        <f t="shared" si="17"/>
        <v>End year</v>
      </c>
      <c r="J62" s="58">
        <f>SUMPRODUCT((Calc_Alloc!$K$11:$K$30)*(Calc_RAB_NS!J$76:J$95))</f>
        <v>0</v>
      </c>
      <c r="K62" s="56">
        <f>SUMPRODUCT((Calc_Alloc!$K$11:$K$30)*(Calc_RAB_NS!K$76:K$95))</f>
        <v>0</v>
      </c>
      <c r="L62" s="57">
        <f>SUMPRODUCT((Calc_Alloc!$K$11:$K$30)*(Calc_RAB_NS!L$76:L$95))</f>
        <v>0</v>
      </c>
      <c r="M62" s="57">
        <f>SUMPRODUCT((Calc_Alloc!$K$11:$K$30)*(Calc_RAB_NS!M$76:M$95))</f>
        <v>0</v>
      </c>
      <c r="N62" s="57">
        <f>SUMPRODUCT((Calc_Alloc!$K$11:$K$30)*(Calc_RAB_NS!N$76:N$95))</f>
        <v>0</v>
      </c>
      <c r="O62" s="58">
        <f>SUMPRODUCT((Calc_Alloc!$K$11:$K$30)*(Calc_RAB_NS!O$76:O$95))</f>
        <v>0</v>
      </c>
      <c r="P62" s="56">
        <f>SUMPRODUCT((Calc_Alloc!$K$11:$K$30)*(Calc_RAB_NS!P$76:P$95))</f>
        <v>0</v>
      </c>
      <c r="Q62" s="57">
        <f>SUMPRODUCT((Calc_Alloc!$K$11:$K$30)*(Calc_RAB_NS!Q$76:Q$95))</f>
        <v>0</v>
      </c>
      <c r="R62" s="57">
        <f>SUMPRODUCT((Calc_Alloc!$K$11:$K$30)*(Calc_RAB_NS!R$76:R$95))</f>
        <v>0</v>
      </c>
      <c r="S62" s="57">
        <f>SUMPRODUCT((Calc_Alloc!$K$11:$K$30)*(Calc_RAB_NS!S$76:S$95))</f>
        <v>0</v>
      </c>
      <c r="T62" s="58">
        <f>SUMPRODUCT((Calc_Alloc!$K$11:$K$30)*(Calc_RAB_NS!T$76:T$95))</f>
        <v>0</v>
      </c>
    </row>
    <row r="63" spans="1:20" ht="12.3" x14ac:dyDescent="0.35">
      <c r="D63" s="10" t="str">
        <f t="shared" si="18"/>
        <v>Meters</v>
      </c>
      <c r="E63" s="45" t="str">
        <f t="shared" si="18"/>
        <v>Calculated</v>
      </c>
      <c r="F63" s="45" t="str">
        <f t="shared" si="15"/>
        <v>$Millions</v>
      </c>
      <c r="G63" s="45" t="str">
        <f t="shared" si="16"/>
        <v>Nominal</v>
      </c>
      <c r="H63" s="45" t="str">
        <f t="shared" si="17"/>
        <v>End year</v>
      </c>
      <c r="J63" s="58">
        <f>SUMPRODUCT((Calc_Alloc!$L$11:$L$30)*(Calc_RAB_NS!J$76:J$95))</f>
        <v>0</v>
      </c>
      <c r="K63" s="56">
        <f>SUMPRODUCT((Calc_Alloc!$L$11:$L$30)*(Calc_RAB_NS!K$76:K$95))</f>
        <v>0</v>
      </c>
      <c r="L63" s="57">
        <f>SUMPRODUCT((Calc_Alloc!$L$11:$L$30)*(Calc_RAB_NS!L$76:L$95))</f>
        <v>0</v>
      </c>
      <c r="M63" s="57">
        <f>SUMPRODUCT((Calc_Alloc!$L$11:$L$30)*(Calc_RAB_NS!M$76:M$95))</f>
        <v>0</v>
      </c>
      <c r="N63" s="57">
        <f>SUMPRODUCT((Calc_Alloc!$L$11:$L$30)*(Calc_RAB_NS!N$76:N$95))</f>
        <v>0</v>
      </c>
      <c r="O63" s="58">
        <f>SUMPRODUCT((Calc_Alloc!$L$11:$L$30)*(Calc_RAB_NS!O$76:O$95))</f>
        <v>0</v>
      </c>
      <c r="P63" s="56">
        <f>SUMPRODUCT((Calc_Alloc!$L$11:$L$30)*(Calc_RAB_NS!P$76:P$95))</f>
        <v>0</v>
      </c>
      <c r="Q63" s="57">
        <f>SUMPRODUCT((Calc_Alloc!$L$11:$L$30)*(Calc_RAB_NS!Q$76:Q$95))</f>
        <v>0</v>
      </c>
      <c r="R63" s="57">
        <f>SUMPRODUCT((Calc_Alloc!$L$11:$L$30)*(Calc_RAB_NS!R$76:R$95))</f>
        <v>0</v>
      </c>
      <c r="S63" s="57">
        <f>SUMPRODUCT((Calc_Alloc!$L$11:$L$30)*(Calc_RAB_NS!S$76:S$95))</f>
        <v>0</v>
      </c>
      <c r="T63" s="58">
        <f>SUMPRODUCT((Calc_Alloc!$L$11:$L$30)*(Calc_RAB_NS!T$76:T$95))</f>
        <v>0</v>
      </c>
    </row>
    <row r="64" spans="1:20" ht="12.3" x14ac:dyDescent="0.35">
      <c r="D64" s="10" t="str">
        <f t="shared" si="18"/>
        <v>“Other” asset items with long lives</v>
      </c>
      <c r="E64" s="45" t="str">
        <f t="shared" si="18"/>
        <v>Calculated</v>
      </c>
      <c r="F64" s="45" t="str">
        <f t="shared" si="15"/>
        <v>$Millions</v>
      </c>
      <c r="G64" s="45" t="str">
        <f t="shared" si="16"/>
        <v>Nominal</v>
      </c>
      <c r="H64" s="45" t="str">
        <f t="shared" si="17"/>
        <v>End year</v>
      </c>
      <c r="J64" s="58">
        <f>SUMPRODUCT((Calc_Alloc!$M$11:$M$30)*(Calc_RAB_NS!J$76:J$95))</f>
        <v>-0.85565541991766558</v>
      </c>
      <c r="K64" s="56">
        <f>SUMPRODUCT((Calc_Alloc!$M$11:$M$30)*(Calc_RAB_NS!K$76:K$95))</f>
        <v>-1.9473300137465259</v>
      </c>
      <c r="L64" s="57">
        <f>SUMPRODUCT((Calc_Alloc!$M$11:$M$30)*(Calc_RAB_NS!L$76:L$95))</f>
        <v>-2.6226874054975546</v>
      </c>
      <c r="M64" s="57">
        <f>SUMPRODUCT((Calc_Alloc!$M$11:$M$30)*(Calc_RAB_NS!M$76:M$95))</f>
        <v>-3.307313452898935</v>
      </c>
      <c r="N64" s="57">
        <f>SUMPRODUCT((Calc_Alloc!$M$11:$M$30)*(Calc_RAB_NS!N$76:N$95))</f>
        <v>-4.7428880658905852</v>
      </c>
      <c r="O64" s="58">
        <f>SUMPRODUCT((Calc_Alloc!$M$11:$M$30)*(Calc_RAB_NS!O$76:O$95))</f>
        <v>-5.9657351271392853</v>
      </c>
      <c r="P64" s="56">
        <f>SUMPRODUCT((Calc_Alloc!$M$11:$M$30)*(Calc_RAB_NS!P$76:P$95))</f>
        <v>-11.041492305958224</v>
      </c>
      <c r="Q64" s="57">
        <f>SUMPRODUCT((Calc_Alloc!$M$11:$M$30)*(Calc_RAB_NS!Q$76:Q$95))</f>
        <v>-9.6420154088915968</v>
      </c>
      <c r="R64" s="57">
        <f>SUMPRODUCT((Calc_Alloc!$M$11:$M$30)*(Calc_RAB_NS!R$76:R$95))</f>
        <v>-12.268474576292975</v>
      </c>
      <c r="S64" s="57">
        <f>SUMPRODUCT((Calc_Alloc!$M$11:$M$30)*(Calc_RAB_NS!S$76:S$95))</f>
        <v>-14.773391601471953</v>
      </c>
      <c r="T64" s="58">
        <f>SUMPRODUCT((Calc_Alloc!$M$11:$M$30)*(Calc_RAB_NS!T$76:T$95))</f>
        <v>-18.428451554014423</v>
      </c>
    </row>
    <row r="65" spans="1:20" ht="12.3" x14ac:dyDescent="0.35">
      <c r="D65" s="10" t="str">
        <f t="shared" si="18"/>
        <v>“Other” asset items with short lives</v>
      </c>
      <c r="E65" s="45" t="str">
        <f t="shared" si="18"/>
        <v>Calculated</v>
      </c>
      <c r="F65" s="45" t="str">
        <f t="shared" si="15"/>
        <v>$Millions</v>
      </c>
      <c r="G65" s="45" t="str">
        <f t="shared" si="16"/>
        <v>Nominal</v>
      </c>
      <c r="H65" s="45" t="str">
        <f t="shared" si="17"/>
        <v>End year</v>
      </c>
      <c r="J65" s="58">
        <f>SUMPRODUCT((Calc_Alloc!$N$11:$N$30)*(Calc_RAB_NS!J$76:J$95))</f>
        <v>-1.1548854687667607</v>
      </c>
      <c r="K65" s="56">
        <f>SUMPRODUCT((Calc_Alloc!$N$11:$N$30)*(Calc_RAB_NS!K$76:K$95))</f>
        <v>-0.86249250647917408</v>
      </c>
      <c r="L65" s="57">
        <f>SUMPRODUCT((Calc_Alloc!$N$11:$N$30)*(Calc_RAB_NS!L$76:L$95))</f>
        <v>-4.5711391269554431</v>
      </c>
      <c r="M65" s="57">
        <f>SUMPRODUCT((Calc_Alloc!$N$11:$N$30)*(Calc_RAB_NS!M$76:M$95))</f>
        <v>-5.6550419994021004</v>
      </c>
      <c r="N65" s="57">
        <f>SUMPRODUCT((Calc_Alloc!$N$11:$N$30)*(Calc_RAB_NS!N$76:N$95))</f>
        <v>-7.9248770775543447</v>
      </c>
      <c r="O65" s="58">
        <f>SUMPRODUCT((Calc_Alloc!$N$11:$N$30)*(Calc_RAB_NS!O$76:O$95))</f>
        <v>-9.2386672065994553</v>
      </c>
      <c r="P65" s="56">
        <f>SUMPRODUCT((Calc_Alloc!$N$11:$N$30)*(Calc_RAB_NS!P$76:P$95))</f>
        <v>-5.4411165237887573</v>
      </c>
      <c r="Q65" s="57">
        <f>SUMPRODUCT((Calc_Alloc!$N$11:$N$30)*(Calc_RAB_NS!Q$76:Q$95))</f>
        <v>-6.5991754654067929</v>
      </c>
      <c r="R65" s="57">
        <f>SUMPRODUCT((Calc_Alloc!$N$11:$N$30)*(Calc_RAB_NS!R$76:R$95))</f>
        <v>-5.7621436010188107</v>
      </c>
      <c r="S65" s="57">
        <f>SUMPRODUCT((Calc_Alloc!$N$11:$N$30)*(Calc_RAB_NS!S$76:S$95))</f>
        <v>-8.3427937936419134</v>
      </c>
      <c r="T65" s="58">
        <f>SUMPRODUCT((Calc_Alloc!$N$11:$N$30)*(Calc_RAB_NS!T$76:T$95))</f>
        <v>-8.8688879215730303</v>
      </c>
    </row>
    <row r="66" spans="1:20" x14ac:dyDescent="0.35">
      <c r="J66" s="49"/>
      <c r="K66" s="48"/>
      <c r="O66" s="49"/>
      <c r="P66" s="48"/>
      <c r="T66" s="49"/>
    </row>
    <row r="67" spans="1:20" ht="12.3" x14ac:dyDescent="0.35">
      <c r="D67" s="44" t="str">
        <f>"Total "&amp;D54</f>
        <v>Total EB RIN categories</v>
      </c>
      <c r="E67" s="40" t="s">
        <v>91</v>
      </c>
      <c r="F67" s="40" t="str">
        <f>F56</f>
        <v>$Millions</v>
      </c>
      <c r="G67" s="40" t="str">
        <f>G56</f>
        <v>Nominal</v>
      </c>
      <c r="H67" s="40" t="str">
        <f>H56</f>
        <v>End year</v>
      </c>
      <c r="J67" s="54">
        <f t="shared" ref="J67:T67" si="19">SUM(J56:J65)</f>
        <v>-49.140705877849342</v>
      </c>
      <c r="K67" s="53">
        <f t="shared" si="19"/>
        <v>-40.621924173764924</v>
      </c>
      <c r="L67" s="39">
        <f t="shared" si="19"/>
        <v>-45.815157063215679</v>
      </c>
      <c r="M67" s="39">
        <f t="shared" si="19"/>
        <v>-50.095361814684821</v>
      </c>
      <c r="N67" s="39">
        <f t="shared" si="19"/>
        <v>-56.250808046078838</v>
      </c>
      <c r="O67" s="54">
        <f t="shared" si="19"/>
        <v>-63.24716934034852</v>
      </c>
      <c r="P67" s="53">
        <f t="shared" si="19"/>
        <v>-70.261052476971628</v>
      </c>
      <c r="Q67" s="39">
        <f t="shared" si="19"/>
        <v>-73.581868434870472</v>
      </c>
      <c r="R67" s="39">
        <f t="shared" si="19"/>
        <v>-78.669999154146709</v>
      </c>
      <c r="S67" s="39">
        <f t="shared" si="19"/>
        <v>-86.85047879173392</v>
      </c>
      <c r="T67" s="54">
        <f t="shared" si="19"/>
        <v>-93.949007460019587</v>
      </c>
    </row>
    <row r="68" spans="1:20" ht="11.25" customHeight="1" x14ac:dyDescent="0.35"/>
    <row r="69" spans="1:20" ht="11.25" customHeight="1" x14ac:dyDescent="0.35">
      <c r="A69" s="42">
        <f>IF(SUM($J69:$T69)&lt;&gt;0,1,0)</f>
        <v>0</v>
      </c>
      <c r="D69" s="10" t="s">
        <v>94</v>
      </c>
      <c r="J69" s="42">
        <f>IF(ROUND(J67-Calc_RAB_NS!J$97,5)&lt;&gt;0,1,0)</f>
        <v>0</v>
      </c>
      <c r="K69" s="42">
        <f>IF(ROUND(K67-Calc_RAB_NS!K$97,5)&lt;&gt;0,1,0)</f>
        <v>0</v>
      </c>
      <c r="L69" s="42">
        <f>IF(ROUND(L67-Calc_RAB_NS!L$97,5)&lt;&gt;0,1,0)</f>
        <v>0</v>
      </c>
      <c r="M69" s="42">
        <f>IF(ROUND(M67-Calc_RAB_NS!M$97,5)&lt;&gt;0,1,0)</f>
        <v>0</v>
      </c>
      <c r="N69" s="42">
        <f>IF(ROUND(N67-Calc_RAB_NS!N$97,5)&lt;&gt;0,1,0)</f>
        <v>0</v>
      </c>
      <c r="O69" s="42">
        <f>IF(ROUND(O67-Calc_RAB_NS!O$97,5)&lt;&gt;0,1,0)</f>
        <v>0</v>
      </c>
      <c r="P69" s="42">
        <f>IF(ROUND(P67-Calc_RAB_NS!P$97,5)&lt;&gt;0,1,0)</f>
        <v>0</v>
      </c>
      <c r="Q69" s="42">
        <f>IF(ROUND(Q67-Calc_RAB_NS!Q$97,5)&lt;&gt;0,1,0)</f>
        <v>0</v>
      </c>
      <c r="R69" s="42">
        <f>IF(ROUND(R67-Calc_RAB_NS!R$97,5)&lt;&gt;0,1,0)</f>
        <v>0</v>
      </c>
      <c r="S69" s="42">
        <f>IF(ROUND(S67-Calc_RAB_NS!S$97,5)&lt;&gt;0,1,0)</f>
        <v>0</v>
      </c>
      <c r="T69" s="42">
        <f>IF(ROUND(T67-Calc_RAB_NS!T$97,5)&lt;&gt;0,1,0)</f>
        <v>0</v>
      </c>
    </row>
    <row r="70" spans="1:20" ht="11.25" customHeight="1" x14ac:dyDescent="0.35">
      <c r="N70" s="5"/>
      <c r="S70" s="5"/>
    </row>
    <row r="71" spans="1:20" s="8" customFormat="1" ht="14.1" x14ac:dyDescent="0.35">
      <c r="C71" s="8" t="s">
        <v>438</v>
      </c>
    </row>
    <row r="72" spans="1:20" ht="11.25" customHeight="1" x14ac:dyDescent="0.35"/>
    <row r="73" spans="1:20" ht="12.3" x14ac:dyDescent="0.35">
      <c r="D73" s="43" t="str">
        <f>D$16</f>
        <v>EB RIN categories</v>
      </c>
      <c r="E73" s="38" t="str">
        <f>Lookup!E$20</f>
        <v>Source</v>
      </c>
      <c r="F73" s="38" t="str">
        <f>Lookup!F$20</f>
        <v>Unit</v>
      </c>
      <c r="G73" s="38" t="str">
        <f>Lookup!G$20</f>
        <v>Basis</v>
      </c>
      <c r="H73" s="38" t="str">
        <f>Lookup!H$20</f>
        <v>Timing</v>
      </c>
      <c r="J73" s="47" t="str">
        <f t="shared" ref="J73:T73" si="20">J$10</f>
        <v>RY19</v>
      </c>
      <c r="K73" s="46" t="str">
        <f t="shared" si="20"/>
        <v>RY20</v>
      </c>
      <c r="L73" s="38" t="str">
        <f>L$10</f>
        <v>RY21</v>
      </c>
      <c r="M73" s="38" t="str">
        <f t="shared" si="20"/>
        <v>RY22</v>
      </c>
      <c r="N73" s="38" t="str">
        <f t="shared" si="20"/>
        <v>RY23</v>
      </c>
      <c r="O73" s="47" t="str">
        <f t="shared" si="20"/>
        <v>RY24</v>
      </c>
      <c r="P73" s="46" t="str">
        <f t="shared" si="20"/>
        <v>RY25</v>
      </c>
      <c r="Q73" s="38" t="str">
        <f>Q$10</f>
        <v>RY26</v>
      </c>
      <c r="R73" s="38" t="str">
        <f t="shared" si="20"/>
        <v>RY27</v>
      </c>
      <c r="S73" s="38" t="str">
        <f t="shared" si="20"/>
        <v>RY28</v>
      </c>
      <c r="T73" s="47" t="str">
        <f t="shared" si="20"/>
        <v>RY29</v>
      </c>
    </row>
    <row r="74" spans="1:20" x14ac:dyDescent="0.35">
      <c r="J74" s="49"/>
      <c r="K74" s="48"/>
      <c r="O74" s="49"/>
      <c r="P74" s="48"/>
      <c r="T74" s="49"/>
    </row>
    <row r="75" spans="1:20" ht="12.3" x14ac:dyDescent="0.35">
      <c r="D75" s="10" t="str">
        <f>D18</f>
        <v>Overhead network assets less than 33kV</v>
      </c>
      <c r="E75" s="45" t="str">
        <f>E18</f>
        <v>Calculated</v>
      </c>
      <c r="F75" s="45" t="str">
        <f t="shared" ref="F75:F84" si="21">Millions</f>
        <v>$Millions</v>
      </c>
      <c r="G75" s="45" t="str">
        <f t="shared" ref="G75:G84" si="22">Nominal</f>
        <v>Nominal</v>
      </c>
      <c r="H75" s="45" t="str">
        <f t="shared" ref="H75:H84" si="23">End_year</f>
        <v>End year</v>
      </c>
      <c r="J75" s="58">
        <f>SUMPRODUCT((Calc_Alloc!$E$11:$E$30)*(Calc_RAB_NS!J$105:J$124))</f>
        <v>2.7922633705726212</v>
      </c>
      <c r="K75" s="56">
        <f>SUMPRODUCT((Calc_Alloc!$E$11:$E$30)*(Calc_RAB_NS!K$105:K$124))</f>
        <v>2.7754994381795477</v>
      </c>
      <c r="L75" s="57">
        <f>SUMPRODUCT((Calc_Alloc!$E$11:$E$30)*(Calc_RAB_NS!L$105:L$124))</f>
        <v>3.067292490758684</v>
      </c>
      <c r="M75" s="57">
        <f>SUMPRODUCT((Calc_Alloc!$E$11:$E$30)*(Calc_RAB_NS!M$105:M$124))</f>
        <v>6.1676075658409131</v>
      </c>
      <c r="N75" s="57">
        <f>SUMPRODUCT((Calc_Alloc!$E$11:$E$30)*(Calc_RAB_NS!N$105:N$124))</f>
        <v>8.6947845238922117</v>
      </c>
      <c r="O75" s="58">
        <f>SUMPRODUCT((Calc_Alloc!$E$11:$E$30)*(Calc_RAB_NS!O$105:O$124))</f>
        <v>7.6995388982002089</v>
      </c>
      <c r="P75" s="56">
        <f>SUMPRODUCT((Calc_Alloc!$E$11:$E$30)*(Calc_RAB_NS!P$105:P$124))</f>
        <v>7.2372637464104326</v>
      </c>
      <c r="Q75" s="57">
        <f>SUMPRODUCT((Calc_Alloc!$E$11:$E$30)*(Calc_RAB_NS!Q$105:Q$124))</f>
        <v>8.0921854054361173</v>
      </c>
      <c r="R75" s="57">
        <f>SUMPRODUCT((Calc_Alloc!$E$11:$E$30)*(Calc_RAB_NS!R$105:R$124))</f>
        <v>8.3705975451247365</v>
      </c>
      <c r="S75" s="57">
        <f>SUMPRODUCT((Calc_Alloc!$E$11:$E$30)*(Calc_RAB_NS!S$105:S$124))</f>
        <v>7.6428807239344456</v>
      </c>
      <c r="T75" s="58">
        <f>SUMPRODUCT((Calc_Alloc!$E$11:$E$30)*(Calc_RAB_NS!T$105:T$124))</f>
        <v>7.9638532348298519</v>
      </c>
    </row>
    <row r="76" spans="1:20" ht="12.3" x14ac:dyDescent="0.35">
      <c r="D76" s="10" t="str">
        <f t="shared" ref="D76:E84" si="24">D19</f>
        <v>Underground network assets less than 33kV</v>
      </c>
      <c r="E76" s="45" t="str">
        <f t="shared" si="24"/>
        <v>Calculated</v>
      </c>
      <c r="F76" s="45" t="str">
        <f t="shared" si="21"/>
        <v>$Millions</v>
      </c>
      <c r="G76" s="45" t="str">
        <f t="shared" si="22"/>
        <v>Nominal</v>
      </c>
      <c r="H76" s="45" t="str">
        <f t="shared" si="23"/>
        <v>End year</v>
      </c>
      <c r="J76" s="58">
        <f>SUMPRODUCT((Calc_Alloc!$F$11:$F$30)*(Calc_RAB_NS!J$105:J$124))</f>
        <v>5.7840719033402106</v>
      </c>
      <c r="K76" s="56">
        <f>SUMPRODUCT((Calc_Alloc!$F$11:$F$30)*(Calc_RAB_NS!K$105:K$124))</f>
        <v>5.7493460277776967</v>
      </c>
      <c r="L76" s="57">
        <f>SUMPRODUCT((Calc_Alloc!$F$11:$F$30)*(Calc_RAB_NS!L$105:L$124))</f>
        <v>6.3537847117499542</v>
      </c>
      <c r="M76" s="57">
        <f>SUMPRODUCT((Calc_Alloc!$F$11:$F$30)*(Calc_RAB_NS!M$105:M$124))</f>
        <v>12.775974504544369</v>
      </c>
      <c r="N76" s="57">
        <f>SUMPRODUCT((Calc_Alloc!$F$11:$F$30)*(Calc_RAB_NS!N$105:N$124))</f>
        <v>18.010929556379491</v>
      </c>
      <c r="O76" s="58">
        <f>SUMPRODUCT((Calc_Alloc!$F$11:$F$30)*(Calc_RAB_NS!O$105:O$124))</f>
        <v>15.949314480539833</v>
      </c>
      <c r="P76" s="56">
        <f>SUMPRODUCT((Calc_Alloc!$F$11:$F$30)*(Calc_RAB_NS!P$105:P$124))</f>
        <v>14.991728335458095</v>
      </c>
      <c r="Q76" s="57">
        <f>SUMPRODUCT((Calc_Alloc!$F$11:$F$30)*(Calc_RAB_NS!Q$105:Q$124))</f>
        <v>16.762667423669313</v>
      </c>
      <c r="R76" s="57">
        <f>SUMPRODUCT((Calc_Alloc!$F$11:$F$30)*(Calc_RAB_NS!R$105:R$124))</f>
        <v>17.339388033799846</v>
      </c>
      <c r="S76" s="57">
        <f>SUMPRODUCT((Calc_Alloc!$F$11:$F$30)*(Calc_RAB_NS!S$105:S$124))</f>
        <v>15.83194913552299</v>
      </c>
      <c r="T76" s="58">
        <f>SUMPRODUCT((Calc_Alloc!$F$11:$F$30)*(Calc_RAB_NS!T$105:T$124))</f>
        <v>16.496832004947283</v>
      </c>
    </row>
    <row r="77" spans="1:20" ht="12.3" x14ac:dyDescent="0.35">
      <c r="D77" s="10" t="str">
        <f t="shared" si="24"/>
        <v>Distribution substations and transformers</v>
      </c>
      <c r="E77" s="45" t="str">
        <f t="shared" si="24"/>
        <v>Calculated</v>
      </c>
      <c r="F77" s="45" t="str">
        <f t="shared" si="21"/>
        <v>$Millions</v>
      </c>
      <c r="G77" s="45" t="str">
        <f t="shared" si="22"/>
        <v>Nominal</v>
      </c>
      <c r="H77" s="45" t="str">
        <f t="shared" si="23"/>
        <v>End year</v>
      </c>
      <c r="J77" s="58">
        <f>SUMPRODUCT((Calc_Alloc!$G$11:$G$30)*(Calc_RAB_NS!J$105:J$124))</f>
        <v>5.5176151842597267</v>
      </c>
      <c r="K77" s="56">
        <f>SUMPRODUCT((Calc_Alloc!$G$11:$G$30)*(Calc_RAB_NS!K$105:K$124))</f>
        <v>5.5771436520715181</v>
      </c>
      <c r="L77" s="57">
        <f>SUMPRODUCT((Calc_Alloc!$G$11:$G$30)*(Calc_RAB_NS!L$105:L$124))</f>
        <v>5.9879631630885291</v>
      </c>
      <c r="M77" s="57">
        <f>SUMPRODUCT((Calc_Alloc!$G$11:$G$30)*(Calc_RAB_NS!M$105:M$124))</f>
        <v>7.3064085596598396</v>
      </c>
      <c r="N77" s="57">
        <f>SUMPRODUCT((Calc_Alloc!$G$11:$G$30)*(Calc_RAB_NS!N$105:N$124))</f>
        <v>6.6586040434488005</v>
      </c>
      <c r="O77" s="58">
        <f>SUMPRODUCT((Calc_Alloc!$G$11:$G$30)*(Calc_RAB_NS!O$105:O$124))</f>
        <v>6.4063544115588265</v>
      </c>
      <c r="P77" s="56">
        <f>SUMPRODUCT((Calc_Alloc!$G$11:$G$30)*(Calc_RAB_NS!P$105:P$124))</f>
        <v>9.5022037552981722</v>
      </c>
      <c r="Q77" s="57">
        <f>SUMPRODUCT((Calc_Alloc!$G$11:$G$30)*(Calc_RAB_NS!Q$105:Q$124))</f>
        <v>10.121515896689205</v>
      </c>
      <c r="R77" s="57">
        <f>SUMPRODUCT((Calc_Alloc!$G$11:$G$30)*(Calc_RAB_NS!R$105:R$124))</f>
        <v>10.725196038722727</v>
      </c>
      <c r="S77" s="57">
        <f>SUMPRODUCT((Calc_Alloc!$G$11:$G$30)*(Calc_RAB_NS!S$105:S$124))</f>
        <v>11.341147789993245</v>
      </c>
      <c r="T77" s="58">
        <f>SUMPRODUCT((Calc_Alloc!$G$11:$G$30)*(Calc_RAB_NS!T$105:T$124))</f>
        <v>12.015434432672706</v>
      </c>
    </row>
    <row r="78" spans="1:20" ht="12.3" x14ac:dyDescent="0.35">
      <c r="D78" s="10" t="str">
        <f t="shared" si="24"/>
        <v>Overhead network assets 33kV and above</v>
      </c>
      <c r="E78" s="45" t="str">
        <f t="shared" si="24"/>
        <v>Calculated</v>
      </c>
      <c r="F78" s="45" t="str">
        <f t="shared" si="21"/>
        <v>$Millions</v>
      </c>
      <c r="G78" s="45" t="str">
        <f t="shared" si="22"/>
        <v>Nominal</v>
      </c>
      <c r="H78" s="45" t="str">
        <f t="shared" si="23"/>
        <v>End year</v>
      </c>
      <c r="J78" s="58">
        <f>SUMPRODUCT((Calc_Alloc!$H$11:$H$30)*(Calc_RAB_NS!J$105:J$124))</f>
        <v>0.1512810596439785</v>
      </c>
      <c r="K78" s="56">
        <f>SUMPRODUCT((Calc_Alloc!$H$11:$H$30)*(Calc_RAB_NS!K$105:K$124))</f>
        <v>0.6358272541840313</v>
      </c>
      <c r="L78" s="57">
        <f>SUMPRODUCT((Calc_Alloc!$H$11:$H$30)*(Calc_RAB_NS!L$105:L$124))</f>
        <v>1.1057157616857085</v>
      </c>
      <c r="M78" s="57">
        <f>SUMPRODUCT((Calc_Alloc!$H$11:$H$30)*(Calc_RAB_NS!M$105:M$124))</f>
        <v>1.6270920263082307</v>
      </c>
      <c r="N78" s="57">
        <f>SUMPRODUCT((Calc_Alloc!$H$11:$H$30)*(Calc_RAB_NS!N$105:N$124))</f>
        <v>2.0155104142446509</v>
      </c>
      <c r="O78" s="58">
        <f>SUMPRODUCT((Calc_Alloc!$H$11:$H$30)*(Calc_RAB_NS!O$105:O$124))</f>
        <v>3.6799402726009509</v>
      </c>
      <c r="P78" s="56">
        <f>SUMPRODUCT((Calc_Alloc!$H$11:$H$30)*(Calc_RAB_NS!P$105:P$124))</f>
        <v>2.442036598030525</v>
      </c>
      <c r="Q78" s="57">
        <f>SUMPRODUCT((Calc_Alloc!$H$11:$H$30)*(Calc_RAB_NS!Q$105:Q$124))</f>
        <v>5.1102500118266541</v>
      </c>
      <c r="R78" s="57">
        <f>SUMPRODUCT((Calc_Alloc!$H$11:$H$30)*(Calc_RAB_NS!R$105:R$124))</f>
        <v>2.1952739124448803</v>
      </c>
      <c r="S78" s="57">
        <f>SUMPRODUCT((Calc_Alloc!$H$11:$H$30)*(Calc_RAB_NS!S$105:S$124))</f>
        <v>1.5226179338906405</v>
      </c>
      <c r="T78" s="58">
        <f>SUMPRODUCT((Calc_Alloc!$H$11:$H$30)*(Calc_RAB_NS!T$105:T$124))</f>
        <v>1.5775496314157453</v>
      </c>
    </row>
    <row r="79" spans="1:20" ht="12.3" x14ac:dyDescent="0.35">
      <c r="D79" s="10" t="str">
        <f t="shared" si="24"/>
        <v>Underground network assets 33kV and above</v>
      </c>
      <c r="E79" s="45" t="str">
        <f t="shared" si="24"/>
        <v>Calculated</v>
      </c>
      <c r="F79" s="45" t="str">
        <f t="shared" si="21"/>
        <v>$Millions</v>
      </c>
      <c r="G79" s="45" t="str">
        <f t="shared" si="22"/>
        <v>Nominal</v>
      </c>
      <c r="H79" s="45" t="str">
        <f t="shared" si="23"/>
        <v>End year</v>
      </c>
      <c r="J79" s="58">
        <f>SUMPRODUCT((Calc_Alloc!$I$11:$I$30)*(Calc_RAB_NS!J$105:J$124))</f>
        <v>7.569891622579232E-2</v>
      </c>
      <c r="K79" s="56">
        <f>SUMPRODUCT((Calc_Alloc!$I$11:$I$30)*(Calc_RAB_NS!K$105:K$124))</f>
        <v>0.31815902243032934</v>
      </c>
      <c r="L79" s="57">
        <f>SUMPRODUCT((Calc_Alloc!$I$11:$I$30)*(Calc_RAB_NS!L$105:L$124))</f>
        <v>0.55328462803186207</v>
      </c>
      <c r="M79" s="57">
        <f>SUMPRODUCT((Calc_Alloc!$I$11:$I$30)*(Calc_RAB_NS!M$105:M$124))</f>
        <v>0.81417398371630167</v>
      </c>
      <c r="N79" s="57">
        <f>SUMPRODUCT((Calc_Alloc!$I$11:$I$30)*(Calc_RAB_NS!N$105:N$124))</f>
        <v>1.0085330864232263</v>
      </c>
      <c r="O79" s="58">
        <f>SUMPRODUCT((Calc_Alloc!$I$11:$I$30)*(Calc_RAB_NS!O$105:O$124))</f>
        <v>1.8413903965712117</v>
      </c>
      <c r="P79" s="56">
        <f>SUMPRODUCT((Calc_Alloc!$I$11:$I$30)*(Calc_RAB_NS!P$105:P$124))</f>
        <v>1.2219607946274034</v>
      </c>
      <c r="Q79" s="57">
        <f>SUMPRODUCT((Calc_Alloc!$I$11:$I$30)*(Calc_RAB_NS!Q$105:Q$124))</f>
        <v>2.5570972893004695</v>
      </c>
      <c r="R79" s="57">
        <f>SUMPRODUCT((Calc_Alloc!$I$11:$I$30)*(Calc_RAB_NS!R$105:R$124))</f>
        <v>1.0984842146261822</v>
      </c>
      <c r="S79" s="57">
        <f>SUMPRODUCT((Calc_Alloc!$I$11:$I$30)*(Calc_RAB_NS!S$105:S$124))</f>
        <v>0.76189661609145354</v>
      </c>
      <c r="T79" s="58">
        <f>SUMPRODUCT((Calc_Alloc!$I$11:$I$30)*(Calc_RAB_NS!T$105:T$124))</f>
        <v>0.78938366555342498</v>
      </c>
    </row>
    <row r="80" spans="1:20" ht="12.3" x14ac:dyDescent="0.35">
      <c r="D80" s="10" t="str">
        <f t="shared" si="24"/>
        <v>Zone substations and transformers</v>
      </c>
      <c r="E80" s="45" t="str">
        <f t="shared" si="24"/>
        <v>Calculated</v>
      </c>
      <c r="F80" s="45" t="str">
        <f t="shared" si="21"/>
        <v>$Millions</v>
      </c>
      <c r="G80" s="45" t="str">
        <f t="shared" si="22"/>
        <v>Nominal</v>
      </c>
      <c r="H80" s="45" t="str">
        <f t="shared" si="23"/>
        <v>End year</v>
      </c>
      <c r="J80" s="58">
        <f>SUMPRODUCT((Calc_Alloc!$J$11:$J$30)*(Calc_RAB_NS!J$105:J$124))</f>
        <v>19.190863580576529</v>
      </c>
      <c r="K80" s="56">
        <f>SUMPRODUCT((Calc_Alloc!$J$11:$J$30)*(Calc_RAB_NS!K$105:K$124))</f>
        <v>21.672337054804082</v>
      </c>
      <c r="L80" s="57">
        <f>SUMPRODUCT((Calc_Alloc!$J$11:$J$30)*(Calc_RAB_NS!L$105:L$124))</f>
        <v>14.823524006381485</v>
      </c>
      <c r="M80" s="57">
        <f>SUMPRODUCT((Calc_Alloc!$J$11:$J$30)*(Calc_RAB_NS!M$105:M$124))</f>
        <v>15.56844703257566</v>
      </c>
      <c r="N80" s="57">
        <f>SUMPRODUCT((Calc_Alloc!$J$11:$J$30)*(Calc_RAB_NS!N$105:N$124))</f>
        <v>21.102834448620996</v>
      </c>
      <c r="O80" s="58">
        <f>SUMPRODUCT((Calc_Alloc!$J$11:$J$30)*(Calc_RAB_NS!O$105:O$124))</f>
        <v>34.489581025327908</v>
      </c>
      <c r="P80" s="56">
        <f>SUMPRODUCT((Calc_Alloc!$J$11:$J$30)*(Calc_RAB_NS!P$105:P$124))</f>
        <v>38.200060773093277</v>
      </c>
      <c r="Q80" s="57">
        <f>SUMPRODUCT((Calc_Alloc!$J$11:$J$30)*(Calc_RAB_NS!Q$105:Q$124))</f>
        <v>27.99747722942131</v>
      </c>
      <c r="R80" s="57">
        <f>SUMPRODUCT((Calc_Alloc!$J$11:$J$30)*(Calc_RAB_NS!R$105:R$124))</f>
        <v>14.617380967285705</v>
      </c>
      <c r="S80" s="57">
        <f>SUMPRODUCT((Calc_Alloc!$J$11:$J$30)*(Calc_RAB_NS!S$105:S$124))</f>
        <v>11.693984876008054</v>
      </c>
      <c r="T80" s="58">
        <f>SUMPRODUCT((Calc_Alloc!$J$11:$J$30)*(Calc_RAB_NS!T$105:T$124))</f>
        <v>10.320020085222426</v>
      </c>
    </row>
    <row r="81" spans="1:20" ht="12.3" x14ac:dyDescent="0.35">
      <c r="D81" s="10" t="str">
        <f t="shared" si="24"/>
        <v>Easements</v>
      </c>
      <c r="E81" s="45" t="str">
        <f t="shared" si="24"/>
        <v>Calculated</v>
      </c>
      <c r="F81" s="45" t="str">
        <f t="shared" si="21"/>
        <v>$Millions</v>
      </c>
      <c r="G81" s="45" t="str">
        <f t="shared" si="22"/>
        <v>Nominal</v>
      </c>
      <c r="H81" s="45" t="str">
        <f t="shared" si="23"/>
        <v>End year</v>
      </c>
      <c r="J81" s="58">
        <f>SUMPRODUCT((Calc_Alloc!$K$11:$K$30)*(Calc_RAB_NS!J$105:J$124))</f>
        <v>0</v>
      </c>
      <c r="K81" s="56">
        <f>SUMPRODUCT((Calc_Alloc!$K$11:$K$30)*(Calc_RAB_NS!K$105:K$124))</f>
        <v>0</v>
      </c>
      <c r="L81" s="57">
        <f>SUMPRODUCT((Calc_Alloc!$K$11:$K$30)*(Calc_RAB_NS!L$105:L$124))</f>
        <v>0</v>
      </c>
      <c r="M81" s="57">
        <f>SUMPRODUCT((Calc_Alloc!$K$11:$K$30)*(Calc_RAB_NS!M$105:M$124))</f>
        <v>0</v>
      </c>
      <c r="N81" s="57">
        <f>SUMPRODUCT((Calc_Alloc!$K$11:$K$30)*(Calc_RAB_NS!N$105:N$124))</f>
        <v>0</v>
      </c>
      <c r="O81" s="58">
        <f>SUMPRODUCT((Calc_Alloc!$K$11:$K$30)*(Calc_RAB_NS!O$105:O$124))</f>
        <v>0</v>
      </c>
      <c r="P81" s="56">
        <f>SUMPRODUCT((Calc_Alloc!$K$11:$K$30)*(Calc_RAB_NS!P$105:P$124))</f>
        <v>0</v>
      </c>
      <c r="Q81" s="57">
        <f>SUMPRODUCT((Calc_Alloc!$K$11:$K$30)*(Calc_RAB_NS!Q$105:Q$124))</f>
        <v>0</v>
      </c>
      <c r="R81" s="57">
        <f>SUMPRODUCT((Calc_Alloc!$K$11:$K$30)*(Calc_RAB_NS!R$105:R$124))</f>
        <v>0</v>
      </c>
      <c r="S81" s="57">
        <f>SUMPRODUCT((Calc_Alloc!$K$11:$K$30)*(Calc_RAB_NS!S$105:S$124))</f>
        <v>0</v>
      </c>
      <c r="T81" s="58">
        <f>SUMPRODUCT((Calc_Alloc!$K$11:$K$30)*(Calc_RAB_NS!T$105:T$124))</f>
        <v>0</v>
      </c>
    </row>
    <row r="82" spans="1:20" ht="12.3" x14ac:dyDescent="0.35">
      <c r="D82" s="10" t="str">
        <f t="shared" si="24"/>
        <v>Meters</v>
      </c>
      <c r="E82" s="45" t="str">
        <f t="shared" si="24"/>
        <v>Calculated</v>
      </c>
      <c r="F82" s="45" t="str">
        <f t="shared" si="21"/>
        <v>$Millions</v>
      </c>
      <c r="G82" s="45" t="str">
        <f t="shared" si="22"/>
        <v>Nominal</v>
      </c>
      <c r="H82" s="45" t="str">
        <f t="shared" si="23"/>
        <v>End year</v>
      </c>
      <c r="J82" s="58">
        <f>SUMPRODUCT((Calc_Alloc!$L$11:$L$30)*(Calc_RAB_NS!J$105:J$124))</f>
        <v>0</v>
      </c>
      <c r="K82" s="56">
        <f>SUMPRODUCT((Calc_Alloc!$L$11:$L$30)*(Calc_RAB_NS!K$105:K$124))</f>
        <v>0</v>
      </c>
      <c r="L82" s="57">
        <f>SUMPRODUCT((Calc_Alloc!$L$11:$L$30)*(Calc_RAB_NS!L$105:L$124))</f>
        <v>0</v>
      </c>
      <c r="M82" s="57">
        <f>SUMPRODUCT((Calc_Alloc!$L$11:$L$30)*(Calc_RAB_NS!M$105:M$124))</f>
        <v>0</v>
      </c>
      <c r="N82" s="57">
        <f>SUMPRODUCT((Calc_Alloc!$L$11:$L$30)*(Calc_RAB_NS!N$105:N$124))</f>
        <v>0</v>
      </c>
      <c r="O82" s="58">
        <f>SUMPRODUCT((Calc_Alloc!$L$11:$L$30)*(Calc_RAB_NS!O$105:O$124))</f>
        <v>0</v>
      </c>
      <c r="P82" s="56">
        <f>SUMPRODUCT((Calc_Alloc!$L$11:$L$30)*(Calc_RAB_NS!P$105:P$124))</f>
        <v>0</v>
      </c>
      <c r="Q82" s="57">
        <f>SUMPRODUCT((Calc_Alloc!$L$11:$L$30)*(Calc_RAB_NS!Q$105:Q$124))</f>
        <v>0</v>
      </c>
      <c r="R82" s="57">
        <f>SUMPRODUCT((Calc_Alloc!$L$11:$L$30)*(Calc_RAB_NS!R$105:R$124))</f>
        <v>0</v>
      </c>
      <c r="S82" s="57">
        <f>SUMPRODUCT((Calc_Alloc!$L$11:$L$30)*(Calc_RAB_NS!S$105:S$124))</f>
        <v>0</v>
      </c>
      <c r="T82" s="58">
        <f>SUMPRODUCT((Calc_Alloc!$L$11:$L$30)*(Calc_RAB_NS!T$105:T$124))</f>
        <v>0</v>
      </c>
    </row>
    <row r="83" spans="1:20" ht="12.3" x14ac:dyDescent="0.35">
      <c r="D83" s="10" t="str">
        <f t="shared" si="24"/>
        <v>“Other” asset items with long lives</v>
      </c>
      <c r="E83" s="45" t="str">
        <f t="shared" si="24"/>
        <v>Calculated</v>
      </c>
      <c r="F83" s="45" t="str">
        <f t="shared" si="21"/>
        <v>$Millions</v>
      </c>
      <c r="G83" s="45" t="str">
        <f t="shared" si="22"/>
        <v>Nominal</v>
      </c>
      <c r="H83" s="45" t="str">
        <f t="shared" si="23"/>
        <v>End year</v>
      </c>
      <c r="J83" s="58">
        <f>SUMPRODUCT((Calc_Alloc!$M$11:$M$30)*(Calc_RAB_NS!J$105:J$124))</f>
        <v>4.9242373581575452</v>
      </c>
      <c r="K83" s="56">
        <f>SUMPRODUCT((Calc_Alloc!$M$11:$M$30)*(Calc_RAB_NS!K$105:K$124))</f>
        <v>7.2367386653431245</v>
      </c>
      <c r="L83" s="57">
        <f>SUMPRODUCT((Calc_Alloc!$M$11:$M$30)*(Calc_RAB_NS!L$105:L$124))</f>
        <v>2.8799062959114066</v>
      </c>
      <c r="M83" s="57">
        <f>SUMPRODUCT((Calc_Alloc!$M$11:$M$30)*(Calc_RAB_NS!M$105:M$124))</f>
        <v>7.7199815159193967</v>
      </c>
      <c r="N83" s="57">
        <f>SUMPRODUCT((Calc_Alloc!$M$11:$M$30)*(Calc_RAB_NS!N$105:N$124))</f>
        <v>25.227279315226006</v>
      </c>
      <c r="O83" s="58">
        <f>SUMPRODUCT((Calc_Alloc!$M$11:$M$30)*(Calc_RAB_NS!O$105:O$124))</f>
        <v>26.579447010791046</v>
      </c>
      <c r="P83" s="56">
        <f>SUMPRODUCT((Calc_Alloc!$M$11:$M$30)*(Calc_RAB_NS!P$105:P$124))</f>
        <v>25.212771589199694</v>
      </c>
      <c r="Q83" s="57">
        <f>SUMPRODUCT((Calc_Alloc!$M$11:$M$30)*(Calc_RAB_NS!Q$105:Q$124))</f>
        <v>29.836202398927867</v>
      </c>
      <c r="R83" s="57">
        <f>SUMPRODUCT((Calc_Alloc!$M$11:$M$30)*(Calc_RAB_NS!R$105:R$124))</f>
        <v>28.555023296789265</v>
      </c>
      <c r="S83" s="57">
        <f>SUMPRODUCT((Calc_Alloc!$M$11:$M$30)*(Calc_RAB_NS!S$105:S$124))</f>
        <v>79.996432192296467</v>
      </c>
      <c r="T83" s="58">
        <f>SUMPRODUCT((Calc_Alloc!$M$11:$M$30)*(Calc_RAB_NS!T$105:T$124))</f>
        <v>113.21685080809939</v>
      </c>
    </row>
    <row r="84" spans="1:20" ht="12.3" x14ac:dyDescent="0.35">
      <c r="D84" s="10" t="str">
        <f t="shared" si="24"/>
        <v>“Other” asset items with short lives</v>
      </c>
      <c r="E84" s="45" t="str">
        <f t="shared" si="24"/>
        <v>Calculated</v>
      </c>
      <c r="F84" s="45" t="str">
        <f t="shared" si="21"/>
        <v>$Millions</v>
      </c>
      <c r="G84" s="45" t="str">
        <f t="shared" si="22"/>
        <v>Nominal</v>
      </c>
      <c r="H84" s="45" t="str">
        <f t="shared" si="23"/>
        <v>End year</v>
      </c>
      <c r="J84" s="58">
        <f>SUMPRODUCT((Calc_Alloc!$N$11:$N$30)*(Calc_RAB_NS!J$105:J$124))</f>
        <v>0.57286807798612494</v>
      </c>
      <c r="K84" s="56">
        <f>SUMPRODUCT((Calc_Alloc!$N$11:$N$30)*(Calc_RAB_NS!K$105:K$124))</f>
        <v>18.888067677829902</v>
      </c>
      <c r="L84" s="57">
        <f>SUMPRODUCT((Calc_Alloc!$N$11:$N$30)*(Calc_RAB_NS!L$105:L$124))</f>
        <v>6.0765643224919508</v>
      </c>
      <c r="M84" s="57">
        <f>SUMPRODUCT((Calc_Alloc!$N$11:$N$30)*(Calc_RAB_NS!M$105:M$124))</f>
        <v>14.988448525712755</v>
      </c>
      <c r="N84" s="57">
        <f>SUMPRODUCT((Calc_Alloc!$N$11:$N$30)*(Calc_RAB_NS!N$105:N$124))</f>
        <v>5.4568654783595223</v>
      </c>
      <c r="O84" s="58">
        <f>SUMPRODUCT((Calc_Alloc!$N$11:$N$30)*(Calc_RAB_NS!O$105:O$124))</f>
        <v>9.0388835236122702</v>
      </c>
      <c r="P84" s="56">
        <f>SUMPRODUCT((Calc_Alloc!$N$11:$N$30)*(Calc_RAB_NS!P$105:P$124))</f>
        <v>4.874129414196128</v>
      </c>
      <c r="Q84" s="57">
        <f>SUMPRODUCT((Calc_Alloc!$N$11:$N$30)*(Calc_RAB_NS!Q$105:Q$124))</f>
        <v>7.9405189069084132</v>
      </c>
      <c r="R84" s="57">
        <f>SUMPRODUCT((Calc_Alloc!$N$11:$N$30)*(Calc_RAB_NS!R$105:R$124))</f>
        <v>15.963894918357697</v>
      </c>
      <c r="S84" s="57">
        <f>SUMPRODUCT((Calc_Alloc!$N$11:$N$30)*(Calc_RAB_NS!S$105:S$124))</f>
        <v>7.049747443702028</v>
      </c>
      <c r="T84" s="58">
        <f>SUMPRODUCT((Calc_Alloc!$N$11:$N$30)*(Calc_RAB_NS!T$105:T$124))</f>
        <v>7.4821569924069973</v>
      </c>
    </row>
    <row r="85" spans="1:20" x14ac:dyDescent="0.35">
      <c r="J85" s="49"/>
      <c r="K85" s="48"/>
      <c r="O85" s="49"/>
      <c r="P85" s="48"/>
      <c r="T85" s="49"/>
    </row>
    <row r="86" spans="1:20" ht="12.3" x14ac:dyDescent="0.35">
      <c r="D86" s="44" t="str">
        <f>"Total "&amp;D73</f>
        <v>Total EB RIN categories</v>
      </c>
      <c r="E86" s="40" t="s">
        <v>91</v>
      </c>
      <c r="F86" s="40" t="str">
        <f>F75</f>
        <v>$Millions</v>
      </c>
      <c r="G86" s="40" t="str">
        <f>G75</f>
        <v>Nominal</v>
      </c>
      <c r="H86" s="40" t="str">
        <f>H75</f>
        <v>End year</v>
      </c>
      <c r="J86" s="54">
        <f t="shared" ref="J86:T86" si="25">SUM(J75:J84)</f>
        <v>39.008899450762527</v>
      </c>
      <c r="K86" s="53">
        <f t="shared" si="25"/>
        <v>62.853118792620229</v>
      </c>
      <c r="L86" s="39">
        <f t="shared" si="25"/>
        <v>40.848035380099574</v>
      </c>
      <c r="M86" s="39">
        <f t="shared" si="25"/>
        <v>66.968133714277471</v>
      </c>
      <c r="N86" s="39">
        <f t="shared" si="25"/>
        <v>88.175340866594908</v>
      </c>
      <c r="O86" s="54">
        <f t="shared" si="25"/>
        <v>105.68445001920226</v>
      </c>
      <c r="P86" s="53">
        <f t="shared" si="25"/>
        <v>103.68215500631372</v>
      </c>
      <c r="Q86" s="39">
        <f t="shared" si="25"/>
        <v>108.41791456217935</v>
      </c>
      <c r="R86" s="39">
        <f t="shared" si="25"/>
        <v>98.86523892715104</v>
      </c>
      <c r="S86" s="39">
        <f t="shared" si="25"/>
        <v>135.84065671143932</v>
      </c>
      <c r="T86" s="54">
        <f t="shared" si="25"/>
        <v>169.86208085514784</v>
      </c>
    </row>
    <row r="87" spans="1:20" ht="11.25" customHeight="1" x14ac:dyDescent="0.35"/>
    <row r="88" spans="1:20" ht="11.25" customHeight="1" x14ac:dyDescent="0.35">
      <c r="A88" s="42">
        <f>IF(SUM($J88:$T88)&lt;&gt;0,1,0)</f>
        <v>0</v>
      </c>
      <c r="D88" s="10" t="s">
        <v>94</v>
      </c>
      <c r="J88" s="42">
        <f>IF(ROUND(J86-Calc_RAB_NS!J$126,5)&lt;&gt;0,1,0)</f>
        <v>0</v>
      </c>
      <c r="K88" s="42">
        <f>IF(ROUND(K86-Calc_RAB_NS!K$126,5)&lt;&gt;0,1,0)</f>
        <v>0</v>
      </c>
      <c r="L88" s="42">
        <f>IF(ROUND(L86-Calc_RAB_NS!L$126,5)&lt;&gt;0,1,0)</f>
        <v>0</v>
      </c>
      <c r="M88" s="42">
        <f>IF(ROUND(M86-Calc_RAB_NS!M$126,5)&lt;&gt;0,1,0)</f>
        <v>0</v>
      </c>
      <c r="N88" s="42">
        <f>IF(ROUND(N86-Calc_RAB_NS!N$126,5)&lt;&gt;0,1,0)</f>
        <v>0</v>
      </c>
      <c r="O88" s="42">
        <f>IF(ROUND(O86-Calc_RAB_NS!O$126,5)&lt;&gt;0,1,0)</f>
        <v>0</v>
      </c>
      <c r="P88" s="42">
        <f>IF(ROUND(P86-Calc_RAB_NS!P$126,5)&lt;&gt;0,1,0)</f>
        <v>0</v>
      </c>
      <c r="Q88" s="42">
        <f>IF(ROUND(Q86-Calc_RAB_NS!Q$126,5)&lt;&gt;0,1,0)</f>
        <v>0</v>
      </c>
      <c r="R88" s="42">
        <f>IF(ROUND(R86-Calc_RAB_NS!R$126,5)&lt;&gt;0,1,0)</f>
        <v>0</v>
      </c>
      <c r="S88" s="42">
        <f>IF(ROUND(S86-Calc_RAB_NS!S$126,5)&lt;&gt;0,1,0)</f>
        <v>0</v>
      </c>
      <c r="T88" s="42">
        <f>IF(ROUND(T86-Calc_RAB_NS!T$126,5)&lt;&gt;0,1,0)</f>
        <v>0</v>
      </c>
    </row>
    <row r="90" spans="1:20" s="8" customFormat="1" ht="14.1" x14ac:dyDescent="0.35">
      <c r="C90" s="8" t="s">
        <v>126</v>
      </c>
    </row>
    <row r="91" spans="1:20" ht="11.25" customHeight="1" x14ac:dyDescent="0.35"/>
    <row r="92" spans="1:20" ht="12.3" x14ac:dyDescent="0.35">
      <c r="D92" s="43" t="str">
        <f>D$16</f>
        <v>EB RIN categories</v>
      </c>
      <c r="E92" s="38" t="str">
        <f>Lookup!E$20</f>
        <v>Source</v>
      </c>
      <c r="F92" s="38" t="str">
        <f>Lookup!F$20</f>
        <v>Unit</v>
      </c>
      <c r="G92" s="38" t="str">
        <f>Lookup!G$20</f>
        <v>Basis</v>
      </c>
      <c r="H92" s="38" t="str">
        <f>Lookup!H$20</f>
        <v>Timing</v>
      </c>
      <c r="J92" s="47" t="str">
        <f t="shared" ref="J92:T92" si="26">J$10</f>
        <v>RY19</v>
      </c>
      <c r="K92" s="46" t="str">
        <f t="shared" si="26"/>
        <v>RY20</v>
      </c>
      <c r="L92" s="38" t="str">
        <f>L$10</f>
        <v>RY21</v>
      </c>
      <c r="M92" s="38" t="str">
        <f t="shared" si="26"/>
        <v>RY22</v>
      </c>
      <c r="N92" s="38" t="str">
        <f t="shared" si="26"/>
        <v>RY23</v>
      </c>
      <c r="O92" s="47" t="str">
        <f t="shared" si="26"/>
        <v>RY24</v>
      </c>
      <c r="P92" s="46" t="str">
        <f t="shared" si="26"/>
        <v>RY25</v>
      </c>
      <c r="Q92" s="38" t="str">
        <f>Q$10</f>
        <v>RY26</v>
      </c>
      <c r="R92" s="38" t="str">
        <f t="shared" si="26"/>
        <v>RY27</v>
      </c>
      <c r="S92" s="38" t="str">
        <f t="shared" si="26"/>
        <v>RY28</v>
      </c>
      <c r="T92" s="47" t="str">
        <f t="shared" si="26"/>
        <v>RY29</v>
      </c>
    </row>
    <row r="93" spans="1:20" x14ac:dyDescent="0.35">
      <c r="J93" s="49"/>
      <c r="K93" s="48"/>
      <c r="O93" s="49"/>
      <c r="P93" s="48"/>
      <c r="T93" s="49"/>
    </row>
    <row r="94" spans="1:20" ht="12.3" x14ac:dyDescent="0.35">
      <c r="D94" s="10" t="str">
        <f>D18</f>
        <v>Overhead network assets less than 33kV</v>
      </c>
      <c r="E94" s="45" t="str">
        <f>E18</f>
        <v>Calculated</v>
      </c>
      <c r="F94" s="45" t="str">
        <f t="shared" ref="F94:F103" si="27">Millions</f>
        <v>$Millions</v>
      </c>
      <c r="G94" s="45" t="str">
        <f t="shared" ref="G94:G103" si="28">Nominal</f>
        <v>Nominal</v>
      </c>
      <c r="H94" s="45" t="str">
        <f t="shared" ref="H94:H103" si="29">End_year</f>
        <v>End year</v>
      </c>
      <c r="J94" s="58">
        <f>SUMPRODUCT((Calc_Alloc!$E$11:$E$30)*(Calc_RAB_NS!J$134:J$153))</f>
        <v>-1.4523631524272787E-2</v>
      </c>
      <c r="K94" s="56">
        <f>SUMPRODUCT((Calc_Alloc!$E$11:$E$30)*(Calc_RAB_NS!K$134:K$153))</f>
        <v>-1.1005557285437038E-2</v>
      </c>
      <c r="L94" s="57">
        <f>SUMPRODUCT((Calc_Alloc!$E$11:$E$30)*(Calc_RAB_NS!L$134:L$153))</f>
        <v>-2.6166951245101919E-2</v>
      </c>
      <c r="M94" s="57">
        <f>SUMPRODUCT((Calc_Alloc!$E$11:$E$30)*(Calc_RAB_NS!M$134:M$153))</f>
        <v>-2.7974561456962293E-2</v>
      </c>
      <c r="N94" s="57">
        <f>SUMPRODUCT((Calc_Alloc!$E$11:$E$30)*(Calc_RAB_NS!N$134:N$153))</f>
        <v>-2.7824167654657481E-2</v>
      </c>
      <c r="O94" s="58">
        <f>SUMPRODUCT((Calc_Alloc!$E$11:$E$30)*(Calc_RAB_NS!O$134:O$153))</f>
        <v>-2.8754239970429245E-2</v>
      </c>
      <c r="P94" s="56">
        <f>SUMPRODUCT((Calc_Alloc!$E$11:$E$30)*(Calc_RAB_NS!P$134:P$153))</f>
        <v>-2.8627108641101379E-2</v>
      </c>
      <c r="Q94" s="57">
        <f>SUMPRODUCT((Calc_Alloc!$E$11:$E$30)*(Calc_RAB_NS!Q$134:Q$153))</f>
        <v>-2.8649105902619071E-2</v>
      </c>
      <c r="R94" s="57">
        <f>SUMPRODUCT((Calc_Alloc!$E$11:$E$30)*(Calc_RAB_NS!R$134:R$153))</f>
        <v>-2.8671086287225759E-2</v>
      </c>
      <c r="S94" s="57">
        <f>SUMPRODUCT((Calc_Alloc!$E$11:$E$30)*(Calc_RAB_NS!S$134:S$153))</f>
        <v>-2.8693049833707233E-2</v>
      </c>
      <c r="T94" s="58">
        <f>SUMPRODUCT((Calc_Alloc!$E$11:$E$30)*(Calc_RAB_NS!T$134:T$153))</f>
        <v>-2.871499658070097E-2</v>
      </c>
    </row>
    <row r="95" spans="1:20" ht="12.3" x14ac:dyDescent="0.35">
      <c r="D95" s="10" t="str">
        <f t="shared" ref="D95:E103" si="30">D19</f>
        <v>Underground network assets less than 33kV</v>
      </c>
      <c r="E95" s="45" t="str">
        <f t="shared" si="30"/>
        <v>Calculated</v>
      </c>
      <c r="F95" s="45" t="str">
        <f t="shared" si="27"/>
        <v>$Millions</v>
      </c>
      <c r="G95" s="45" t="str">
        <f t="shared" si="28"/>
        <v>Nominal</v>
      </c>
      <c r="H95" s="45" t="str">
        <f t="shared" si="29"/>
        <v>End year</v>
      </c>
      <c r="J95" s="58">
        <f>SUMPRODUCT((Calc_Alloc!$F$11:$F$30)*(Calc_RAB_NS!J$134:J$153))</f>
        <v>-3.0085173884147245E-2</v>
      </c>
      <c r="K95" s="56">
        <f>SUMPRODUCT((Calc_Alloc!$F$11:$F$30)*(Calc_RAB_NS!K$134:K$153))</f>
        <v>-2.2797611194621349E-2</v>
      </c>
      <c r="L95" s="57">
        <f>SUMPRODUCT((Calc_Alloc!$F$11:$F$30)*(Calc_RAB_NS!L$134:L$153))</f>
        <v>-5.4203886742183939E-2</v>
      </c>
      <c r="M95" s="57">
        <f>SUMPRODUCT((Calc_Alloc!$F$11:$F$30)*(Calc_RAB_NS!M$134:M$153))</f>
        <v>-5.7948285479351894E-2</v>
      </c>
      <c r="N95" s="57">
        <f>SUMPRODUCT((Calc_Alloc!$F$11:$F$30)*(Calc_RAB_NS!N$134:N$153))</f>
        <v>-5.7636750193850013E-2</v>
      </c>
      <c r="O95" s="58">
        <f>SUMPRODUCT((Calc_Alloc!$F$11:$F$30)*(Calc_RAB_NS!O$134:O$153))</f>
        <v>-5.9563361131208262E-2</v>
      </c>
      <c r="P95" s="56">
        <f>SUMPRODUCT((Calc_Alloc!$F$11:$F$30)*(Calc_RAB_NS!P$134:P$153))</f>
        <v>-5.9300013211470735E-2</v>
      </c>
      <c r="Q95" s="57">
        <f>SUMPRODUCT((Calc_Alloc!$F$11:$F$30)*(Calc_RAB_NS!Q$134:Q$153))</f>
        <v>-5.9345579737764713E-2</v>
      </c>
      <c r="R95" s="57">
        <f>SUMPRODUCT((Calc_Alloc!$F$11:$F$30)*(Calc_RAB_NS!R$134:R$153))</f>
        <v>-5.9391111304152054E-2</v>
      </c>
      <c r="S95" s="57">
        <f>SUMPRODUCT((Calc_Alloc!$F$11:$F$30)*(Calc_RAB_NS!S$134:S$153))</f>
        <v>-5.9436607990976095E-2</v>
      </c>
      <c r="T95" s="58">
        <f>SUMPRODUCT((Calc_Alloc!$F$11:$F$30)*(Calc_RAB_NS!T$134:T$153))</f>
        <v>-5.9482069878272988E-2</v>
      </c>
    </row>
    <row r="96" spans="1:20" ht="12.3" x14ac:dyDescent="0.35">
      <c r="D96" s="10" t="str">
        <f t="shared" si="30"/>
        <v>Distribution substations and transformers</v>
      </c>
      <c r="E96" s="45" t="str">
        <f t="shared" si="30"/>
        <v>Calculated</v>
      </c>
      <c r="F96" s="45" t="str">
        <f t="shared" si="27"/>
        <v>$Millions</v>
      </c>
      <c r="G96" s="45" t="str">
        <f t="shared" si="28"/>
        <v>Nominal</v>
      </c>
      <c r="H96" s="45" t="str">
        <f t="shared" si="29"/>
        <v>End year</v>
      </c>
      <c r="J96" s="58">
        <f>SUMPRODUCT((Calc_Alloc!$G$11:$G$30)*(Calc_RAB_NS!J$134:J$153))</f>
        <v>-2.3346910035736357E-2</v>
      </c>
      <c r="K96" s="56">
        <f>SUMPRODUCT((Calc_Alloc!$G$11:$G$30)*(Calc_RAB_NS!K$134:K$153))</f>
        <v>-3.5033463973696791E-2</v>
      </c>
      <c r="L96" s="57">
        <f>SUMPRODUCT((Calc_Alloc!$G$11:$G$30)*(Calc_RAB_NS!L$134:L$153))</f>
        <v>-5.1527445430013001E-3</v>
      </c>
      <c r="M96" s="57">
        <f>SUMPRODUCT((Calc_Alloc!$G$11:$G$30)*(Calc_RAB_NS!M$134:M$153))</f>
        <v>0</v>
      </c>
      <c r="N96" s="57">
        <f>SUMPRODUCT((Calc_Alloc!$G$11:$G$30)*(Calc_RAB_NS!N$134:N$153))</f>
        <v>-1.5833282811516251E-2</v>
      </c>
      <c r="O96" s="58">
        <f>SUMPRODUCT((Calc_Alloc!$G$11:$G$30)*(Calc_RAB_NS!O$134:O$153))</f>
        <v>-1.6362538464139917E-2</v>
      </c>
      <c r="P96" s="56">
        <f>SUMPRODUCT((Calc_Alloc!$G$11:$G$30)*(Calc_RAB_NS!P$134:P$153))</f>
        <v>-1.6290194654383038E-2</v>
      </c>
      <c r="Q96" s="57">
        <f>SUMPRODUCT((Calc_Alloc!$G$11:$G$30)*(Calc_RAB_NS!Q$134:Q$153))</f>
        <v>-1.6302712148778962E-2</v>
      </c>
      <c r="R96" s="57">
        <f>SUMPRODUCT((Calc_Alloc!$G$11:$G$30)*(Calc_RAB_NS!R$134:R$153))</f>
        <v>-1.6315220039404953E-2</v>
      </c>
      <c r="S96" s="57">
        <f>SUMPRODUCT((Calc_Alloc!$G$11:$G$30)*(Calc_RAB_NS!S$134:S$153))</f>
        <v>-1.6327718348331972E-2</v>
      </c>
      <c r="T96" s="58">
        <f>SUMPRODUCT((Calc_Alloc!$G$11:$G$30)*(Calc_RAB_NS!T$134:T$153))</f>
        <v>-1.6340207097546591E-2</v>
      </c>
    </row>
    <row r="97" spans="1:20" ht="12.3" x14ac:dyDescent="0.35">
      <c r="D97" s="10" t="str">
        <f t="shared" si="30"/>
        <v>Overhead network assets 33kV and above</v>
      </c>
      <c r="E97" s="45" t="str">
        <f t="shared" si="30"/>
        <v>Calculated</v>
      </c>
      <c r="F97" s="45" t="str">
        <f t="shared" si="27"/>
        <v>$Millions</v>
      </c>
      <c r="G97" s="45" t="str">
        <f t="shared" si="28"/>
        <v>Nominal</v>
      </c>
      <c r="H97" s="45" t="str">
        <f t="shared" si="29"/>
        <v>End year</v>
      </c>
      <c r="J97" s="58">
        <f>SUMPRODUCT((Calc_Alloc!$H$11:$H$30)*(Calc_RAB_NS!J$134:J$153))</f>
        <v>0</v>
      </c>
      <c r="K97" s="56">
        <f>SUMPRODUCT((Calc_Alloc!$H$11:$H$30)*(Calc_RAB_NS!K$134:K$153))</f>
        <v>-3.5239900527672652E-3</v>
      </c>
      <c r="L97" s="57">
        <f>SUMPRODUCT((Calc_Alloc!$H$11:$H$30)*(Calc_RAB_NS!L$134:L$153))</f>
        <v>-6.4708419057097647E-3</v>
      </c>
      <c r="M97" s="57">
        <f>SUMPRODUCT((Calc_Alloc!$H$11:$H$30)*(Calc_RAB_NS!M$134:M$153))</f>
        <v>-1.0470610113738751E-2</v>
      </c>
      <c r="N97" s="57">
        <f>SUMPRODUCT((Calc_Alloc!$H$11:$H$30)*(Calc_RAB_NS!N$134:N$153))</f>
        <v>-8.0048845490471084E-3</v>
      </c>
      <c r="O97" s="58">
        <f>SUMPRODUCT((Calc_Alloc!$H$11:$H$30)*(Calc_RAB_NS!O$134:O$153))</f>
        <v>-8.2724620594482722E-3</v>
      </c>
      <c r="P97" s="56">
        <f>SUMPRODUCT((Calc_Alloc!$H$11:$H$30)*(Calc_RAB_NS!P$134:P$153))</f>
        <v>-8.2358869630620168E-3</v>
      </c>
      <c r="Q97" s="57">
        <f>SUMPRODUCT((Calc_Alloc!$H$11:$H$30)*(Calc_RAB_NS!Q$134:Q$153))</f>
        <v>-8.2422154736226851E-3</v>
      </c>
      <c r="R97" s="57">
        <f>SUMPRODUCT((Calc_Alloc!$H$11:$H$30)*(Calc_RAB_NS!R$134:R$153))</f>
        <v>-8.2485391287739906E-3</v>
      </c>
      <c r="S97" s="57">
        <f>SUMPRODUCT((Calc_Alloc!$H$11:$H$30)*(Calc_RAB_NS!S$134:S$153))</f>
        <v>-8.2548579396744277E-3</v>
      </c>
      <c r="T97" s="58">
        <f>SUMPRODUCT((Calc_Alloc!$H$11:$H$30)*(Calc_RAB_NS!T$134:T$153))</f>
        <v>-8.2611719174398197E-3</v>
      </c>
    </row>
    <row r="98" spans="1:20" ht="12.3" x14ac:dyDescent="0.35">
      <c r="D98" s="10" t="str">
        <f t="shared" si="30"/>
        <v>Underground network assets 33kV and above</v>
      </c>
      <c r="E98" s="45" t="str">
        <f t="shared" si="30"/>
        <v>Calculated</v>
      </c>
      <c r="F98" s="45" t="str">
        <f t="shared" si="27"/>
        <v>$Millions</v>
      </c>
      <c r="G98" s="45" t="str">
        <f t="shared" si="28"/>
        <v>Nominal</v>
      </c>
      <c r="H98" s="45" t="str">
        <f t="shared" si="29"/>
        <v>End year</v>
      </c>
      <c r="J98" s="58">
        <f>SUMPRODUCT((Calc_Alloc!$I$11:$I$30)*(Calc_RAB_NS!J$134:J$153))</f>
        <v>0</v>
      </c>
      <c r="K98" s="56">
        <f>SUMPRODUCT((Calc_Alloc!$I$11:$I$30)*(Calc_RAB_NS!K$134:K$153))</f>
        <v>-1.763355098204276E-3</v>
      </c>
      <c r="L98" s="57">
        <f>SUMPRODUCT((Calc_Alloc!$I$11:$I$30)*(Calc_RAB_NS!L$134:L$153))</f>
        <v>-3.2379183519962006E-3</v>
      </c>
      <c r="M98" s="57">
        <f>SUMPRODUCT((Calc_Alloc!$I$11:$I$30)*(Calc_RAB_NS!M$134:M$153))</f>
        <v>-5.2393461527712945E-3</v>
      </c>
      <c r="N98" s="57">
        <f>SUMPRODUCT((Calc_Alloc!$I$11:$I$30)*(Calc_RAB_NS!N$134:N$153))</f>
        <v>-4.0055317321382585E-3</v>
      </c>
      <c r="O98" s="58">
        <f>SUMPRODUCT((Calc_Alloc!$I$11:$I$30)*(Calc_RAB_NS!O$134:O$153))</f>
        <v>-4.139423757957169E-3</v>
      </c>
      <c r="P98" s="56">
        <f>SUMPRODUCT((Calc_Alloc!$I$11:$I$30)*(Calc_RAB_NS!P$134:P$153))</f>
        <v>-4.1211220937315933E-3</v>
      </c>
      <c r="Q98" s="57">
        <f>SUMPRODUCT((Calc_Alloc!$I$11:$I$30)*(Calc_RAB_NS!Q$134:Q$153))</f>
        <v>-4.1242887914787769E-3</v>
      </c>
      <c r="R98" s="57">
        <f>SUMPRODUCT((Calc_Alloc!$I$11:$I$30)*(Calc_RAB_NS!R$134:R$153))</f>
        <v>-4.1274530596473501E-3</v>
      </c>
      <c r="S98" s="57">
        <f>SUMPRODUCT((Calc_Alloc!$I$11:$I$30)*(Calc_RAB_NS!S$134:S$153))</f>
        <v>-4.1306149038208674E-3</v>
      </c>
      <c r="T98" s="58">
        <f>SUMPRODUCT((Calc_Alloc!$I$11:$I$30)*(Calc_RAB_NS!T$134:T$153))</f>
        <v>-4.1337743295615289E-3</v>
      </c>
    </row>
    <row r="99" spans="1:20" ht="12.3" x14ac:dyDescent="0.35">
      <c r="D99" s="10" t="str">
        <f t="shared" si="30"/>
        <v>Zone substations and transformers</v>
      </c>
      <c r="E99" s="45" t="str">
        <f t="shared" si="30"/>
        <v>Calculated</v>
      </c>
      <c r="F99" s="45" t="str">
        <f t="shared" si="27"/>
        <v>$Millions</v>
      </c>
      <c r="G99" s="45" t="str">
        <f t="shared" si="28"/>
        <v>Nominal</v>
      </c>
      <c r="H99" s="45" t="str">
        <f t="shared" si="29"/>
        <v>End year</v>
      </c>
      <c r="J99" s="58">
        <f>SUMPRODUCT((Calc_Alloc!$J$11:$J$30)*(Calc_RAB_NS!J$134:J$153))</f>
        <v>-2.9543411839054325E-2</v>
      </c>
      <c r="K99" s="56">
        <f>SUMPRODUCT((Calc_Alloc!$J$11:$J$30)*(Calc_RAB_NS!K$134:K$153))</f>
        <v>-1.5862025241209592E-2</v>
      </c>
      <c r="L99" s="57">
        <f>SUMPRODUCT((Calc_Alloc!$J$11:$J$30)*(Calc_RAB_NS!L$134:L$153))</f>
        <v>-2.9126290932327339E-2</v>
      </c>
      <c r="M99" s="57">
        <f>SUMPRODUCT((Calc_Alloc!$J$11:$J$30)*(Calc_RAB_NS!M$134:M$153))</f>
        <v>-4.7129858513230871E-2</v>
      </c>
      <c r="N99" s="57">
        <f>SUMPRODUCT((Calc_Alloc!$J$11:$J$30)*(Calc_RAB_NS!N$134:N$153))</f>
        <v>-4.2499138516089968E-2</v>
      </c>
      <c r="O99" s="58">
        <f>SUMPRODUCT((Calc_Alloc!$J$11:$J$30)*(Calc_RAB_NS!O$134:O$153))</f>
        <v>-4.391974784638733E-2</v>
      </c>
      <c r="P99" s="56">
        <f>SUMPRODUCT((Calc_Alloc!$J$11:$J$30)*(Calc_RAB_NS!P$134:P$153))</f>
        <v>-4.3725565147307195E-2</v>
      </c>
      <c r="Q99" s="57">
        <f>SUMPRODUCT((Calc_Alloc!$J$11:$J$30)*(Calc_RAB_NS!Q$134:Q$153))</f>
        <v>-4.3759164163666577E-2</v>
      </c>
      <c r="R99" s="57">
        <f>SUMPRODUCT((Calc_Alloc!$J$11:$J$30)*(Calc_RAB_NS!R$134:R$153))</f>
        <v>-4.379273740192588E-2</v>
      </c>
      <c r="S99" s="57">
        <f>SUMPRODUCT((Calc_Alloc!$J$11:$J$30)*(Calc_RAB_NS!S$134:S$153))</f>
        <v>-4.3826284921327223E-2</v>
      </c>
      <c r="T99" s="58">
        <f>SUMPRODUCT((Calc_Alloc!$J$11:$J$30)*(Calc_RAB_NS!T$134:T$153))</f>
        <v>-4.3859806780886183E-2</v>
      </c>
    </row>
    <row r="100" spans="1:20" ht="12.3" x14ac:dyDescent="0.35">
      <c r="D100" s="10" t="str">
        <f t="shared" si="30"/>
        <v>Easements</v>
      </c>
      <c r="E100" s="45" t="str">
        <f t="shared" si="30"/>
        <v>Calculated</v>
      </c>
      <c r="F100" s="45" t="str">
        <f t="shared" si="27"/>
        <v>$Millions</v>
      </c>
      <c r="G100" s="45" t="str">
        <f t="shared" si="28"/>
        <v>Nominal</v>
      </c>
      <c r="H100" s="45" t="str">
        <f t="shared" si="29"/>
        <v>End year</v>
      </c>
      <c r="J100" s="58">
        <f>SUMPRODUCT((Calc_Alloc!$K$11:$K$30)*(Calc_RAB_NS!J$134:J$153))</f>
        <v>0</v>
      </c>
      <c r="K100" s="56">
        <f>SUMPRODUCT((Calc_Alloc!$K$11:$K$30)*(Calc_RAB_NS!K$134:K$153))</f>
        <v>0</v>
      </c>
      <c r="L100" s="57">
        <f>SUMPRODUCT((Calc_Alloc!$K$11:$K$30)*(Calc_RAB_NS!L$134:L$153))</f>
        <v>0</v>
      </c>
      <c r="M100" s="57">
        <f>SUMPRODUCT((Calc_Alloc!$K$11:$K$30)*(Calc_RAB_NS!M$134:M$153))</f>
        <v>0</v>
      </c>
      <c r="N100" s="57">
        <f>SUMPRODUCT((Calc_Alloc!$K$11:$K$30)*(Calc_RAB_NS!N$134:N$153))</f>
        <v>0</v>
      </c>
      <c r="O100" s="58">
        <f>SUMPRODUCT((Calc_Alloc!$K$11:$K$30)*(Calc_RAB_NS!O$134:O$153))</f>
        <v>0</v>
      </c>
      <c r="P100" s="56">
        <f>SUMPRODUCT((Calc_Alloc!$K$11:$K$30)*(Calc_RAB_NS!P$134:P$153))</f>
        <v>0</v>
      </c>
      <c r="Q100" s="57">
        <f>SUMPRODUCT((Calc_Alloc!$K$11:$K$30)*(Calc_RAB_NS!Q$134:Q$153))</f>
        <v>0</v>
      </c>
      <c r="R100" s="57">
        <f>SUMPRODUCT((Calc_Alloc!$K$11:$K$30)*(Calc_RAB_NS!R$134:R$153))</f>
        <v>0</v>
      </c>
      <c r="S100" s="57">
        <f>SUMPRODUCT((Calc_Alloc!$K$11:$K$30)*(Calc_RAB_NS!S$134:S$153))</f>
        <v>0</v>
      </c>
      <c r="T100" s="58">
        <f>SUMPRODUCT((Calc_Alloc!$K$11:$K$30)*(Calc_RAB_NS!T$134:T$153))</f>
        <v>0</v>
      </c>
    </row>
    <row r="101" spans="1:20" ht="12.3" x14ac:dyDescent="0.35">
      <c r="D101" s="10" t="str">
        <f t="shared" si="30"/>
        <v>Meters</v>
      </c>
      <c r="E101" s="45" t="str">
        <f t="shared" si="30"/>
        <v>Calculated</v>
      </c>
      <c r="F101" s="45" t="str">
        <f t="shared" si="27"/>
        <v>$Millions</v>
      </c>
      <c r="G101" s="45" t="str">
        <f t="shared" si="28"/>
        <v>Nominal</v>
      </c>
      <c r="H101" s="45" t="str">
        <f t="shared" si="29"/>
        <v>End year</v>
      </c>
      <c r="J101" s="58">
        <f>SUMPRODUCT((Calc_Alloc!$L$11:$L$30)*(Calc_RAB_NS!J$134:J$153))</f>
        <v>0</v>
      </c>
      <c r="K101" s="56">
        <f>SUMPRODUCT((Calc_Alloc!$L$11:$L$30)*(Calc_RAB_NS!K$134:K$153))</f>
        <v>0</v>
      </c>
      <c r="L101" s="57">
        <f>SUMPRODUCT((Calc_Alloc!$L$11:$L$30)*(Calc_RAB_NS!L$134:L$153))</f>
        <v>0</v>
      </c>
      <c r="M101" s="57">
        <f>SUMPRODUCT((Calc_Alloc!$L$11:$L$30)*(Calc_RAB_NS!M$134:M$153))</f>
        <v>0</v>
      </c>
      <c r="N101" s="57">
        <f>SUMPRODUCT((Calc_Alloc!$L$11:$L$30)*(Calc_RAB_NS!N$134:N$153))</f>
        <v>0</v>
      </c>
      <c r="O101" s="58">
        <f>SUMPRODUCT((Calc_Alloc!$L$11:$L$30)*(Calc_RAB_NS!O$134:O$153))</f>
        <v>0</v>
      </c>
      <c r="P101" s="56">
        <f>SUMPRODUCT((Calc_Alloc!$L$11:$L$30)*(Calc_RAB_NS!P$134:P$153))</f>
        <v>0</v>
      </c>
      <c r="Q101" s="57">
        <f>SUMPRODUCT((Calc_Alloc!$L$11:$L$30)*(Calc_RAB_NS!Q$134:Q$153))</f>
        <v>0</v>
      </c>
      <c r="R101" s="57">
        <f>SUMPRODUCT((Calc_Alloc!$L$11:$L$30)*(Calc_RAB_NS!R$134:R$153))</f>
        <v>0</v>
      </c>
      <c r="S101" s="57">
        <f>SUMPRODUCT((Calc_Alloc!$L$11:$L$30)*(Calc_RAB_NS!S$134:S$153))</f>
        <v>0</v>
      </c>
      <c r="T101" s="58">
        <f>SUMPRODUCT((Calc_Alloc!$L$11:$L$30)*(Calc_RAB_NS!T$134:T$153))</f>
        <v>0</v>
      </c>
    </row>
    <row r="102" spans="1:20" ht="12.3" x14ac:dyDescent="0.35">
      <c r="D102" s="10" t="str">
        <f t="shared" si="30"/>
        <v>“Other” asset items with long lives</v>
      </c>
      <c r="E102" s="45" t="str">
        <f t="shared" si="30"/>
        <v>Calculated</v>
      </c>
      <c r="F102" s="45" t="str">
        <f t="shared" si="27"/>
        <v>$Millions</v>
      </c>
      <c r="G102" s="45" t="str">
        <f t="shared" si="28"/>
        <v>Nominal</v>
      </c>
      <c r="H102" s="45" t="str">
        <f t="shared" si="29"/>
        <v>End year</v>
      </c>
      <c r="J102" s="58">
        <f>SUMPRODUCT((Calc_Alloc!$M$11:$M$30)*(Calc_RAB_NS!J$134:J$153))</f>
        <v>0</v>
      </c>
      <c r="K102" s="56">
        <f>SUMPRODUCT((Calc_Alloc!$M$11:$M$30)*(Calc_RAB_NS!K$134:K$153))</f>
        <v>0</v>
      </c>
      <c r="L102" s="57">
        <f>SUMPRODUCT((Calc_Alloc!$M$11:$M$30)*(Calc_RAB_NS!L$134:L$153))</f>
        <v>0</v>
      </c>
      <c r="M102" s="57">
        <f>SUMPRODUCT((Calc_Alloc!$M$11:$M$30)*(Calc_RAB_NS!M$134:M$153))</f>
        <v>0</v>
      </c>
      <c r="N102" s="57">
        <f>SUMPRODUCT((Calc_Alloc!$M$11:$M$30)*(Calc_RAB_NS!N$134:N$153))</f>
        <v>0</v>
      </c>
      <c r="O102" s="58">
        <f>SUMPRODUCT((Calc_Alloc!$M$11:$M$30)*(Calc_RAB_NS!O$134:O$153))</f>
        <v>0</v>
      </c>
      <c r="P102" s="56">
        <f>SUMPRODUCT((Calc_Alloc!$M$11:$M$30)*(Calc_RAB_NS!P$134:P$153))</f>
        <v>0</v>
      </c>
      <c r="Q102" s="57">
        <f>SUMPRODUCT((Calc_Alloc!$M$11:$M$30)*(Calc_RAB_NS!Q$134:Q$153))</f>
        <v>0</v>
      </c>
      <c r="R102" s="57">
        <f>SUMPRODUCT((Calc_Alloc!$M$11:$M$30)*(Calc_RAB_NS!R$134:R$153))</f>
        <v>0</v>
      </c>
      <c r="S102" s="57">
        <f>SUMPRODUCT((Calc_Alloc!$M$11:$M$30)*(Calc_RAB_NS!S$134:S$153))</f>
        <v>0</v>
      </c>
      <c r="T102" s="58">
        <f>SUMPRODUCT((Calc_Alloc!$M$11:$M$30)*(Calc_RAB_NS!T$134:T$153))</f>
        <v>0</v>
      </c>
    </row>
    <row r="103" spans="1:20" ht="12.3" x14ac:dyDescent="0.35">
      <c r="D103" s="10" t="str">
        <f t="shared" si="30"/>
        <v>“Other” asset items with short lives</v>
      </c>
      <c r="E103" s="45" t="str">
        <f t="shared" si="30"/>
        <v>Calculated</v>
      </c>
      <c r="F103" s="45" t="str">
        <f t="shared" si="27"/>
        <v>$Millions</v>
      </c>
      <c r="G103" s="45" t="str">
        <f t="shared" si="28"/>
        <v>Nominal</v>
      </c>
      <c r="H103" s="45" t="str">
        <f t="shared" si="29"/>
        <v>End year</v>
      </c>
      <c r="J103" s="58">
        <f>SUMPRODUCT((Calc_Alloc!$N$11:$N$30)*(Calc_RAB_NS!J$134:J$153))</f>
        <v>0</v>
      </c>
      <c r="K103" s="56">
        <f>SUMPRODUCT((Calc_Alloc!$N$11:$N$30)*(Calc_RAB_NS!K$134:K$153))</f>
        <v>0</v>
      </c>
      <c r="L103" s="57">
        <f>SUMPRODUCT((Calc_Alloc!$N$11:$N$30)*(Calc_RAB_NS!L$134:L$153))</f>
        <v>0</v>
      </c>
      <c r="M103" s="57">
        <f>SUMPRODUCT((Calc_Alloc!$N$11:$N$30)*(Calc_RAB_NS!M$134:M$153))</f>
        <v>0</v>
      </c>
      <c r="N103" s="57">
        <f>SUMPRODUCT((Calc_Alloc!$N$11:$N$30)*(Calc_RAB_NS!N$134:N$153))</f>
        <v>0</v>
      </c>
      <c r="O103" s="58">
        <f>SUMPRODUCT((Calc_Alloc!$N$11:$N$30)*(Calc_RAB_NS!O$134:O$153))</f>
        <v>0</v>
      </c>
      <c r="P103" s="56">
        <f>SUMPRODUCT((Calc_Alloc!$N$11:$N$30)*(Calc_RAB_NS!P$134:P$153))</f>
        <v>0</v>
      </c>
      <c r="Q103" s="57">
        <f>SUMPRODUCT((Calc_Alloc!$N$11:$N$30)*(Calc_RAB_NS!Q$134:Q$153))</f>
        <v>0</v>
      </c>
      <c r="R103" s="57">
        <f>SUMPRODUCT((Calc_Alloc!$N$11:$N$30)*(Calc_RAB_NS!R$134:R$153))</f>
        <v>0</v>
      </c>
      <c r="S103" s="57">
        <f>SUMPRODUCT((Calc_Alloc!$N$11:$N$30)*(Calc_RAB_NS!S$134:S$153))</f>
        <v>0</v>
      </c>
      <c r="T103" s="58">
        <f>SUMPRODUCT((Calc_Alloc!$N$11:$N$30)*(Calc_RAB_NS!T$134:T$153))</f>
        <v>0</v>
      </c>
    </row>
    <row r="104" spans="1:20" x14ac:dyDescent="0.35">
      <c r="J104" s="49"/>
      <c r="K104" s="48"/>
      <c r="O104" s="49"/>
      <c r="P104" s="48"/>
      <c r="T104" s="49"/>
    </row>
    <row r="105" spans="1:20" ht="12.3" x14ac:dyDescent="0.35">
      <c r="D105" s="44" t="str">
        <f>"Total "&amp;D92</f>
        <v>Total EB RIN categories</v>
      </c>
      <c r="E105" s="40" t="s">
        <v>91</v>
      </c>
      <c r="F105" s="40" t="str">
        <f>F94</f>
        <v>$Millions</v>
      </c>
      <c r="G105" s="40" t="str">
        <f>G94</f>
        <v>Nominal</v>
      </c>
      <c r="H105" s="40" t="str">
        <f>H94</f>
        <v>End year</v>
      </c>
      <c r="J105" s="54">
        <f t="shared" ref="J105:T105" si="31">SUM(J94:J103)</f>
        <v>-9.7499127283210724E-2</v>
      </c>
      <c r="K105" s="53">
        <f t="shared" si="31"/>
        <v>-8.9986002845936316E-2</v>
      </c>
      <c r="L105" s="39">
        <f t="shared" si="31"/>
        <v>-0.12435863372032047</v>
      </c>
      <c r="M105" s="39">
        <f t="shared" si="31"/>
        <v>-0.14876266171605509</v>
      </c>
      <c r="N105" s="39">
        <f t="shared" si="31"/>
        <v>-0.15580375545729908</v>
      </c>
      <c r="O105" s="54">
        <f t="shared" si="31"/>
        <v>-0.16101177322957019</v>
      </c>
      <c r="P105" s="53">
        <f t="shared" si="31"/>
        <v>-0.16029989071105596</v>
      </c>
      <c r="Q105" s="39">
        <f t="shared" si="31"/>
        <v>-0.16042306621793079</v>
      </c>
      <c r="R105" s="39">
        <f t="shared" si="31"/>
        <v>-0.16054614722112998</v>
      </c>
      <c r="S105" s="39">
        <f t="shared" si="31"/>
        <v>-0.1606691339378378</v>
      </c>
      <c r="T105" s="54">
        <f t="shared" si="31"/>
        <v>-0.16079202658440808</v>
      </c>
    </row>
    <row r="106" spans="1:20" ht="11.25" customHeight="1" x14ac:dyDescent="0.35"/>
    <row r="107" spans="1:20" ht="11.25" customHeight="1" x14ac:dyDescent="0.35">
      <c r="A107" s="42">
        <f>IF(SUM($J107:$T107)&lt;&gt;0,1,0)</f>
        <v>0</v>
      </c>
      <c r="D107" s="10" t="s">
        <v>94</v>
      </c>
      <c r="J107" s="42">
        <f>IF(ROUND(J105-Calc_RAB_NS!J$155,5)&lt;&gt;0,1,0)</f>
        <v>0</v>
      </c>
      <c r="K107" s="42">
        <f>IF(ROUND(K105-Calc_RAB_NS!K$155,5)&lt;&gt;0,1,0)</f>
        <v>0</v>
      </c>
      <c r="L107" s="42">
        <f>IF(ROUND(L105-Calc_RAB_NS!L$155,5)&lt;&gt;0,1,0)</f>
        <v>0</v>
      </c>
      <c r="M107" s="42">
        <f>IF(ROUND(M105-Calc_RAB_NS!M$155,5)&lt;&gt;0,1,0)</f>
        <v>0</v>
      </c>
      <c r="N107" s="42">
        <f>IF(ROUND(N105-Calc_RAB_NS!N$155,5)&lt;&gt;0,1,0)</f>
        <v>0</v>
      </c>
      <c r="O107" s="42">
        <f>IF(ROUND(O105-Calc_RAB_NS!O$155,5)&lt;&gt;0,1,0)</f>
        <v>0</v>
      </c>
      <c r="P107" s="42">
        <f>IF(ROUND(P105-Calc_RAB_NS!P$155,5)&lt;&gt;0,1,0)</f>
        <v>0</v>
      </c>
      <c r="Q107" s="42">
        <f>IF(ROUND(Q105-Calc_RAB_NS!Q$155,5)&lt;&gt;0,1,0)</f>
        <v>0</v>
      </c>
      <c r="R107" s="42">
        <f>IF(ROUND(R105-Calc_RAB_NS!R$155,5)&lt;&gt;0,1,0)</f>
        <v>0</v>
      </c>
      <c r="S107" s="42">
        <f>IF(ROUND(S105-Calc_RAB_NS!S$155,5)&lt;&gt;0,1,0)</f>
        <v>0</v>
      </c>
      <c r="T107" s="42">
        <f>IF(ROUND(T105-Calc_RAB_NS!T$155,5)&lt;&gt;0,1,0)</f>
        <v>0</v>
      </c>
    </row>
    <row r="109" spans="1:20" s="8" customFormat="1" ht="14.1" x14ac:dyDescent="0.35">
      <c r="C109" s="8" t="s">
        <v>406</v>
      </c>
    </row>
    <row r="110" spans="1:20" ht="11.25" customHeight="1" x14ac:dyDescent="0.35"/>
    <row r="111" spans="1:20" ht="12.3" x14ac:dyDescent="0.35">
      <c r="D111" s="43" t="str">
        <f>D$16</f>
        <v>EB RIN categories</v>
      </c>
      <c r="E111" s="38" t="str">
        <f>Lookup!E$20</f>
        <v>Source</v>
      </c>
      <c r="F111" s="38" t="str">
        <f>Lookup!F$20</f>
        <v>Unit</v>
      </c>
      <c r="G111" s="38" t="str">
        <f>Lookup!G$20</f>
        <v>Basis</v>
      </c>
      <c r="H111" s="38" t="str">
        <f>Lookup!H$20</f>
        <v>Timing</v>
      </c>
      <c r="J111" s="47" t="str">
        <f t="shared" ref="J111:T111" si="32">J$10</f>
        <v>RY19</v>
      </c>
      <c r="K111" s="46" t="str">
        <f t="shared" si="32"/>
        <v>RY20</v>
      </c>
      <c r="L111" s="38" t="str">
        <f>L$10</f>
        <v>RY21</v>
      </c>
      <c r="M111" s="38" t="str">
        <f t="shared" si="32"/>
        <v>RY22</v>
      </c>
      <c r="N111" s="38" t="str">
        <f t="shared" si="32"/>
        <v>RY23</v>
      </c>
      <c r="O111" s="47" t="str">
        <f t="shared" si="32"/>
        <v>RY24</v>
      </c>
      <c r="P111" s="46" t="str">
        <f t="shared" si="32"/>
        <v>RY25</v>
      </c>
      <c r="Q111" s="38" t="str">
        <f>Q$10</f>
        <v>RY26</v>
      </c>
      <c r="R111" s="38" t="str">
        <f t="shared" si="32"/>
        <v>RY27</v>
      </c>
      <c r="S111" s="38" t="str">
        <f t="shared" si="32"/>
        <v>RY28</v>
      </c>
      <c r="T111" s="47" t="str">
        <f t="shared" si="32"/>
        <v>RY29</v>
      </c>
    </row>
    <row r="112" spans="1:20" x14ac:dyDescent="0.35">
      <c r="J112" s="49"/>
      <c r="K112" s="48"/>
      <c r="O112" s="49"/>
      <c r="P112" s="48"/>
      <c r="T112" s="49"/>
    </row>
    <row r="113" spans="1:20" ht="12.3" x14ac:dyDescent="0.35">
      <c r="D113" s="10" t="str">
        <f>D18</f>
        <v>Overhead network assets less than 33kV</v>
      </c>
      <c r="E113" s="45" t="str">
        <f>E18</f>
        <v>Calculated</v>
      </c>
      <c r="F113" s="45" t="str">
        <f t="shared" ref="F113:F122" si="33">Millions</f>
        <v>$Millions</v>
      </c>
      <c r="G113" s="45" t="str">
        <f t="shared" ref="G113:G122" si="34">Nominal</f>
        <v>Nominal</v>
      </c>
      <c r="H113" s="45" t="str">
        <f t="shared" ref="H113:H122" si="35">End_year</f>
        <v>End year</v>
      </c>
      <c r="J113" s="58">
        <f t="shared" ref="J113:T113" si="36">J18+J37+J56+J75+J94</f>
        <v>62.004163769894632</v>
      </c>
      <c r="K113" s="56">
        <f t="shared" si="36"/>
        <v>62.838927055301163</v>
      </c>
      <c r="L113" s="57">
        <f t="shared" si="36"/>
        <v>64.038705539799537</v>
      </c>
      <c r="M113" s="57">
        <f t="shared" si="36"/>
        <v>70.106702618089344</v>
      </c>
      <c r="N113" s="57">
        <f t="shared" si="36"/>
        <v>82.465397781562217</v>
      </c>
      <c r="O113" s="58">
        <f t="shared" si="36"/>
        <v>91.327585199425073</v>
      </c>
      <c r="P113" s="56">
        <f t="shared" si="36"/>
        <v>97.923936415954429</v>
      </c>
      <c r="Q113" s="57">
        <f t="shared" si="36"/>
        <v>105.38333749212411</v>
      </c>
      <c r="R113" s="57">
        <f t="shared" si="36"/>
        <v>113.07706790162077</v>
      </c>
      <c r="S113" s="57">
        <f t="shared" si="36"/>
        <v>119.99303537483786</v>
      </c>
      <c r="T113" s="58">
        <f t="shared" si="36"/>
        <v>127.16271429272929</v>
      </c>
    </row>
    <row r="114" spans="1:20" ht="12.3" x14ac:dyDescent="0.35">
      <c r="D114" s="10" t="str">
        <f t="shared" ref="D114:E122" si="37">D19</f>
        <v>Underground network assets less than 33kV</v>
      </c>
      <c r="E114" s="45" t="str">
        <f t="shared" si="37"/>
        <v>Calculated</v>
      </c>
      <c r="F114" s="45" t="str">
        <f t="shared" si="33"/>
        <v>$Millions</v>
      </c>
      <c r="G114" s="45" t="str">
        <f t="shared" si="34"/>
        <v>Nominal</v>
      </c>
      <c r="H114" s="45" t="str">
        <f t="shared" si="35"/>
        <v>End year</v>
      </c>
      <c r="J114" s="58">
        <f t="shared" ref="J114:T122" si="38">J19+J38+J57+J76+J95</f>
        <v>128.439367622405</v>
      </c>
      <c r="K114" s="56">
        <f t="shared" si="38"/>
        <v>130.16854937364855</v>
      </c>
      <c r="L114" s="57">
        <f t="shared" si="38"/>
        <v>132.65384681928171</v>
      </c>
      <c r="M114" s="57">
        <f t="shared" si="38"/>
        <v>145.2234818257707</v>
      </c>
      <c r="N114" s="57">
        <f t="shared" si="38"/>
        <v>170.8240688657857</v>
      </c>
      <c r="O114" s="58">
        <f t="shared" si="38"/>
        <v>189.18176742173659</v>
      </c>
      <c r="P114" s="56">
        <f t="shared" si="38"/>
        <v>202.84586878774317</v>
      </c>
      <c r="Q114" s="57">
        <f t="shared" si="38"/>
        <v>218.29774651357917</v>
      </c>
      <c r="R114" s="57">
        <f t="shared" si="38"/>
        <v>234.23502892126183</v>
      </c>
      <c r="S114" s="57">
        <f t="shared" si="38"/>
        <v>248.56120372548395</v>
      </c>
      <c r="T114" s="58">
        <f t="shared" si="38"/>
        <v>263.41293254948874</v>
      </c>
    </row>
    <row r="115" spans="1:20" ht="12.3" x14ac:dyDescent="0.35">
      <c r="D115" s="10" t="str">
        <f t="shared" si="37"/>
        <v>Distribution substations and transformers</v>
      </c>
      <c r="E115" s="45" t="str">
        <f t="shared" si="37"/>
        <v>Calculated</v>
      </c>
      <c r="F115" s="45" t="str">
        <f t="shared" si="33"/>
        <v>$Millions</v>
      </c>
      <c r="G115" s="45" t="str">
        <f t="shared" si="34"/>
        <v>Nominal</v>
      </c>
      <c r="H115" s="45" t="str">
        <f t="shared" si="35"/>
        <v>End year</v>
      </c>
      <c r="J115" s="58">
        <f t="shared" si="38"/>
        <v>100.03551467207986</v>
      </c>
      <c r="K115" s="56">
        <f t="shared" si="38"/>
        <v>109.28006989112745</v>
      </c>
      <c r="L115" s="57">
        <f t="shared" si="38"/>
        <v>111.30584286162387</v>
      </c>
      <c r="M115" s="57">
        <f t="shared" si="38"/>
        <v>117.69873218959219</v>
      </c>
      <c r="N115" s="57">
        <f t="shared" si="38"/>
        <v>129.58708150323471</v>
      </c>
      <c r="O115" s="58">
        <f t="shared" si="38"/>
        <v>136.41468506830211</v>
      </c>
      <c r="P115" s="56">
        <f t="shared" si="38"/>
        <v>143.04897471338003</v>
      </c>
      <c r="Q115" s="57">
        <f t="shared" si="38"/>
        <v>150.60380559924835</v>
      </c>
      <c r="R115" s="57">
        <f t="shared" si="38"/>
        <v>158.55202043921298</v>
      </c>
      <c r="S115" s="57">
        <f t="shared" si="38"/>
        <v>166.89187459025916</v>
      </c>
      <c r="T115" s="58">
        <f t="shared" si="38"/>
        <v>175.66662273175226</v>
      </c>
    </row>
    <row r="116" spans="1:20" ht="12.3" x14ac:dyDescent="0.35">
      <c r="D116" s="10" t="str">
        <f t="shared" si="37"/>
        <v>Overhead network assets 33kV and above</v>
      </c>
      <c r="E116" s="45" t="str">
        <f t="shared" si="37"/>
        <v>Calculated</v>
      </c>
      <c r="F116" s="45" t="str">
        <f t="shared" si="33"/>
        <v>$Millions</v>
      </c>
      <c r="G116" s="45" t="str">
        <f t="shared" si="34"/>
        <v>Nominal</v>
      </c>
      <c r="H116" s="45" t="str">
        <f t="shared" si="35"/>
        <v>End year</v>
      </c>
      <c r="J116" s="58">
        <f t="shared" si="38"/>
        <v>117.43774183760671</v>
      </c>
      <c r="K116" s="56">
        <f t="shared" si="38"/>
        <v>116.92662676154043</v>
      </c>
      <c r="L116" s="57">
        <f t="shared" si="38"/>
        <v>114.5637827333488</v>
      </c>
      <c r="M116" s="57">
        <f t="shared" si="38"/>
        <v>115.64687455245625</v>
      </c>
      <c r="N116" s="57">
        <f t="shared" si="38"/>
        <v>122.17080133819033</v>
      </c>
      <c r="O116" s="58">
        <f t="shared" si="38"/>
        <v>126.42917514845414</v>
      </c>
      <c r="P116" s="56">
        <f t="shared" si="38"/>
        <v>129.94276586502178</v>
      </c>
      <c r="Q116" s="57">
        <f t="shared" si="38"/>
        <v>133.09131475498137</v>
      </c>
      <c r="R116" s="57">
        <f t="shared" si="38"/>
        <v>133.15610417171649</v>
      </c>
      <c r="S116" s="57">
        <f t="shared" si="38"/>
        <v>132.33488678273261</v>
      </c>
      <c r="T116" s="58">
        <f t="shared" si="38"/>
        <v>131.33534642459489</v>
      </c>
    </row>
    <row r="117" spans="1:20" ht="12.3" x14ac:dyDescent="0.35">
      <c r="D117" s="10" t="str">
        <f t="shared" si="37"/>
        <v>Underground network assets 33kV and above</v>
      </c>
      <c r="E117" s="45" t="str">
        <f t="shared" si="37"/>
        <v>Calculated</v>
      </c>
      <c r="F117" s="45" t="str">
        <f t="shared" si="33"/>
        <v>$Millions</v>
      </c>
      <c r="G117" s="45" t="str">
        <f t="shared" si="34"/>
        <v>Nominal</v>
      </c>
      <c r="H117" s="45" t="str">
        <f t="shared" si="35"/>
        <v>End year</v>
      </c>
      <c r="J117" s="58">
        <f t="shared" si="38"/>
        <v>58.76419561069001</v>
      </c>
      <c r="K117" s="56">
        <f t="shared" si="38"/>
        <v>58.508440809554067</v>
      </c>
      <c r="L117" s="57">
        <f t="shared" si="38"/>
        <v>57.326106863945611</v>
      </c>
      <c r="M117" s="57">
        <f t="shared" si="38"/>
        <v>57.86807078905565</v>
      </c>
      <c r="N117" s="57">
        <f t="shared" si="38"/>
        <v>61.132552068990577</v>
      </c>
      <c r="O117" s="58">
        <f t="shared" si="38"/>
        <v>63.263382478824383</v>
      </c>
      <c r="P117" s="56">
        <f t="shared" si="38"/>
        <v>65.021533895340852</v>
      </c>
      <c r="Q117" s="57">
        <f t="shared" si="38"/>
        <v>66.597023511917897</v>
      </c>
      <c r="R117" s="57">
        <f t="shared" si="38"/>
        <v>66.629443225537642</v>
      </c>
      <c r="S117" s="57">
        <f t="shared" si="38"/>
        <v>66.218517585023534</v>
      </c>
      <c r="T117" s="58">
        <f t="shared" si="38"/>
        <v>65.718361636796899</v>
      </c>
    </row>
    <row r="118" spans="1:20" ht="12.3" x14ac:dyDescent="0.35">
      <c r="D118" s="10" t="str">
        <f t="shared" si="37"/>
        <v>Zone substations and transformers</v>
      </c>
      <c r="E118" s="45" t="str">
        <f t="shared" si="37"/>
        <v>Calculated</v>
      </c>
      <c r="F118" s="45" t="str">
        <f t="shared" si="33"/>
        <v>$Millions</v>
      </c>
      <c r="G118" s="45" t="str">
        <f t="shared" si="34"/>
        <v>Nominal</v>
      </c>
      <c r="H118" s="45" t="str">
        <f t="shared" si="35"/>
        <v>End year</v>
      </c>
      <c r="J118" s="58">
        <f t="shared" si="38"/>
        <v>332.9523067302502</v>
      </c>
      <c r="K118" s="56">
        <f t="shared" si="38"/>
        <v>327.41798681760213</v>
      </c>
      <c r="L118" s="57">
        <f t="shared" si="38"/>
        <v>325.66292475029201</v>
      </c>
      <c r="M118" s="57">
        <f t="shared" si="38"/>
        <v>332.37283187466795</v>
      </c>
      <c r="N118" s="57">
        <f t="shared" si="38"/>
        <v>358.67792636580361</v>
      </c>
      <c r="O118" s="58">
        <f t="shared" si="38"/>
        <v>386.55371760043187</v>
      </c>
      <c r="P118" s="56">
        <f t="shared" si="38"/>
        <v>402.96189082118678</v>
      </c>
      <c r="Q118" s="57">
        <f t="shared" si="38"/>
        <v>413.17934920905304</v>
      </c>
      <c r="R118" s="57">
        <f t="shared" si="38"/>
        <v>408.64255862968884</v>
      </c>
      <c r="S118" s="57">
        <f t="shared" si="38"/>
        <v>399.5778523758562</v>
      </c>
      <c r="T118" s="58">
        <f t="shared" si="38"/>
        <v>387.58069532245389</v>
      </c>
    </row>
    <row r="119" spans="1:20" ht="12.3" x14ac:dyDescent="0.35">
      <c r="D119" s="10" t="str">
        <f t="shared" si="37"/>
        <v>Easements</v>
      </c>
      <c r="E119" s="45" t="str">
        <f t="shared" si="37"/>
        <v>Calculated</v>
      </c>
      <c r="F119" s="45" t="str">
        <f t="shared" si="33"/>
        <v>$Millions</v>
      </c>
      <c r="G119" s="45" t="str">
        <f t="shared" si="34"/>
        <v>Nominal</v>
      </c>
      <c r="H119" s="45" t="str">
        <f t="shared" si="35"/>
        <v>End year</v>
      </c>
      <c r="J119" s="58">
        <f t="shared" si="38"/>
        <v>37.671980238857458</v>
      </c>
      <c r="K119" s="56">
        <f t="shared" si="38"/>
        <v>46.658995785295687</v>
      </c>
      <c r="L119" s="57">
        <f t="shared" si="38"/>
        <v>47.060536196528865</v>
      </c>
      <c r="M119" s="57">
        <f t="shared" si="38"/>
        <v>48.706851882584907</v>
      </c>
      <c r="N119" s="57">
        <f t="shared" si="38"/>
        <v>52.603400033191697</v>
      </c>
      <c r="O119" s="58">
        <f t="shared" si="38"/>
        <v>55.075759834751707</v>
      </c>
      <c r="P119" s="56">
        <f t="shared" si="38"/>
        <v>56.864530337569484</v>
      </c>
      <c r="Q119" s="57">
        <f t="shared" si="38"/>
        <v>58.524769939474631</v>
      </c>
      <c r="R119" s="57">
        <f t="shared" si="38"/>
        <v>60.23348256172077</v>
      </c>
      <c r="S119" s="57">
        <f t="shared" si="38"/>
        <v>61.992083442023159</v>
      </c>
      <c r="T119" s="58">
        <f t="shared" si="38"/>
        <v>63.802029137944196</v>
      </c>
    </row>
    <row r="120" spans="1:20" ht="12.3" x14ac:dyDescent="0.35">
      <c r="D120" s="10" t="str">
        <f t="shared" si="37"/>
        <v>Meters</v>
      </c>
      <c r="E120" s="45" t="str">
        <f t="shared" si="37"/>
        <v>Calculated</v>
      </c>
      <c r="F120" s="45" t="str">
        <f t="shared" si="33"/>
        <v>$Millions</v>
      </c>
      <c r="G120" s="45" t="str">
        <f t="shared" si="34"/>
        <v>Nominal</v>
      </c>
      <c r="H120" s="45" t="str">
        <f t="shared" si="35"/>
        <v>End year</v>
      </c>
      <c r="J120" s="58">
        <f t="shared" si="38"/>
        <v>0</v>
      </c>
      <c r="K120" s="56">
        <f t="shared" si="38"/>
        <v>0</v>
      </c>
      <c r="L120" s="57">
        <f t="shared" si="38"/>
        <v>0</v>
      </c>
      <c r="M120" s="57">
        <f t="shared" si="38"/>
        <v>0</v>
      </c>
      <c r="N120" s="57">
        <f t="shared" si="38"/>
        <v>0</v>
      </c>
      <c r="O120" s="58">
        <f t="shared" si="38"/>
        <v>0</v>
      </c>
      <c r="P120" s="56">
        <f t="shared" si="38"/>
        <v>0</v>
      </c>
      <c r="Q120" s="57">
        <f t="shared" si="38"/>
        <v>0</v>
      </c>
      <c r="R120" s="57">
        <f t="shared" si="38"/>
        <v>0</v>
      </c>
      <c r="S120" s="57">
        <f t="shared" si="38"/>
        <v>0</v>
      </c>
      <c r="T120" s="58">
        <f t="shared" si="38"/>
        <v>0</v>
      </c>
    </row>
    <row r="121" spans="1:20" ht="12.3" x14ac:dyDescent="0.35">
      <c r="D121" s="10" t="str">
        <f t="shared" si="37"/>
        <v>“Other” asset items with long lives</v>
      </c>
      <c r="E121" s="45" t="str">
        <f t="shared" si="37"/>
        <v>Calculated</v>
      </c>
      <c r="F121" s="45" t="str">
        <f t="shared" si="33"/>
        <v>$Millions</v>
      </c>
      <c r="G121" s="45" t="str">
        <f t="shared" si="34"/>
        <v>Nominal</v>
      </c>
      <c r="H121" s="45" t="str">
        <f t="shared" si="35"/>
        <v>End year</v>
      </c>
      <c r="J121" s="58">
        <f t="shared" si="38"/>
        <v>12.055497990448027</v>
      </c>
      <c r="K121" s="56">
        <f t="shared" si="38"/>
        <v>28.757416893035817</v>
      </c>
      <c r="L121" s="57">
        <f t="shared" si="38"/>
        <v>29.262117856539479</v>
      </c>
      <c r="M121" s="57">
        <f t="shared" si="38"/>
        <v>34.69846069099178</v>
      </c>
      <c r="N121" s="57">
        <f t="shared" si="38"/>
        <v>57.958728795606547</v>
      </c>
      <c r="O121" s="58">
        <f t="shared" si="38"/>
        <v>81.296500932651824</v>
      </c>
      <c r="P121" s="56">
        <f t="shared" si="38"/>
        <v>102.13855280738885</v>
      </c>
      <c r="Q121" s="57">
        <f t="shared" si="38"/>
        <v>125.31481789154545</v>
      </c>
      <c r="R121" s="57">
        <f t="shared" si="38"/>
        <v>145.26010822362272</v>
      </c>
      <c r="S121" s="57">
        <f t="shared" si="38"/>
        <v>214.72422111062605</v>
      </c>
      <c r="T121" s="58">
        <f t="shared" si="38"/>
        <v>315.78179472102443</v>
      </c>
    </row>
    <row r="122" spans="1:20" ht="12.3" x14ac:dyDescent="0.35">
      <c r="D122" s="10" t="str">
        <f t="shared" si="37"/>
        <v>“Other” asset items with short lives</v>
      </c>
      <c r="E122" s="45" t="str">
        <f t="shared" si="37"/>
        <v>Calculated</v>
      </c>
      <c r="F122" s="45" t="str">
        <f t="shared" si="33"/>
        <v>$Millions</v>
      </c>
      <c r="G122" s="45" t="str">
        <f t="shared" si="34"/>
        <v>Nominal</v>
      </c>
      <c r="H122" s="45" t="str">
        <f t="shared" si="35"/>
        <v>End year</v>
      </c>
      <c r="J122" s="58">
        <f t="shared" si="38"/>
        <v>5.4754457687349412</v>
      </c>
      <c r="K122" s="56">
        <f t="shared" si="38"/>
        <v>23.207140261197104</v>
      </c>
      <c r="L122" s="57">
        <f t="shared" si="38"/>
        <v>24.912282670685393</v>
      </c>
      <c r="M122" s="57">
        <f t="shared" si="38"/>
        <v>35.117193966192374</v>
      </c>
      <c r="N122" s="57">
        <f t="shared" si="38"/>
        <v>35.458557884292944</v>
      </c>
      <c r="O122" s="58">
        <f t="shared" si="38"/>
        <v>36.925326421867524</v>
      </c>
      <c r="P122" s="56">
        <f t="shared" si="38"/>
        <v>38.535808151464018</v>
      </c>
      <c r="Q122" s="57">
        <f t="shared" si="38"/>
        <v>41.002258481296167</v>
      </c>
      <c r="R122" s="57">
        <f t="shared" si="38"/>
        <v>52.401128158605459</v>
      </c>
      <c r="S122" s="57">
        <f t="shared" si="38"/>
        <v>52.638006132966993</v>
      </c>
      <c r="T122" s="58">
        <f t="shared" si="38"/>
        <v>52.788115512311151</v>
      </c>
    </row>
    <row r="123" spans="1:20" x14ac:dyDescent="0.35">
      <c r="J123" s="49"/>
      <c r="K123" s="48"/>
      <c r="O123" s="49"/>
      <c r="P123" s="48"/>
      <c r="T123" s="49"/>
    </row>
    <row r="124" spans="1:20" ht="12.3" x14ac:dyDescent="0.35">
      <c r="D124" s="44" t="str">
        <f>"Total "&amp;D111</f>
        <v>Total EB RIN categories</v>
      </c>
      <c r="E124" s="40" t="s">
        <v>91</v>
      </c>
      <c r="F124" s="40" t="str">
        <f>F113</f>
        <v>$Millions</v>
      </c>
      <c r="G124" s="40" t="str">
        <f>G113</f>
        <v>Nominal</v>
      </c>
      <c r="H124" s="40" t="str">
        <f>H113</f>
        <v>End year</v>
      </c>
      <c r="J124" s="54">
        <f t="shared" ref="J124:T124" si="39">SUM(J113:J122)</f>
        <v>854.83621424096691</v>
      </c>
      <c r="K124" s="53">
        <f t="shared" si="39"/>
        <v>903.76415364830234</v>
      </c>
      <c r="L124" s="39">
        <f t="shared" si="39"/>
        <v>906.78614629204537</v>
      </c>
      <c r="M124" s="39">
        <f t="shared" si="39"/>
        <v>957.43920038940121</v>
      </c>
      <c r="N124" s="39">
        <f t="shared" si="39"/>
        <v>1070.8785146366583</v>
      </c>
      <c r="O124" s="54">
        <f t="shared" si="39"/>
        <v>1166.4679001064453</v>
      </c>
      <c r="P124" s="53">
        <f t="shared" si="39"/>
        <v>1239.2838617950492</v>
      </c>
      <c r="Q124" s="39">
        <f t="shared" si="39"/>
        <v>1311.9944233932204</v>
      </c>
      <c r="R124" s="39">
        <f t="shared" si="39"/>
        <v>1372.1869422329876</v>
      </c>
      <c r="S124" s="39">
        <f t="shared" si="39"/>
        <v>1462.9316811198094</v>
      </c>
      <c r="T124" s="54">
        <f t="shared" si="39"/>
        <v>1583.2486123290955</v>
      </c>
    </row>
    <row r="125" spans="1:20" ht="11.25" customHeight="1" x14ac:dyDescent="0.35"/>
    <row r="126" spans="1:20" ht="11.25" customHeight="1" x14ac:dyDescent="0.35">
      <c r="A126" s="42">
        <f>IF(SUM($J126:$T126)&lt;&gt;0,1,0)</f>
        <v>0</v>
      </c>
      <c r="D126" s="10" t="s">
        <v>94</v>
      </c>
      <c r="J126" s="42">
        <f>IF(ROUND(J124-Calc_RAB_NS!J$184,3)=0,0,1)</f>
        <v>0</v>
      </c>
      <c r="K126" s="42">
        <f>IF(ROUND(K124-Calc_RAB_NS!K$184,3)=0,0,1)</f>
        <v>0</v>
      </c>
      <c r="L126" s="42">
        <f>IF(ROUND(L124-Calc_RAB_NS!L$184,3)=0,0,1)</f>
        <v>0</v>
      </c>
      <c r="M126" s="42">
        <f>IF(ROUND(M124-Calc_RAB_NS!M$184,3)=0,0,1)</f>
        <v>0</v>
      </c>
      <c r="N126" s="42">
        <f>IF(ROUND(N124-Calc_RAB_NS!N$184,3)=0,0,1)</f>
        <v>0</v>
      </c>
      <c r="O126" s="42">
        <f>IF(ROUND(O124-Calc_RAB_NS!O$184,3)=0,0,1)</f>
        <v>0</v>
      </c>
      <c r="P126" s="42">
        <f>IF(ROUND(P124-Calc_RAB_NS!P$184,3)=0,0,1)</f>
        <v>0</v>
      </c>
      <c r="Q126" s="42">
        <f>IF(ROUND(Q124-Calc_RAB_NS!Q$184,3)=0,0,1)</f>
        <v>0</v>
      </c>
      <c r="R126" s="42">
        <f>IF(ROUND(R124-Calc_RAB_NS!R$184,3)=0,0,1)</f>
        <v>0</v>
      </c>
      <c r="S126" s="42">
        <f>IF(ROUND(S124-Calc_RAB_NS!S$184,3)=0,0,1)</f>
        <v>0</v>
      </c>
      <c r="T126" s="42">
        <f>IF(ROUND(T124-Calc_RAB_NS!T$184,3)=0,0,1)</f>
        <v>0</v>
      </c>
    </row>
    <row r="128" spans="1:20" s="8" customFormat="1" ht="14.1" x14ac:dyDescent="0.35">
      <c r="C128" s="8" t="s">
        <v>144</v>
      </c>
    </row>
    <row r="129" spans="4:20" ht="11.25" customHeight="1" x14ac:dyDescent="0.35"/>
    <row r="130" spans="4:20" ht="12.3" x14ac:dyDescent="0.35">
      <c r="D130" s="43" t="str">
        <f>D$16</f>
        <v>EB RIN categories</v>
      </c>
      <c r="E130" s="38" t="str">
        <f>Lookup!E$20</f>
        <v>Source</v>
      </c>
      <c r="F130" s="38" t="str">
        <f>Lookup!F$20</f>
        <v>Unit</v>
      </c>
      <c r="G130" s="38" t="str">
        <f>Lookup!G$20</f>
        <v>Basis</v>
      </c>
      <c r="H130" s="38" t="str">
        <f>Lookup!H$20</f>
        <v>Timing</v>
      </c>
      <c r="J130" s="47" t="str">
        <f t="shared" ref="J130:T130" si="40">J$10</f>
        <v>RY19</v>
      </c>
      <c r="K130" s="46" t="str">
        <f t="shared" si="40"/>
        <v>RY20</v>
      </c>
      <c r="L130" s="38" t="str">
        <f>L$10</f>
        <v>RY21</v>
      </c>
      <c r="M130" s="38" t="str">
        <f t="shared" si="40"/>
        <v>RY22</v>
      </c>
      <c r="N130" s="38" t="str">
        <f t="shared" si="40"/>
        <v>RY23</v>
      </c>
      <c r="O130" s="47" t="str">
        <f t="shared" si="40"/>
        <v>RY24</v>
      </c>
      <c r="P130" s="46" t="str">
        <f t="shared" si="40"/>
        <v>RY25</v>
      </c>
      <c r="Q130" s="38" t="str">
        <f>Q$10</f>
        <v>RY26</v>
      </c>
      <c r="R130" s="38" t="str">
        <f t="shared" si="40"/>
        <v>RY27</v>
      </c>
      <c r="S130" s="38" t="str">
        <f t="shared" si="40"/>
        <v>RY28</v>
      </c>
      <c r="T130" s="47" t="str">
        <f t="shared" si="40"/>
        <v>RY29</v>
      </c>
    </row>
    <row r="131" spans="4:20" x14ac:dyDescent="0.35">
      <c r="J131" s="49"/>
      <c r="K131" s="48"/>
      <c r="O131" s="49"/>
      <c r="P131" s="48"/>
      <c r="T131" s="49"/>
    </row>
    <row r="132" spans="4:20" ht="12.3" x14ac:dyDescent="0.35">
      <c r="D132" s="10" t="str">
        <f>D18</f>
        <v>Overhead network assets less than 33kV</v>
      </c>
      <c r="E132" s="45" t="str">
        <f>E18</f>
        <v>Calculated</v>
      </c>
      <c r="F132" s="45" t="str">
        <f t="shared" ref="F132:F141" si="41">Millions</f>
        <v>$Millions</v>
      </c>
      <c r="G132" s="45" t="str">
        <f t="shared" ref="G132:G141" si="42">Nominal</f>
        <v>Nominal</v>
      </c>
      <c r="H132" s="45" t="str">
        <f t="shared" ref="H132:H141" si="43">End_year</f>
        <v>End year</v>
      </c>
      <c r="J132" s="58">
        <f>SUMPRODUCT((Calc_Alloc!$E$11:$E$30)*(Calc_RAB_NS!J$192:J$211))</f>
        <v>-0.79792843228209387</v>
      </c>
      <c r="K132" s="56">
        <f>SUMPRODUCT((Calc_Alloc!$E$11:$E$30)*(Calc_RAB_NS!K$192:K$211))</f>
        <v>0</v>
      </c>
      <c r="L132" s="57">
        <f>SUMPRODUCT((Calc_Alloc!$E$11:$E$30)*(Calc_RAB_NS!L$192:L$211))</f>
        <v>0</v>
      </c>
      <c r="M132" s="57">
        <f>SUMPRODUCT((Calc_Alloc!$E$11:$E$30)*(Calc_RAB_NS!M$192:M$211))</f>
        <v>0</v>
      </c>
      <c r="N132" s="57">
        <f>SUMPRODUCT((Calc_Alloc!$E$11:$E$30)*(Calc_RAB_NS!N$192:N$211))</f>
        <v>0</v>
      </c>
      <c r="O132" s="58">
        <f>SUMPRODUCT((Calc_Alloc!$E$11:$E$30)*(Calc_RAB_NS!O$192:O$211))</f>
        <v>-5.3024356764132072E-2</v>
      </c>
      <c r="P132" s="56">
        <f>SUMPRODUCT((Calc_Alloc!$E$11:$E$30)*(Calc_RAB_NS!P$192:P$211))</f>
        <v>0</v>
      </c>
      <c r="Q132" s="57">
        <f>SUMPRODUCT((Calc_Alloc!$E$11:$E$30)*(Calc_RAB_NS!Q$192:Q$211))</f>
        <v>0</v>
      </c>
      <c r="R132" s="57">
        <f>SUMPRODUCT((Calc_Alloc!$E$11:$E$30)*(Calc_RAB_NS!R$192:R$211))</f>
        <v>0</v>
      </c>
      <c r="S132" s="57">
        <f>SUMPRODUCT((Calc_Alloc!$E$11:$E$30)*(Calc_RAB_NS!S$192:S$211))</f>
        <v>0</v>
      </c>
      <c r="T132" s="58">
        <f>SUMPRODUCT((Calc_Alloc!$E$11:$E$30)*(Calc_RAB_NS!T$192:T$211))</f>
        <v>0</v>
      </c>
    </row>
    <row r="133" spans="4:20" ht="12.3" x14ac:dyDescent="0.35">
      <c r="D133" s="10" t="str">
        <f t="shared" ref="D133:E141" si="44">D19</f>
        <v>Underground network assets less than 33kV</v>
      </c>
      <c r="E133" s="45" t="str">
        <f t="shared" si="44"/>
        <v>Calculated</v>
      </c>
      <c r="F133" s="45" t="str">
        <f t="shared" si="41"/>
        <v>$Millions</v>
      </c>
      <c r="G133" s="45" t="str">
        <f t="shared" si="42"/>
        <v>Nominal</v>
      </c>
      <c r="H133" s="45" t="str">
        <f t="shared" si="43"/>
        <v>End year</v>
      </c>
      <c r="J133" s="58">
        <f>SUMPRODUCT((Calc_Alloc!$F$11:$F$30)*(Calc_RAB_NS!J$192:J$211))</f>
        <v>-1.6528796941861139</v>
      </c>
      <c r="K133" s="56">
        <f>SUMPRODUCT((Calc_Alloc!$F$11:$F$30)*(Calc_RAB_NS!K$192:K$211))</f>
        <v>0</v>
      </c>
      <c r="L133" s="57">
        <f>SUMPRODUCT((Calc_Alloc!$F$11:$F$30)*(Calc_RAB_NS!L$192:L$211))</f>
        <v>0</v>
      </c>
      <c r="M133" s="57">
        <f>SUMPRODUCT((Calc_Alloc!$F$11:$F$30)*(Calc_RAB_NS!M$192:M$211))</f>
        <v>0</v>
      </c>
      <c r="N133" s="57">
        <f>SUMPRODUCT((Calc_Alloc!$F$11:$F$30)*(Calc_RAB_NS!N$192:N$211))</f>
        <v>0</v>
      </c>
      <c r="O133" s="58">
        <f>SUMPRODUCT((Calc_Alloc!$F$11:$F$30)*(Calc_RAB_NS!O$192:O$211))</f>
        <v>-0.10983802437275399</v>
      </c>
      <c r="P133" s="56">
        <f>SUMPRODUCT((Calc_Alloc!$F$11:$F$30)*(Calc_RAB_NS!P$192:P$211))</f>
        <v>0</v>
      </c>
      <c r="Q133" s="57">
        <f>SUMPRODUCT((Calc_Alloc!$F$11:$F$30)*(Calc_RAB_NS!Q$192:Q$211))</f>
        <v>0</v>
      </c>
      <c r="R133" s="57">
        <f>SUMPRODUCT((Calc_Alloc!$F$11:$F$30)*(Calc_RAB_NS!R$192:R$211))</f>
        <v>0</v>
      </c>
      <c r="S133" s="57">
        <f>SUMPRODUCT((Calc_Alloc!$F$11:$F$30)*(Calc_RAB_NS!S$192:S$211))</f>
        <v>0</v>
      </c>
      <c r="T133" s="58">
        <f>SUMPRODUCT((Calc_Alloc!$F$11:$F$30)*(Calc_RAB_NS!T$192:T$211))</f>
        <v>0</v>
      </c>
    </row>
    <row r="134" spans="4:20" ht="12.3" x14ac:dyDescent="0.35">
      <c r="D134" s="10" t="str">
        <f t="shared" si="44"/>
        <v>Distribution substations and transformers</v>
      </c>
      <c r="E134" s="45" t="str">
        <f t="shared" si="44"/>
        <v>Calculated</v>
      </c>
      <c r="F134" s="45" t="str">
        <f t="shared" si="41"/>
        <v>$Millions</v>
      </c>
      <c r="G134" s="45" t="str">
        <f t="shared" si="42"/>
        <v>Nominal</v>
      </c>
      <c r="H134" s="45" t="str">
        <f t="shared" si="43"/>
        <v>End year</v>
      </c>
      <c r="J134" s="58">
        <f>SUMPRODUCT((Calc_Alloc!$G$11:$G$30)*(Calc_RAB_NS!J$192:J$211))</f>
        <v>6.4932737146059489</v>
      </c>
      <c r="K134" s="56">
        <f>SUMPRODUCT((Calc_Alloc!$G$11:$G$30)*(Calc_RAB_NS!K$192:K$211))</f>
        <v>0</v>
      </c>
      <c r="L134" s="57">
        <f>SUMPRODUCT((Calc_Alloc!$G$11:$G$30)*(Calc_RAB_NS!L$192:L$211))</f>
        <v>0</v>
      </c>
      <c r="M134" s="57">
        <f>SUMPRODUCT((Calc_Alloc!$G$11:$G$30)*(Calc_RAB_NS!M$192:M$211))</f>
        <v>0</v>
      </c>
      <c r="N134" s="57">
        <f>SUMPRODUCT((Calc_Alloc!$G$11:$G$30)*(Calc_RAB_NS!N$192:N$211))</f>
        <v>0</v>
      </c>
      <c r="O134" s="58">
        <f>SUMPRODUCT((Calc_Alloc!$G$11:$G$30)*(Calc_RAB_NS!O$192:O$211))</f>
        <v>-0.49874740411999902</v>
      </c>
      <c r="P134" s="56">
        <f>SUMPRODUCT((Calc_Alloc!$G$11:$G$30)*(Calc_RAB_NS!P$192:P$211))</f>
        <v>0</v>
      </c>
      <c r="Q134" s="57">
        <f>SUMPRODUCT((Calc_Alloc!$G$11:$G$30)*(Calc_RAB_NS!Q$192:Q$211))</f>
        <v>0</v>
      </c>
      <c r="R134" s="57">
        <f>SUMPRODUCT((Calc_Alloc!$G$11:$G$30)*(Calc_RAB_NS!R$192:R$211))</f>
        <v>0</v>
      </c>
      <c r="S134" s="57">
        <f>SUMPRODUCT((Calc_Alloc!$G$11:$G$30)*(Calc_RAB_NS!S$192:S$211))</f>
        <v>0</v>
      </c>
      <c r="T134" s="58">
        <f>SUMPRODUCT((Calc_Alloc!$G$11:$G$30)*(Calc_RAB_NS!T$192:T$211))</f>
        <v>0</v>
      </c>
    </row>
    <row r="135" spans="4:20" ht="12.3" x14ac:dyDescent="0.35">
      <c r="D135" s="10" t="str">
        <f t="shared" si="44"/>
        <v>Overhead network assets 33kV and above</v>
      </c>
      <c r="E135" s="45" t="str">
        <f t="shared" si="44"/>
        <v>Calculated</v>
      </c>
      <c r="F135" s="45" t="str">
        <f t="shared" si="41"/>
        <v>$Millions</v>
      </c>
      <c r="G135" s="45" t="str">
        <f t="shared" si="42"/>
        <v>Nominal</v>
      </c>
      <c r="H135" s="45" t="str">
        <f t="shared" si="43"/>
        <v>End year</v>
      </c>
      <c r="J135" s="58">
        <f>SUMPRODUCT((Calc_Alloc!$H$11:$H$30)*(Calc_RAB_NS!J$192:J$211))</f>
        <v>1.0289284070386253</v>
      </c>
      <c r="K135" s="56">
        <f>SUMPRODUCT((Calc_Alloc!$H$11:$H$30)*(Calc_RAB_NS!K$192:K$211))</f>
        <v>0</v>
      </c>
      <c r="L135" s="57">
        <f>SUMPRODUCT((Calc_Alloc!$H$11:$H$30)*(Calc_RAB_NS!L$192:L$211))</f>
        <v>0</v>
      </c>
      <c r="M135" s="57">
        <f>SUMPRODUCT((Calc_Alloc!$H$11:$H$30)*(Calc_RAB_NS!M$192:M$211))</f>
        <v>0</v>
      </c>
      <c r="N135" s="57">
        <f>SUMPRODUCT((Calc_Alloc!$H$11:$H$30)*(Calc_RAB_NS!N$192:N$211))</f>
        <v>0</v>
      </c>
      <c r="O135" s="58">
        <f>SUMPRODUCT((Calc_Alloc!$H$11:$H$30)*(Calc_RAB_NS!O$192:O$211))</f>
        <v>2.8466213627438264</v>
      </c>
      <c r="P135" s="56">
        <f>SUMPRODUCT((Calc_Alloc!$H$11:$H$30)*(Calc_RAB_NS!P$192:P$211))</f>
        <v>0</v>
      </c>
      <c r="Q135" s="57">
        <f>SUMPRODUCT((Calc_Alloc!$H$11:$H$30)*(Calc_RAB_NS!Q$192:Q$211))</f>
        <v>0</v>
      </c>
      <c r="R135" s="57">
        <f>SUMPRODUCT((Calc_Alloc!$H$11:$H$30)*(Calc_RAB_NS!R$192:R$211))</f>
        <v>0</v>
      </c>
      <c r="S135" s="57">
        <f>SUMPRODUCT((Calc_Alloc!$H$11:$H$30)*(Calc_RAB_NS!S$192:S$211))</f>
        <v>0</v>
      </c>
      <c r="T135" s="58">
        <f>SUMPRODUCT((Calc_Alloc!$H$11:$H$30)*(Calc_RAB_NS!T$192:T$211))</f>
        <v>0</v>
      </c>
    </row>
    <row r="136" spans="4:20" ht="12.3" x14ac:dyDescent="0.35">
      <c r="D136" s="10" t="str">
        <f t="shared" si="44"/>
        <v>Underground network assets 33kV and above</v>
      </c>
      <c r="E136" s="45" t="str">
        <f t="shared" si="44"/>
        <v>Calculated</v>
      </c>
      <c r="F136" s="45" t="str">
        <f t="shared" si="41"/>
        <v>$Millions</v>
      </c>
      <c r="G136" s="45" t="str">
        <f t="shared" si="42"/>
        <v>Nominal</v>
      </c>
      <c r="H136" s="45" t="str">
        <f t="shared" si="43"/>
        <v>End year</v>
      </c>
      <c r="J136" s="58">
        <f>SUMPRODUCT((Calc_Alloc!$I$11:$I$30)*(Calc_RAB_NS!J$192:J$211))</f>
        <v>0.51486131489332865</v>
      </c>
      <c r="K136" s="56">
        <f>SUMPRODUCT((Calc_Alloc!$I$11:$I$30)*(Calc_RAB_NS!K$192:K$211))</f>
        <v>0</v>
      </c>
      <c r="L136" s="57">
        <f>SUMPRODUCT((Calc_Alloc!$I$11:$I$30)*(Calc_RAB_NS!L$192:L$211))</f>
        <v>0</v>
      </c>
      <c r="M136" s="57">
        <f>SUMPRODUCT((Calc_Alloc!$I$11:$I$30)*(Calc_RAB_NS!M$192:M$211))</f>
        <v>0</v>
      </c>
      <c r="N136" s="57">
        <f>SUMPRODUCT((Calc_Alloc!$I$11:$I$30)*(Calc_RAB_NS!N$192:N$211))</f>
        <v>0</v>
      </c>
      <c r="O136" s="58">
        <f>SUMPRODUCT((Calc_Alloc!$I$11:$I$30)*(Calc_RAB_NS!O$192:O$211))</f>
        <v>1.4244093250801919</v>
      </c>
      <c r="P136" s="56">
        <f>SUMPRODUCT((Calc_Alloc!$I$11:$I$30)*(Calc_RAB_NS!P$192:P$211))</f>
        <v>0</v>
      </c>
      <c r="Q136" s="57">
        <f>SUMPRODUCT((Calc_Alloc!$I$11:$I$30)*(Calc_RAB_NS!Q$192:Q$211))</f>
        <v>0</v>
      </c>
      <c r="R136" s="57">
        <f>SUMPRODUCT((Calc_Alloc!$I$11:$I$30)*(Calc_RAB_NS!R$192:R$211))</f>
        <v>0</v>
      </c>
      <c r="S136" s="57">
        <f>SUMPRODUCT((Calc_Alloc!$I$11:$I$30)*(Calc_RAB_NS!S$192:S$211))</f>
        <v>0</v>
      </c>
      <c r="T136" s="58">
        <f>SUMPRODUCT((Calc_Alloc!$I$11:$I$30)*(Calc_RAB_NS!T$192:T$211))</f>
        <v>0</v>
      </c>
    </row>
    <row r="137" spans="4:20" ht="12.3" x14ac:dyDescent="0.35">
      <c r="D137" s="10" t="str">
        <f t="shared" si="44"/>
        <v>Zone substations and transformers</v>
      </c>
      <c r="E137" s="45" t="str">
        <f t="shared" si="44"/>
        <v>Calculated</v>
      </c>
      <c r="F137" s="45" t="str">
        <f t="shared" si="41"/>
        <v>$Millions</v>
      </c>
      <c r="G137" s="45" t="str">
        <f t="shared" si="42"/>
        <v>Nominal</v>
      </c>
      <c r="H137" s="45" t="str">
        <f t="shared" si="43"/>
        <v>End year</v>
      </c>
      <c r="J137" s="58">
        <f>SUMPRODUCT((Calc_Alloc!$J$11:$J$30)*(Calc_RAB_NS!J$192:J$211))</f>
        <v>-14.781043061767889</v>
      </c>
      <c r="K137" s="56">
        <f>SUMPRODUCT((Calc_Alloc!$J$11:$J$30)*(Calc_RAB_NS!K$192:K$211))</f>
        <v>0</v>
      </c>
      <c r="L137" s="57">
        <f>SUMPRODUCT((Calc_Alloc!$J$11:$J$30)*(Calc_RAB_NS!L$192:L$211))</f>
        <v>0</v>
      </c>
      <c r="M137" s="57">
        <f>SUMPRODUCT((Calc_Alloc!$J$11:$J$30)*(Calc_RAB_NS!M$192:M$211))</f>
        <v>0</v>
      </c>
      <c r="N137" s="57">
        <f>SUMPRODUCT((Calc_Alloc!$J$11:$J$30)*(Calc_RAB_NS!N$192:N$211))</f>
        <v>0</v>
      </c>
      <c r="O137" s="58">
        <f>SUMPRODUCT((Calc_Alloc!$J$11:$J$30)*(Calc_RAB_NS!O$192:O$211))</f>
        <v>-5.4857990928552942</v>
      </c>
      <c r="P137" s="56">
        <f>SUMPRODUCT((Calc_Alloc!$J$11:$J$30)*(Calc_RAB_NS!P$192:P$211))</f>
        <v>0</v>
      </c>
      <c r="Q137" s="57">
        <f>SUMPRODUCT((Calc_Alloc!$J$11:$J$30)*(Calc_RAB_NS!Q$192:Q$211))</f>
        <v>0</v>
      </c>
      <c r="R137" s="57">
        <f>SUMPRODUCT((Calc_Alloc!$J$11:$J$30)*(Calc_RAB_NS!R$192:R$211))</f>
        <v>0</v>
      </c>
      <c r="S137" s="57">
        <f>SUMPRODUCT((Calc_Alloc!$J$11:$J$30)*(Calc_RAB_NS!S$192:S$211))</f>
        <v>0</v>
      </c>
      <c r="T137" s="58">
        <f>SUMPRODUCT((Calc_Alloc!$J$11:$J$30)*(Calc_RAB_NS!T$192:T$211))</f>
        <v>0</v>
      </c>
    </row>
    <row r="138" spans="4:20" ht="12.3" x14ac:dyDescent="0.35">
      <c r="D138" s="10" t="str">
        <f t="shared" si="44"/>
        <v>Easements</v>
      </c>
      <c r="E138" s="45" t="str">
        <f t="shared" si="44"/>
        <v>Calculated</v>
      </c>
      <c r="F138" s="45" t="str">
        <f t="shared" si="41"/>
        <v>$Millions</v>
      </c>
      <c r="G138" s="45" t="str">
        <f t="shared" si="42"/>
        <v>Nominal</v>
      </c>
      <c r="H138" s="45" t="str">
        <f t="shared" si="43"/>
        <v>End year</v>
      </c>
      <c r="J138" s="58">
        <f>SUMPRODUCT((Calc_Alloc!$K$11:$K$30)*(Calc_RAB_NS!J$192:J$211))</f>
        <v>8.14378068284854</v>
      </c>
      <c r="K138" s="56">
        <f>SUMPRODUCT((Calc_Alloc!$K$11:$K$30)*(Calc_RAB_NS!K$192:K$211))</f>
        <v>0</v>
      </c>
      <c r="L138" s="57">
        <f>SUMPRODUCT((Calc_Alloc!$K$11:$K$30)*(Calc_RAB_NS!L$192:L$211))</f>
        <v>0</v>
      </c>
      <c r="M138" s="57">
        <f>SUMPRODUCT((Calc_Alloc!$K$11:$K$30)*(Calc_RAB_NS!M$192:M$211))</f>
        <v>0</v>
      </c>
      <c r="N138" s="57">
        <f>SUMPRODUCT((Calc_Alloc!$K$11:$K$30)*(Calc_RAB_NS!N$192:N$211))</f>
        <v>0</v>
      </c>
      <c r="O138" s="58">
        <f>SUMPRODUCT((Calc_Alloc!$K$11:$K$30)*(Calc_RAB_NS!O$192:O$211))</f>
        <v>0.17562883121777981</v>
      </c>
      <c r="P138" s="56">
        <f>SUMPRODUCT((Calc_Alloc!$K$11:$K$30)*(Calc_RAB_NS!P$192:P$211))</f>
        <v>0</v>
      </c>
      <c r="Q138" s="57">
        <f>SUMPRODUCT((Calc_Alloc!$K$11:$K$30)*(Calc_RAB_NS!Q$192:Q$211))</f>
        <v>0</v>
      </c>
      <c r="R138" s="57">
        <f>SUMPRODUCT((Calc_Alloc!$K$11:$K$30)*(Calc_RAB_NS!R$192:R$211))</f>
        <v>0</v>
      </c>
      <c r="S138" s="57">
        <f>SUMPRODUCT((Calc_Alloc!$K$11:$K$30)*(Calc_RAB_NS!S$192:S$211))</f>
        <v>0</v>
      </c>
      <c r="T138" s="58">
        <f>SUMPRODUCT((Calc_Alloc!$K$11:$K$30)*(Calc_RAB_NS!T$192:T$211))</f>
        <v>0</v>
      </c>
    </row>
    <row r="139" spans="4:20" ht="12.3" x14ac:dyDescent="0.35">
      <c r="D139" s="10" t="str">
        <f t="shared" si="44"/>
        <v>Meters</v>
      </c>
      <c r="E139" s="45" t="str">
        <f t="shared" si="44"/>
        <v>Calculated</v>
      </c>
      <c r="F139" s="45" t="str">
        <f t="shared" si="41"/>
        <v>$Millions</v>
      </c>
      <c r="G139" s="45" t="str">
        <f t="shared" si="42"/>
        <v>Nominal</v>
      </c>
      <c r="H139" s="45" t="str">
        <f t="shared" si="43"/>
        <v>End year</v>
      </c>
      <c r="J139" s="58">
        <f>SUMPRODUCT((Calc_Alloc!$L$11:$L$30)*(Calc_RAB_NS!J$192:J$211))</f>
        <v>0</v>
      </c>
      <c r="K139" s="56">
        <f>SUMPRODUCT((Calc_Alloc!$L$11:$L$30)*(Calc_RAB_NS!K$192:K$211))</f>
        <v>0</v>
      </c>
      <c r="L139" s="57">
        <f>SUMPRODUCT((Calc_Alloc!$L$11:$L$30)*(Calc_RAB_NS!L$192:L$211))</f>
        <v>0</v>
      </c>
      <c r="M139" s="57">
        <f>SUMPRODUCT((Calc_Alloc!$L$11:$L$30)*(Calc_RAB_NS!M$192:M$211))</f>
        <v>0</v>
      </c>
      <c r="N139" s="57">
        <f>SUMPRODUCT((Calc_Alloc!$L$11:$L$30)*(Calc_RAB_NS!N$192:N$211))</f>
        <v>0</v>
      </c>
      <c r="O139" s="58">
        <f>SUMPRODUCT((Calc_Alloc!$L$11:$L$30)*(Calc_RAB_NS!O$192:O$211))</f>
        <v>0</v>
      </c>
      <c r="P139" s="56">
        <f>SUMPRODUCT((Calc_Alloc!$L$11:$L$30)*(Calc_RAB_NS!P$192:P$211))</f>
        <v>0</v>
      </c>
      <c r="Q139" s="57">
        <f>SUMPRODUCT((Calc_Alloc!$L$11:$L$30)*(Calc_RAB_NS!Q$192:Q$211))</f>
        <v>0</v>
      </c>
      <c r="R139" s="57">
        <f>SUMPRODUCT((Calc_Alloc!$L$11:$L$30)*(Calc_RAB_NS!R$192:R$211))</f>
        <v>0</v>
      </c>
      <c r="S139" s="57">
        <f>SUMPRODUCT((Calc_Alloc!$L$11:$L$30)*(Calc_RAB_NS!S$192:S$211))</f>
        <v>0</v>
      </c>
      <c r="T139" s="58">
        <f>SUMPRODUCT((Calc_Alloc!$L$11:$L$30)*(Calc_RAB_NS!T$192:T$211))</f>
        <v>0</v>
      </c>
    </row>
    <row r="140" spans="4:20" ht="12.3" x14ac:dyDescent="0.35">
      <c r="D140" s="10" t="str">
        <f t="shared" si="44"/>
        <v>“Other” asset items with long lives</v>
      </c>
      <c r="E140" s="45" t="str">
        <f t="shared" si="44"/>
        <v>Calculated</v>
      </c>
      <c r="F140" s="45" t="str">
        <f t="shared" si="41"/>
        <v>$Millions</v>
      </c>
      <c r="G140" s="45" t="str">
        <f t="shared" si="42"/>
        <v>Nominal</v>
      </c>
      <c r="H140" s="45" t="str">
        <f t="shared" si="43"/>
        <v>End year</v>
      </c>
      <c r="J140" s="58">
        <f>SUMPRODUCT((Calc_Alloc!$M$11:$M$30)*(Calc_RAB_NS!J$192:J$211))</f>
        <v>10.988389620121804</v>
      </c>
      <c r="K140" s="56">
        <f>SUMPRODUCT((Calc_Alloc!$M$11:$M$30)*(Calc_RAB_NS!K$192:K$211))</f>
        <v>0</v>
      </c>
      <c r="L140" s="57">
        <f>SUMPRODUCT((Calc_Alloc!$M$11:$M$30)*(Calc_RAB_NS!L$192:L$211))</f>
        <v>0</v>
      </c>
      <c r="M140" s="57">
        <f>SUMPRODUCT((Calc_Alloc!$M$11:$M$30)*(Calc_RAB_NS!M$192:M$211))</f>
        <v>0</v>
      </c>
      <c r="N140" s="57">
        <f>SUMPRODUCT((Calc_Alloc!$M$11:$M$30)*(Calc_RAB_NS!N$192:N$211))</f>
        <v>0</v>
      </c>
      <c r="O140" s="58">
        <f>SUMPRODUCT((Calc_Alloc!$M$11:$M$30)*(Calc_RAB_NS!O$192:O$211))</f>
        <v>4.1753035562913139</v>
      </c>
      <c r="P140" s="56">
        <f>SUMPRODUCT((Calc_Alloc!$M$11:$M$30)*(Calc_RAB_NS!P$192:P$211))</f>
        <v>0</v>
      </c>
      <c r="Q140" s="57">
        <f>SUMPRODUCT((Calc_Alloc!$M$11:$M$30)*(Calc_RAB_NS!Q$192:Q$211))</f>
        <v>0</v>
      </c>
      <c r="R140" s="57">
        <f>SUMPRODUCT((Calc_Alloc!$M$11:$M$30)*(Calc_RAB_NS!R$192:R$211))</f>
        <v>0</v>
      </c>
      <c r="S140" s="57">
        <f>SUMPRODUCT((Calc_Alloc!$M$11:$M$30)*(Calc_RAB_NS!S$192:S$211))</f>
        <v>0</v>
      </c>
      <c r="T140" s="58">
        <f>SUMPRODUCT((Calc_Alloc!$M$11:$M$30)*(Calc_RAB_NS!T$192:T$211))</f>
        <v>0</v>
      </c>
    </row>
    <row r="141" spans="4:20" ht="12.3" x14ac:dyDescent="0.35">
      <c r="D141" s="10" t="str">
        <f t="shared" si="44"/>
        <v>“Other” asset items with short lives</v>
      </c>
      <c r="E141" s="45" t="str">
        <f t="shared" si="44"/>
        <v>Calculated</v>
      </c>
      <c r="F141" s="45" t="str">
        <f t="shared" si="41"/>
        <v>$Millions</v>
      </c>
      <c r="G141" s="45" t="str">
        <f t="shared" si="42"/>
        <v>Nominal</v>
      </c>
      <c r="H141" s="45" t="str">
        <f t="shared" si="43"/>
        <v>End year</v>
      </c>
      <c r="J141" s="58">
        <f>SUMPRODUCT((Calc_Alloc!$N$11:$N$30)*(Calc_RAB_NS!J$192:J$211))</f>
        <v>-0.38752342147615126</v>
      </c>
      <c r="K141" s="56">
        <f>SUMPRODUCT((Calc_Alloc!$N$11:$N$30)*(Calc_RAB_NS!K$192:K$211))</f>
        <v>0</v>
      </c>
      <c r="L141" s="57">
        <f>SUMPRODUCT((Calc_Alloc!$N$11:$N$30)*(Calc_RAB_NS!L$192:L$211))</f>
        <v>0</v>
      </c>
      <c r="M141" s="57">
        <f>SUMPRODUCT((Calc_Alloc!$N$11:$N$30)*(Calc_RAB_NS!M$192:M$211))</f>
        <v>0</v>
      </c>
      <c r="N141" s="57">
        <f>SUMPRODUCT((Calc_Alloc!$N$11:$N$30)*(Calc_RAB_NS!N$192:N$211))</f>
        <v>0</v>
      </c>
      <c r="O141" s="58">
        <f>SUMPRODUCT((Calc_Alloc!$N$11:$N$30)*(Calc_RAB_NS!O$192:O$211))</f>
        <v>1.0681947778859522</v>
      </c>
      <c r="P141" s="56">
        <f>SUMPRODUCT((Calc_Alloc!$N$11:$N$30)*(Calc_RAB_NS!P$192:P$211))</f>
        <v>0</v>
      </c>
      <c r="Q141" s="57">
        <f>SUMPRODUCT((Calc_Alloc!$N$11:$N$30)*(Calc_RAB_NS!Q$192:Q$211))</f>
        <v>0</v>
      </c>
      <c r="R141" s="57">
        <f>SUMPRODUCT((Calc_Alloc!$N$11:$N$30)*(Calc_RAB_NS!R$192:R$211))</f>
        <v>0</v>
      </c>
      <c r="S141" s="57">
        <f>SUMPRODUCT((Calc_Alloc!$N$11:$N$30)*(Calc_RAB_NS!S$192:S$211))</f>
        <v>0</v>
      </c>
      <c r="T141" s="58">
        <f>SUMPRODUCT((Calc_Alloc!$N$11:$N$30)*(Calc_RAB_NS!T$192:T$211))</f>
        <v>0</v>
      </c>
    </row>
    <row r="142" spans="4:20" x14ac:dyDescent="0.35">
      <c r="J142" s="49"/>
      <c r="K142" s="48"/>
      <c r="O142" s="49"/>
      <c r="P142" s="48"/>
      <c r="T142" s="49"/>
    </row>
    <row r="143" spans="4:20" ht="12.3" x14ac:dyDescent="0.35">
      <c r="D143" s="44" t="str">
        <f>"Total "&amp;D130</f>
        <v>Total EB RIN categories</v>
      </c>
      <c r="E143" s="40" t="s">
        <v>91</v>
      </c>
      <c r="F143" s="40" t="str">
        <f>F132</f>
        <v>$Millions</v>
      </c>
      <c r="G143" s="40" t="str">
        <f>G132</f>
        <v>Nominal</v>
      </c>
      <c r="H143" s="40" t="str">
        <f>H132</f>
        <v>End year</v>
      </c>
      <c r="J143" s="54">
        <f t="shared" ref="J143:T143" si="45">SUM(J132:J141)</f>
        <v>9.5498591297959994</v>
      </c>
      <c r="K143" s="53">
        <f t="shared" si="45"/>
        <v>0</v>
      </c>
      <c r="L143" s="39">
        <f t="shared" si="45"/>
        <v>0</v>
      </c>
      <c r="M143" s="39">
        <f t="shared" si="45"/>
        <v>0</v>
      </c>
      <c r="N143" s="39">
        <f t="shared" si="45"/>
        <v>0</v>
      </c>
      <c r="O143" s="54">
        <f t="shared" si="45"/>
        <v>3.5427489751068846</v>
      </c>
      <c r="P143" s="53">
        <f t="shared" si="45"/>
        <v>0</v>
      </c>
      <c r="Q143" s="39">
        <f t="shared" si="45"/>
        <v>0</v>
      </c>
      <c r="R143" s="39">
        <f t="shared" si="45"/>
        <v>0</v>
      </c>
      <c r="S143" s="39">
        <f t="shared" si="45"/>
        <v>0</v>
      </c>
      <c r="T143" s="54">
        <f t="shared" si="45"/>
        <v>0</v>
      </c>
    </row>
    <row r="144" spans="4:20" ht="11.25" customHeight="1" x14ac:dyDescent="0.35"/>
    <row r="145" spans="1:20" ht="11.25" customHeight="1" x14ac:dyDescent="0.35">
      <c r="A145" s="42">
        <f>IF(SUM($J145:$T145)&lt;&gt;0,1,0)</f>
        <v>0</v>
      </c>
      <c r="D145" s="10" t="s">
        <v>94</v>
      </c>
      <c r="J145" s="42">
        <f>IF(ROUND(J143-Calc_RAB_NS!J$213,3)=0,0,1)</f>
        <v>0</v>
      </c>
      <c r="K145" s="42">
        <f>IF(ROUND(K143-Calc_RAB_NS!K$213,3)=0,0,1)</f>
        <v>0</v>
      </c>
      <c r="L145" s="42">
        <f>IF(ROUND(L143-Calc_RAB_NS!L$213,3)=0,0,1)</f>
        <v>0</v>
      </c>
      <c r="M145" s="42">
        <f>IF(ROUND(M143-Calc_RAB_NS!M$213,3)=0,0,1)</f>
        <v>0</v>
      </c>
      <c r="N145" s="42">
        <f>IF(ROUND(N143-Calc_RAB_NS!N$213,3)=0,0,1)</f>
        <v>0</v>
      </c>
      <c r="O145" s="42">
        <f>IF(ROUND(O143-Calc_RAB_NS!O$213,3)=0,0,1)</f>
        <v>0</v>
      </c>
      <c r="P145" s="42">
        <f>IF(ROUND(P143-Calc_RAB_NS!P$213,3)=0,0,1)</f>
        <v>0</v>
      </c>
      <c r="Q145" s="42">
        <f>IF(ROUND(Q143-Calc_RAB_NS!Q$213,3)=0,0,1)</f>
        <v>0</v>
      </c>
      <c r="R145" s="42">
        <f>IF(ROUND(R143-Calc_RAB_NS!R$213,3)=0,0,1)</f>
        <v>0</v>
      </c>
      <c r="S145" s="42">
        <f>IF(ROUND(S143-Calc_RAB_NS!S$213,3)=0,0,1)</f>
        <v>0</v>
      </c>
      <c r="T145" s="42">
        <f>IF(ROUND(T143-Calc_RAB_NS!T$213,3)=0,0,1)</f>
        <v>0</v>
      </c>
    </row>
    <row r="147" spans="1:20" s="8" customFormat="1" ht="14.1" x14ac:dyDescent="0.35">
      <c r="C147" s="8" t="s">
        <v>439</v>
      </c>
    </row>
    <row r="148" spans="1:20" ht="11.25" customHeight="1" x14ac:dyDescent="0.35"/>
    <row r="149" spans="1:20" ht="12.3" x14ac:dyDescent="0.35">
      <c r="D149" s="43" t="str">
        <f>D$16</f>
        <v>EB RIN categories</v>
      </c>
      <c r="E149" s="38" t="str">
        <f>Lookup!E$20</f>
        <v>Source</v>
      </c>
      <c r="F149" s="38" t="str">
        <f>Lookup!F$20</f>
        <v>Unit</v>
      </c>
      <c r="G149" s="38" t="str">
        <f>Lookup!G$20</f>
        <v>Basis</v>
      </c>
      <c r="H149" s="38" t="str">
        <f>Lookup!H$20</f>
        <v>Timing</v>
      </c>
      <c r="J149" s="47" t="str">
        <f t="shared" ref="J149:T149" si="46">J$10</f>
        <v>RY19</v>
      </c>
      <c r="K149" s="46" t="str">
        <f t="shared" si="46"/>
        <v>RY20</v>
      </c>
      <c r="L149" s="38" t="str">
        <f>L$10</f>
        <v>RY21</v>
      </c>
      <c r="M149" s="38" t="str">
        <f t="shared" si="46"/>
        <v>RY22</v>
      </c>
      <c r="N149" s="38" t="str">
        <f t="shared" si="46"/>
        <v>RY23</v>
      </c>
      <c r="O149" s="47" t="str">
        <f t="shared" si="46"/>
        <v>RY24</v>
      </c>
      <c r="P149" s="46" t="str">
        <f t="shared" si="46"/>
        <v>RY25</v>
      </c>
      <c r="Q149" s="38" t="str">
        <f>Q$10</f>
        <v>RY26</v>
      </c>
      <c r="R149" s="38" t="str">
        <f t="shared" si="46"/>
        <v>RY27</v>
      </c>
      <c r="S149" s="38" t="str">
        <f t="shared" si="46"/>
        <v>RY28</v>
      </c>
      <c r="T149" s="47" t="str">
        <f t="shared" si="46"/>
        <v>RY29</v>
      </c>
    </row>
    <row r="150" spans="1:20" x14ac:dyDescent="0.35">
      <c r="J150" s="49"/>
      <c r="K150" s="48"/>
      <c r="O150" s="49"/>
      <c r="P150" s="48"/>
      <c r="T150" s="49"/>
    </row>
    <row r="151" spans="1:20" ht="12.3" x14ac:dyDescent="0.35">
      <c r="D151" s="10" t="str">
        <f t="shared" ref="D151:E160" si="47">D18</f>
        <v>Overhead network assets less than 33kV</v>
      </c>
      <c r="E151" s="45" t="str">
        <f t="shared" si="47"/>
        <v>Calculated</v>
      </c>
      <c r="F151" s="45" t="str">
        <f t="shared" ref="F151:F160" si="48">Millions</f>
        <v>$Millions</v>
      </c>
      <c r="G151" s="45" t="str">
        <f t="shared" ref="G151:G160" si="49">Nominal</f>
        <v>Nominal</v>
      </c>
      <c r="H151" s="45" t="str">
        <f t="shared" ref="H151:H160" si="50">End_year</f>
        <v>End year</v>
      </c>
      <c r="J151" s="58">
        <f t="shared" ref="J151:T151" si="51">J113+J132</f>
        <v>61.20623533761254</v>
      </c>
      <c r="K151" s="56">
        <f t="shared" si="51"/>
        <v>62.838927055301163</v>
      </c>
      <c r="L151" s="57">
        <f t="shared" si="51"/>
        <v>64.038705539799537</v>
      </c>
      <c r="M151" s="57">
        <f t="shared" si="51"/>
        <v>70.106702618089344</v>
      </c>
      <c r="N151" s="57">
        <f t="shared" si="51"/>
        <v>82.465397781562217</v>
      </c>
      <c r="O151" s="58">
        <f t="shared" si="51"/>
        <v>91.274560842660946</v>
      </c>
      <c r="P151" s="56">
        <f t="shared" si="51"/>
        <v>97.923936415954429</v>
      </c>
      <c r="Q151" s="57">
        <f t="shared" si="51"/>
        <v>105.38333749212411</v>
      </c>
      <c r="R151" s="57">
        <f t="shared" si="51"/>
        <v>113.07706790162077</v>
      </c>
      <c r="S151" s="57">
        <f t="shared" si="51"/>
        <v>119.99303537483786</v>
      </c>
      <c r="T151" s="58">
        <f t="shared" si="51"/>
        <v>127.16271429272929</v>
      </c>
    </row>
    <row r="152" spans="1:20" ht="12.3" x14ac:dyDescent="0.35">
      <c r="D152" s="10" t="str">
        <f t="shared" si="47"/>
        <v>Underground network assets less than 33kV</v>
      </c>
      <c r="E152" s="45" t="str">
        <f t="shared" si="47"/>
        <v>Calculated</v>
      </c>
      <c r="F152" s="45" t="str">
        <f t="shared" si="48"/>
        <v>$Millions</v>
      </c>
      <c r="G152" s="45" t="str">
        <f t="shared" si="49"/>
        <v>Nominal</v>
      </c>
      <c r="H152" s="45" t="str">
        <f t="shared" si="50"/>
        <v>End year</v>
      </c>
      <c r="J152" s="58">
        <f t="shared" ref="J152:T160" si="52">J114+J133</f>
        <v>126.78648792821889</v>
      </c>
      <c r="K152" s="56">
        <f t="shared" si="52"/>
        <v>130.16854937364855</v>
      </c>
      <c r="L152" s="57">
        <f t="shared" si="52"/>
        <v>132.65384681928171</v>
      </c>
      <c r="M152" s="57">
        <f t="shared" si="52"/>
        <v>145.2234818257707</v>
      </c>
      <c r="N152" s="57">
        <f t="shared" si="52"/>
        <v>170.8240688657857</v>
      </c>
      <c r="O152" s="58">
        <f t="shared" si="52"/>
        <v>189.07192939736385</v>
      </c>
      <c r="P152" s="56">
        <f t="shared" si="52"/>
        <v>202.84586878774317</v>
      </c>
      <c r="Q152" s="57">
        <f t="shared" si="52"/>
        <v>218.29774651357917</v>
      </c>
      <c r="R152" s="57">
        <f t="shared" si="52"/>
        <v>234.23502892126183</v>
      </c>
      <c r="S152" s="57">
        <f t="shared" si="52"/>
        <v>248.56120372548395</v>
      </c>
      <c r="T152" s="58">
        <f t="shared" si="52"/>
        <v>263.41293254948874</v>
      </c>
    </row>
    <row r="153" spans="1:20" ht="12.3" x14ac:dyDescent="0.35">
      <c r="D153" s="10" t="str">
        <f t="shared" si="47"/>
        <v>Distribution substations and transformers</v>
      </c>
      <c r="E153" s="45" t="str">
        <f t="shared" si="47"/>
        <v>Calculated</v>
      </c>
      <c r="F153" s="45" t="str">
        <f t="shared" si="48"/>
        <v>$Millions</v>
      </c>
      <c r="G153" s="45" t="str">
        <f t="shared" si="49"/>
        <v>Nominal</v>
      </c>
      <c r="H153" s="45" t="str">
        <f t="shared" si="50"/>
        <v>End year</v>
      </c>
      <c r="J153" s="58">
        <f t="shared" si="52"/>
        <v>106.5287883866858</v>
      </c>
      <c r="K153" s="56">
        <f t="shared" si="52"/>
        <v>109.28006989112745</v>
      </c>
      <c r="L153" s="57">
        <f t="shared" si="52"/>
        <v>111.30584286162387</v>
      </c>
      <c r="M153" s="57">
        <f t="shared" si="52"/>
        <v>117.69873218959219</v>
      </c>
      <c r="N153" s="57">
        <f t="shared" si="52"/>
        <v>129.58708150323471</v>
      </c>
      <c r="O153" s="58">
        <f t="shared" si="52"/>
        <v>135.91593766418211</v>
      </c>
      <c r="P153" s="56">
        <f t="shared" si="52"/>
        <v>143.04897471338003</v>
      </c>
      <c r="Q153" s="57">
        <f t="shared" si="52"/>
        <v>150.60380559924835</v>
      </c>
      <c r="R153" s="57">
        <f t="shared" si="52"/>
        <v>158.55202043921298</v>
      </c>
      <c r="S153" s="57">
        <f t="shared" si="52"/>
        <v>166.89187459025916</v>
      </c>
      <c r="T153" s="58">
        <f t="shared" si="52"/>
        <v>175.66662273175226</v>
      </c>
    </row>
    <row r="154" spans="1:20" ht="12.3" x14ac:dyDescent="0.35">
      <c r="D154" s="10" t="str">
        <f t="shared" si="47"/>
        <v>Overhead network assets 33kV and above</v>
      </c>
      <c r="E154" s="45" t="str">
        <f t="shared" si="47"/>
        <v>Calculated</v>
      </c>
      <c r="F154" s="45" t="str">
        <f t="shared" si="48"/>
        <v>$Millions</v>
      </c>
      <c r="G154" s="45" t="str">
        <f t="shared" si="49"/>
        <v>Nominal</v>
      </c>
      <c r="H154" s="45" t="str">
        <f t="shared" si="50"/>
        <v>End year</v>
      </c>
      <c r="J154" s="58">
        <f t="shared" si="52"/>
        <v>118.46667024464533</v>
      </c>
      <c r="K154" s="56">
        <f t="shared" si="52"/>
        <v>116.92662676154043</v>
      </c>
      <c r="L154" s="57">
        <f t="shared" si="52"/>
        <v>114.5637827333488</v>
      </c>
      <c r="M154" s="57">
        <f t="shared" si="52"/>
        <v>115.64687455245625</v>
      </c>
      <c r="N154" s="57">
        <f t="shared" si="52"/>
        <v>122.17080133819033</v>
      </c>
      <c r="O154" s="58">
        <f t="shared" si="52"/>
        <v>129.27579651119797</v>
      </c>
      <c r="P154" s="56">
        <f t="shared" si="52"/>
        <v>129.94276586502178</v>
      </c>
      <c r="Q154" s="57">
        <f t="shared" si="52"/>
        <v>133.09131475498137</v>
      </c>
      <c r="R154" s="57">
        <f t="shared" si="52"/>
        <v>133.15610417171649</v>
      </c>
      <c r="S154" s="57">
        <f t="shared" si="52"/>
        <v>132.33488678273261</v>
      </c>
      <c r="T154" s="58">
        <f t="shared" si="52"/>
        <v>131.33534642459489</v>
      </c>
    </row>
    <row r="155" spans="1:20" ht="12.3" x14ac:dyDescent="0.35">
      <c r="D155" s="10" t="str">
        <f t="shared" si="47"/>
        <v>Underground network assets 33kV and above</v>
      </c>
      <c r="E155" s="45" t="str">
        <f t="shared" si="47"/>
        <v>Calculated</v>
      </c>
      <c r="F155" s="45" t="str">
        <f t="shared" si="48"/>
        <v>$Millions</v>
      </c>
      <c r="G155" s="45" t="str">
        <f t="shared" si="49"/>
        <v>Nominal</v>
      </c>
      <c r="H155" s="45" t="str">
        <f t="shared" si="50"/>
        <v>End year</v>
      </c>
      <c r="J155" s="58">
        <f t="shared" si="52"/>
        <v>59.27905692558334</v>
      </c>
      <c r="K155" s="56">
        <f t="shared" si="52"/>
        <v>58.508440809554067</v>
      </c>
      <c r="L155" s="57">
        <f t="shared" si="52"/>
        <v>57.326106863945611</v>
      </c>
      <c r="M155" s="57">
        <f t="shared" si="52"/>
        <v>57.86807078905565</v>
      </c>
      <c r="N155" s="57">
        <f t="shared" si="52"/>
        <v>61.132552068990577</v>
      </c>
      <c r="O155" s="58">
        <f t="shared" si="52"/>
        <v>64.687791803904574</v>
      </c>
      <c r="P155" s="56">
        <f t="shared" si="52"/>
        <v>65.021533895340852</v>
      </c>
      <c r="Q155" s="57">
        <f t="shared" si="52"/>
        <v>66.597023511917897</v>
      </c>
      <c r="R155" s="57">
        <f t="shared" si="52"/>
        <v>66.629443225537642</v>
      </c>
      <c r="S155" s="57">
        <f t="shared" si="52"/>
        <v>66.218517585023534</v>
      </c>
      <c r="T155" s="58">
        <f t="shared" si="52"/>
        <v>65.718361636796899</v>
      </c>
    </row>
    <row r="156" spans="1:20" ht="12.3" x14ac:dyDescent="0.35">
      <c r="D156" s="10" t="str">
        <f t="shared" si="47"/>
        <v>Zone substations and transformers</v>
      </c>
      <c r="E156" s="45" t="str">
        <f t="shared" si="47"/>
        <v>Calculated</v>
      </c>
      <c r="F156" s="45" t="str">
        <f t="shared" si="48"/>
        <v>$Millions</v>
      </c>
      <c r="G156" s="45" t="str">
        <f t="shared" si="49"/>
        <v>Nominal</v>
      </c>
      <c r="H156" s="45" t="str">
        <f t="shared" si="50"/>
        <v>End year</v>
      </c>
      <c r="J156" s="58">
        <f t="shared" si="52"/>
        <v>318.17126366848231</v>
      </c>
      <c r="K156" s="56">
        <f t="shared" si="52"/>
        <v>327.41798681760213</v>
      </c>
      <c r="L156" s="57">
        <f t="shared" si="52"/>
        <v>325.66292475029201</v>
      </c>
      <c r="M156" s="57">
        <f t="shared" si="52"/>
        <v>332.37283187466795</v>
      </c>
      <c r="N156" s="57">
        <f t="shared" si="52"/>
        <v>358.67792636580361</v>
      </c>
      <c r="O156" s="58">
        <f t="shared" si="52"/>
        <v>381.06791850757656</v>
      </c>
      <c r="P156" s="56">
        <f t="shared" si="52"/>
        <v>402.96189082118678</v>
      </c>
      <c r="Q156" s="57">
        <f t="shared" si="52"/>
        <v>413.17934920905304</v>
      </c>
      <c r="R156" s="57">
        <f t="shared" si="52"/>
        <v>408.64255862968884</v>
      </c>
      <c r="S156" s="57">
        <f t="shared" si="52"/>
        <v>399.5778523758562</v>
      </c>
      <c r="T156" s="58">
        <f t="shared" si="52"/>
        <v>387.58069532245389</v>
      </c>
    </row>
    <row r="157" spans="1:20" ht="12.3" x14ac:dyDescent="0.35">
      <c r="D157" s="10" t="str">
        <f t="shared" si="47"/>
        <v>Easements</v>
      </c>
      <c r="E157" s="45" t="str">
        <f t="shared" si="47"/>
        <v>Calculated</v>
      </c>
      <c r="F157" s="45" t="str">
        <f t="shared" si="48"/>
        <v>$Millions</v>
      </c>
      <c r="G157" s="45" t="str">
        <f t="shared" si="49"/>
        <v>Nominal</v>
      </c>
      <c r="H157" s="45" t="str">
        <f t="shared" si="50"/>
        <v>End year</v>
      </c>
      <c r="J157" s="58">
        <f t="shared" si="52"/>
        <v>45.815760921706001</v>
      </c>
      <c r="K157" s="56">
        <f t="shared" si="52"/>
        <v>46.658995785295687</v>
      </c>
      <c r="L157" s="57">
        <f t="shared" si="52"/>
        <v>47.060536196528865</v>
      </c>
      <c r="M157" s="57">
        <f t="shared" si="52"/>
        <v>48.706851882584907</v>
      </c>
      <c r="N157" s="57">
        <f t="shared" si="52"/>
        <v>52.603400033191697</v>
      </c>
      <c r="O157" s="58">
        <f t="shared" si="52"/>
        <v>55.251388665969486</v>
      </c>
      <c r="P157" s="56">
        <f t="shared" si="52"/>
        <v>56.864530337569484</v>
      </c>
      <c r="Q157" s="57">
        <f t="shared" si="52"/>
        <v>58.524769939474631</v>
      </c>
      <c r="R157" s="57">
        <f t="shared" si="52"/>
        <v>60.23348256172077</v>
      </c>
      <c r="S157" s="57">
        <f t="shared" si="52"/>
        <v>61.992083442023159</v>
      </c>
      <c r="T157" s="58">
        <f t="shared" si="52"/>
        <v>63.802029137944196</v>
      </c>
    </row>
    <row r="158" spans="1:20" ht="12.3" x14ac:dyDescent="0.35">
      <c r="D158" s="10" t="str">
        <f t="shared" si="47"/>
        <v>Meters</v>
      </c>
      <c r="E158" s="45" t="str">
        <f t="shared" si="47"/>
        <v>Calculated</v>
      </c>
      <c r="F158" s="45" t="str">
        <f t="shared" si="48"/>
        <v>$Millions</v>
      </c>
      <c r="G158" s="45" t="str">
        <f t="shared" si="49"/>
        <v>Nominal</v>
      </c>
      <c r="H158" s="45" t="str">
        <f t="shared" si="50"/>
        <v>End year</v>
      </c>
      <c r="J158" s="58">
        <f t="shared" si="52"/>
        <v>0</v>
      </c>
      <c r="K158" s="56">
        <f t="shared" si="52"/>
        <v>0</v>
      </c>
      <c r="L158" s="57">
        <f t="shared" si="52"/>
        <v>0</v>
      </c>
      <c r="M158" s="57">
        <f t="shared" si="52"/>
        <v>0</v>
      </c>
      <c r="N158" s="57">
        <f t="shared" si="52"/>
        <v>0</v>
      </c>
      <c r="O158" s="58">
        <f t="shared" si="52"/>
        <v>0</v>
      </c>
      <c r="P158" s="56">
        <f t="shared" si="52"/>
        <v>0</v>
      </c>
      <c r="Q158" s="57">
        <f t="shared" si="52"/>
        <v>0</v>
      </c>
      <c r="R158" s="57">
        <f t="shared" si="52"/>
        <v>0</v>
      </c>
      <c r="S158" s="57">
        <f t="shared" si="52"/>
        <v>0</v>
      </c>
      <c r="T158" s="58">
        <f t="shared" si="52"/>
        <v>0</v>
      </c>
    </row>
    <row r="159" spans="1:20" ht="12.3" x14ac:dyDescent="0.35">
      <c r="D159" s="10" t="str">
        <f t="shared" si="47"/>
        <v>“Other” asset items with long lives</v>
      </c>
      <c r="E159" s="45" t="str">
        <f t="shared" si="47"/>
        <v>Calculated</v>
      </c>
      <c r="F159" s="45" t="str">
        <f t="shared" si="48"/>
        <v>$Millions</v>
      </c>
      <c r="G159" s="45" t="str">
        <f t="shared" si="49"/>
        <v>Nominal</v>
      </c>
      <c r="H159" s="45" t="str">
        <f t="shared" si="50"/>
        <v>End year</v>
      </c>
      <c r="J159" s="58">
        <f t="shared" si="52"/>
        <v>23.043887610569833</v>
      </c>
      <c r="K159" s="56">
        <f t="shared" si="52"/>
        <v>28.757416893035817</v>
      </c>
      <c r="L159" s="57">
        <f t="shared" si="52"/>
        <v>29.262117856539479</v>
      </c>
      <c r="M159" s="57">
        <f t="shared" si="52"/>
        <v>34.69846069099178</v>
      </c>
      <c r="N159" s="57">
        <f t="shared" si="52"/>
        <v>57.958728795606547</v>
      </c>
      <c r="O159" s="58">
        <f t="shared" si="52"/>
        <v>85.471804488943135</v>
      </c>
      <c r="P159" s="56">
        <f t="shared" si="52"/>
        <v>102.13855280738885</v>
      </c>
      <c r="Q159" s="57">
        <f t="shared" si="52"/>
        <v>125.31481789154545</v>
      </c>
      <c r="R159" s="57">
        <f t="shared" si="52"/>
        <v>145.26010822362272</v>
      </c>
      <c r="S159" s="57">
        <f t="shared" si="52"/>
        <v>214.72422111062605</v>
      </c>
      <c r="T159" s="58">
        <f t="shared" si="52"/>
        <v>315.78179472102443</v>
      </c>
    </row>
    <row r="160" spans="1:20" ht="12.3" x14ac:dyDescent="0.35">
      <c r="D160" s="10" t="str">
        <f t="shared" si="47"/>
        <v>“Other” asset items with short lives</v>
      </c>
      <c r="E160" s="45" t="str">
        <f t="shared" si="47"/>
        <v>Calculated</v>
      </c>
      <c r="F160" s="45" t="str">
        <f t="shared" si="48"/>
        <v>$Millions</v>
      </c>
      <c r="G160" s="45" t="str">
        <f t="shared" si="49"/>
        <v>Nominal</v>
      </c>
      <c r="H160" s="45" t="str">
        <f t="shared" si="50"/>
        <v>End year</v>
      </c>
      <c r="J160" s="58">
        <f t="shared" si="52"/>
        <v>5.0879223472587896</v>
      </c>
      <c r="K160" s="56">
        <f t="shared" si="52"/>
        <v>23.207140261197104</v>
      </c>
      <c r="L160" s="57">
        <f t="shared" si="52"/>
        <v>24.912282670685393</v>
      </c>
      <c r="M160" s="57">
        <f t="shared" si="52"/>
        <v>35.117193966192374</v>
      </c>
      <c r="N160" s="57">
        <f t="shared" si="52"/>
        <v>35.458557884292944</v>
      </c>
      <c r="O160" s="58">
        <f t="shared" si="52"/>
        <v>37.993521199753474</v>
      </c>
      <c r="P160" s="56">
        <f t="shared" si="52"/>
        <v>38.535808151464018</v>
      </c>
      <c r="Q160" s="57">
        <f t="shared" si="52"/>
        <v>41.002258481296167</v>
      </c>
      <c r="R160" s="57">
        <f t="shared" si="52"/>
        <v>52.401128158605459</v>
      </c>
      <c r="S160" s="57">
        <f t="shared" si="52"/>
        <v>52.638006132966993</v>
      </c>
      <c r="T160" s="58">
        <f t="shared" si="52"/>
        <v>52.788115512311151</v>
      </c>
    </row>
    <row r="161" spans="1:20" x14ac:dyDescent="0.35">
      <c r="J161" s="49"/>
      <c r="K161" s="48"/>
      <c r="O161" s="49"/>
      <c r="P161" s="48"/>
      <c r="T161" s="49"/>
    </row>
    <row r="162" spans="1:20" ht="12.3" x14ac:dyDescent="0.35">
      <c r="D162" s="44" t="str">
        <f>"Total "&amp;D149</f>
        <v>Total EB RIN categories</v>
      </c>
      <c r="E162" s="40" t="s">
        <v>91</v>
      </c>
      <c r="F162" s="40" t="str">
        <f>F151</f>
        <v>$Millions</v>
      </c>
      <c r="G162" s="40" t="str">
        <f>G151</f>
        <v>Nominal</v>
      </c>
      <c r="H162" s="40" t="str">
        <f>H151</f>
        <v>End year</v>
      </c>
      <c r="J162" s="54">
        <f t="shared" ref="J162:T162" si="53">SUM(J151:J160)</f>
        <v>864.38607337076292</v>
      </c>
      <c r="K162" s="53">
        <f t="shared" si="53"/>
        <v>903.76415364830234</v>
      </c>
      <c r="L162" s="39">
        <f t="shared" si="53"/>
        <v>906.78614629204537</v>
      </c>
      <c r="M162" s="39">
        <f t="shared" si="53"/>
        <v>957.43920038940121</v>
      </c>
      <c r="N162" s="39">
        <f t="shared" si="53"/>
        <v>1070.8785146366583</v>
      </c>
      <c r="O162" s="54">
        <f t="shared" si="53"/>
        <v>1170.0106490815524</v>
      </c>
      <c r="P162" s="53">
        <f t="shared" si="53"/>
        <v>1239.2838617950492</v>
      </c>
      <c r="Q162" s="39">
        <f t="shared" si="53"/>
        <v>1311.9944233932204</v>
      </c>
      <c r="R162" s="39">
        <f t="shared" si="53"/>
        <v>1372.1869422329876</v>
      </c>
      <c r="S162" s="39">
        <f t="shared" si="53"/>
        <v>1462.9316811198094</v>
      </c>
      <c r="T162" s="54">
        <f t="shared" si="53"/>
        <v>1583.2486123290955</v>
      </c>
    </row>
    <row r="163" spans="1:20" ht="11.25" customHeight="1" x14ac:dyDescent="0.35"/>
    <row r="164" spans="1:20" ht="11.25" customHeight="1" x14ac:dyDescent="0.35">
      <c r="A164" s="42">
        <f>IF(SUM($J164:$T164)&lt;&gt;0,1,0)</f>
        <v>0</v>
      </c>
      <c r="D164" s="10" t="s">
        <v>94</v>
      </c>
      <c r="J164" s="42">
        <f>IF(ROUND(J162-Calc_RAB_NS!J$242,3)=0,0,1)</f>
        <v>0</v>
      </c>
      <c r="K164" s="42">
        <f>IF(ROUND(K162-Calc_RAB_NS!K$242,3)=0,0,1)</f>
        <v>0</v>
      </c>
      <c r="L164" s="42">
        <f>IF(ROUND(L162-Calc_RAB_NS!L$242,3)=0,0,1)</f>
        <v>0</v>
      </c>
      <c r="M164" s="42">
        <f>IF(ROUND(M162-Calc_RAB_NS!M$242,3)=0,0,1)</f>
        <v>0</v>
      </c>
      <c r="N164" s="42">
        <f>IF(ROUND(N162-Calc_RAB_NS!N$242,3)=0,0,1)</f>
        <v>0</v>
      </c>
      <c r="O164" s="42">
        <f>IF(ROUND(O162-Calc_RAB_NS!O$242,3)=0,0,1)</f>
        <v>0</v>
      </c>
      <c r="P164" s="42">
        <f>IF(ROUND(P162-Calc_RAB_NS!P$242,3)=0,0,1)</f>
        <v>0</v>
      </c>
      <c r="Q164" s="42">
        <f>IF(ROUND(Q162-Calc_RAB_NS!Q$242,3)=0,0,1)</f>
        <v>0</v>
      </c>
      <c r="R164" s="42">
        <f>IF(ROUND(R162-Calc_RAB_NS!R$242,3)=0,0,1)</f>
        <v>0</v>
      </c>
      <c r="S164" s="42">
        <f>IF(ROUND(S162-Calc_RAB_NS!S$242,3)=0,0,1)</f>
        <v>0</v>
      </c>
      <c r="T164" s="42">
        <f>IF(ROUND(T162-Calc_RAB_NS!T$242,3)=0,0,1)</f>
        <v>0</v>
      </c>
    </row>
    <row r="166" spans="1:20" s="2" customFormat="1" ht="15" x14ac:dyDescent="0.35">
      <c r="B166" s="2" t="s">
        <v>26</v>
      </c>
    </row>
  </sheetData>
  <conditionalFormatting sqref="B2">
    <cfRule type="cellIs" dxfId="11" priority="1" operator="notEqual">
      <formula>"No Errors Found"</formula>
    </cfRule>
  </conditionalFormatting>
  <hyperlinks>
    <hyperlink ref="B3:E3" location="TOC!A1" display="TOC!A1"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6" tint="0.59999389629810485"/>
  </sheetPr>
  <dimension ref="A1:T166"/>
  <sheetViews>
    <sheetView showGridLines="0" zoomScaleNormal="100" workbookViewId="0">
      <pane xSplit="1" ySplit="10" topLeftCell="B11" activePane="bottomRight" state="frozen"/>
      <selection activeCell="D44" sqref="D44"/>
      <selection pane="topRight" activeCell="D44" sqref="D44"/>
      <selection pane="bottomLeft" activeCell="D44" sqref="D44"/>
      <selection pane="bottomRight" activeCell="B11" sqref="B11"/>
    </sheetView>
  </sheetViews>
  <sheetFormatPr defaultColWidth="9.33203125" defaultRowHeight="10.199999999999999" outlineLevelRow="1" x14ac:dyDescent="0.35"/>
  <cols>
    <col min="1" max="1" width="3.33203125" customWidth="1"/>
    <col min="2" max="3" width="2.796875" customWidth="1"/>
    <col min="4" max="4" width="47.46484375" customWidth="1"/>
    <col min="5" max="8" width="12.1328125" customWidth="1"/>
    <col min="9" max="9" width="4.46484375" customWidth="1"/>
    <col min="10" max="20" width="12.796875" customWidth="1"/>
    <col min="21" max="21" width="4.33203125" customWidth="1"/>
    <col min="22" max="23" width="10.796875" customWidth="1"/>
  </cols>
  <sheetData>
    <row r="1" spans="1:20" ht="18.899999999999999" x14ac:dyDescent="0.35">
      <c r="A1" s="42">
        <f>IF(SUM($A11:$A165)&gt;0,1,0)</f>
        <v>0</v>
      </c>
      <c r="B1" s="3" t="s">
        <v>444</v>
      </c>
    </row>
    <row r="2" spans="1:20" x14ac:dyDescent="0.35">
      <c r="B2" s="13" t="str">
        <f>Title_Msg</f>
        <v>No Errors Found</v>
      </c>
    </row>
    <row r="3" spans="1:20" x14ac:dyDescent="0.35">
      <c r="B3" s="30" t="str">
        <f>TOC!B1</f>
        <v>Table of Contents</v>
      </c>
      <c r="C3" s="28"/>
      <c r="D3" s="28"/>
      <c r="E3" s="28"/>
    </row>
    <row r="4" spans="1:20" ht="12.3" x14ac:dyDescent="0.35">
      <c r="B4" s="27" t="str">
        <f>Model_Name</f>
        <v>Power and Water Corporation (PWC) - RAB Allocation - EB RIN</v>
      </c>
    </row>
    <row r="5" spans="1:20" ht="12.3" hidden="1" outlineLevel="1" x14ac:dyDescent="0.35">
      <c r="B5" s="10" t="str">
        <f>Lookup!B15</f>
        <v>Period start date</v>
      </c>
      <c r="J5" s="35">
        <f>Lookup!R15</f>
        <v>43282</v>
      </c>
      <c r="K5" s="35">
        <f>Lookup!S15</f>
        <v>43647</v>
      </c>
      <c r="L5" s="35">
        <f>Lookup!T15</f>
        <v>44013</v>
      </c>
      <c r="M5" s="35">
        <f>Lookup!U15</f>
        <v>44378</v>
      </c>
      <c r="N5" s="35">
        <f>Lookup!V15</f>
        <v>44743</v>
      </c>
      <c r="O5" s="35">
        <f>Lookup!W15</f>
        <v>45108</v>
      </c>
      <c r="P5" s="35">
        <f>Lookup!X15</f>
        <v>45474</v>
      </c>
      <c r="Q5" s="35">
        <f>Lookup!Y15</f>
        <v>45839</v>
      </c>
      <c r="R5" s="35">
        <f>Lookup!Z15</f>
        <v>46204</v>
      </c>
      <c r="S5" s="35">
        <f>Lookup!AA15</f>
        <v>46569</v>
      </c>
      <c r="T5" s="35">
        <f>Lookup!AB15</f>
        <v>46935</v>
      </c>
    </row>
    <row r="6" spans="1:20" ht="12.3" hidden="1" outlineLevel="1" x14ac:dyDescent="0.35">
      <c r="B6" s="10" t="str">
        <f>Lookup!B16</f>
        <v>Period end date</v>
      </c>
      <c r="J6" s="35">
        <f>Lookup!R16</f>
        <v>43646</v>
      </c>
      <c r="K6" s="35">
        <f>Lookup!S16</f>
        <v>44012</v>
      </c>
      <c r="L6" s="35">
        <f>Lookup!T16</f>
        <v>44377</v>
      </c>
      <c r="M6" s="35">
        <f>Lookup!U16</f>
        <v>44742</v>
      </c>
      <c r="N6" s="35">
        <f>Lookup!V16</f>
        <v>45107</v>
      </c>
      <c r="O6" s="35">
        <f>Lookup!W16</f>
        <v>45473</v>
      </c>
      <c r="P6" s="35">
        <f>Lookup!X16</f>
        <v>45838</v>
      </c>
      <c r="Q6" s="35">
        <f>Lookup!Y16</f>
        <v>46203</v>
      </c>
      <c r="R6" s="35">
        <f>Lookup!Z16</f>
        <v>46568</v>
      </c>
      <c r="S6" s="35">
        <f>Lookup!AA16</f>
        <v>46934</v>
      </c>
      <c r="T6" s="35">
        <f>Lookup!AB16</f>
        <v>47299</v>
      </c>
    </row>
    <row r="7" spans="1:20" ht="12.3" hidden="1" outlineLevel="1" x14ac:dyDescent="0.35">
      <c r="B7" s="10" t="str">
        <f>Lookup!B17</f>
        <v>Period counter</v>
      </c>
      <c r="J7" s="36">
        <f>Lookup!R17</f>
        <v>9</v>
      </c>
      <c r="K7" s="36">
        <f>Lookup!S17</f>
        <v>10</v>
      </c>
      <c r="L7" s="36">
        <f>Lookup!T17</f>
        <v>11</v>
      </c>
      <c r="M7" s="36">
        <f>Lookup!U17</f>
        <v>12</v>
      </c>
      <c r="N7" s="36">
        <f>Lookup!V17</f>
        <v>13</v>
      </c>
      <c r="O7" s="36">
        <f>Lookup!W17</f>
        <v>14</v>
      </c>
      <c r="P7" s="36">
        <f>Lookup!X17</f>
        <v>15</v>
      </c>
      <c r="Q7" s="36">
        <f>Lookup!Y17</f>
        <v>16</v>
      </c>
      <c r="R7" s="36">
        <f>Lookup!Z17</f>
        <v>17</v>
      </c>
      <c r="S7" s="36">
        <f>Lookup!AA17</f>
        <v>18</v>
      </c>
      <c r="T7" s="36">
        <f>Lookup!AB17</f>
        <v>19</v>
      </c>
    </row>
    <row r="8" spans="1:20" ht="12.3" hidden="1" outlineLevel="1" x14ac:dyDescent="0.35">
      <c r="B8" s="10" t="str">
        <f>Lookup!B18</f>
        <v>Year</v>
      </c>
      <c r="J8" s="37">
        <f>Lookup!R18</f>
        <v>2019</v>
      </c>
      <c r="K8" s="37">
        <f>Lookup!S18</f>
        <v>2020</v>
      </c>
      <c r="L8" s="37">
        <f>Lookup!T18</f>
        <v>2021</v>
      </c>
      <c r="M8" s="37">
        <f>Lookup!U18</f>
        <v>2022</v>
      </c>
      <c r="N8" s="37">
        <f>Lookup!V18</f>
        <v>2023</v>
      </c>
      <c r="O8" s="37">
        <f>Lookup!W18</f>
        <v>2024</v>
      </c>
      <c r="P8" s="37">
        <f>Lookup!X18</f>
        <v>2025</v>
      </c>
      <c r="Q8" s="37">
        <f>Lookup!Y18</f>
        <v>2026</v>
      </c>
      <c r="R8" s="37">
        <f>Lookup!Z18</f>
        <v>2027</v>
      </c>
      <c r="S8" s="37">
        <f>Lookup!AA18</f>
        <v>2028</v>
      </c>
      <c r="T8" s="37">
        <f>Lookup!AB18</f>
        <v>2029</v>
      </c>
    </row>
    <row r="9" spans="1:20" ht="12.3" hidden="1" outlineLevel="1" x14ac:dyDescent="0.35">
      <c r="B9" s="10" t="str">
        <f>Lookup!B19</f>
        <v>Period type</v>
      </c>
      <c r="J9" s="37" t="str">
        <f>Lookup!R19</f>
        <v>Actual</v>
      </c>
      <c r="K9" s="37" t="str">
        <f>Lookup!S19</f>
        <v>Actual</v>
      </c>
      <c r="L9" s="37" t="str">
        <f>Lookup!T19</f>
        <v>Actual</v>
      </c>
      <c r="M9" s="37" t="str">
        <f>Lookup!U19</f>
        <v>Base Year</v>
      </c>
      <c r="N9" s="37" t="str">
        <f>Lookup!V19</f>
        <v>Estimate</v>
      </c>
      <c r="O9" s="37" t="str">
        <f>Lookup!W19</f>
        <v>Estimate</v>
      </c>
      <c r="P9" s="37" t="str">
        <f>Lookup!X19</f>
        <v>Forecast</v>
      </c>
      <c r="Q9" s="37" t="str">
        <f>Lookup!Y19</f>
        <v>Forecast</v>
      </c>
      <c r="R9" s="37" t="str">
        <f>Lookup!Z19</f>
        <v>Forecast</v>
      </c>
      <c r="S9" s="37" t="str">
        <f>Lookup!AA19</f>
        <v>Forecast</v>
      </c>
      <c r="T9" s="37" t="str">
        <f>Lookup!AB19</f>
        <v>Forecast</v>
      </c>
    </row>
    <row r="10" spans="1:20" ht="12.3" collapsed="1" x14ac:dyDescent="0.35">
      <c r="B10" s="5" t="str">
        <f>Lookup!B20</f>
        <v>Regulatory year</v>
      </c>
      <c r="E10" s="34" t="str">
        <f>Lookup!E20</f>
        <v>Source</v>
      </c>
      <c r="F10" s="34" t="str">
        <f>Lookup!F20</f>
        <v>Unit</v>
      </c>
      <c r="G10" s="34" t="str">
        <f>Lookup!G20</f>
        <v>Basis</v>
      </c>
      <c r="H10" s="34" t="str">
        <f>Lookup!H20</f>
        <v>Timing</v>
      </c>
      <c r="I10" s="34"/>
      <c r="J10" s="34" t="str">
        <f>Lookup!R20</f>
        <v>RY19</v>
      </c>
      <c r="K10" s="34" t="str">
        <f>Lookup!S20</f>
        <v>RY20</v>
      </c>
      <c r="L10" s="34" t="str">
        <f>Lookup!T20</f>
        <v>RY21</v>
      </c>
      <c r="M10" s="34" t="str">
        <f>Lookup!U20</f>
        <v>RY22</v>
      </c>
      <c r="N10" s="34" t="str">
        <f>Lookup!V20</f>
        <v>RY23</v>
      </c>
      <c r="O10" s="34" t="str">
        <f>Lookup!W20</f>
        <v>RY24</v>
      </c>
      <c r="P10" s="34" t="str">
        <f>Lookup!X20</f>
        <v>RY25</v>
      </c>
      <c r="Q10" s="34" t="str">
        <f>Lookup!Y20</f>
        <v>RY26</v>
      </c>
      <c r="R10" s="34" t="str">
        <f>Lookup!Z20</f>
        <v>RY27</v>
      </c>
      <c r="S10" s="34" t="str">
        <f>Lookup!AA20</f>
        <v>RY28</v>
      </c>
      <c r="T10" s="34" t="str">
        <f>Lookup!AB20</f>
        <v>RY29</v>
      </c>
    </row>
    <row r="12" spans="1:20" s="2" customFormat="1" ht="15" x14ac:dyDescent="0.35">
      <c r="B12" s="2" t="s">
        <v>442</v>
      </c>
    </row>
    <row r="13" spans="1:20" ht="4.5" customHeight="1" x14ac:dyDescent="0.35"/>
    <row r="14" spans="1:20" s="8" customFormat="1" ht="14.1" x14ac:dyDescent="0.35">
      <c r="C14" s="8" t="s">
        <v>402</v>
      </c>
    </row>
    <row r="15" spans="1:20" ht="11.25" customHeight="1" x14ac:dyDescent="0.35"/>
    <row r="16" spans="1:20" ht="12.3" x14ac:dyDescent="0.35">
      <c r="D16" s="43" t="s">
        <v>443</v>
      </c>
      <c r="E16" s="38" t="str">
        <f>Lookup!E$20</f>
        <v>Source</v>
      </c>
      <c r="F16" s="38" t="str">
        <f>Lookup!F$20</f>
        <v>Unit</v>
      </c>
      <c r="G16" s="38" t="str">
        <f>Lookup!G$20</f>
        <v>Basis</v>
      </c>
      <c r="H16" s="38" t="str">
        <f>Lookup!H$20</f>
        <v>Timing</v>
      </c>
      <c r="J16" s="47" t="str">
        <f t="shared" ref="J16:T16" si="0">J$10</f>
        <v>RY19</v>
      </c>
      <c r="K16" s="46" t="str">
        <f t="shared" si="0"/>
        <v>RY20</v>
      </c>
      <c r="L16" s="38" t="str">
        <f t="shared" si="0"/>
        <v>RY21</v>
      </c>
      <c r="M16" s="38" t="str">
        <f t="shared" si="0"/>
        <v>RY22</v>
      </c>
      <c r="N16" s="38" t="str">
        <f t="shared" si="0"/>
        <v>RY23</v>
      </c>
      <c r="O16" s="47" t="str">
        <f t="shared" si="0"/>
        <v>RY24</v>
      </c>
      <c r="P16" s="46" t="str">
        <f t="shared" si="0"/>
        <v>RY25</v>
      </c>
      <c r="Q16" s="38" t="str">
        <f t="shared" si="0"/>
        <v>RY26</v>
      </c>
      <c r="R16" s="38" t="str">
        <f t="shared" si="0"/>
        <v>RY27</v>
      </c>
      <c r="S16" s="38" t="str">
        <f t="shared" si="0"/>
        <v>RY28</v>
      </c>
      <c r="T16" s="47" t="str">
        <f t="shared" si="0"/>
        <v>RY29</v>
      </c>
    </row>
    <row r="17" spans="1:20" x14ac:dyDescent="0.35">
      <c r="J17" s="49"/>
      <c r="K17" s="48"/>
      <c r="O17" s="49"/>
      <c r="P17" s="48"/>
      <c r="T17" s="49"/>
    </row>
    <row r="18" spans="1:20" ht="12.3" x14ac:dyDescent="0.35">
      <c r="D18" s="10" t="str">
        <f>Lookup!D106</f>
        <v>Overhead network assets less than 33kV</v>
      </c>
      <c r="E18" s="45" t="s">
        <v>91</v>
      </c>
      <c r="F18" s="45" t="str">
        <f t="shared" ref="F18:F27" si="1">Millions</f>
        <v>$Millions</v>
      </c>
      <c r="G18" s="45" t="str">
        <f t="shared" ref="G18:G27" si="2">Nominal</f>
        <v>Nominal</v>
      </c>
      <c r="H18" s="45" t="str">
        <f t="shared" ref="H18:H27" si="3">Start_year</f>
        <v>Start year</v>
      </c>
      <c r="J18" s="58">
        <f>SUMPRODUCT(Calc_Alloc!$E$11:$E$30,Input_RAB_SCS!$J$18:$J$37)</f>
        <v>81.203936986662754</v>
      </c>
      <c r="K18" s="56">
        <f t="shared" ref="K18:T18" si="4">J151</f>
        <v>81.482132359213509</v>
      </c>
      <c r="L18" s="57">
        <f t="shared" si="4"/>
        <v>83.227994811772021</v>
      </c>
      <c r="M18" s="57">
        <f t="shared" si="4"/>
        <v>84.635465429053355</v>
      </c>
      <c r="N18" s="57">
        <f t="shared" si="4"/>
        <v>91.292224462432841</v>
      </c>
      <c r="O18" s="58">
        <f t="shared" si="4"/>
        <v>104.83790856243229</v>
      </c>
      <c r="P18" s="56">
        <f t="shared" si="4"/>
        <v>114.49314630660011</v>
      </c>
      <c r="Q18" s="57">
        <f t="shared" si="4"/>
        <v>121.78116011280649</v>
      </c>
      <c r="R18" s="57">
        <f t="shared" si="4"/>
        <v>129.95699819413005</v>
      </c>
      <c r="S18" s="57">
        <f t="shared" si="4"/>
        <v>138.3896717328077</v>
      </c>
      <c r="T18" s="58">
        <f t="shared" si="4"/>
        <v>145.96988221610806</v>
      </c>
    </row>
    <row r="19" spans="1:20" ht="12.3" x14ac:dyDescent="0.35">
      <c r="D19" s="10" t="str">
        <f>Lookup!D107</f>
        <v>Underground network assets less than 33kV</v>
      </c>
      <c r="E19" s="45" t="str">
        <f>E18</f>
        <v>Calculated</v>
      </c>
      <c r="F19" s="45" t="str">
        <f t="shared" si="1"/>
        <v>$Millions</v>
      </c>
      <c r="G19" s="45" t="str">
        <f t="shared" si="2"/>
        <v>Nominal</v>
      </c>
      <c r="H19" s="45" t="str">
        <f t="shared" si="3"/>
        <v>Start year</v>
      </c>
      <c r="J19" s="58">
        <f>SUMPRODUCT(Calc_Alloc!$F$11:$F$30,Input_RAB_SCS!$J$18:$J$37)</f>
        <v>168.2109987600646</v>
      </c>
      <c r="K19" s="56">
        <f t="shared" ref="K19:T19" si="5">J152</f>
        <v>168.78727034496171</v>
      </c>
      <c r="L19" s="57">
        <f t="shared" si="5"/>
        <v>172.40376084702689</v>
      </c>
      <c r="M19" s="57">
        <f t="shared" si="5"/>
        <v>175.31928498346406</v>
      </c>
      <c r="N19" s="57">
        <f t="shared" si="5"/>
        <v>189.10851894257317</v>
      </c>
      <c r="O19" s="58">
        <f t="shared" si="5"/>
        <v>217.1679103452766</v>
      </c>
      <c r="P19" s="56">
        <f t="shared" si="5"/>
        <v>237.16838377649822</v>
      </c>
      <c r="Q19" s="57">
        <f t="shared" si="5"/>
        <v>252.26523901296866</v>
      </c>
      <c r="R19" s="57">
        <f t="shared" si="5"/>
        <v>269.20118990887022</v>
      </c>
      <c r="S19" s="57">
        <f t="shared" si="5"/>
        <v>286.66916610307266</v>
      </c>
      <c r="T19" s="58">
        <f t="shared" si="5"/>
        <v>302.37129611700146</v>
      </c>
    </row>
    <row r="20" spans="1:20" ht="12.3" x14ac:dyDescent="0.35">
      <c r="D20" s="10" t="str">
        <f>Lookup!D108</f>
        <v>Distribution substations and transformers</v>
      </c>
      <c r="E20" s="45" t="str">
        <f t="shared" ref="E20:E27" si="6">E19</f>
        <v>Calculated</v>
      </c>
      <c r="F20" s="45" t="str">
        <f t="shared" si="1"/>
        <v>$Millions</v>
      </c>
      <c r="G20" s="45" t="str">
        <f t="shared" si="2"/>
        <v>Nominal</v>
      </c>
      <c r="H20" s="45" t="str">
        <f t="shared" si="3"/>
        <v>Start year</v>
      </c>
      <c r="J20" s="58">
        <f>SUMPRODUCT(Calc_Alloc!$G$11:$G$30,Input_RAB_SCS!$J$18:$J$37)</f>
        <v>129.09793704814521</v>
      </c>
      <c r="K20" s="56">
        <f t="shared" ref="K20:T20" si="7">J153</f>
        <v>141.81876711597741</v>
      </c>
      <c r="L20" s="57">
        <f t="shared" si="7"/>
        <v>144.7607548917367</v>
      </c>
      <c r="M20" s="57">
        <f t="shared" si="7"/>
        <v>147.13720685357404</v>
      </c>
      <c r="N20" s="57">
        <f t="shared" si="7"/>
        <v>154.15038158558008</v>
      </c>
      <c r="O20" s="58">
        <f t="shared" si="7"/>
        <v>167.18054554245165</v>
      </c>
      <c r="P20" s="56">
        <f t="shared" si="7"/>
        <v>174.11725569967822</v>
      </c>
      <c r="Q20" s="57">
        <f t="shared" si="7"/>
        <v>181.93538417230215</v>
      </c>
      <c r="R20" s="57">
        <f t="shared" si="7"/>
        <v>190.21581760441333</v>
      </c>
      <c r="S20" s="57">
        <f t="shared" si="7"/>
        <v>198.92741749072647</v>
      </c>
      <c r="T20" s="58">
        <f t="shared" si="7"/>
        <v>208.06827162426234</v>
      </c>
    </row>
    <row r="21" spans="1:20" ht="12.3" x14ac:dyDescent="0.35">
      <c r="D21" s="10" t="str">
        <f>Lookup!D109</f>
        <v>Overhead network assets 33kV and above</v>
      </c>
      <c r="E21" s="45" t="str">
        <f t="shared" si="6"/>
        <v>Calculated</v>
      </c>
      <c r="F21" s="45" t="str">
        <f t="shared" si="1"/>
        <v>$Millions</v>
      </c>
      <c r="G21" s="45" t="str">
        <f t="shared" si="2"/>
        <v>Nominal</v>
      </c>
      <c r="H21" s="45" t="str">
        <f t="shared" si="3"/>
        <v>Start year</v>
      </c>
      <c r="J21" s="58">
        <f>SUMPRODUCT(Calc_Alloc!$H$11:$H$30,Input_RAB_SCS!$J$18:$J$37)</f>
        <v>119.51922575092475</v>
      </c>
      <c r="K21" s="56">
        <f t="shared" ref="K21:T21" si="8">J154</f>
        <v>118.46667024464533</v>
      </c>
      <c r="L21" s="57">
        <f t="shared" si="8"/>
        <v>116.92662676154043</v>
      </c>
      <c r="M21" s="57">
        <f t="shared" si="8"/>
        <v>114.5637827333488</v>
      </c>
      <c r="N21" s="57">
        <f t="shared" si="8"/>
        <v>115.64687455245625</v>
      </c>
      <c r="O21" s="58">
        <f t="shared" si="8"/>
        <v>122.17080133819033</v>
      </c>
      <c r="P21" s="56">
        <f t="shared" si="8"/>
        <v>129.27579651119797</v>
      </c>
      <c r="Q21" s="57">
        <f t="shared" si="8"/>
        <v>129.94276586502178</v>
      </c>
      <c r="R21" s="57">
        <f t="shared" si="8"/>
        <v>133.09131475498137</v>
      </c>
      <c r="S21" s="57">
        <f t="shared" si="8"/>
        <v>133.15610417171649</v>
      </c>
      <c r="T21" s="58">
        <f t="shared" si="8"/>
        <v>132.33488678273261</v>
      </c>
    </row>
    <row r="22" spans="1:20" ht="12.3" x14ac:dyDescent="0.35">
      <c r="D22" s="10" t="str">
        <f>Lookup!D110</f>
        <v>Underground network assets 33kV and above</v>
      </c>
      <c r="E22" s="45" t="str">
        <f t="shared" si="6"/>
        <v>Calculated</v>
      </c>
      <c r="F22" s="45" t="str">
        <f t="shared" si="1"/>
        <v>$Millions</v>
      </c>
      <c r="G22" s="45" t="str">
        <f t="shared" si="2"/>
        <v>Nominal</v>
      </c>
      <c r="H22" s="45" t="str">
        <f t="shared" si="3"/>
        <v>Start year</v>
      </c>
      <c r="J22" s="58">
        <f>SUMPRODUCT(Calc_Alloc!$I$11:$I$30,Input_RAB_SCS!$J$18:$J$37)</f>
        <v>59.80574090889462</v>
      </c>
      <c r="K22" s="56">
        <f t="shared" ref="K22:T22" si="9">J155</f>
        <v>59.27905692558334</v>
      </c>
      <c r="L22" s="57">
        <f t="shared" si="9"/>
        <v>58.508440809554067</v>
      </c>
      <c r="M22" s="57">
        <f t="shared" si="9"/>
        <v>57.326106863945611</v>
      </c>
      <c r="N22" s="57">
        <f t="shared" si="9"/>
        <v>57.86807078905565</v>
      </c>
      <c r="O22" s="58">
        <f t="shared" si="9"/>
        <v>61.132552068990577</v>
      </c>
      <c r="P22" s="56">
        <f t="shared" si="9"/>
        <v>64.687791803904574</v>
      </c>
      <c r="Q22" s="57">
        <f t="shared" si="9"/>
        <v>65.021533895340852</v>
      </c>
      <c r="R22" s="57">
        <f t="shared" si="9"/>
        <v>66.597023511917897</v>
      </c>
      <c r="S22" s="57">
        <f t="shared" si="9"/>
        <v>66.629443225537642</v>
      </c>
      <c r="T22" s="58">
        <f t="shared" si="9"/>
        <v>66.218517585023534</v>
      </c>
    </row>
    <row r="23" spans="1:20" ht="12.3" x14ac:dyDescent="0.35">
      <c r="D23" s="10" t="str">
        <f>Lookup!D111</f>
        <v>Zone substations and transformers</v>
      </c>
      <c r="E23" s="45" t="str">
        <f t="shared" si="6"/>
        <v>Calculated</v>
      </c>
      <c r="F23" s="45" t="str">
        <f t="shared" si="1"/>
        <v>$Millions</v>
      </c>
      <c r="G23" s="45" t="str">
        <f t="shared" si="2"/>
        <v>Nominal</v>
      </c>
      <c r="H23" s="45" t="str">
        <f t="shared" si="3"/>
        <v>Start year</v>
      </c>
      <c r="J23" s="58">
        <f>SUMPRODUCT(Calc_Alloc!$J$11:$J$30,Input_RAB_SCS!$J$18:$J$37)</f>
        <v>335.44314403487158</v>
      </c>
      <c r="K23" s="56">
        <f t="shared" ref="K23:T23" si="10">J156</f>
        <v>318.17126366848231</v>
      </c>
      <c r="L23" s="57">
        <f t="shared" si="10"/>
        <v>327.41798681760213</v>
      </c>
      <c r="M23" s="57">
        <f t="shared" si="10"/>
        <v>325.66292475029201</v>
      </c>
      <c r="N23" s="57">
        <f t="shared" si="10"/>
        <v>332.37283187466795</v>
      </c>
      <c r="O23" s="58">
        <f t="shared" si="10"/>
        <v>358.67792636580361</v>
      </c>
      <c r="P23" s="56">
        <f t="shared" si="10"/>
        <v>381.06791850757656</v>
      </c>
      <c r="Q23" s="57">
        <f t="shared" si="10"/>
        <v>402.96189082118678</v>
      </c>
      <c r="R23" s="57">
        <f t="shared" si="10"/>
        <v>413.17934920905304</v>
      </c>
      <c r="S23" s="57">
        <f t="shared" si="10"/>
        <v>408.64255862968884</v>
      </c>
      <c r="T23" s="58">
        <f t="shared" si="10"/>
        <v>399.5778523758562</v>
      </c>
    </row>
    <row r="24" spans="1:20" ht="12.3" x14ac:dyDescent="0.35">
      <c r="D24" s="10" t="str">
        <f>Lookup!D112</f>
        <v>Easements</v>
      </c>
      <c r="E24" s="45" t="str">
        <f t="shared" si="6"/>
        <v>Calculated</v>
      </c>
      <c r="F24" s="45" t="str">
        <f t="shared" si="1"/>
        <v>$Millions</v>
      </c>
      <c r="G24" s="45" t="str">
        <f t="shared" si="2"/>
        <v>Nominal</v>
      </c>
      <c r="H24" s="45" t="str">
        <f t="shared" si="3"/>
        <v>Start year</v>
      </c>
      <c r="J24" s="58">
        <f>SUMPRODUCT(Calc_Alloc!$K$11:$K$30,Input_RAB_SCS!$J$18:$J$37)</f>
        <v>37.011647544048387</v>
      </c>
      <c r="K24" s="56">
        <f t="shared" ref="K24:T24" si="11">J157</f>
        <v>45.815760921706001</v>
      </c>
      <c r="L24" s="57">
        <f t="shared" si="11"/>
        <v>46.658995785295687</v>
      </c>
      <c r="M24" s="57">
        <f t="shared" si="11"/>
        <v>47.060536196528865</v>
      </c>
      <c r="N24" s="57">
        <f t="shared" si="11"/>
        <v>48.706851882584907</v>
      </c>
      <c r="O24" s="58">
        <f t="shared" si="11"/>
        <v>52.603400033191697</v>
      </c>
      <c r="P24" s="56">
        <f t="shared" si="11"/>
        <v>55.251388665969486</v>
      </c>
      <c r="Q24" s="57">
        <f t="shared" si="11"/>
        <v>56.864530337569484</v>
      </c>
      <c r="R24" s="57">
        <f t="shared" si="11"/>
        <v>58.524769939474631</v>
      </c>
      <c r="S24" s="57">
        <f t="shared" si="11"/>
        <v>60.23348256172077</v>
      </c>
      <c r="T24" s="58">
        <f t="shared" si="11"/>
        <v>61.992083442023159</v>
      </c>
    </row>
    <row r="25" spans="1:20" ht="12.3" x14ac:dyDescent="0.35">
      <c r="D25" s="10" t="str">
        <f>Lookup!D113</f>
        <v>Meters</v>
      </c>
      <c r="E25" s="45" t="str">
        <f t="shared" si="6"/>
        <v>Calculated</v>
      </c>
      <c r="F25" s="45" t="str">
        <f t="shared" si="1"/>
        <v>$Millions</v>
      </c>
      <c r="G25" s="45" t="str">
        <f t="shared" si="2"/>
        <v>Nominal</v>
      </c>
      <c r="H25" s="45" t="str">
        <f t="shared" si="3"/>
        <v>Start year</v>
      </c>
      <c r="J25" s="58">
        <f>SUMPRODUCT(Calc_Alloc!$L$11:$L$30,Input_RAB_SCS!$J$18:$J$37)</f>
        <v>0</v>
      </c>
      <c r="K25" s="56">
        <f t="shared" ref="K25:T25" si="12">J158</f>
        <v>0</v>
      </c>
      <c r="L25" s="57">
        <f t="shared" si="12"/>
        <v>0</v>
      </c>
      <c r="M25" s="57">
        <f t="shared" si="12"/>
        <v>0</v>
      </c>
      <c r="N25" s="57">
        <f t="shared" si="12"/>
        <v>0</v>
      </c>
      <c r="O25" s="58">
        <f t="shared" si="12"/>
        <v>0</v>
      </c>
      <c r="P25" s="56">
        <f t="shared" si="12"/>
        <v>0</v>
      </c>
      <c r="Q25" s="57">
        <f t="shared" si="12"/>
        <v>0</v>
      </c>
      <c r="R25" s="57">
        <f t="shared" si="12"/>
        <v>0</v>
      </c>
      <c r="S25" s="57">
        <f t="shared" si="12"/>
        <v>0</v>
      </c>
      <c r="T25" s="58">
        <f t="shared" si="12"/>
        <v>0</v>
      </c>
    </row>
    <row r="26" spans="1:20" ht="12.3" x14ac:dyDescent="0.35">
      <c r="D26" s="10" t="str">
        <f>Lookup!D114</f>
        <v>“Other” asset items with long lives</v>
      </c>
      <c r="E26" s="45" t="str">
        <f t="shared" si="6"/>
        <v>Calculated</v>
      </c>
      <c r="F26" s="45" t="str">
        <f t="shared" si="1"/>
        <v>$Millions</v>
      </c>
      <c r="G26" s="45" t="str">
        <f t="shared" si="2"/>
        <v>Nominal</v>
      </c>
      <c r="H26" s="45" t="str">
        <f t="shared" si="3"/>
        <v>Start year</v>
      </c>
      <c r="J26" s="58">
        <f>SUMPRODUCT(Calc_Alloc!$M$11:$M$30,Input_RAB_SCS!$J$18:$J$37)</f>
        <v>7.8469175236856543</v>
      </c>
      <c r="K26" s="56">
        <f t="shared" ref="K26:T26" si="13">J159</f>
        <v>23.043887610569833</v>
      </c>
      <c r="L26" s="57">
        <f t="shared" si="13"/>
        <v>28.757416893035817</v>
      </c>
      <c r="M26" s="57">
        <f t="shared" si="13"/>
        <v>29.262117856539479</v>
      </c>
      <c r="N26" s="57">
        <f t="shared" si="13"/>
        <v>34.69846069099178</v>
      </c>
      <c r="O26" s="58">
        <f t="shared" si="13"/>
        <v>57.958728795606547</v>
      </c>
      <c r="P26" s="56">
        <f t="shared" si="13"/>
        <v>85.471804488943135</v>
      </c>
      <c r="Q26" s="57">
        <f t="shared" si="13"/>
        <v>102.13855280738885</v>
      </c>
      <c r="R26" s="57">
        <f t="shared" si="13"/>
        <v>125.31481789154545</v>
      </c>
      <c r="S26" s="57">
        <f t="shared" si="13"/>
        <v>145.26010822362272</v>
      </c>
      <c r="T26" s="58">
        <f t="shared" si="13"/>
        <v>214.72422111062605</v>
      </c>
    </row>
    <row r="27" spans="1:20" ht="12.3" x14ac:dyDescent="0.35">
      <c r="D27" s="10" t="str">
        <f>Lookup!D115</f>
        <v>“Other” asset items with short lives</v>
      </c>
      <c r="E27" s="45" t="str">
        <f t="shared" si="6"/>
        <v>Calculated</v>
      </c>
      <c r="F27" s="45" t="str">
        <f t="shared" si="1"/>
        <v>$Millions</v>
      </c>
      <c r="G27" s="45" t="str">
        <f t="shared" si="2"/>
        <v>Nominal</v>
      </c>
      <c r="H27" s="45" t="str">
        <f t="shared" si="3"/>
        <v>Start year</v>
      </c>
      <c r="J27" s="58">
        <f>SUMPRODUCT(Calc_Alloc!$N$11:$N$30,Input_RAB_SCS!$J$18:$J$37)</f>
        <v>5.9512850147387919</v>
      </c>
      <c r="K27" s="56">
        <f t="shared" ref="K27:T27" si="14">J160</f>
        <v>5.0879223472587896</v>
      </c>
      <c r="L27" s="57">
        <f t="shared" si="14"/>
        <v>23.207140261197104</v>
      </c>
      <c r="M27" s="57">
        <f t="shared" si="14"/>
        <v>24.912282670685393</v>
      </c>
      <c r="N27" s="57">
        <f t="shared" si="14"/>
        <v>35.117193966192374</v>
      </c>
      <c r="O27" s="58">
        <f t="shared" si="14"/>
        <v>35.458557884292944</v>
      </c>
      <c r="P27" s="56">
        <f t="shared" si="14"/>
        <v>37.993521199753474</v>
      </c>
      <c r="Q27" s="57">
        <f t="shared" si="14"/>
        <v>38.535808151464018</v>
      </c>
      <c r="R27" s="57">
        <f t="shared" si="14"/>
        <v>41.002258481296167</v>
      </c>
      <c r="S27" s="57">
        <f t="shared" si="14"/>
        <v>52.401128158605459</v>
      </c>
      <c r="T27" s="58">
        <f t="shared" si="14"/>
        <v>52.638006132966993</v>
      </c>
    </row>
    <row r="28" spans="1:20" x14ac:dyDescent="0.35">
      <c r="J28" s="49"/>
      <c r="K28" s="48"/>
      <c r="O28" s="49"/>
      <c r="P28" s="48"/>
      <c r="T28" s="49"/>
    </row>
    <row r="29" spans="1:20" ht="12.3" x14ac:dyDescent="0.35">
      <c r="D29" s="44" t="str">
        <f>"Total "&amp;D16</f>
        <v>Total EB RIN categories</v>
      </c>
      <c r="E29" s="40" t="s">
        <v>91</v>
      </c>
      <c r="F29" s="40" t="str">
        <f>F18</f>
        <v>$Millions</v>
      </c>
      <c r="G29" s="40" t="str">
        <f>G18</f>
        <v>Nominal</v>
      </c>
      <c r="H29" s="40" t="str">
        <f>H18</f>
        <v>Start year</v>
      </c>
      <c r="J29" s="54">
        <f t="shared" ref="J29:T29" si="15">SUM(J18:J27)</f>
        <v>944.09083357203633</v>
      </c>
      <c r="K29" s="53">
        <f t="shared" si="15"/>
        <v>961.95273153839821</v>
      </c>
      <c r="L29" s="39">
        <f t="shared" si="15"/>
        <v>1001.8691178787608</v>
      </c>
      <c r="M29" s="39">
        <f t="shared" si="15"/>
        <v>1005.8797083374317</v>
      </c>
      <c r="N29" s="39">
        <f t="shared" si="15"/>
        <v>1058.961408746535</v>
      </c>
      <c r="O29" s="54">
        <f t="shared" si="15"/>
        <v>1177.1883309362363</v>
      </c>
      <c r="P29" s="53">
        <f t="shared" si="15"/>
        <v>1279.527006960122</v>
      </c>
      <c r="Q29" s="39">
        <f t="shared" si="15"/>
        <v>1351.446865176049</v>
      </c>
      <c r="R29" s="39">
        <f t="shared" si="15"/>
        <v>1427.0835394956823</v>
      </c>
      <c r="S29" s="39">
        <f t="shared" si="15"/>
        <v>1490.3090802974987</v>
      </c>
      <c r="T29" s="54">
        <f t="shared" si="15"/>
        <v>1583.8950173866003</v>
      </c>
    </row>
    <row r="30" spans="1:20" ht="11.25" customHeight="1" x14ac:dyDescent="0.35"/>
    <row r="31" spans="1:20" ht="11.25" customHeight="1" x14ac:dyDescent="0.35">
      <c r="A31" s="42">
        <f>IF(SUM($J31:$T31)&lt;&gt;0,1,0)</f>
        <v>0</v>
      </c>
      <c r="D31" s="10" t="s">
        <v>94</v>
      </c>
      <c r="J31" s="42">
        <f>IF(ROUND(J29-Input_RAB_SCS!J$39,3)=0,0,1)</f>
        <v>0</v>
      </c>
      <c r="K31" s="42">
        <f>IF(ROUND(K29-Input_RAB_SCS!K$39,3)=0,0,1)</f>
        <v>0</v>
      </c>
      <c r="L31" s="42">
        <f>IF(ROUND(L29-Input_RAB_SCS!L$39,3)=0,0,1)</f>
        <v>0</v>
      </c>
      <c r="M31" s="42">
        <f>IF(ROUND(M29-Input_RAB_SCS!M$39,3)=0,0,1)</f>
        <v>0</v>
      </c>
      <c r="N31" s="42">
        <f>IF(ROUND(N29-Input_RAB_SCS!N$39,3)=0,0,1)</f>
        <v>0</v>
      </c>
      <c r="O31" s="42">
        <f>IF(ROUND(O29-Input_RAB_SCS!O$39,3)=0,0,1)</f>
        <v>0</v>
      </c>
      <c r="P31" s="42">
        <f>IF(ROUND(P29-Input_RAB_SCS!P$39,3)=0,0,1)</f>
        <v>0</v>
      </c>
      <c r="Q31" s="42">
        <f>IF(ROUND(Q29-Input_RAB_SCS!Q$39,3)=0,0,1)</f>
        <v>0</v>
      </c>
      <c r="R31" s="42">
        <f>IF(ROUND(R29-Input_RAB_SCS!R$39,3)=0,0,1)</f>
        <v>0</v>
      </c>
      <c r="S31" s="42">
        <f>IF(ROUND(S29-Input_RAB_SCS!S$39,3)=0,0,1)</f>
        <v>0</v>
      </c>
      <c r="T31" s="42">
        <f>IF(ROUND(T29-Input_RAB_SCS!T$39,3)=0,0,1)</f>
        <v>0</v>
      </c>
    </row>
    <row r="32" spans="1:20" ht="11.25" customHeight="1" x14ac:dyDescent="0.35">
      <c r="N32" s="5"/>
      <c r="S32" s="5"/>
    </row>
    <row r="33" spans="3:20" s="8" customFormat="1" ht="14.1" x14ac:dyDescent="0.35">
      <c r="C33" s="8" t="s">
        <v>125</v>
      </c>
    </row>
    <row r="34" spans="3:20" ht="11.25" customHeight="1" x14ac:dyDescent="0.35"/>
    <row r="35" spans="3:20" ht="12.3" x14ac:dyDescent="0.35">
      <c r="D35" s="43" t="str">
        <f>D$16</f>
        <v>EB RIN categories</v>
      </c>
      <c r="E35" s="38" t="str">
        <f>Lookup!E$20</f>
        <v>Source</v>
      </c>
      <c r="F35" s="38" t="str">
        <f>Lookup!F$20</f>
        <v>Unit</v>
      </c>
      <c r="G35" s="38" t="str">
        <f>Lookup!G$20</f>
        <v>Basis</v>
      </c>
      <c r="H35" s="38" t="str">
        <f>Lookup!H$20</f>
        <v>Timing</v>
      </c>
      <c r="J35" s="47" t="str">
        <f t="shared" ref="J35:T35" si="16">J$10</f>
        <v>RY19</v>
      </c>
      <c r="K35" s="46" t="str">
        <f t="shared" si="16"/>
        <v>RY20</v>
      </c>
      <c r="L35" s="38" t="str">
        <f t="shared" si="16"/>
        <v>RY21</v>
      </c>
      <c r="M35" s="38" t="str">
        <f t="shared" si="16"/>
        <v>RY22</v>
      </c>
      <c r="N35" s="38" t="str">
        <f t="shared" si="16"/>
        <v>RY23</v>
      </c>
      <c r="O35" s="47" t="str">
        <f t="shared" si="16"/>
        <v>RY24</v>
      </c>
      <c r="P35" s="46" t="str">
        <f t="shared" si="16"/>
        <v>RY25</v>
      </c>
      <c r="Q35" s="38" t="str">
        <f t="shared" si="16"/>
        <v>RY26</v>
      </c>
      <c r="R35" s="38" t="str">
        <f t="shared" si="16"/>
        <v>RY27</v>
      </c>
      <c r="S35" s="38" t="str">
        <f t="shared" si="16"/>
        <v>RY28</v>
      </c>
      <c r="T35" s="47" t="str">
        <f t="shared" si="16"/>
        <v>RY29</v>
      </c>
    </row>
    <row r="36" spans="3:20" x14ac:dyDescent="0.35">
      <c r="J36" s="49"/>
      <c r="K36" s="48"/>
      <c r="O36" s="49"/>
      <c r="P36" s="48"/>
      <c r="T36" s="49"/>
    </row>
    <row r="37" spans="3:20" ht="12.3" x14ac:dyDescent="0.35">
      <c r="D37" s="10" t="str">
        <f t="shared" ref="D37:E46" si="17">D18</f>
        <v>Overhead network assets less than 33kV</v>
      </c>
      <c r="E37" s="45" t="str">
        <f t="shared" si="17"/>
        <v>Calculated</v>
      </c>
      <c r="F37" s="45" t="str">
        <f t="shared" ref="F37:F46" si="18">Millions</f>
        <v>$Millions</v>
      </c>
      <c r="G37" s="45" t="str">
        <f t="shared" ref="G37:G46" si="19">Nominal</f>
        <v>Nominal</v>
      </c>
      <c r="H37" s="45" t="str">
        <f t="shared" ref="H37:H46" si="20">End_year</f>
        <v>End year</v>
      </c>
      <c r="J37" s="58">
        <f>SUMPRODUCT((Calc_Alloc!$E$11:$E$30)*(Input_RAB_SCS!J$47:J$66))</f>
        <v>1.4487767526612532</v>
      </c>
      <c r="K37" s="56">
        <f>SUMPRODUCT((Calc_Alloc!$E$11:$E$30)*(Input_RAB_SCS!K$47:K$66))</f>
        <v>1.4996711477155953</v>
      </c>
      <c r="L37" s="57">
        <f>SUMPRODUCT((Calc_Alloc!$E$11:$E$30)*(Input_RAB_SCS!L$47:L$66))</f>
        <v>0.71624780388788145</v>
      </c>
      <c r="M37" s="57">
        <f>SUMPRODUCT((Calc_Alloc!$E$11:$E$30)*(Input_RAB_SCS!M$47:M$66))</f>
        <v>2.9607969987979343</v>
      </c>
      <c r="N37" s="57">
        <f>SUMPRODUCT((Calc_Alloc!$E$11:$E$30)*(Input_RAB_SCS!N$47:N$66))</f>
        <v>7.3033779569946278</v>
      </c>
      <c r="O37" s="58">
        <f>SUMPRODUCT((Calc_Alloc!$E$11:$E$30)*(Input_RAB_SCS!O$47:O$66))</f>
        <v>4.9273817024343183</v>
      </c>
      <c r="P37" s="56">
        <f>SUMPRODUCT((Calc_Alloc!$E$11:$E$30)*(Input_RAB_SCS!P$47:P$66))</f>
        <v>3.3427877539217161</v>
      </c>
      <c r="Q37" s="57">
        <f>SUMPRODUCT((Calc_Alloc!$E$11:$E$30)*(Input_RAB_SCS!Q$47:Q$66))</f>
        <v>3.5555715238476431</v>
      </c>
      <c r="R37" s="57">
        <f>SUMPRODUCT((Calc_Alloc!$E$11:$E$30)*(Input_RAB_SCS!R$47:R$66))</f>
        <v>3.7942765668823437</v>
      </c>
      <c r="S37" s="57">
        <f>SUMPRODUCT((Calc_Alloc!$E$11:$E$30)*(Input_RAB_SCS!S$47:S$66))</f>
        <v>4.0404802807922158</v>
      </c>
      <c r="T37" s="58">
        <f>SUMPRODUCT((Calc_Alloc!$E$11:$E$30)*(Input_RAB_SCS!T$47:T$66))</f>
        <v>4.2617951419269637</v>
      </c>
    </row>
    <row r="38" spans="3:20" ht="12.3" x14ac:dyDescent="0.35">
      <c r="D38" s="10" t="str">
        <f t="shared" si="17"/>
        <v>Underground network assets less than 33kV</v>
      </c>
      <c r="E38" s="45" t="str">
        <f t="shared" si="17"/>
        <v>Calculated</v>
      </c>
      <c r="F38" s="45" t="str">
        <f t="shared" si="18"/>
        <v>$Millions</v>
      </c>
      <c r="G38" s="45" t="str">
        <f t="shared" si="19"/>
        <v>Nominal</v>
      </c>
      <c r="H38" s="45" t="str">
        <f t="shared" si="20"/>
        <v>End year</v>
      </c>
      <c r="J38" s="58">
        <f>SUMPRODUCT((Calc_Alloc!$F$11:$F$30)*(Input_RAB_SCS!J$47:J$66))</f>
        <v>3.0010882918834185</v>
      </c>
      <c r="K38" s="56">
        <f>SUMPRODUCT((Calc_Alloc!$F$11:$F$30)*(Input_RAB_SCS!K$47:K$66))</f>
        <v>3.1065141781281489</v>
      </c>
      <c r="L38" s="57">
        <f>SUMPRODUCT((Calc_Alloc!$F$11:$F$30)*(Input_RAB_SCS!L$47:L$66))</f>
        <v>1.4836812465320697</v>
      </c>
      <c r="M38" s="57">
        <f>SUMPRODUCT((Calc_Alloc!$F$11:$F$30)*(Input_RAB_SCS!M$47:M$66))</f>
        <v>6.1331831777491539</v>
      </c>
      <c r="N38" s="57">
        <f>SUMPRODUCT((Calc_Alloc!$F$11:$F$30)*(Input_RAB_SCS!N$47:N$66))</f>
        <v>15.128681515405852</v>
      </c>
      <c r="O38" s="58">
        <f>SUMPRODUCT((Calc_Alloc!$F$11:$F$30)*(Input_RAB_SCS!O$47:O$66))</f>
        <v>10.206891786228001</v>
      </c>
      <c r="P38" s="56">
        <f>SUMPRODUCT((Calc_Alloc!$F$11:$F$30)*(Input_RAB_SCS!P$47:P$66))</f>
        <v>6.9244631183638079</v>
      </c>
      <c r="Q38" s="57">
        <f>SUMPRODUCT((Calc_Alloc!$F$11:$F$30)*(Input_RAB_SCS!Q$47:Q$66))</f>
        <v>7.3652369501184261</v>
      </c>
      <c r="R38" s="57">
        <f>SUMPRODUCT((Calc_Alloc!$F$11:$F$30)*(Input_RAB_SCS!R$47:R$66))</f>
        <v>7.859705755301186</v>
      </c>
      <c r="S38" s="57">
        <f>SUMPRODUCT((Calc_Alloc!$F$11:$F$30)*(Input_RAB_SCS!S$47:S$66))</f>
        <v>8.3697077841685648</v>
      </c>
      <c r="T38" s="58">
        <f>SUMPRODUCT((Calc_Alloc!$F$11:$F$30)*(Input_RAB_SCS!T$47:T$66))</f>
        <v>8.8281534607376138</v>
      </c>
    </row>
    <row r="39" spans="3:20" ht="12.3" x14ac:dyDescent="0.35">
      <c r="D39" s="10" t="str">
        <f t="shared" si="17"/>
        <v>Distribution substations and transformers</v>
      </c>
      <c r="E39" s="45" t="str">
        <f t="shared" si="17"/>
        <v>Calculated</v>
      </c>
      <c r="F39" s="45" t="str">
        <f t="shared" si="18"/>
        <v>$Millions</v>
      </c>
      <c r="G39" s="45" t="str">
        <f t="shared" si="19"/>
        <v>Nominal</v>
      </c>
      <c r="H39" s="45" t="str">
        <f t="shared" si="20"/>
        <v>End year</v>
      </c>
      <c r="J39" s="58">
        <f>SUMPRODUCT((Calc_Alloc!$G$11:$G$30)*(Input_RAB_SCS!J$47:J$66))</f>
        <v>2.3032638188786079</v>
      </c>
      <c r="K39" s="56">
        <f>SUMPRODUCT((Calc_Alloc!$G$11:$G$30)*(Input_RAB_SCS!K$47:K$66))</f>
        <v>2.6101613579627907</v>
      </c>
      <c r="L39" s="57">
        <f>SUMPRODUCT((Calc_Alloc!$G$11:$G$30)*(Input_RAB_SCS!L$47:L$66))</f>
        <v>1.2457896290166641</v>
      </c>
      <c r="M39" s="57">
        <f>SUMPRODUCT((Calc_Alloc!$G$11:$G$30)*(Input_RAB_SCS!M$47:M$66))</f>
        <v>5.1472913660379884</v>
      </c>
      <c r="N39" s="57">
        <f>SUMPRODUCT((Calc_Alloc!$G$11:$G$30)*(Input_RAB_SCS!N$47:N$66))</f>
        <v>12.33203052684641</v>
      </c>
      <c r="O39" s="58">
        <f>SUMPRODUCT((Calc_Alloc!$G$11:$G$30)*(Input_RAB_SCS!O$47:O$66))</f>
        <v>7.857485640495228</v>
      </c>
      <c r="P39" s="56">
        <f>SUMPRODUCT((Calc_Alloc!$G$11:$G$30)*(Input_RAB_SCS!P$47:P$66))</f>
        <v>5.083597131139264</v>
      </c>
      <c r="Q39" s="57">
        <f>SUMPRODUCT((Calc_Alloc!$G$11:$G$30)*(Input_RAB_SCS!Q$47:Q$66))</f>
        <v>5.3118583411761442</v>
      </c>
      <c r="R39" s="57">
        <f>SUMPRODUCT((Calc_Alloc!$G$11:$G$30)*(Input_RAB_SCS!R$47:R$66))</f>
        <v>5.55361719196274</v>
      </c>
      <c r="S39" s="57">
        <f>SUMPRODUCT((Calc_Alloc!$G$11:$G$30)*(Input_RAB_SCS!S$47:S$66))</f>
        <v>5.8079645512278137</v>
      </c>
      <c r="T39" s="58">
        <f>SUMPRODUCT((Calc_Alloc!$G$11:$G$30)*(Input_RAB_SCS!T$47:T$66))</f>
        <v>6.0748445894105618</v>
      </c>
    </row>
    <row r="40" spans="3:20" ht="12.3" x14ac:dyDescent="0.35">
      <c r="D40" s="10" t="str">
        <f t="shared" si="17"/>
        <v>Overhead network assets 33kV and above</v>
      </c>
      <c r="E40" s="45" t="str">
        <f t="shared" si="17"/>
        <v>Calculated</v>
      </c>
      <c r="F40" s="45" t="str">
        <f t="shared" si="18"/>
        <v>$Millions</v>
      </c>
      <c r="G40" s="45" t="str">
        <f t="shared" si="19"/>
        <v>Nominal</v>
      </c>
      <c r="H40" s="45" t="str">
        <f t="shared" si="20"/>
        <v>End year</v>
      </c>
      <c r="J40" s="58">
        <f>SUMPRODUCT((Calc_Alloc!$H$11:$H$30)*(Input_RAB_SCS!J$47:J$66))</f>
        <v>2.1323679884197224</v>
      </c>
      <c r="K40" s="56">
        <f>SUMPRODUCT((Calc_Alloc!$H$11:$H$30)*(Input_RAB_SCS!K$47:K$66))</f>
        <v>2.1803681640118913</v>
      </c>
      <c r="L40" s="57">
        <f>SUMPRODUCT((Calc_Alloc!$H$11:$H$30)*(Input_RAB_SCS!L$47:L$66))</f>
        <v>1.0062532423540462</v>
      </c>
      <c r="M40" s="57">
        <f>SUMPRODUCT((Calc_Alloc!$H$11:$H$30)*(Input_RAB_SCS!M$47:M$66))</f>
        <v>4.0077773823099729</v>
      </c>
      <c r="N40" s="57">
        <f>SUMPRODUCT((Calc_Alloc!$H$11:$H$30)*(Input_RAB_SCS!N$47:N$66))</f>
        <v>9.2517499641964989</v>
      </c>
      <c r="O40" s="58">
        <f>SUMPRODUCT((Calc_Alloc!$H$11:$H$30)*(Input_RAB_SCS!O$47:O$66))</f>
        <v>5.7420276628949463</v>
      </c>
      <c r="P40" s="56">
        <f>SUMPRODUCT((Calc_Alloc!$H$11:$H$30)*(Input_RAB_SCS!P$47:P$66))</f>
        <v>3.774387929727081</v>
      </c>
      <c r="Q40" s="57">
        <f>SUMPRODUCT((Calc_Alloc!$H$11:$H$30)*(Input_RAB_SCS!Q$47:Q$66))</f>
        <v>3.7938610341016692</v>
      </c>
      <c r="R40" s="57">
        <f>SUMPRODUCT((Calc_Alloc!$H$11:$H$30)*(Input_RAB_SCS!R$47:R$66))</f>
        <v>3.8857873284826097</v>
      </c>
      <c r="S40" s="57">
        <f>SUMPRODUCT((Calc_Alloc!$H$11:$H$30)*(Input_RAB_SCS!S$47:S$66))</f>
        <v>3.8876789462416843</v>
      </c>
      <c r="T40" s="58">
        <f>SUMPRODUCT((Calc_Alloc!$H$11:$H$30)*(Input_RAB_SCS!T$47:T$66))</f>
        <v>3.8637023544564286</v>
      </c>
    </row>
    <row r="41" spans="3:20" ht="12.3" x14ac:dyDescent="0.35">
      <c r="D41" s="10" t="str">
        <f t="shared" si="17"/>
        <v>Underground network assets 33kV and above</v>
      </c>
      <c r="E41" s="45" t="str">
        <f t="shared" si="17"/>
        <v>Calculated</v>
      </c>
      <c r="F41" s="45" t="str">
        <f t="shared" si="18"/>
        <v>$Millions</v>
      </c>
      <c r="G41" s="45" t="str">
        <f t="shared" si="19"/>
        <v>Nominal</v>
      </c>
      <c r="H41" s="45" t="str">
        <f t="shared" si="20"/>
        <v>End year</v>
      </c>
      <c r="J41" s="58">
        <f>SUMPRODUCT((Calc_Alloc!$I$11:$I$30)*(Input_RAB_SCS!J$47:J$66))</f>
        <v>1.0670069742889379</v>
      </c>
      <c r="K41" s="56">
        <f>SUMPRODUCT((Calc_Alloc!$I$11:$I$30)*(Input_RAB_SCS!K$47:K$66))</f>
        <v>1.0910255875874304</v>
      </c>
      <c r="L41" s="57">
        <f>SUMPRODUCT((Calc_Alloc!$I$11:$I$30)*(Input_RAB_SCS!L$47:L$66))</f>
        <v>0.50351498114934534</v>
      </c>
      <c r="M41" s="57">
        <f>SUMPRODUCT((Calc_Alloc!$I$11:$I$30)*(Input_RAB_SCS!M$47:M$66))</f>
        <v>2.0054354790288094</v>
      </c>
      <c r="N41" s="57">
        <f>SUMPRODUCT((Calc_Alloc!$I$11:$I$30)*(Input_RAB_SCS!N$47:N$66))</f>
        <v>4.6294456631244527</v>
      </c>
      <c r="O41" s="58">
        <f>SUMPRODUCT((Calc_Alloc!$I$11:$I$30)*(Input_RAB_SCS!O$47:O$66))</f>
        <v>2.8732299472425575</v>
      </c>
      <c r="P41" s="56">
        <f>SUMPRODUCT((Calc_Alloc!$I$11:$I$30)*(Input_RAB_SCS!P$47:P$66))</f>
        <v>1.8886506768821705</v>
      </c>
      <c r="Q41" s="57">
        <f>SUMPRODUCT((Calc_Alloc!$I$11:$I$30)*(Input_RAB_SCS!Q$47:Q$66))</f>
        <v>1.8983947446470126</v>
      </c>
      <c r="R41" s="57">
        <f>SUMPRODUCT((Calc_Alloc!$I$11:$I$30)*(Input_RAB_SCS!R$47:R$66))</f>
        <v>1.9443933704741112</v>
      </c>
      <c r="S41" s="57">
        <f>SUMPRODUCT((Calc_Alloc!$I$11:$I$30)*(Input_RAB_SCS!S$47:S$66))</f>
        <v>1.9453399094170061</v>
      </c>
      <c r="T41" s="58">
        <f>SUMPRODUCT((Calc_Alloc!$I$11:$I$30)*(Input_RAB_SCS!T$47:T$66))</f>
        <v>1.9333423598413784</v>
      </c>
    </row>
    <row r="42" spans="3:20" ht="12.3" x14ac:dyDescent="0.35">
      <c r="D42" s="10" t="str">
        <f t="shared" si="17"/>
        <v>Zone substations and transformers</v>
      </c>
      <c r="E42" s="45" t="str">
        <f t="shared" si="17"/>
        <v>Calculated</v>
      </c>
      <c r="F42" s="45" t="str">
        <f t="shared" si="18"/>
        <v>$Millions</v>
      </c>
      <c r="G42" s="45" t="str">
        <f t="shared" si="19"/>
        <v>Nominal</v>
      </c>
      <c r="H42" s="45" t="str">
        <f t="shared" si="20"/>
        <v>End year</v>
      </c>
      <c r="J42" s="58">
        <f>SUMPRODUCT((Calc_Alloc!$J$11:$J$30)*(Input_RAB_SCS!J$47:J$66))</f>
        <v>5.9847126500423462</v>
      </c>
      <c r="K42" s="56">
        <f>SUMPRODUCT((Calc_Alloc!$J$11:$J$30)*(Input_RAB_SCS!K$47:K$66))</f>
        <v>5.8559128282543131</v>
      </c>
      <c r="L42" s="57">
        <f>SUMPRODUCT((Calc_Alloc!$J$11:$J$30)*(Input_RAB_SCS!L$47:L$66))</f>
        <v>2.8177107299277231</v>
      </c>
      <c r="M42" s="57">
        <f>SUMPRODUCT((Calc_Alloc!$J$11:$J$30)*(Input_RAB_SCS!M$47:M$66))</f>
        <v>11.392644978465821</v>
      </c>
      <c r="N42" s="57">
        <f>SUMPRODUCT((Calc_Alloc!$J$11:$J$30)*(Input_RAB_SCS!N$47:N$66))</f>
        <v>26.589826549973449</v>
      </c>
      <c r="O42" s="58">
        <f>SUMPRODUCT((Calc_Alloc!$J$11:$J$30)*(Input_RAB_SCS!O$47:O$66))</f>
        <v>16.85786253919278</v>
      </c>
      <c r="P42" s="56">
        <f>SUMPRODUCT((Calc_Alloc!$J$11:$J$30)*(Input_RAB_SCS!P$47:P$66))</f>
        <v>11.125811565946409</v>
      </c>
      <c r="Q42" s="57">
        <f>SUMPRODUCT((Calc_Alloc!$J$11:$J$30)*(Input_RAB_SCS!Q$47:Q$66))</f>
        <v>11.765036750121634</v>
      </c>
      <c r="R42" s="57">
        <f>SUMPRODUCT((Calc_Alloc!$J$11:$J$30)*(Input_RAB_SCS!R$47:R$66))</f>
        <v>12.063349757292396</v>
      </c>
      <c r="S42" s="57">
        <f>SUMPRODUCT((Calc_Alloc!$J$11:$J$30)*(Input_RAB_SCS!S$47:S$66))</f>
        <v>11.930891802558632</v>
      </c>
      <c r="T42" s="58">
        <f>SUMPRODUCT((Calc_Alloc!$J$11:$J$30)*(Input_RAB_SCS!T$47:T$66))</f>
        <v>11.666235008368824</v>
      </c>
    </row>
    <row r="43" spans="3:20" ht="12.3" x14ac:dyDescent="0.35">
      <c r="D43" s="10" t="str">
        <f t="shared" si="17"/>
        <v>Easements</v>
      </c>
      <c r="E43" s="45" t="str">
        <f t="shared" si="17"/>
        <v>Calculated</v>
      </c>
      <c r="F43" s="45" t="str">
        <f t="shared" si="18"/>
        <v>$Millions</v>
      </c>
      <c r="G43" s="45" t="str">
        <f t="shared" si="19"/>
        <v>Nominal</v>
      </c>
      <c r="H43" s="45" t="str">
        <f t="shared" si="20"/>
        <v>End year</v>
      </c>
      <c r="J43" s="58">
        <f>SUMPRODUCT((Calc_Alloc!$K$11:$K$30)*(Input_RAB_SCS!J$47:J$66))</f>
        <v>0.66033269480907408</v>
      </c>
      <c r="K43" s="56">
        <f>SUMPRODUCT((Calc_Alloc!$K$11:$K$30)*(Input_RAB_SCS!K$47:K$66))</f>
        <v>0.84323486358968636</v>
      </c>
      <c r="L43" s="57">
        <f>SUMPRODUCT((Calc_Alloc!$K$11:$K$30)*(Input_RAB_SCS!L$47:L$66))</f>
        <v>0.40154041123318057</v>
      </c>
      <c r="M43" s="57">
        <f>SUMPRODUCT((Calc_Alloc!$K$11:$K$30)*(Input_RAB_SCS!M$47:M$66))</f>
        <v>1.6463156860560397</v>
      </c>
      <c r="N43" s="57">
        <f>SUMPRODUCT((Calc_Alloc!$K$11:$K$30)*(Input_RAB_SCS!N$47:N$66))</f>
        <v>3.8965481506067925</v>
      </c>
      <c r="O43" s="58">
        <f>SUMPRODUCT((Calc_Alloc!$K$11:$K$30)*(Input_RAB_SCS!O$47:O$66))</f>
        <v>2.4723598015600099</v>
      </c>
      <c r="P43" s="56">
        <f>SUMPRODUCT((Calc_Alloc!$K$11:$K$30)*(Input_RAB_SCS!P$47:P$66))</f>
        <v>1.6131416715999964</v>
      </c>
      <c r="Q43" s="57">
        <f>SUMPRODUCT((Calc_Alloc!$K$11:$K$30)*(Input_RAB_SCS!Q$47:Q$66))</f>
        <v>1.6602396019051437</v>
      </c>
      <c r="R43" s="57">
        <f>SUMPRODUCT((Calc_Alloc!$K$11:$K$30)*(Input_RAB_SCS!R$47:R$66))</f>
        <v>1.7087126222461391</v>
      </c>
      <c r="S43" s="57">
        <f>SUMPRODUCT((Calc_Alloc!$K$11:$K$30)*(Input_RAB_SCS!S$47:S$66))</f>
        <v>1.7586008803023909</v>
      </c>
      <c r="T43" s="58">
        <f>SUMPRODUCT((Calc_Alloc!$K$11:$K$30)*(Input_RAB_SCS!T$47:T$66))</f>
        <v>1.8099456959210347</v>
      </c>
    </row>
    <row r="44" spans="3:20" ht="12.3" x14ac:dyDescent="0.35">
      <c r="D44" s="10" t="str">
        <f t="shared" si="17"/>
        <v>Meters</v>
      </c>
      <c r="E44" s="45" t="str">
        <f t="shared" si="17"/>
        <v>Calculated</v>
      </c>
      <c r="F44" s="45" t="str">
        <f t="shared" si="18"/>
        <v>$Millions</v>
      </c>
      <c r="G44" s="45" t="str">
        <f t="shared" si="19"/>
        <v>Nominal</v>
      </c>
      <c r="H44" s="45" t="str">
        <f t="shared" si="20"/>
        <v>End year</v>
      </c>
      <c r="J44" s="58">
        <f>SUMPRODUCT((Calc_Alloc!$L$11:$L$30)*(Input_RAB_SCS!J$47:J$66))</f>
        <v>0</v>
      </c>
      <c r="K44" s="56">
        <f>SUMPRODUCT((Calc_Alloc!$L$11:$L$30)*(Input_RAB_SCS!K$47:K$66))</f>
        <v>0</v>
      </c>
      <c r="L44" s="57">
        <f>SUMPRODUCT((Calc_Alloc!$L$11:$L$30)*(Input_RAB_SCS!L$47:L$66))</f>
        <v>0</v>
      </c>
      <c r="M44" s="57">
        <f>SUMPRODUCT((Calc_Alloc!$L$11:$L$30)*(Input_RAB_SCS!M$47:M$66))</f>
        <v>0</v>
      </c>
      <c r="N44" s="57">
        <f>SUMPRODUCT((Calc_Alloc!$L$11:$L$30)*(Input_RAB_SCS!N$47:N$66))</f>
        <v>0</v>
      </c>
      <c r="O44" s="58">
        <f>SUMPRODUCT((Calc_Alloc!$L$11:$L$30)*(Input_RAB_SCS!O$47:O$66))</f>
        <v>0</v>
      </c>
      <c r="P44" s="56">
        <f>SUMPRODUCT((Calc_Alloc!$L$11:$L$30)*(Input_RAB_SCS!P$47:P$66))</f>
        <v>0</v>
      </c>
      <c r="Q44" s="57">
        <f>SUMPRODUCT((Calc_Alloc!$L$11:$L$30)*(Input_RAB_SCS!Q$47:Q$66))</f>
        <v>0</v>
      </c>
      <c r="R44" s="57">
        <f>SUMPRODUCT((Calc_Alloc!$L$11:$L$30)*(Input_RAB_SCS!R$47:R$66))</f>
        <v>0</v>
      </c>
      <c r="S44" s="57">
        <f>SUMPRODUCT((Calc_Alloc!$L$11:$L$30)*(Input_RAB_SCS!S$47:S$66))</f>
        <v>0</v>
      </c>
      <c r="T44" s="58">
        <f>SUMPRODUCT((Calc_Alloc!$L$11:$L$30)*(Input_RAB_SCS!T$47:T$66))</f>
        <v>0</v>
      </c>
    </row>
    <row r="45" spans="3:20" ht="12.3" x14ac:dyDescent="0.35">
      <c r="D45" s="10" t="str">
        <f t="shared" si="17"/>
        <v>“Other” asset items with long lives</v>
      </c>
      <c r="E45" s="45" t="str">
        <f t="shared" si="17"/>
        <v>Calculated</v>
      </c>
      <c r="F45" s="45" t="str">
        <f t="shared" si="18"/>
        <v>$Millions</v>
      </c>
      <c r="G45" s="45" t="str">
        <f t="shared" si="19"/>
        <v>Nominal</v>
      </c>
      <c r="H45" s="45" t="str">
        <f t="shared" si="20"/>
        <v>End year</v>
      </c>
      <c r="J45" s="58">
        <f>SUMPRODUCT((Calc_Alloc!$M$11:$M$30)*(Input_RAB_SCS!J$47:J$66))</f>
        <v>0.13999852852249242</v>
      </c>
      <c r="K45" s="56">
        <f>SUMPRODUCT((Calc_Alloc!$M$11:$M$30)*(Input_RAB_SCS!K$47:K$66))</f>
        <v>0.42412063086938606</v>
      </c>
      <c r="L45" s="57">
        <f>SUMPRODUCT((Calc_Alloc!$M$11:$M$30)*(Input_RAB_SCS!L$47:L$66))</f>
        <v>0.24748207308980852</v>
      </c>
      <c r="M45" s="57">
        <f>SUMPRODUCT((Calc_Alloc!$M$11:$M$30)*(Input_RAB_SCS!M$47:M$66))</f>
        <v>1.023674771431839</v>
      </c>
      <c r="N45" s="57">
        <f>SUMPRODUCT((Calc_Alloc!$M$11:$M$30)*(Input_RAB_SCS!N$47:N$66))</f>
        <v>2.7758768552793422</v>
      </c>
      <c r="O45" s="58">
        <f>SUMPRODUCT((Calc_Alloc!$M$11:$M$30)*(Input_RAB_SCS!O$47:O$66))</f>
        <v>2.7240602533935072</v>
      </c>
      <c r="P45" s="56">
        <f>SUMPRODUCT((Calc_Alloc!$M$11:$M$30)*(Input_RAB_SCS!P$47:P$66))</f>
        <v>2.4954690352042475</v>
      </c>
      <c r="Q45" s="57">
        <f>SUMPRODUCT((Calc_Alloc!$M$11:$M$30)*(Input_RAB_SCS!Q$47:Q$66))</f>
        <v>2.9820780941203267</v>
      </c>
      <c r="R45" s="57">
        <f>SUMPRODUCT((Calc_Alloc!$M$11:$M$30)*(Input_RAB_SCS!R$47:R$66))</f>
        <v>3.6587416115809881</v>
      </c>
      <c r="S45" s="57">
        <f>SUMPRODUCT((Calc_Alloc!$M$11:$M$30)*(Input_RAB_SCS!S$47:S$66))</f>
        <v>4.2410722961788112</v>
      </c>
      <c r="T45" s="58">
        <f>SUMPRODUCT((Calc_Alloc!$M$11:$M$30)*(Input_RAB_SCS!T$47:T$66))</f>
        <v>6.2691743563134334</v>
      </c>
    </row>
    <row r="46" spans="3:20" ht="12.3" x14ac:dyDescent="0.35">
      <c r="D46" s="10" t="str">
        <f t="shared" si="17"/>
        <v>“Other” asset items with short lives</v>
      </c>
      <c r="E46" s="45" t="str">
        <f t="shared" si="17"/>
        <v>Calculated</v>
      </c>
      <c r="F46" s="45" t="str">
        <f t="shared" si="18"/>
        <v>$Millions</v>
      </c>
      <c r="G46" s="45" t="str">
        <f t="shared" si="19"/>
        <v>Nominal</v>
      </c>
      <c r="H46" s="45" t="str">
        <f t="shared" si="20"/>
        <v>End year</v>
      </c>
      <c r="J46" s="58">
        <f>SUMPRODUCT((Calc_Alloc!$N$11:$N$30)*(Input_RAB_SCS!J$47:J$66))</f>
        <v>0.1061781447767855</v>
      </c>
      <c r="K46" s="56">
        <f>SUMPRODUCT((Calc_Alloc!$N$11:$N$30)*(Input_RAB_SCS!K$47:K$66))</f>
        <v>9.3642742587585689E-2</v>
      </c>
      <c r="L46" s="57">
        <f>SUMPRODUCT((Calc_Alloc!$N$11:$N$30)*(Input_RAB_SCS!L$47:L$66))</f>
        <v>0.19971721395178188</v>
      </c>
      <c r="M46" s="57">
        <f>SUMPRODUCT((Calc_Alloc!$N$11:$N$30)*(Input_RAB_SCS!M$47:M$66))</f>
        <v>0.87150476919632991</v>
      </c>
      <c r="N46" s="57">
        <f>SUMPRODUCT((Calc_Alloc!$N$11:$N$30)*(Input_RAB_SCS!N$47:N$66))</f>
        <v>2.8093755172953907</v>
      </c>
      <c r="O46" s="58">
        <f>SUMPRODUCT((Calc_Alloc!$N$11:$N$30)*(Input_RAB_SCS!O$47:O$66))</f>
        <v>1.6665522205617684</v>
      </c>
      <c r="P46" s="56">
        <f>SUMPRODUCT((Calc_Alloc!$N$11:$N$30)*(Input_RAB_SCS!P$47:P$66))</f>
        <v>1.109274061303176</v>
      </c>
      <c r="Q46" s="57">
        <f>SUMPRODUCT((Calc_Alloc!$N$11:$N$30)*(Input_RAB_SCS!Q$47:Q$66))</f>
        <v>1.1251068883305266</v>
      </c>
      <c r="R46" s="57">
        <f>SUMPRODUCT((Calc_Alloc!$N$11:$N$30)*(Input_RAB_SCS!R$47:R$66))</f>
        <v>1.1971183599704129</v>
      </c>
      <c r="S46" s="57">
        <f>SUMPRODUCT((Calc_Alloc!$N$11:$N$30)*(Input_RAB_SCS!S$47:S$66))</f>
        <v>1.5299243243014198</v>
      </c>
      <c r="T46" s="58">
        <f>SUMPRODUCT((Calc_Alloc!$N$11:$N$30)*(Input_RAB_SCS!T$47:T$66))</f>
        <v>1.5368403085101958</v>
      </c>
    </row>
    <row r="47" spans="3:20" x14ac:dyDescent="0.35">
      <c r="J47" s="49"/>
      <c r="K47" s="48"/>
      <c r="O47" s="49"/>
      <c r="P47" s="48"/>
      <c r="T47" s="49"/>
    </row>
    <row r="48" spans="3:20" ht="12.3" x14ac:dyDescent="0.35">
      <c r="D48" s="44" t="str">
        <f>"Total "&amp;D35</f>
        <v>Total EB RIN categories</v>
      </c>
      <c r="E48" s="40" t="s">
        <v>91</v>
      </c>
      <c r="F48" s="40" t="str">
        <f>F37</f>
        <v>$Millions</v>
      </c>
      <c r="G48" s="40" t="str">
        <f>G37</f>
        <v>Nominal</v>
      </c>
      <c r="H48" s="40" t="str">
        <f>H37</f>
        <v>End year</v>
      </c>
      <c r="J48" s="54">
        <f t="shared" ref="J48:T48" si="21">SUM(J37:J46)</f>
        <v>16.843725844282638</v>
      </c>
      <c r="K48" s="53">
        <f t="shared" si="21"/>
        <v>17.704651500706831</v>
      </c>
      <c r="L48" s="39">
        <f t="shared" si="21"/>
        <v>8.6219373311424992</v>
      </c>
      <c r="M48" s="39">
        <f t="shared" si="21"/>
        <v>35.188624609073891</v>
      </c>
      <c r="N48" s="39">
        <f t="shared" si="21"/>
        <v>84.716912699722812</v>
      </c>
      <c r="O48" s="54">
        <f t="shared" si="21"/>
        <v>55.327851554003118</v>
      </c>
      <c r="P48" s="53">
        <f t="shared" si="21"/>
        <v>37.357582944087866</v>
      </c>
      <c r="Q48" s="39">
        <f t="shared" si="21"/>
        <v>39.457383928368536</v>
      </c>
      <c r="R48" s="39">
        <f t="shared" si="21"/>
        <v>41.665702564192927</v>
      </c>
      <c r="S48" s="39">
        <f t="shared" si="21"/>
        <v>43.511660775188538</v>
      </c>
      <c r="T48" s="54">
        <f t="shared" si="21"/>
        <v>46.244033275486437</v>
      </c>
    </row>
    <row r="49" spans="1:20" ht="11.25" customHeight="1" x14ac:dyDescent="0.35"/>
    <row r="50" spans="1:20" ht="11.25" customHeight="1" x14ac:dyDescent="0.35">
      <c r="A50" s="42">
        <f>IF(SUM($J50:$T50)&lt;&gt;0,1,0)</f>
        <v>0</v>
      </c>
      <c r="D50" s="10" t="s">
        <v>94</v>
      </c>
      <c r="J50" s="42">
        <f>IF(ROUND(J48-Input_RAB_SCS!J$68,5)&lt;&gt;0,1,0)</f>
        <v>0</v>
      </c>
      <c r="K50" s="42">
        <f>IF(ROUND(K48-Input_RAB_SCS!K$68,5)&lt;&gt;0,1,0)</f>
        <v>0</v>
      </c>
      <c r="L50" s="42">
        <f>IF(ROUND(L48-Input_RAB_SCS!L$68,5)&lt;&gt;0,1,0)</f>
        <v>0</v>
      </c>
      <c r="M50" s="42">
        <f>IF(ROUND(M48-Input_RAB_SCS!M$68,5)&lt;&gt;0,1,0)</f>
        <v>0</v>
      </c>
      <c r="N50" s="42">
        <f>IF(ROUND(N48-Input_RAB_SCS!N$68,5)&lt;&gt;0,1,0)</f>
        <v>0</v>
      </c>
      <c r="O50" s="42">
        <f>IF(ROUND(O48-Input_RAB_SCS!O$68,5)&lt;&gt;0,1,0)</f>
        <v>0</v>
      </c>
      <c r="P50" s="42">
        <f>IF(ROUND(P48-Input_RAB_SCS!P$68,5)&lt;&gt;0,1,0)</f>
        <v>0</v>
      </c>
      <c r="Q50" s="42">
        <f>IF(ROUND(Q48-Input_RAB_SCS!Q$68,5)&lt;&gt;0,1,0)</f>
        <v>0</v>
      </c>
      <c r="R50" s="42">
        <f>IF(ROUND(R48-Input_RAB_SCS!R$68,5)&lt;&gt;0,1,0)</f>
        <v>0</v>
      </c>
      <c r="S50" s="42">
        <f>IF(ROUND(S48-Input_RAB_SCS!S$68,5)&lt;&gt;0,1,0)</f>
        <v>0</v>
      </c>
      <c r="T50" s="42">
        <f>IF(ROUND(T48-Input_RAB_SCS!T$68,5)&lt;&gt;0,1,0)</f>
        <v>0</v>
      </c>
    </row>
    <row r="51" spans="1:20" ht="11.25" customHeight="1" x14ac:dyDescent="0.35">
      <c r="N51" s="5"/>
      <c r="S51" s="5"/>
    </row>
    <row r="52" spans="1:20" s="8" customFormat="1" ht="14.1" x14ac:dyDescent="0.35">
      <c r="C52" s="8" t="s">
        <v>222</v>
      </c>
    </row>
    <row r="53" spans="1:20" ht="11.25" customHeight="1" x14ac:dyDescent="0.35"/>
    <row r="54" spans="1:20" ht="12.3" x14ac:dyDescent="0.35">
      <c r="D54" s="43" t="str">
        <f>D$16</f>
        <v>EB RIN categories</v>
      </c>
      <c r="E54" s="38" t="str">
        <f>Lookup!E$20</f>
        <v>Source</v>
      </c>
      <c r="F54" s="38" t="str">
        <f>Lookup!F$20</f>
        <v>Unit</v>
      </c>
      <c r="G54" s="38" t="str">
        <f>Lookup!G$20</f>
        <v>Basis</v>
      </c>
      <c r="H54" s="38" t="str">
        <f>Lookup!H$20</f>
        <v>Timing</v>
      </c>
      <c r="J54" s="47" t="str">
        <f t="shared" ref="J54:T54" si="22">J$10</f>
        <v>RY19</v>
      </c>
      <c r="K54" s="46" t="str">
        <f t="shared" si="22"/>
        <v>RY20</v>
      </c>
      <c r="L54" s="38" t="str">
        <f t="shared" si="22"/>
        <v>RY21</v>
      </c>
      <c r="M54" s="38" t="str">
        <f t="shared" si="22"/>
        <v>RY22</v>
      </c>
      <c r="N54" s="38" t="str">
        <f t="shared" si="22"/>
        <v>RY23</v>
      </c>
      <c r="O54" s="47" t="str">
        <f t="shared" si="22"/>
        <v>RY24</v>
      </c>
      <c r="P54" s="46" t="str">
        <f t="shared" si="22"/>
        <v>RY25</v>
      </c>
      <c r="Q54" s="38" t="str">
        <f t="shared" si="22"/>
        <v>RY26</v>
      </c>
      <c r="R54" s="38" t="str">
        <f t="shared" si="22"/>
        <v>RY27</v>
      </c>
      <c r="S54" s="38" t="str">
        <f t="shared" si="22"/>
        <v>RY28</v>
      </c>
      <c r="T54" s="47" t="str">
        <f t="shared" si="22"/>
        <v>RY29</v>
      </c>
    </row>
    <row r="55" spans="1:20" x14ac:dyDescent="0.35">
      <c r="J55" s="49"/>
      <c r="K55" s="48"/>
      <c r="O55" s="49"/>
      <c r="P55" s="48"/>
      <c r="T55" s="49"/>
    </row>
    <row r="56" spans="1:20" ht="12.3" x14ac:dyDescent="0.35">
      <c r="D56" s="10" t="str">
        <f t="shared" ref="D56:E65" si="23">D18</f>
        <v>Overhead network assets less than 33kV</v>
      </c>
      <c r="E56" s="45" t="str">
        <f t="shared" si="23"/>
        <v>Calculated</v>
      </c>
      <c r="F56" s="45" t="str">
        <f t="shared" ref="F56:F65" si="24">Millions</f>
        <v>$Millions</v>
      </c>
      <c r="G56" s="45" t="str">
        <f t="shared" ref="G56:G65" si="25">Nominal</f>
        <v>Nominal</v>
      </c>
      <c r="H56" s="45" t="str">
        <f t="shared" ref="H56:H65" si="26">End_year</f>
        <v>End year</v>
      </c>
      <c r="J56" s="58">
        <f>SUMPRODUCT((Calc_Alloc!$E$11:$E$30)*(Input_RAB_SCS!J$78:J$97))</f>
        <v>-3.8062482538262588</v>
      </c>
      <c r="K56" s="56">
        <f>SUMPRODUCT((Calc_Alloc!$E$11:$E$30)*(Input_RAB_SCS!K$78:K$97))</f>
        <v>-2.7099246689757615</v>
      </c>
      <c r="L56" s="57">
        <f>SUMPRODUCT((Calc_Alloc!$E$11:$E$30)*(Input_RAB_SCS!L$78:L$97))</f>
        <v>-2.876348113767158</v>
      </c>
      <c r="M56" s="57">
        <f>SUMPRODUCT((Calc_Alloc!$E$11:$E$30)*(Input_RAB_SCS!M$78:M$97))</f>
        <v>-3.039383572256888</v>
      </c>
      <c r="N56" s="57">
        <f>SUMPRODUCT((Calc_Alloc!$E$11:$E$30)*(Input_RAB_SCS!N$78:N$97))</f>
        <v>-3.2570710598407913</v>
      </c>
      <c r="O56" s="58">
        <f>SUMPRODUCT((Calc_Alloc!$E$11:$E$30)*(Input_RAB_SCS!O$78:O$97))</f>
        <v>-3.6215508518154489</v>
      </c>
      <c r="P56" s="56">
        <f>SUMPRODUCT((Calc_Alloc!$E$11:$E$30)*(Input_RAB_SCS!P$78:P$97))</f>
        <v>-3.9557629595250918</v>
      </c>
      <c r="Q56" s="57">
        <f>SUMPRODUCT((Calc_Alloc!$E$11:$E$30)*(Input_RAB_SCS!Q$78:Q$97))</f>
        <v>-4.2177308198836441</v>
      </c>
      <c r="R56" s="57">
        <f>SUMPRODUCT((Calc_Alloc!$E$11:$E$30)*(Input_RAB_SCS!R$78:R$97))</f>
        <v>-4.504728504008332</v>
      </c>
      <c r="S56" s="57">
        <f>SUMPRODUCT((Calc_Alloc!$E$11:$E$30)*(Input_RAB_SCS!S$78:S$97))</f>
        <v>-4.8057609312415686</v>
      </c>
      <c r="T56" s="58">
        <f>SUMPRODUCT((Calc_Alloc!$E$11:$E$30)*(Input_RAB_SCS!T$78:T$97))</f>
        <v>-5.1007728825230378</v>
      </c>
    </row>
    <row r="57" spans="1:20" ht="12.3" x14ac:dyDescent="0.35">
      <c r="D57" s="10" t="str">
        <f t="shared" si="23"/>
        <v>Underground network assets less than 33kV</v>
      </c>
      <c r="E57" s="45" t="str">
        <f t="shared" si="23"/>
        <v>Calculated</v>
      </c>
      <c r="F57" s="45" t="str">
        <f t="shared" si="24"/>
        <v>$Millions</v>
      </c>
      <c r="G57" s="45" t="str">
        <f t="shared" si="25"/>
        <v>Nominal</v>
      </c>
      <c r="H57" s="45" t="str">
        <f t="shared" si="26"/>
        <v>End year</v>
      </c>
      <c r="J57" s="58">
        <f>SUMPRODUCT((Calc_Alloc!$F$11:$F$30)*(Input_RAB_SCS!J$78:J$97))</f>
        <v>-7.8845046689057012</v>
      </c>
      <c r="K57" s="56">
        <f>SUMPRODUCT((Calc_Alloc!$F$11:$F$30)*(Input_RAB_SCS!K$78:K$97))</f>
        <v>-5.6135102810079154</v>
      </c>
      <c r="L57" s="57">
        <f>SUMPRODUCT((Calc_Alloc!$F$11:$F$30)*(Input_RAB_SCS!L$78:L$97))</f>
        <v>-5.9582503872671619</v>
      </c>
      <c r="M57" s="57">
        <f>SUMPRODUCT((Calc_Alloc!$F$11:$F$30)*(Input_RAB_SCS!M$78:M$97))</f>
        <v>-6.2959724032621116</v>
      </c>
      <c r="N57" s="57">
        <f>SUMPRODUCT((Calc_Alloc!$F$11:$F$30)*(Input_RAB_SCS!N$78:N$97))</f>
        <v>-6.7469041075964924</v>
      </c>
      <c r="O57" s="58">
        <f>SUMPRODUCT((Calc_Alloc!$F$11:$F$30)*(Input_RAB_SCS!O$78:O$97))</f>
        <v>-7.5019107256375284</v>
      </c>
      <c r="P57" s="56">
        <f>SUMPRODUCT((Calc_Alloc!$F$11:$F$30)*(Input_RAB_SCS!P$78:P$97))</f>
        <v>-8.1942189377969825</v>
      </c>
      <c r="Q57" s="57">
        <f>SUMPRODUCT((Calc_Alloc!$F$11:$F$30)*(Input_RAB_SCS!Q$78:Q$97))</f>
        <v>-8.7368758220461622</v>
      </c>
      <c r="R57" s="57">
        <f>SUMPRODUCT((Calc_Alloc!$F$11:$F$30)*(Input_RAB_SCS!R$78:R$97))</f>
        <v>-9.3313810748686752</v>
      </c>
      <c r="S57" s="57">
        <f>SUMPRODUCT((Calc_Alloc!$F$11:$F$30)*(Input_RAB_SCS!S$78:S$97))</f>
        <v>-9.9549587870230241</v>
      </c>
      <c r="T57" s="58">
        <f>SUMPRODUCT((Calc_Alloc!$F$11:$F$30)*(Input_RAB_SCS!T$78:T$97))</f>
        <v>-10.56606530245419</v>
      </c>
    </row>
    <row r="58" spans="1:20" ht="12.3" x14ac:dyDescent="0.35">
      <c r="D58" s="10" t="str">
        <f t="shared" si="23"/>
        <v>Distribution substations and transformers</v>
      </c>
      <c r="E58" s="45" t="str">
        <f t="shared" si="23"/>
        <v>Calculated</v>
      </c>
      <c r="F58" s="45" t="str">
        <f t="shared" si="24"/>
        <v>$Millions</v>
      </c>
      <c r="G58" s="45" t="str">
        <f t="shared" si="25"/>
        <v>Nominal</v>
      </c>
      <c r="H58" s="45" t="str">
        <f t="shared" si="26"/>
        <v>End year</v>
      </c>
      <c r="J58" s="58">
        <f>SUMPRODUCT((Calc_Alloc!$G$11:$G$30)*(Input_RAB_SCS!J$78:J$97))</f>
        <v>-5.5411098174246547</v>
      </c>
      <c r="K58" s="56">
        <f>SUMPRODUCT((Calc_Alloc!$G$11:$G$30)*(Input_RAB_SCS!K$78:K$97))</f>
        <v>-5.594437542824207</v>
      </c>
      <c r="L58" s="57">
        <f>SUMPRODUCT((Calc_Alloc!$G$11:$G$30)*(Input_RAB_SCS!L$78:L$97))</f>
        <v>-5.8878248143197407</v>
      </c>
      <c r="M58" s="57">
        <f>SUMPRODUCT((Calc_Alloc!$G$11:$G$30)*(Input_RAB_SCS!M$78:M$97))</f>
        <v>-6.1494469899234181</v>
      </c>
      <c r="N58" s="57">
        <f>SUMPRODUCT((Calc_Alloc!$G$11:$G$30)*(Input_RAB_SCS!N$78:N$97))</f>
        <v>-6.5826412053305026</v>
      </c>
      <c r="O58" s="58">
        <f>SUMPRODUCT((Calc_Alloc!$G$11:$G$30)*(Input_RAB_SCS!O$78:O$97))</f>
        <v>-7.377843602276787</v>
      </c>
      <c r="P58" s="56">
        <f>SUMPRODUCT((Calc_Alloc!$G$11:$G$30)*(Input_RAB_SCS!P$78:P$97))</f>
        <v>-7.6624552976998554</v>
      </c>
      <c r="Q58" s="57">
        <f>SUMPRODUCT((Calc_Alloc!$G$11:$G$30)*(Input_RAB_SCS!Q$78:Q$97))</f>
        <v>-8.1071917072865247</v>
      </c>
      <c r="R58" s="57">
        <f>SUMPRODUCT((Calc_Alloc!$G$11:$G$30)*(Input_RAB_SCS!R$78:R$97))</f>
        <v>-8.5794309011529233</v>
      </c>
      <c r="S58" s="57">
        <f>SUMPRODUCT((Calc_Alloc!$G$11:$G$30)*(Input_RAB_SCS!S$78:S$97))</f>
        <v>-9.0796210549984409</v>
      </c>
      <c r="T58" s="58">
        <f>SUMPRODUCT((Calc_Alloc!$G$11:$G$30)*(Input_RAB_SCS!T$78:T$97))</f>
        <v>-9.6088724868809763</v>
      </c>
    </row>
    <row r="59" spans="1:20" ht="12.3" x14ac:dyDescent="0.35">
      <c r="D59" s="10" t="str">
        <f t="shared" si="23"/>
        <v>Overhead network assets 33kV and above</v>
      </c>
      <c r="E59" s="45" t="str">
        <f t="shared" si="23"/>
        <v>Calculated</v>
      </c>
      <c r="F59" s="45" t="str">
        <f t="shared" si="24"/>
        <v>$Millions</v>
      </c>
      <c r="G59" s="45" t="str">
        <f t="shared" si="25"/>
        <v>Nominal</v>
      </c>
      <c r="H59" s="45" t="str">
        <f t="shared" si="26"/>
        <v>End year</v>
      </c>
      <c r="J59" s="58">
        <f>SUMPRODUCT((Calc_Alloc!$H$11:$H$30)*(Input_RAB_SCS!J$78:J$97))</f>
        <v>-4.3651329613817333</v>
      </c>
      <c r="K59" s="56">
        <f>SUMPRODUCT((Calc_Alloc!$H$11:$H$30)*(Input_RAB_SCS!K$78:K$97))</f>
        <v>-4.3527149112480537</v>
      </c>
      <c r="L59" s="57">
        <f>SUMPRODUCT((Calc_Alloc!$H$11:$H$30)*(Input_RAB_SCS!L$78:L$97))</f>
        <v>-4.4683421903256884</v>
      </c>
      <c r="M59" s="57">
        <f>SUMPRODUCT((Calc_Alloc!$H$11:$H$30)*(Input_RAB_SCS!M$78:M$97))</f>
        <v>-4.541306979397012</v>
      </c>
      <c r="N59" s="57">
        <f>SUMPRODUCT((Calc_Alloc!$H$11:$H$30)*(Input_RAB_SCS!N$78:N$97))</f>
        <v>-4.7353287081580113</v>
      </c>
      <c r="O59" s="58">
        <f>SUMPRODUCT((Calc_Alloc!$H$11:$H$30)*(Input_RAB_SCS!O$78:O$97))</f>
        <v>-5.155321663172626</v>
      </c>
      <c r="P59" s="56">
        <f>SUMPRODUCT((Calc_Alloc!$H$11:$H$30)*(Input_RAB_SCS!P$78:P$97))</f>
        <v>-5.541219286970728</v>
      </c>
      <c r="Q59" s="57">
        <f>SUMPRODUCT((Calc_Alloc!$H$11:$H$30)*(Input_RAB_SCS!Q$78:Q$97))</f>
        <v>-5.747319940495129</v>
      </c>
      <c r="R59" s="57">
        <f>SUMPRODUCT((Calc_Alloc!$H$11:$H$30)*(Input_RAB_SCS!R$78:R$97))</f>
        <v>-6.0080232850636097</v>
      </c>
      <c r="S59" s="57">
        <f>SUMPRODUCT((Calc_Alloc!$H$11:$H$30)*(Input_RAB_SCS!S$78:S$97))</f>
        <v>-6.2232594111765325</v>
      </c>
      <c r="T59" s="58">
        <f>SUMPRODUCT((Calc_Alloc!$H$11:$H$30)*(Input_RAB_SCS!T$78:T$97))</f>
        <v>-6.4325311720924487</v>
      </c>
    </row>
    <row r="60" spans="1:20" ht="12.3" x14ac:dyDescent="0.35">
      <c r="D60" s="10" t="str">
        <f t="shared" si="23"/>
        <v>Underground network assets 33kV and above</v>
      </c>
      <c r="E60" s="45" t="str">
        <f t="shared" si="23"/>
        <v>Calculated</v>
      </c>
      <c r="F60" s="45" t="str">
        <f t="shared" si="24"/>
        <v>$Millions</v>
      </c>
      <c r="G60" s="45" t="str">
        <f t="shared" si="25"/>
        <v>Nominal</v>
      </c>
      <c r="H60" s="45" t="str">
        <f t="shared" si="26"/>
        <v>End year</v>
      </c>
      <c r="J60" s="58">
        <f>SUMPRODUCT((Calc_Alloc!$I$11:$I$30)*(Input_RAB_SCS!J$78:J$97))</f>
        <v>-2.1842511887193341</v>
      </c>
      <c r="K60" s="56">
        <f>SUMPRODUCT((Calc_Alloc!$I$11:$I$30)*(Input_RAB_SCS!K$78:K$97))</f>
        <v>-2.1780373709488261</v>
      </c>
      <c r="L60" s="57">
        <f>SUMPRODUCT((Calc_Alloc!$I$11:$I$30)*(Input_RAB_SCS!L$78:L$97))</f>
        <v>-2.2358956364376645</v>
      </c>
      <c r="M60" s="57">
        <f>SUMPRODUCT((Calc_Alloc!$I$11:$I$30)*(Input_RAB_SCS!M$78:M$97))</f>
        <v>-2.2724061914823031</v>
      </c>
      <c r="N60" s="57">
        <f>SUMPRODUCT((Calc_Alloc!$I$11:$I$30)*(Input_RAB_SCS!N$78:N$97))</f>
        <v>-2.3694919378806092</v>
      </c>
      <c r="O60" s="58">
        <f>SUMPRODUCT((Calc_Alloc!$I$11:$I$30)*(Input_RAB_SCS!O$78:O$97))</f>
        <v>-2.5796505102220197</v>
      </c>
      <c r="P60" s="56">
        <f>SUMPRODUCT((Calc_Alloc!$I$11:$I$30)*(Input_RAB_SCS!P$78:P$97))</f>
        <v>-2.7727482579795497</v>
      </c>
      <c r="Q60" s="57">
        <f>SUMPRODUCT((Calc_Alloc!$I$11:$I$30)*(Input_RAB_SCS!Q$78:Q$97))</f>
        <v>-2.875878128578957</v>
      </c>
      <c r="R60" s="57">
        <f>SUMPRODUCT((Calc_Alloc!$I$11:$I$30)*(Input_RAB_SCS!R$78:R$97))</f>
        <v>-3.0063304184209048</v>
      </c>
      <c r="S60" s="57">
        <f>SUMPRODUCT((Calc_Alloc!$I$11:$I$30)*(Input_RAB_SCS!S$78:S$97))</f>
        <v>-3.1140315511187464</v>
      </c>
      <c r="T60" s="58">
        <f>SUMPRODUCT((Calc_Alloc!$I$11:$I$30)*(Input_RAB_SCS!T$78:T$97))</f>
        <v>-3.218748199291884</v>
      </c>
    </row>
    <row r="61" spans="1:20" ht="12.3" x14ac:dyDescent="0.35">
      <c r="D61" s="10" t="str">
        <f t="shared" si="23"/>
        <v>Zone substations and transformers</v>
      </c>
      <c r="E61" s="45" t="str">
        <f t="shared" si="23"/>
        <v>Calculated</v>
      </c>
      <c r="F61" s="45" t="str">
        <f t="shared" si="24"/>
        <v>$Millions</v>
      </c>
      <c r="G61" s="45" t="str">
        <f t="shared" si="25"/>
        <v>Nominal</v>
      </c>
      <c r="H61" s="45" t="str">
        <f t="shared" si="26"/>
        <v>End year</v>
      </c>
      <c r="J61" s="58">
        <f>SUMPRODUCT((Calc_Alloc!$J$11:$J$30)*(Input_RAB_SCS!J$78:J$97))</f>
        <v>-27.636870123401234</v>
      </c>
      <c r="K61" s="56">
        <f>SUMPRODUCT((Calc_Alloc!$J$11:$J$30)*(Input_RAB_SCS!K$78:K$97))</f>
        <v>-18.265664708697326</v>
      </c>
      <c r="L61" s="57">
        <f>SUMPRODUCT((Calc_Alloc!$J$11:$J$30)*(Input_RAB_SCS!L$78:L$97))</f>
        <v>-19.367170512687057</v>
      </c>
      <c r="M61" s="57">
        <f>SUMPRODUCT((Calc_Alloc!$J$11:$J$30)*(Input_RAB_SCS!M$78:M$97))</f>
        <v>-20.204055028152251</v>
      </c>
      <c r="N61" s="57">
        <f>SUMPRODUCT((Calc_Alloc!$J$11:$J$30)*(Input_RAB_SCS!N$78:N$97))</f>
        <v>-21.345067368942679</v>
      </c>
      <c r="O61" s="58">
        <f>SUMPRODUCT((Calc_Alloc!$J$11:$J$30)*(Input_RAB_SCS!O$78:O$97))</f>
        <v>-23.427732582046076</v>
      </c>
      <c r="P61" s="56">
        <f>SUMPRODUCT((Calc_Alloc!$J$11:$J$30)*(Input_RAB_SCS!P$78:P$97))</f>
        <v>-27.388174460282201</v>
      </c>
      <c r="Q61" s="57">
        <f>SUMPRODUCT((Calc_Alloc!$J$11:$J$30)*(Input_RAB_SCS!Q$78:Q$97))</f>
        <v>-29.501296427512994</v>
      </c>
      <c r="R61" s="57">
        <f>SUMPRODUCT((Calc_Alloc!$J$11:$J$30)*(Input_RAB_SCS!R$78:R$97))</f>
        <v>-31.173728566540383</v>
      </c>
      <c r="S61" s="57">
        <f>SUMPRODUCT((Calc_Alloc!$J$11:$J$30)*(Input_RAB_SCS!S$78:S$97))</f>
        <v>-32.645756647477981</v>
      </c>
      <c r="T61" s="58">
        <f>SUMPRODUCT((Calc_Alloc!$J$11:$J$30)*(Input_RAB_SCS!T$78:T$97))</f>
        <v>-33.939552340212678</v>
      </c>
    </row>
    <row r="62" spans="1:20" ht="12.3" x14ac:dyDescent="0.35">
      <c r="D62" s="10" t="str">
        <f t="shared" si="23"/>
        <v>Easements</v>
      </c>
      <c r="E62" s="45" t="str">
        <f t="shared" si="23"/>
        <v>Calculated</v>
      </c>
      <c r="F62" s="45" t="str">
        <f t="shared" si="24"/>
        <v>$Millions</v>
      </c>
      <c r="G62" s="45" t="str">
        <f t="shared" si="25"/>
        <v>Nominal</v>
      </c>
      <c r="H62" s="45" t="str">
        <f t="shared" si="26"/>
        <v>End year</v>
      </c>
      <c r="J62" s="58">
        <f>SUMPRODUCT((Calc_Alloc!$K$11:$K$30)*(Input_RAB_SCS!J$78:J$97))</f>
        <v>0</v>
      </c>
      <c r="K62" s="56">
        <f>SUMPRODUCT((Calc_Alloc!$K$11:$K$30)*(Input_RAB_SCS!K$78:K$97))</f>
        <v>0</v>
      </c>
      <c r="L62" s="57">
        <f>SUMPRODUCT((Calc_Alloc!$K$11:$K$30)*(Input_RAB_SCS!L$78:L$97))</f>
        <v>0</v>
      </c>
      <c r="M62" s="57">
        <f>SUMPRODUCT((Calc_Alloc!$K$11:$K$30)*(Input_RAB_SCS!M$78:M$97))</f>
        <v>0</v>
      </c>
      <c r="N62" s="57">
        <f>SUMPRODUCT((Calc_Alloc!$K$11:$K$30)*(Input_RAB_SCS!N$78:N$97))</f>
        <v>0</v>
      </c>
      <c r="O62" s="58">
        <f>SUMPRODUCT((Calc_Alloc!$K$11:$K$30)*(Input_RAB_SCS!O$78:O$97))</f>
        <v>0</v>
      </c>
      <c r="P62" s="56">
        <f>SUMPRODUCT((Calc_Alloc!$K$11:$K$30)*(Input_RAB_SCS!P$78:P$97))</f>
        <v>0</v>
      </c>
      <c r="Q62" s="57">
        <f>SUMPRODUCT((Calc_Alloc!$K$11:$K$30)*(Input_RAB_SCS!Q$78:Q$97))</f>
        <v>0</v>
      </c>
      <c r="R62" s="57">
        <f>SUMPRODUCT((Calc_Alloc!$K$11:$K$30)*(Input_RAB_SCS!R$78:R$97))</f>
        <v>0</v>
      </c>
      <c r="S62" s="57">
        <f>SUMPRODUCT((Calc_Alloc!$K$11:$K$30)*(Input_RAB_SCS!S$78:S$97))</f>
        <v>0</v>
      </c>
      <c r="T62" s="58">
        <f>SUMPRODUCT((Calc_Alloc!$K$11:$K$30)*(Input_RAB_SCS!T$78:T$97))</f>
        <v>0</v>
      </c>
    </row>
    <row r="63" spans="1:20" ht="12.3" x14ac:dyDescent="0.35">
      <c r="D63" s="10" t="str">
        <f t="shared" si="23"/>
        <v>Meters</v>
      </c>
      <c r="E63" s="45" t="str">
        <f t="shared" si="23"/>
        <v>Calculated</v>
      </c>
      <c r="F63" s="45" t="str">
        <f t="shared" si="24"/>
        <v>$Millions</v>
      </c>
      <c r="G63" s="45" t="str">
        <f t="shared" si="25"/>
        <v>Nominal</v>
      </c>
      <c r="H63" s="45" t="str">
        <f t="shared" si="26"/>
        <v>End year</v>
      </c>
      <c r="J63" s="58">
        <f>SUMPRODUCT((Calc_Alloc!$L$11:$L$30)*(Input_RAB_SCS!J$78:J$97))</f>
        <v>0</v>
      </c>
      <c r="K63" s="56">
        <f>SUMPRODUCT((Calc_Alloc!$L$11:$L$30)*(Input_RAB_SCS!K$78:K$97))</f>
        <v>0</v>
      </c>
      <c r="L63" s="57">
        <f>SUMPRODUCT((Calc_Alloc!$L$11:$L$30)*(Input_RAB_SCS!L$78:L$97))</f>
        <v>0</v>
      </c>
      <c r="M63" s="57">
        <f>SUMPRODUCT((Calc_Alloc!$L$11:$L$30)*(Input_RAB_SCS!M$78:M$97))</f>
        <v>0</v>
      </c>
      <c r="N63" s="57">
        <f>SUMPRODUCT((Calc_Alloc!$L$11:$L$30)*(Input_RAB_SCS!N$78:N$97))</f>
        <v>0</v>
      </c>
      <c r="O63" s="58">
        <f>SUMPRODUCT((Calc_Alloc!$L$11:$L$30)*(Input_RAB_SCS!O$78:O$97))</f>
        <v>0</v>
      </c>
      <c r="P63" s="56">
        <f>SUMPRODUCT((Calc_Alloc!$L$11:$L$30)*(Input_RAB_SCS!P$78:P$97))</f>
        <v>0</v>
      </c>
      <c r="Q63" s="57">
        <f>SUMPRODUCT((Calc_Alloc!$L$11:$L$30)*(Input_RAB_SCS!Q$78:Q$97))</f>
        <v>0</v>
      </c>
      <c r="R63" s="57">
        <f>SUMPRODUCT((Calc_Alloc!$L$11:$L$30)*(Input_RAB_SCS!R$78:R$97))</f>
        <v>0</v>
      </c>
      <c r="S63" s="57">
        <f>SUMPRODUCT((Calc_Alloc!$L$11:$L$30)*(Input_RAB_SCS!S$78:S$97))</f>
        <v>0</v>
      </c>
      <c r="T63" s="58">
        <f>SUMPRODUCT((Calc_Alloc!$L$11:$L$30)*(Input_RAB_SCS!T$78:T$97))</f>
        <v>0</v>
      </c>
    </row>
    <row r="64" spans="1:20" ht="12.3" x14ac:dyDescent="0.35">
      <c r="D64" s="10" t="str">
        <f t="shared" si="23"/>
        <v>“Other” asset items with long lives</v>
      </c>
      <c r="E64" s="45" t="str">
        <f t="shared" si="23"/>
        <v>Calculated</v>
      </c>
      <c r="F64" s="45" t="str">
        <f t="shared" si="24"/>
        <v>$Millions</v>
      </c>
      <c r="G64" s="45" t="str">
        <f t="shared" si="25"/>
        <v>Nominal</v>
      </c>
      <c r="H64" s="45" t="str">
        <f t="shared" si="26"/>
        <v>End year</v>
      </c>
      <c r="J64" s="58">
        <f>SUMPRODUCT((Calc_Alloc!$M$11:$M$30)*(Input_RAB_SCS!J$78:J$97))</f>
        <v>-0.85565541991766558</v>
      </c>
      <c r="K64" s="56">
        <f>SUMPRODUCT((Calc_Alloc!$M$11:$M$30)*(Input_RAB_SCS!K$78:K$97))</f>
        <v>-1.9473300137465259</v>
      </c>
      <c r="L64" s="57">
        <f>SUMPRODUCT((Calc_Alloc!$M$11:$M$30)*(Input_RAB_SCS!L$78:L$97))</f>
        <v>-2.6226874054975546</v>
      </c>
      <c r="M64" s="57">
        <f>SUMPRODUCT((Calc_Alloc!$M$11:$M$30)*(Input_RAB_SCS!M$78:M$97))</f>
        <v>-3.307313452898935</v>
      </c>
      <c r="N64" s="57">
        <f>SUMPRODUCT((Calc_Alloc!$M$11:$M$30)*(Input_RAB_SCS!N$78:N$97))</f>
        <v>-4.7428880658905852</v>
      </c>
      <c r="O64" s="58">
        <f>SUMPRODUCT((Calc_Alloc!$M$11:$M$30)*(Input_RAB_SCS!O$78:O$97))</f>
        <v>-5.9657351271392853</v>
      </c>
      <c r="P64" s="56">
        <f>SUMPRODUCT((Calc_Alloc!$M$11:$M$30)*(Input_RAB_SCS!P$78:P$97))</f>
        <v>-11.041492305958224</v>
      </c>
      <c r="Q64" s="57">
        <f>SUMPRODUCT((Calc_Alloc!$M$11:$M$30)*(Input_RAB_SCS!Q$78:Q$97))</f>
        <v>-9.6420154088915968</v>
      </c>
      <c r="R64" s="57">
        <f>SUMPRODUCT((Calc_Alloc!$M$11:$M$30)*(Input_RAB_SCS!R$78:R$97))</f>
        <v>-12.268474576292975</v>
      </c>
      <c r="S64" s="57">
        <f>SUMPRODUCT((Calc_Alloc!$M$11:$M$30)*(Input_RAB_SCS!S$78:S$97))</f>
        <v>-14.773391601471953</v>
      </c>
      <c r="T64" s="58">
        <f>SUMPRODUCT((Calc_Alloc!$M$11:$M$30)*(Input_RAB_SCS!T$78:T$97))</f>
        <v>-18.428451554014423</v>
      </c>
    </row>
    <row r="65" spans="1:20" ht="12.3" x14ac:dyDescent="0.35">
      <c r="D65" s="10" t="str">
        <f t="shared" si="23"/>
        <v>“Other” asset items with short lives</v>
      </c>
      <c r="E65" s="45" t="str">
        <f t="shared" si="23"/>
        <v>Calculated</v>
      </c>
      <c r="F65" s="45" t="str">
        <f t="shared" si="24"/>
        <v>$Millions</v>
      </c>
      <c r="G65" s="45" t="str">
        <f t="shared" si="25"/>
        <v>Nominal</v>
      </c>
      <c r="H65" s="45" t="str">
        <f t="shared" si="26"/>
        <v>End year</v>
      </c>
      <c r="J65" s="58">
        <f>SUMPRODUCT((Calc_Alloc!$N$11:$N$30)*(Input_RAB_SCS!J$78:J$97))</f>
        <v>-1.1548854687667607</v>
      </c>
      <c r="K65" s="56">
        <f>SUMPRODUCT((Calc_Alloc!$N$11:$N$30)*(Input_RAB_SCS!K$78:K$97))</f>
        <v>-0.86249250647917408</v>
      </c>
      <c r="L65" s="57">
        <f>SUMPRODUCT((Calc_Alloc!$N$11:$N$30)*(Input_RAB_SCS!L$78:L$97))</f>
        <v>-4.5711391269554431</v>
      </c>
      <c r="M65" s="57">
        <f>SUMPRODUCT((Calc_Alloc!$N$11:$N$30)*(Input_RAB_SCS!M$78:M$97))</f>
        <v>-5.6550419994021004</v>
      </c>
      <c r="N65" s="57">
        <f>SUMPRODUCT((Calc_Alloc!$N$11:$N$30)*(Input_RAB_SCS!N$78:N$97))</f>
        <v>-7.9248770775543447</v>
      </c>
      <c r="O65" s="58">
        <f>SUMPRODUCT((Calc_Alloc!$N$11:$N$30)*(Input_RAB_SCS!O$78:O$97))</f>
        <v>-9.2386672065994553</v>
      </c>
      <c r="P65" s="56">
        <f>SUMPRODUCT((Calc_Alloc!$N$11:$N$30)*(Input_RAB_SCS!P$78:P$97))</f>
        <v>-5.4411165237887573</v>
      </c>
      <c r="Q65" s="57">
        <f>SUMPRODUCT((Calc_Alloc!$N$11:$N$30)*(Input_RAB_SCS!Q$78:Q$97))</f>
        <v>-6.5991754654067929</v>
      </c>
      <c r="R65" s="57">
        <f>SUMPRODUCT((Calc_Alloc!$N$11:$N$30)*(Input_RAB_SCS!R$78:R$97))</f>
        <v>-5.7621436010188107</v>
      </c>
      <c r="S65" s="57">
        <f>SUMPRODUCT((Calc_Alloc!$N$11:$N$30)*(Input_RAB_SCS!S$78:S$97))</f>
        <v>-8.3427937936419134</v>
      </c>
      <c r="T65" s="58">
        <f>SUMPRODUCT((Calc_Alloc!$N$11:$N$30)*(Input_RAB_SCS!T$78:T$97))</f>
        <v>-8.8688879215730303</v>
      </c>
    </row>
    <row r="66" spans="1:20" x14ac:dyDescent="0.35">
      <c r="J66" s="49"/>
      <c r="K66" s="48"/>
      <c r="O66" s="49"/>
      <c r="P66" s="48"/>
      <c r="T66" s="49"/>
    </row>
    <row r="67" spans="1:20" ht="12.3" x14ac:dyDescent="0.35">
      <c r="D67" s="44" t="str">
        <f>"Total "&amp;D54</f>
        <v>Total EB RIN categories</v>
      </c>
      <c r="E67" s="40" t="s">
        <v>91</v>
      </c>
      <c r="F67" s="40" t="str">
        <f>F56</f>
        <v>$Millions</v>
      </c>
      <c r="G67" s="40" t="str">
        <f>G56</f>
        <v>Nominal</v>
      </c>
      <c r="H67" s="40" t="str">
        <f>H56</f>
        <v>End year</v>
      </c>
      <c r="J67" s="54">
        <f t="shared" ref="J67:T67" si="27">SUM(J56:J65)</f>
        <v>-53.428657902343346</v>
      </c>
      <c r="K67" s="53">
        <f t="shared" si="27"/>
        <v>-41.524112003927783</v>
      </c>
      <c r="L67" s="39">
        <f t="shared" si="27"/>
        <v>-47.987658187257466</v>
      </c>
      <c r="M67" s="39">
        <f t="shared" si="27"/>
        <v>-51.464926616775031</v>
      </c>
      <c r="N67" s="39">
        <f t="shared" si="27"/>
        <v>-57.704269531194015</v>
      </c>
      <c r="O67" s="54">
        <f t="shared" si="27"/>
        <v>-64.868412268909225</v>
      </c>
      <c r="P67" s="53">
        <f t="shared" si="27"/>
        <v>-71.997188030001382</v>
      </c>
      <c r="Q67" s="39">
        <f t="shared" si="27"/>
        <v>-75.42748372010179</v>
      </c>
      <c r="R67" s="39">
        <f t="shared" si="27"/>
        <v>-80.634240927366605</v>
      </c>
      <c r="S67" s="39">
        <f t="shared" si="27"/>
        <v>-88.939573778150177</v>
      </c>
      <c r="T67" s="54">
        <f t="shared" si="27"/>
        <v>-96.163881859042689</v>
      </c>
    </row>
    <row r="68" spans="1:20" ht="11.25" customHeight="1" x14ac:dyDescent="0.35"/>
    <row r="69" spans="1:20" ht="11.25" customHeight="1" x14ac:dyDescent="0.35">
      <c r="A69" s="42">
        <f>IF(SUM($J69:$T69)&lt;&gt;0,1,0)</f>
        <v>0</v>
      </c>
      <c r="D69" s="10" t="s">
        <v>94</v>
      </c>
      <c r="J69" s="42">
        <f>IF(ROUND(J67-Input_RAB_SCS!J$99,5)&lt;&gt;0,1,0)</f>
        <v>0</v>
      </c>
      <c r="K69" s="42">
        <f>IF(ROUND(K67-Input_RAB_SCS!K$99,5)&lt;&gt;0,1,0)</f>
        <v>0</v>
      </c>
      <c r="L69" s="42">
        <f>IF(ROUND(L67-Input_RAB_SCS!L$99,5)&lt;&gt;0,1,0)</f>
        <v>0</v>
      </c>
      <c r="M69" s="42">
        <f>IF(ROUND(M67-Input_RAB_SCS!M$99,5)&lt;&gt;0,1,0)</f>
        <v>0</v>
      </c>
      <c r="N69" s="42">
        <f>IF(ROUND(N67-Input_RAB_SCS!N$99,5)&lt;&gt;0,1,0)</f>
        <v>0</v>
      </c>
      <c r="O69" s="42">
        <f>IF(ROUND(O67-Input_RAB_SCS!O$99,5)&lt;&gt;0,1,0)</f>
        <v>0</v>
      </c>
      <c r="P69" s="42">
        <f>IF(ROUND(P67-Input_RAB_SCS!P$99,5)&lt;&gt;0,1,0)</f>
        <v>0</v>
      </c>
      <c r="Q69" s="42">
        <f>IF(ROUND(Q67-Input_RAB_SCS!Q$99,5)&lt;&gt;0,1,0)</f>
        <v>0</v>
      </c>
      <c r="R69" s="42">
        <f>IF(ROUND(R67-Input_RAB_SCS!R$99,5)&lt;&gt;0,1,0)</f>
        <v>0</v>
      </c>
      <c r="S69" s="42">
        <f>IF(ROUND(S67-Input_RAB_SCS!S$99,5)&lt;&gt;0,1,0)</f>
        <v>0</v>
      </c>
      <c r="T69" s="42">
        <f>IF(ROUND(T67-Input_RAB_SCS!T$99,5)&lt;&gt;0,1,0)</f>
        <v>0</v>
      </c>
    </row>
    <row r="70" spans="1:20" ht="11.25" customHeight="1" x14ac:dyDescent="0.35">
      <c r="N70" s="5"/>
      <c r="S70" s="5"/>
    </row>
    <row r="71" spans="1:20" s="8" customFormat="1" ht="14.1" x14ac:dyDescent="0.35">
      <c r="C71" s="8" t="s">
        <v>438</v>
      </c>
    </row>
    <row r="72" spans="1:20" ht="11.25" customHeight="1" x14ac:dyDescent="0.35"/>
    <row r="73" spans="1:20" ht="12.3" x14ac:dyDescent="0.35">
      <c r="D73" s="43" t="str">
        <f>D$16</f>
        <v>EB RIN categories</v>
      </c>
      <c r="E73" s="38" t="str">
        <f>Lookup!E$20</f>
        <v>Source</v>
      </c>
      <c r="F73" s="38" t="str">
        <f>Lookup!F$20</f>
        <v>Unit</v>
      </c>
      <c r="G73" s="38" t="str">
        <f>Lookup!G$20</f>
        <v>Basis</v>
      </c>
      <c r="H73" s="38" t="str">
        <f>Lookup!H$20</f>
        <v>Timing</v>
      </c>
      <c r="J73" s="47" t="str">
        <f t="shared" ref="J73:T73" si="28">J$10</f>
        <v>RY19</v>
      </c>
      <c r="K73" s="46" t="str">
        <f t="shared" si="28"/>
        <v>RY20</v>
      </c>
      <c r="L73" s="38" t="str">
        <f t="shared" si="28"/>
        <v>RY21</v>
      </c>
      <c r="M73" s="38" t="str">
        <f t="shared" si="28"/>
        <v>RY22</v>
      </c>
      <c r="N73" s="38" t="str">
        <f t="shared" si="28"/>
        <v>RY23</v>
      </c>
      <c r="O73" s="47" t="str">
        <f t="shared" si="28"/>
        <v>RY24</v>
      </c>
      <c r="P73" s="46" t="str">
        <f t="shared" si="28"/>
        <v>RY25</v>
      </c>
      <c r="Q73" s="38" t="str">
        <f t="shared" si="28"/>
        <v>RY26</v>
      </c>
      <c r="R73" s="38" t="str">
        <f t="shared" si="28"/>
        <v>RY27</v>
      </c>
      <c r="S73" s="38" t="str">
        <f t="shared" si="28"/>
        <v>RY28</v>
      </c>
      <c r="T73" s="47" t="str">
        <f t="shared" si="28"/>
        <v>RY29</v>
      </c>
    </row>
    <row r="74" spans="1:20" x14ac:dyDescent="0.35">
      <c r="J74" s="49"/>
      <c r="K74" s="48"/>
      <c r="O74" s="49"/>
      <c r="P74" s="48"/>
      <c r="T74" s="49"/>
    </row>
    <row r="75" spans="1:20" ht="12.3" x14ac:dyDescent="0.35">
      <c r="D75" s="10" t="str">
        <f t="shared" ref="D75:E84" si="29">D18</f>
        <v>Overhead network assets less than 33kV</v>
      </c>
      <c r="E75" s="45" t="str">
        <f t="shared" si="29"/>
        <v>Calculated</v>
      </c>
      <c r="F75" s="45" t="str">
        <f t="shared" ref="F75:F84" si="30">Millions</f>
        <v>$Millions</v>
      </c>
      <c r="G75" s="45" t="str">
        <f t="shared" ref="G75:G84" si="31">Nominal</f>
        <v>Nominal</v>
      </c>
      <c r="H75" s="45" t="str">
        <f t="shared" ref="H75:H84" si="32">End_year</f>
        <v>End year</v>
      </c>
      <c r="J75" s="58">
        <f>SUMPRODUCT((Calc_Alloc!$E$11:$E$30)*(Input_RAB_SCS!J$109:J$128))</f>
        <v>3.7172613588760668</v>
      </c>
      <c r="K75" s="56">
        <f>SUMPRODUCT((Calc_Alloc!$E$11:$E$30)*(Input_RAB_SCS!K$109:K$128))</f>
        <v>2.9678843860829009</v>
      </c>
      <c r="L75" s="57">
        <f>SUMPRODUCT((Calc_Alloc!$E$11:$E$30)*(Input_RAB_SCS!L$109:L$128))</f>
        <v>3.5982676061702503</v>
      </c>
      <c r="M75" s="57">
        <f>SUMPRODUCT((Calc_Alloc!$E$11:$E$30)*(Input_RAB_SCS!M$109:M$128))</f>
        <v>6.7660344671461985</v>
      </c>
      <c r="N75" s="57">
        <f>SUMPRODUCT((Calc_Alloc!$E$11:$E$30)*(Input_RAB_SCS!N$109:N$128))</f>
        <v>9.5298737383139844</v>
      </c>
      <c r="O75" s="58">
        <f>SUMPRODUCT((Calc_Alloc!$E$11:$E$30)*(Input_RAB_SCS!O$109:O$128))</f>
        <v>8.4390399027667478</v>
      </c>
      <c r="P75" s="56">
        <f>SUMPRODUCT((Calc_Alloc!$E$11:$E$30)*(Input_RAB_SCS!P$109:P$128))</f>
        <v>7.9323656066055328</v>
      </c>
      <c r="Q75" s="57">
        <f>SUMPRODUCT((Calc_Alloc!$E$11:$E$30)*(Input_RAB_SCS!Q$109:Q$128))</f>
        <v>8.8693980821403695</v>
      </c>
      <c r="R75" s="57">
        <f>SUMPRODUCT((Calc_Alloc!$E$11:$E$30)*(Input_RAB_SCS!R$109:R$128))</f>
        <v>9.1745502720716559</v>
      </c>
      <c r="S75" s="57">
        <f>SUMPRODUCT((Calc_Alloc!$E$11:$E$30)*(Input_RAB_SCS!S$109:S$128))</f>
        <v>8.376940003049576</v>
      </c>
      <c r="T75" s="58">
        <f>SUMPRODUCT((Calc_Alloc!$E$11:$E$30)*(Input_RAB_SCS!T$109:T$128))</f>
        <v>8.7287402683577664</v>
      </c>
    </row>
    <row r="76" spans="1:20" ht="12.3" x14ac:dyDescent="0.35">
      <c r="D76" s="10" t="str">
        <f t="shared" si="29"/>
        <v>Underground network assets less than 33kV</v>
      </c>
      <c r="E76" s="45" t="str">
        <f t="shared" si="29"/>
        <v>Calculated</v>
      </c>
      <c r="F76" s="45" t="str">
        <f t="shared" si="30"/>
        <v>$Millions</v>
      </c>
      <c r="G76" s="45" t="str">
        <f t="shared" si="31"/>
        <v>Nominal</v>
      </c>
      <c r="H76" s="45" t="str">
        <f t="shared" si="32"/>
        <v>End year</v>
      </c>
      <c r="J76" s="58">
        <f>SUMPRODUCT((Calc_Alloc!$F$11:$F$30)*(Input_RAB_SCS!J$109:J$128))</f>
        <v>7.7001715561086304</v>
      </c>
      <c r="K76" s="56">
        <f>SUMPRODUCT((Calc_Alloc!$F$11:$F$30)*(Input_RAB_SCS!K$109:K$128))</f>
        <v>6.1478644424518665</v>
      </c>
      <c r="L76" s="57">
        <f>SUMPRODUCT((Calc_Alloc!$F$11:$F$30)*(Input_RAB_SCS!L$109:L$128))</f>
        <v>7.4536803300472512</v>
      </c>
      <c r="M76" s="57">
        <f>SUMPRODUCT((Calc_Alloc!$F$11:$F$30)*(Input_RAB_SCS!M$109:M$128))</f>
        <v>14.01559404134079</v>
      </c>
      <c r="N76" s="57">
        <f>SUMPRODUCT((Calc_Alloc!$F$11:$F$30)*(Input_RAB_SCS!N$109:N$128))</f>
        <v>19.740786457710705</v>
      </c>
      <c r="O76" s="58">
        <f>SUMPRODUCT((Calc_Alloc!$F$11:$F$30)*(Input_RAB_SCS!O$109:O$128))</f>
        <v>17.481163885607955</v>
      </c>
      <c r="P76" s="56">
        <f>SUMPRODUCT((Calc_Alloc!$F$11:$F$30)*(Input_RAB_SCS!P$109:P$128))</f>
        <v>16.431606529573248</v>
      </c>
      <c r="Q76" s="57">
        <f>SUMPRODUCT((Calc_Alloc!$F$11:$F$30)*(Input_RAB_SCS!Q$109:Q$128))</f>
        <v>18.372635184455074</v>
      </c>
      <c r="R76" s="57">
        <f>SUMPRODUCT((Calc_Alloc!$F$11:$F$30)*(Input_RAB_SCS!R$109:R$128))</f>
        <v>19.004746835034201</v>
      </c>
      <c r="S76" s="57">
        <f>SUMPRODUCT((Calc_Alloc!$F$11:$F$30)*(Input_RAB_SCS!S$109:S$128))</f>
        <v>17.352526204456598</v>
      </c>
      <c r="T76" s="58">
        <f>SUMPRODUCT((Calc_Alloc!$F$11:$F$30)*(Input_RAB_SCS!T$109:T$128))</f>
        <v>18.081267644680928</v>
      </c>
    </row>
    <row r="77" spans="1:20" ht="12.3" x14ac:dyDescent="0.35">
      <c r="D77" s="10" t="str">
        <f t="shared" si="29"/>
        <v>Distribution substations and transformers</v>
      </c>
      <c r="E77" s="45" t="str">
        <f t="shared" si="29"/>
        <v>Calculated</v>
      </c>
      <c r="F77" s="45" t="str">
        <f t="shared" si="30"/>
        <v>$Millions</v>
      </c>
      <c r="G77" s="45" t="str">
        <f t="shared" si="31"/>
        <v>Nominal</v>
      </c>
      <c r="H77" s="45" t="str">
        <f t="shared" si="32"/>
        <v>End year</v>
      </c>
      <c r="J77" s="58">
        <f>SUMPRODUCT((Calc_Alloc!$G$11:$G$30)*(Input_RAB_SCS!J$109:J$128))</f>
        <v>7.3454452519607329</v>
      </c>
      <c r="K77" s="56">
        <f>SUMPRODUCT((Calc_Alloc!$G$11:$G$30)*(Input_RAB_SCS!K$109:K$128))</f>
        <v>5.9637257843514844</v>
      </c>
      <c r="L77" s="57">
        <f>SUMPRODUCT((Calc_Alloc!$G$11:$G$30)*(Input_RAB_SCS!L$109:L$128))</f>
        <v>7.0245318767604061</v>
      </c>
      <c r="M77" s="57">
        <f>SUMPRODUCT((Calc_Alloc!$G$11:$G$30)*(Input_RAB_SCS!M$109:M$128))</f>
        <v>8.0153303558914573</v>
      </c>
      <c r="N77" s="57">
        <f>SUMPRODUCT((Calc_Alloc!$G$11:$G$30)*(Input_RAB_SCS!N$109:N$128))</f>
        <v>7.2981286233287985</v>
      </c>
      <c r="O77" s="58">
        <f>SUMPRODUCT((Calc_Alloc!$G$11:$G$30)*(Input_RAB_SCS!O$109:O$128))</f>
        <v>7.021651715149881</v>
      </c>
      <c r="P77" s="56">
        <f>SUMPRODUCT((Calc_Alloc!$G$11:$G$30)*(Input_RAB_SCS!P$109:P$128))</f>
        <v>10.414841423026754</v>
      </c>
      <c r="Q77" s="57">
        <f>SUMPRODUCT((Calc_Alloc!$G$11:$G$30)*(Input_RAB_SCS!Q$109:Q$128))</f>
        <v>11.093635301798965</v>
      </c>
      <c r="R77" s="57">
        <f>SUMPRODUCT((Calc_Alloc!$G$11:$G$30)*(Input_RAB_SCS!R$109:R$128))</f>
        <v>11.75529580828977</v>
      </c>
      <c r="S77" s="57">
        <f>SUMPRODUCT((Calc_Alloc!$G$11:$G$30)*(Input_RAB_SCS!S$109:S$128))</f>
        <v>12.43040654879996</v>
      </c>
      <c r="T77" s="58">
        <f>SUMPRODUCT((Calc_Alloc!$G$11:$G$30)*(Input_RAB_SCS!T$109:T$128))</f>
        <v>13.169454946205253</v>
      </c>
    </row>
    <row r="78" spans="1:20" ht="12.3" x14ac:dyDescent="0.35">
      <c r="D78" s="10" t="str">
        <f t="shared" si="29"/>
        <v>Overhead network assets 33kV and above</v>
      </c>
      <c r="E78" s="45" t="str">
        <f t="shared" si="29"/>
        <v>Calculated</v>
      </c>
      <c r="F78" s="45" t="str">
        <f t="shared" si="30"/>
        <v>$Millions</v>
      </c>
      <c r="G78" s="45" t="str">
        <f t="shared" si="31"/>
        <v>Nominal</v>
      </c>
      <c r="H78" s="45" t="str">
        <f t="shared" si="32"/>
        <v>End year</v>
      </c>
      <c r="J78" s="58">
        <f>SUMPRODUCT((Calc_Alloc!$H$11:$H$30)*(Input_RAB_SCS!J$109:J$128))</f>
        <v>0.1512810596439785</v>
      </c>
      <c r="K78" s="56">
        <f>SUMPRODUCT((Calc_Alloc!$H$11:$H$30)*(Input_RAB_SCS!K$109:K$128))</f>
        <v>0.6358272541840313</v>
      </c>
      <c r="L78" s="57">
        <f>SUMPRODUCT((Calc_Alloc!$H$11:$H$30)*(Input_RAB_SCS!L$109:L$128))</f>
        <v>1.1057157616857085</v>
      </c>
      <c r="M78" s="57">
        <f>SUMPRODUCT((Calc_Alloc!$H$11:$H$30)*(Input_RAB_SCS!M$109:M$128))</f>
        <v>1.6270920263082307</v>
      </c>
      <c r="N78" s="57">
        <f>SUMPRODUCT((Calc_Alloc!$H$11:$H$30)*(Input_RAB_SCS!N$109:N$128))</f>
        <v>2.0155104142446509</v>
      </c>
      <c r="O78" s="58">
        <f>SUMPRODUCT((Calc_Alloc!$H$11:$H$30)*(Input_RAB_SCS!O$109:O$128))</f>
        <v>3.6799402726009509</v>
      </c>
      <c r="P78" s="56">
        <f>SUMPRODUCT((Calc_Alloc!$H$11:$H$30)*(Input_RAB_SCS!P$109:P$128))</f>
        <v>2.442036598030525</v>
      </c>
      <c r="Q78" s="57">
        <f>SUMPRODUCT((Calc_Alloc!$H$11:$H$30)*(Input_RAB_SCS!Q$109:Q$128))</f>
        <v>5.1102500118266541</v>
      </c>
      <c r="R78" s="57">
        <f>SUMPRODUCT((Calc_Alloc!$H$11:$H$30)*(Input_RAB_SCS!R$109:R$128))</f>
        <v>2.1952739124448803</v>
      </c>
      <c r="S78" s="57">
        <f>SUMPRODUCT((Calc_Alloc!$H$11:$H$30)*(Input_RAB_SCS!S$109:S$128))</f>
        <v>1.5226179338906405</v>
      </c>
      <c r="T78" s="58">
        <f>SUMPRODUCT((Calc_Alloc!$H$11:$H$30)*(Input_RAB_SCS!T$109:T$128))</f>
        <v>1.5775496314157453</v>
      </c>
    </row>
    <row r="79" spans="1:20" ht="12.3" x14ac:dyDescent="0.35">
      <c r="D79" s="10" t="str">
        <f t="shared" si="29"/>
        <v>Underground network assets 33kV and above</v>
      </c>
      <c r="E79" s="45" t="str">
        <f t="shared" si="29"/>
        <v>Calculated</v>
      </c>
      <c r="F79" s="45" t="str">
        <f t="shared" si="30"/>
        <v>$Millions</v>
      </c>
      <c r="G79" s="45" t="str">
        <f t="shared" si="31"/>
        <v>Nominal</v>
      </c>
      <c r="H79" s="45" t="str">
        <f t="shared" si="32"/>
        <v>End year</v>
      </c>
      <c r="J79" s="58">
        <f>SUMPRODUCT((Calc_Alloc!$I$11:$I$30)*(Input_RAB_SCS!J$109:J$128))</f>
        <v>7.569891622579232E-2</v>
      </c>
      <c r="K79" s="56">
        <f>SUMPRODUCT((Calc_Alloc!$I$11:$I$30)*(Input_RAB_SCS!K$109:K$128))</f>
        <v>0.31815902243032934</v>
      </c>
      <c r="L79" s="57">
        <f>SUMPRODUCT((Calc_Alloc!$I$11:$I$30)*(Input_RAB_SCS!L$109:L$128))</f>
        <v>0.55328462803186207</v>
      </c>
      <c r="M79" s="57">
        <f>SUMPRODUCT((Calc_Alloc!$I$11:$I$30)*(Input_RAB_SCS!M$109:M$128))</f>
        <v>0.81417398371630167</v>
      </c>
      <c r="N79" s="57">
        <f>SUMPRODUCT((Calc_Alloc!$I$11:$I$30)*(Input_RAB_SCS!N$109:N$128))</f>
        <v>1.0085330864232263</v>
      </c>
      <c r="O79" s="58">
        <f>SUMPRODUCT((Calc_Alloc!$I$11:$I$30)*(Input_RAB_SCS!O$109:O$128))</f>
        <v>1.8413903965712117</v>
      </c>
      <c r="P79" s="56">
        <f>SUMPRODUCT((Calc_Alloc!$I$11:$I$30)*(Input_RAB_SCS!P$109:P$128))</f>
        <v>1.2219607946274034</v>
      </c>
      <c r="Q79" s="57">
        <f>SUMPRODUCT((Calc_Alloc!$I$11:$I$30)*(Input_RAB_SCS!Q$109:Q$128))</f>
        <v>2.5570972893004695</v>
      </c>
      <c r="R79" s="57">
        <f>SUMPRODUCT((Calc_Alloc!$I$11:$I$30)*(Input_RAB_SCS!R$109:R$128))</f>
        <v>1.0984842146261822</v>
      </c>
      <c r="S79" s="57">
        <f>SUMPRODUCT((Calc_Alloc!$I$11:$I$30)*(Input_RAB_SCS!S$109:S$128))</f>
        <v>0.76189661609145354</v>
      </c>
      <c r="T79" s="58">
        <f>SUMPRODUCT((Calc_Alloc!$I$11:$I$30)*(Input_RAB_SCS!T$109:T$128))</f>
        <v>0.78938366555342498</v>
      </c>
    </row>
    <row r="80" spans="1:20" ht="12.3" x14ac:dyDescent="0.35">
      <c r="D80" s="10" t="str">
        <f t="shared" si="29"/>
        <v>Zone substations and transformers</v>
      </c>
      <c r="E80" s="45" t="str">
        <f t="shared" si="29"/>
        <v>Calculated</v>
      </c>
      <c r="F80" s="45" t="str">
        <f t="shared" si="30"/>
        <v>$Millions</v>
      </c>
      <c r="G80" s="45" t="str">
        <f t="shared" si="31"/>
        <v>Nominal</v>
      </c>
      <c r="H80" s="45" t="str">
        <f t="shared" si="32"/>
        <v>End year</v>
      </c>
      <c r="J80" s="58">
        <f>SUMPRODUCT((Calc_Alloc!$J$11:$J$30)*(Input_RAB_SCS!J$109:J$128))</f>
        <v>19.190863580576529</v>
      </c>
      <c r="K80" s="56">
        <f>SUMPRODUCT((Calc_Alloc!$J$11:$J$30)*(Input_RAB_SCS!K$109:K$128))</f>
        <v>21.672337054804082</v>
      </c>
      <c r="L80" s="57">
        <f>SUMPRODUCT((Calc_Alloc!$J$11:$J$30)*(Input_RAB_SCS!L$109:L$128))</f>
        <v>14.823524006381485</v>
      </c>
      <c r="M80" s="57">
        <f>SUMPRODUCT((Calc_Alloc!$J$11:$J$30)*(Input_RAB_SCS!M$109:M$128))</f>
        <v>15.56844703257566</v>
      </c>
      <c r="N80" s="57">
        <f>SUMPRODUCT((Calc_Alloc!$J$11:$J$30)*(Input_RAB_SCS!N$109:N$128))</f>
        <v>21.102834448620996</v>
      </c>
      <c r="O80" s="58">
        <f>SUMPRODUCT((Calc_Alloc!$J$11:$J$30)*(Input_RAB_SCS!O$109:O$128))</f>
        <v>34.489581025327908</v>
      </c>
      <c r="P80" s="56">
        <f>SUMPRODUCT((Calc_Alloc!$J$11:$J$30)*(Input_RAB_SCS!P$109:P$128))</f>
        <v>38.200060773093277</v>
      </c>
      <c r="Q80" s="57">
        <f>SUMPRODUCT((Calc_Alloc!$J$11:$J$30)*(Input_RAB_SCS!Q$109:Q$128))</f>
        <v>27.99747722942131</v>
      </c>
      <c r="R80" s="57">
        <f>SUMPRODUCT((Calc_Alloc!$J$11:$J$30)*(Input_RAB_SCS!R$109:R$128))</f>
        <v>14.617380967285705</v>
      </c>
      <c r="S80" s="57">
        <f>SUMPRODUCT((Calc_Alloc!$J$11:$J$30)*(Input_RAB_SCS!S$109:S$128))</f>
        <v>11.693984876008054</v>
      </c>
      <c r="T80" s="58">
        <f>SUMPRODUCT((Calc_Alloc!$J$11:$J$30)*(Input_RAB_SCS!T$109:T$128))</f>
        <v>10.320020085222426</v>
      </c>
    </row>
    <row r="81" spans="1:20" ht="12.3" x14ac:dyDescent="0.35">
      <c r="D81" s="10" t="str">
        <f t="shared" si="29"/>
        <v>Easements</v>
      </c>
      <c r="E81" s="45" t="str">
        <f t="shared" si="29"/>
        <v>Calculated</v>
      </c>
      <c r="F81" s="45" t="str">
        <f t="shared" si="30"/>
        <v>$Millions</v>
      </c>
      <c r="G81" s="45" t="str">
        <f t="shared" si="31"/>
        <v>Nominal</v>
      </c>
      <c r="H81" s="45" t="str">
        <f t="shared" si="32"/>
        <v>End year</v>
      </c>
      <c r="J81" s="58">
        <f>SUMPRODUCT((Calc_Alloc!$K$11:$K$30)*(Input_RAB_SCS!J$109:J$128))</f>
        <v>0</v>
      </c>
      <c r="K81" s="56">
        <f>SUMPRODUCT((Calc_Alloc!$K$11:$K$30)*(Input_RAB_SCS!K$109:K$128))</f>
        <v>0</v>
      </c>
      <c r="L81" s="57">
        <f>SUMPRODUCT((Calc_Alloc!$K$11:$K$30)*(Input_RAB_SCS!L$109:L$128))</f>
        <v>0</v>
      </c>
      <c r="M81" s="57">
        <f>SUMPRODUCT((Calc_Alloc!$K$11:$K$30)*(Input_RAB_SCS!M$109:M$128))</f>
        <v>0</v>
      </c>
      <c r="N81" s="57">
        <f>SUMPRODUCT((Calc_Alloc!$K$11:$K$30)*(Input_RAB_SCS!N$109:N$128))</f>
        <v>0</v>
      </c>
      <c r="O81" s="58">
        <f>SUMPRODUCT((Calc_Alloc!$K$11:$K$30)*(Input_RAB_SCS!O$109:O$128))</f>
        <v>0</v>
      </c>
      <c r="P81" s="56">
        <f>SUMPRODUCT((Calc_Alloc!$K$11:$K$30)*(Input_RAB_SCS!P$109:P$128))</f>
        <v>0</v>
      </c>
      <c r="Q81" s="57">
        <f>SUMPRODUCT((Calc_Alloc!$K$11:$K$30)*(Input_RAB_SCS!Q$109:Q$128))</f>
        <v>0</v>
      </c>
      <c r="R81" s="57">
        <f>SUMPRODUCT((Calc_Alloc!$K$11:$K$30)*(Input_RAB_SCS!R$109:R$128))</f>
        <v>0</v>
      </c>
      <c r="S81" s="57">
        <f>SUMPRODUCT((Calc_Alloc!$K$11:$K$30)*(Input_RAB_SCS!S$109:S$128))</f>
        <v>0</v>
      </c>
      <c r="T81" s="58">
        <f>SUMPRODUCT((Calc_Alloc!$K$11:$K$30)*(Input_RAB_SCS!T$109:T$128))</f>
        <v>0</v>
      </c>
    </row>
    <row r="82" spans="1:20" ht="12.3" x14ac:dyDescent="0.35">
      <c r="D82" s="10" t="str">
        <f t="shared" si="29"/>
        <v>Meters</v>
      </c>
      <c r="E82" s="45" t="str">
        <f t="shared" si="29"/>
        <v>Calculated</v>
      </c>
      <c r="F82" s="45" t="str">
        <f t="shared" si="30"/>
        <v>$Millions</v>
      </c>
      <c r="G82" s="45" t="str">
        <f t="shared" si="31"/>
        <v>Nominal</v>
      </c>
      <c r="H82" s="45" t="str">
        <f t="shared" si="32"/>
        <v>End year</v>
      </c>
      <c r="J82" s="58">
        <f>SUMPRODUCT((Calc_Alloc!$L$11:$L$30)*(Input_RAB_SCS!J$109:J$128))</f>
        <v>0</v>
      </c>
      <c r="K82" s="56">
        <f>SUMPRODUCT((Calc_Alloc!$L$11:$L$30)*(Input_RAB_SCS!K$109:K$128))</f>
        <v>0</v>
      </c>
      <c r="L82" s="57">
        <f>SUMPRODUCT((Calc_Alloc!$L$11:$L$30)*(Input_RAB_SCS!L$109:L$128))</f>
        <v>0</v>
      </c>
      <c r="M82" s="57">
        <f>SUMPRODUCT((Calc_Alloc!$L$11:$L$30)*(Input_RAB_SCS!M$109:M$128))</f>
        <v>0</v>
      </c>
      <c r="N82" s="57">
        <f>SUMPRODUCT((Calc_Alloc!$L$11:$L$30)*(Input_RAB_SCS!N$109:N$128))</f>
        <v>0</v>
      </c>
      <c r="O82" s="58">
        <f>SUMPRODUCT((Calc_Alloc!$L$11:$L$30)*(Input_RAB_SCS!O$109:O$128))</f>
        <v>0</v>
      </c>
      <c r="P82" s="56">
        <f>SUMPRODUCT((Calc_Alloc!$L$11:$L$30)*(Input_RAB_SCS!P$109:P$128))</f>
        <v>0</v>
      </c>
      <c r="Q82" s="57">
        <f>SUMPRODUCT((Calc_Alloc!$L$11:$L$30)*(Input_RAB_SCS!Q$109:Q$128))</f>
        <v>0</v>
      </c>
      <c r="R82" s="57">
        <f>SUMPRODUCT((Calc_Alloc!$L$11:$L$30)*(Input_RAB_SCS!R$109:R$128))</f>
        <v>0</v>
      </c>
      <c r="S82" s="57">
        <f>SUMPRODUCT((Calc_Alloc!$L$11:$L$30)*(Input_RAB_SCS!S$109:S$128))</f>
        <v>0</v>
      </c>
      <c r="T82" s="58">
        <f>SUMPRODUCT((Calc_Alloc!$L$11:$L$30)*(Input_RAB_SCS!T$109:T$128))</f>
        <v>0</v>
      </c>
    </row>
    <row r="83" spans="1:20" ht="12.3" x14ac:dyDescent="0.35">
      <c r="D83" s="10" t="str">
        <f t="shared" si="29"/>
        <v>“Other” asset items with long lives</v>
      </c>
      <c r="E83" s="45" t="str">
        <f t="shared" si="29"/>
        <v>Calculated</v>
      </c>
      <c r="F83" s="45" t="str">
        <f t="shared" si="30"/>
        <v>$Millions</v>
      </c>
      <c r="G83" s="45" t="str">
        <f t="shared" si="31"/>
        <v>Nominal</v>
      </c>
      <c r="H83" s="45" t="str">
        <f t="shared" si="32"/>
        <v>End year</v>
      </c>
      <c r="J83" s="58">
        <f>SUMPRODUCT((Calc_Alloc!$M$11:$M$30)*(Input_RAB_SCS!J$109:J$128))</f>
        <v>4.9242373581575452</v>
      </c>
      <c r="K83" s="56">
        <f>SUMPRODUCT((Calc_Alloc!$M$11:$M$30)*(Input_RAB_SCS!K$109:K$128))</f>
        <v>7.2367386653431245</v>
      </c>
      <c r="L83" s="57">
        <f>SUMPRODUCT((Calc_Alloc!$M$11:$M$30)*(Input_RAB_SCS!L$109:L$128))</f>
        <v>2.8799062959114066</v>
      </c>
      <c r="M83" s="57">
        <f>SUMPRODUCT((Calc_Alloc!$M$11:$M$30)*(Input_RAB_SCS!M$109:M$128))</f>
        <v>7.7199815159193967</v>
      </c>
      <c r="N83" s="57">
        <f>SUMPRODUCT((Calc_Alloc!$M$11:$M$30)*(Input_RAB_SCS!N$109:N$128))</f>
        <v>25.227279315226006</v>
      </c>
      <c r="O83" s="58">
        <f>SUMPRODUCT((Calc_Alloc!$M$11:$M$30)*(Input_RAB_SCS!O$109:O$128))</f>
        <v>26.579447010791046</v>
      </c>
      <c r="P83" s="56">
        <f>SUMPRODUCT((Calc_Alloc!$M$11:$M$30)*(Input_RAB_SCS!P$109:P$128))</f>
        <v>25.212771589199694</v>
      </c>
      <c r="Q83" s="57">
        <f>SUMPRODUCT((Calc_Alloc!$M$11:$M$30)*(Input_RAB_SCS!Q$109:Q$128))</f>
        <v>29.836202398927867</v>
      </c>
      <c r="R83" s="57">
        <f>SUMPRODUCT((Calc_Alloc!$M$11:$M$30)*(Input_RAB_SCS!R$109:R$128))</f>
        <v>28.555023296789265</v>
      </c>
      <c r="S83" s="57">
        <f>SUMPRODUCT((Calc_Alloc!$M$11:$M$30)*(Input_RAB_SCS!S$109:S$128))</f>
        <v>79.996432192296467</v>
      </c>
      <c r="T83" s="58">
        <f>SUMPRODUCT((Calc_Alloc!$M$11:$M$30)*(Input_RAB_SCS!T$109:T$128))</f>
        <v>113.21685080809939</v>
      </c>
    </row>
    <row r="84" spans="1:20" ht="12.3" x14ac:dyDescent="0.35">
      <c r="D84" s="10" t="str">
        <f t="shared" si="29"/>
        <v>“Other” asset items with short lives</v>
      </c>
      <c r="E84" s="45" t="str">
        <f t="shared" si="29"/>
        <v>Calculated</v>
      </c>
      <c r="F84" s="45" t="str">
        <f t="shared" si="30"/>
        <v>$Millions</v>
      </c>
      <c r="G84" s="45" t="str">
        <f t="shared" si="31"/>
        <v>Nominal</v>
      </c>
      <c r="H84" s="45" t="str">
        <f t="shared" si="32"/>
        <v>End year</v>
      </c>
      <c r="J84" s="58">
        <f>SUMPRODUCT((Calc_Alloc!$N$11:$N$30)*(Input_RAB_SCS!J$109:J$128))</f>
        <v>0.57286807798612494</v>
      </c>
      <c r="K84" s="56">
        <f>SUMPRODUCT((Calc_Alloc!$N$11:$N$30)*(Input_RAB_SCS!K$109:K$128))</f>
        <v>18.888067677829902</v>
      </c>
      <c r="L84" s="57">
        <f>SUMPRODUCT((Calc_Alloc!$N$11:$N$30)*(Input_RAB_SCS!L$109:L$128))</f>
        <v>6.0765643224919508</v>
      </c>
      <c r="M84" s="57">
        <f>SUMPRODUCT((Calc_Alloc!$N$11:$N$30)*(Input_RAB_SCS!M$109:M$128))</f>
        <v>14.988448525712755</v>
      </c>
      <c r="N84" s="57">
        <f>SUMPRODUCT((Calc_Alloc!$N$11:$N$30)*(Input_RAB_SCS!N$109:N$128))</f>
        <v>5.4568654783595223</v>
      </c>
      <c r="O84" s="58">
        <f>SUMPRODUCT((Calc_Alloc!$N$11:$N$30)*(Input_RAB_SCS!O$109:O$128))</f>
        <v>9.0388835236122702</v>
      </c>
      <c r="P84" s="56">
        <f>SUMPRODUCT((Calc_Alloc!$N$11:$N$30)*(Input_RAB_SCS!P$109:P$128))</f>
        <v>4.874129414196128</v>
      </c>
      <c r="Q84" s="57">
        <f>SUMPRODUCT((Calc_Alloc!$N$11:$N$30)*(Input_RAB_SCS!Q$109:Q$128))</f>
        <v>7.9405189069084132</v>
      </c>
      <c r="R84" s="57">
        <f>SUMPRODUCT((Calc_Alloc!$N$11:$N$30)*(Input_RAB_SCS!R$109:R$128))</f>
        <v>15.963894918357697</v>
      </c>
      <c r="S84" s="57">
        <f>SUMPRODUCT((Calc_Alloc!$N$11:$N$30)*(Input_RAB_SCS!S$109:S$128))</f>
        <v>7.049747443702028</v>
      </c>
      <c r="T84" s="58">
        <f>SUMPRODUCT((Calc_Alloc!$N$11:$N$30)*(Input_RAB_SCS!T$109:T$128))</f>
        <v>7.4821569924069973</v>
      </c>
    </row>
    <row r="85" spans="1:20" x14ac:dyDescent="0.35">
      <c r="J85" s="49"/>
      <c r="K85" s="48"/>
      <c r="O85" s="49"/>
      <c r="P85" s="48"/>
      <c r="T85" s="49"/>
    </row>
    <row r="86" spans="1:20" ht="12.3" x14ac:dyDescent="0.35">
      <c r="D86" s="44" t="str">
        <f>"Total "&amp;D73</f>
        <v>Total EB RIN categories</v>
      </c>
      <c r="E86" s="40" t="s">
        <v>91</v>
      </c>
      <c r="F86" s="40" t="str">
        <f>F75</f>
        <v>$Millions</v>
      </c>
      <c r="G86" s="40" t="str">
        <f>G75</f>
        <v>Nominal</v>
      </c>
      <c r="H86" s="40" t="str">
        <f>H75</f>
        <v>End year</v>
      </c>
      <c r="J86" s="54">
        <f t="shared" ref="J86:T86" si="33">SUM(J75:J84)</f>
        <v>43.677827159535397</v>
      </c>
      <c r="K86" s="53">
        <f t="shared" si="33"/>
        <v>63.830604287477719</v>
      </c>
      <c r="L86" s="39">
        <f t="shared" si="33"/>
        <v>43.515474827480318</v>
      </c>
      <c r="M86" s="39">
        <f t="shared" si="33"/>
        <v>69.515101948610791</v>
      </c>
      <c r="N86" s="39">
        <f t="shared" si="33"/>
        <v>91.379811562227886</v>
      </c>
      <c r="O86" s="54">
        <f t="shared" si="33"/>
        <v>108.57109773242797</v>
      </c>
      <c r="P86" s="53">
        <f t="shared" si="33"/>
        <v>106.72977272835256</v>
      </c>
      <c r="Q86" s="39">
        <f t="shared" si="33"/>
        <v>111.77721440477912</v>
      </c>
      <c r="R86" s="39">
        <f t="shared" si="33"/>
        <v>102.36465022489936</v>
      </c>
      <c r="S86" s="39">
        <f t="shared" si="33"/>
        <v>139.18455181829478</v>
      </c>
      <c r="T86" s="54">
        <f t="shared" si="33"/>
        <v>173.36542404194194</v>
      </c>
    </row>
    <row r="87" spans="1:20" ht="11.25" customHeight="1" x14ac:dyDescent="0.35"/>
    <row r="88" spans="1:20" ht="11.25" customHeight="1" x14ac:dyDescent="0.35">
      <c r="A88" s="42">
        <f>IF(SUM($J88:$T88)&lt;&gt;0,1,0)</f>
        <v>0</v>
      </c>
      <c r="D88" s="10" t="s">
        <v>94</v>
      </c>
      <c r="J88" s="42">
        <f>IF(ROUND(J86-Input_RAB_SCS!J$130,5)&lt;&gt;0,1,0)</f>
        <v>0</v>
      </c>
      <c r="K88" s="42">
        <f>IF(ROUND(K86-Input_RAB_SCS!K$130,5)&lt;&gt;0,1,0)</f>
        <v>0</v>
      </c>
      <c r="L88" s="42">
        <f>IF(ROUND(L86-Input_RAB_SCS!L$130,5)&lt;&gt;0,1,0)</f>
        <v>0</v>
      </c>
      <c r="M88" s="42">
        <f>IF(ROUND(M86-Input_RAB_SCS!M$130,5)&lt;&gt;0,1,0)</f>
        <v>0</v>
      </c>
      <c r="N88" s="42">
        <f>IF(ROUND(N86-Input_RAB_SCS!N$130,5)&lt;&gt;0,1,0)</f>
        <v>0</v>
      </c>
      <c r="O88" s="42">
        <f>IF(ROUND(O86-Input_RAB_SCS!O$130,5)&lt;&gt;0,1,0)</f>
        <v>0</v>
      </c>
      <c r="P88" s="42">
        <f>IF(ROUND(P86-Input_RAB_SCS!P$130,5)&lt;&gt;0,1,0)</f>
        <v>0</v>
      </c>
      <c r="Q88" s="42">
        <f>IF(ROUND(Q86-Input_RAB_SCS!Q$130,5)&lt;&gt;0,1,0)</f>
        <v>0</v>
      </c>
      <c r="R88" s="42">
        <f>IF(ROUND(R86-Input_RAB_SCS!R$130,5)&lt;&gt;0,1,0)</f>
        <v>0</v>
      </c>
      <c r="S88" s="42">
        <f>IF(ROUND(S86-Input_RAB_SCS!S$130,5)&lt;&gt;0,1,0)</f>
        <v>0</v>
      </c>
      <c r="T88" s="42">
        <f>IF(ROUND(T86-Input_RAB_SCS!T$130,5)&lt;&gt;0,1,0)</f>
        <v>0</v>
      </c>
    </row>
    <row r="90" spans="1:20" s="8" customFormat="1" ht="14.1" x14ac:dyDescent="0.35">
      <c r="C90" s="8" t="s">
        <v>126</v>
      </c>
    </row>
    <row r="91" spans="1:20" ht="11.25" customHeight="1" x14ac:dyDescent="0.35"/>
    <row r="92" spans="1:20" ht="12.3" x14ac:dyDescent="0.35">
      <c r="D92" s="43" t="str">
        <f>D$16</f>
        <v>EB RIN categories</v>
      </c>
      <c r="E92" s="38" t="str">
        <f>Lookup!E$20</f>
        <v>Source</v>
      </c>
      <c r="F92" s="38" t="str">
        <f>Lookup!F$20</f>
        <v>Unit</v>
      </c>
      <c r="G92" s="38" t="str">
        <f>Lookup!G$20</f>
        <v>Basis</v>
      </c>
      <c r="H92" s="38" t="str">
        <f>Lookup!H$20</f>
        <v>Timing</v>
      </c>
      <c r="J92" s="47" t="str">
        <f t="shared" ref="J92:T92" si="34">J$10</f>
        <v>RY19</v>
      </c>
      <c r="K92" s="46" t="str">
        <f t="shared" si="34"/>
        <v>RY20</v>
      </c>
      <c r="L92" s="38" t="str">
        <f t="shared" si="34"/>
        <v>RY21</v>
      </c>
      <c r="M92" s="38" t="str">
        <f t="shared" si="34"/>
        <v>RY22</v>
      </c>
      <c r="N92" s="38" t="str">
        <f t="shared" si="34"/>
        <v>RY23</v>
      </c>
      <c r="O92" s="47" t="str">
        <f t="shared" si="34"/>
        <v>RY24</v>
      </c>
      <c r="P92" s="46" t="str">
        <f t="shared" si="34"/>
        <v>RY25</v>
      </c>
      <c r="Q92" s="38" t="str">
        <f t="shared" si="34"/>
        <v>RY26</v>
      </c>
      <c r="R92" s="38" t="str">
        <f t="shared" si="34"/>
        <v>RY27</v>
      </c>
      <c r="S92" s="38" t="str">
        <f t="shared" si="34"/>
        <v>RY28</v>
      </c>
      <c r="T92" s="47" t="str">
        <f t="shared" si="34"/>
        <v>RY29</v>
      </c>
    </row>
    <row r="93" spans="1:20" x14ac:dyDescent="0.35">
      <c r="J93" s="49"/>
      <c r="K93" s="48"/>
      <c r="O93" s="49"/>
      <c r="P93" s="48"/>
      <c r="T93" s="49"/>
    </row>
    <row r="94" spans="1:20" ht="12.3" x14ac:dyDescent="0.35">
      <c r="D94" s="10" t="str">
        <f t="shared" ref="D94:E103" si="35">D18</f>
        <v>Overhead network assets less than 33kV</v>
      </c>
      <c r="E94" s="45" t="str">
        <f t="shared" si="35"/>
        <v>Calculated</v>
      </c>
      <c r="F94" s="45" t="str">
        <f t="shared" ref="F94:F103" si="36">Millions</f>
        <v>$Millions</v>
      </c>
      <c r="G94" s="45" t="str">
        <f t="shared" ref="G94:G103" si="37">Nominal</f>
        <v>Nominal</v>
      </c>
      <c r="H94" s="45" t="str">
        <f t="shared" ref="H94:H103" si="38">End_year</f>
        <v>End year</v>
      </c>
      <c r="J94" s="58">
        <f>SUMPRODUCT((Calc_Alloc!$E$11:$E$30)*(Input_RAB_SCS!J$140:J$159))</f>
        <v>-1.9334900434074015E-2</v>
      </c>
      <c r="K94" s="56">
        <f>SUMPRODUCT((Calc_Alloc!$E$11:$E$30)*(Input_RAB_SCS!K$140:K$159))</f>
        <v>-1.1768412264213369E-2</v>
      </c>
      <c r="L94" s="57">
        <f>SUMPRODUCT((Calc_Alloc!$E$11:$E$30)*(Input_RAB_SCS!L$140:L$159))</f>
        <v>-3.0696679009636098E-2</v>
      </c>
      <c r="M94" s="57">
        <f>SUMPRODUCT((Calc_Alloc!$E$11:$E$30)*(Input_RAB_SCS!M$140:M$159))</f>
        <v>-3.0688860307748811E-2</v>
      </c>
      <c r="N94" s="57">
        <f>SUMPRODUCT((Calc_Alloc!$E$11:$E$30)*(Input_RAB_SCS!N$140:N$159))</f>
        <v>-3.0496535468353011E-2</v>
      </c>
      <c r="O94" s="58">
        <f>SUMPRODUCT((Calc_Alloc!$E$11:$E$30)*(Input_RAB_SCS!O$140:O$159))</f>
        <v>-3.1515936433661636E-2</v>
      </c>
      <c r="P94" s="56">
        <f>SUMPRODUCT((Calc_Alloc!$E$11:$E$30)*(Input_RAB_SCS!P$140:P$159))</f>
        <v>-3.1376594795769472E-2</v>
      </c>
      <c r="Q94" s="57">
        <f>SUMPRODUCT((Calc_Alloc!$E$11:$E$30)*(Input_RAB_SCS!Q$140:Q$159))</f>
        <v>-3.1400704780815823E-2</v>
      </c>
      <c r="R94" s="57">
        <f>SUMPRODUCT((Calc_Alloc!$E$11:$E$30)*(Input_RAB_SCS!R$140:R$159))</f>
        <v>-3.1424796268010903E-2</v>
      </c>
      <c r="S94" s="57">
        <f>SUMPRODUCT((Calc_Alloc!$E$11:$E$30)*(Input_RAB_SCS!S$140:S$159))</f>
        <v>-3.1448869299865671E-2</v>
      </c>
      <c r="T94" s="58">
        <f>SUMPRODUCT((Calc_Alloc!$E$11:$E$30)*(Input_RAB_SCS!T$140:T$159))</f>
        <v>-3.1472923918728551E-2</v>
      </c>
    </row>
    <row r="95" spans="1:20" ht="12.3" x14ac:dyDescent="0.35">
      <c r="D95" s="10" t="str">
        <f t="shared" si="35"/>
        <v>Underground network assets less than 33kV</v>
      </c>
      <c r="E95" s="45" t="str">
        <f t="shared" si="35"/>
        <v>Calculated</v>
      </c>
      <c r="F95" s="45" t="str">
        <f t="shared" si="36"/>
        <v>$Millions</v>
      </c>
      <c r="G95" s="45" t="str">
        <f t="shared" si="37"/>
        <v>Nominal</v>
      </c>
      <c r="H95" s="45" t="str">
        <f t="shared" si="38"/>
        <v>End year</v>
      </c>
      <c r="J95" s="58">
        <f>SUMPRODUCT((Calc_Alloc!$F$11:$F$30)*(Input_RAB_SCS!J$140:J$159))</f>
        <v>-4.0051542248206187E-2</v>
      </c>
      <c r="K95" s="56">
        <f>SUMPRODUCT((Calc_Alloc!$F$11:$F$30)*(Input_RAB_SCS!K$140:K$159))</f>
        <v>-2.4377837506926014E-2</v>
      </c>
      <c r="L95" s="57">
        <f>SUMPRODUCT((Calc_Alloc!$F$11:$F$30)*(Input_RAB_SCS!L$140:L$159))</f>
        <v>-6.3587052874986533E-2</v>
      </c>
      <c r="M95" s="57">
        <f>SUMPRODUCT((Calc_Alloc!$F$11:$F$30)*(Input_RAB_SCS!M$140:M$159))</f>
        <v>-6.3570856718712931E-2</v>
      </c>
      <c r="N95" s="57">
        <f>SUMPRODUCT((Calc_Alloc!$F$11:$F$30)*(Input_RAB_SCS!N$140:N$159))</f>
        <v>-6.3172462816623545E-2</v>
      </c>
      <c r="O95" s="58">
        <f>SUMPRODUCT((Calc_Alloc!$F$11:$F$30)*(Input_RAB_SCS!O$140:O$159))</f>
        <v>-6.5284114798961554E-2</v>
      </c>
      <c r="P95" s="56">
        <f>SUMPRODUCT((Calc_Alloc!$F$11:$F$30)*(Input_RAB_SCS!P$140:P$159))</f>
        <v>-6.4995473669621329E-2</v>
      </c>
      <c r="Q95" s="57">
        <f>SUMPRODUCT((Calc_Alloc!$F$11:$F$30)*(Input_RAB_SCS!Q$140:Q$159))</f>
        <v>-6.5045416625778757E-2</v>
      </c>
      <c r="R95" s="57">
        <f>SUMPRODUCT((Calc_Alloc!$F$11:$F$30)*(Input_RAB_SCS!R$140:R$159))</f>
        <v>-6.5095321264310821E-2</v>
      </c>
      <c r="S95" s="57">
        <f>SUMPRODUCT((Calc_Alloc!$F$11:$F$30)*(Input_RAB_SCS!S$140:S$159))</f>
        <v>-6.5145187673277413E-2</v>
      </c>
      <c r="T95" s="58">
        <f>SUMPRODUCT((Calc_Alloc!$F$11:$F$30)*(Input_RAB_SCS!T$140:T$159))</f>
        <v>-6.5195015940401724E-2</v>
      </c>
    </row>
    <row r="96" spans="1:20" ht="12.3" x14ac:dyDescent="0.35">
      <c r="D96" s="10" t="str">
        <f t="shared" si="35"/>
        <v>Distribution substations and transformers</v>
      </c>
      <c r="E96" s="45" t="str">
        <f t="shared" si="35"/>
        <v>Calculated</v>
      </c>
      <c r="F96" s="45" t="str">
        <f t="shared" si="36"/>
        <v>$Millions</v>
      </c>
      <c r="G96" s="45" t="str">
        <f t="shared" si="37"/>
        <v>Nominal</v>
      </c>
      <c r="H96" s="45" t="str">
        <f t="shared" si="38"/>
        <v>End year</v>
      </c>
      <c r="J96" s="58">
        <f>SUMPRODUCT((Calc_Alloc!$G$11:$G$30)*(Input_RAB_SCS!J$140:J$159))</f>
        <v>-3.1081081906396572E-2</v>
      </c>
      <c r="K96" s="56">
        <f>SUMPRODUCT((Calc_Alloc!$G$11:$G$30)*(Input_RAB_SCS!K$140:K$159))</f>
        <v>-3.7461823730769693E-2</v>
      </c>
      <c r="L96" s="57">
        <f>SUMPRODUCT((Calc_Alloc!$G$11:$G$30)*(Input_RAB_SCS!L$140:L$159))</f>
        <v>-6.0447296199541986E-3</v>
      </c>
      <c r="M96" s="57">
        <f>SUMPRODUCT((Calc_Alloc!$G$11:$G$30)*(Input_RAB_SCS!M$140:M$159))</f>
        <v>0</v>
      </c>
      <c r="N96" s="57">
        <f>SUMPRODUCT((Calc_Alloc!$G$11:$G$30)*(Input_RAB_SCS!N$140:N$159))</f>
        <v>-1.7353987973151231E-2</v>
      </c>
      <c r="O96" s="58">
        <f>SUMPRODUCT((Calc_Alloc!$G$11:$G$30)*(Input_RAB_SCS!O$140:O$159))</f>
        <v>-1.7934075901832262E-2</v>
      </c>
      <c r="P96" s="56">
        <f>SUMPRODUCT((Calc_Alloc!$G$11:$G$30)*(Input_RAB_SCS!P$140:P$159))</f>
        <v>-1.7854783842226045E-2</v>
      </c>
      <c r="Q96" s="57">
        <f>SUMPRODUCT((Calc_Alloc!$G$11:$G$30)*(Input_RAB_SCS!Q$140:Q$159))</f>
        <v>-1.7868503577405846E-2</v>
      </c>
      <c r="R96" s="57">
        <f>SUMPRODUCT((Calc_Alloc!$G$11:$G$30)*(Input_RAB_SCS!R$140:R$159))</f>
        <v>-1.7882212786423133E-2</v>
      </c>
      <c r="S96" s="57">
        <f>SUMPRODUCT((Calc_Alloc!$G$11:$G$30)*(Input_RAB_SCS!S$140:S$159))</f>
        <v>-1.7895911493468676E-2</v>
      </c>
      <c r="T96" s="58">
        <f>SUMPRODUCT((Calc_Alloc!$G$11:$G$30)*(Input_RAB_SCS!T$140:T$159))</f>
        <v>-1.7909599722640748E-2</v>
      </c>
    </row>
    <row r="97" spans="1:20" ht="12.3" x14ac:dyDescent="0.35">
      <c r="D97" s="10" t="str">
        <f t="shared" si="35"/>
        <v>Overhead network assets 33kV and above</v>
      </c>
      <c r="E97" s="45" t="str">
        <f t="shared" si="35"/>
        <v>Calculated</v>
      </c>
      <c r="F97" s="45" t="str">
        <f t="shared" si="36"/>
        <v>$Millions</v>
      </c>
      <c r="G97" s="45" t="str">
        <f t="shared" si="37"/>
        <v>Nominal</v>
      </c>
      <c r="H97" s="45" t="str">
        <f t="shared" si="38"/>
        <v>End year</v>
      </c>
      <c r="J97" s="58">
        <f>SUMPRODUCT((Calc_Alloc!$H$11:$H$30)*(Input_RAB_SCS!J$140:J$159))</f>
        <v>0</v>
      </c>
      <c r="K97" s="56">
        <f>SUMPRODUCT((Calc_Alloc!$H$11:$H$30)*(Input_RAB_SCS!K$140:K$159))</f>
        <v>-3.5239900527672652E-3</v>
      </c>
      <c r="L97" s="57">
        <f>SUMPRODUCT((Calc_Alloc!$H$11:$H$30)*(Input_RAB_SCS!L$140:L$159))</f>
        <v>-6.4708419057097647E-3</v>
      </c>
      <c r="M97" s="57">
        <f>SUMPRODUCT((Calc_Alloc!$H$11:$H$30)*(Input_RAB_SCS!M$140:M$159))</f>
        <v>-1.0470610113738751E-2</v>
      </c>
      <c r="N97" s="57">
        <f>SUMPRODUCT((Calc_Alloc!$H$11:$H$30)*(Input_RAB_SCS!N$140:N$159))</f>
        <v>-8.0048845490471084E-3</v>
      </c>
      <c r="O97" s="58">
        <f>SUMPRODUCT((Calc_Alloc!$H$11:$H$30)*(Input_RAB_SCS!O$140:O$159))</f>
        <v>-8.2724620594482722E-3</v>
      </c>
      <c r="P97" s="56">
        <f>SUMPRODUCT((Calc_Alloc!$H$11:$H$30)*(Input_RAB_SCS!P$140:P$159))</f>
        <v>-8.2358869630620168E-3</v>
      </c>
      <c r="Q97" s="57">
        <f>SUMPRODUCT((Calc_Alloc!$H$11:$H$30)*(Input_RAB_SCS!Q$140:Q$159))</f>
        <v>-8.2422154736226851E-3</v>
      </c>
      <c r="R97" s="57">
        <f>SUMPRODUCT((Calc_Alloc!$H$11:$H$30)*(Input_RAB_SCS!R$140:R$159))</f>
        <v>-8.2485391287739906E-3</v>
      </c>
      <c r="S97" s="57">
        <f>SUMPRODUCT((Calc_Alloc!$H$11:$H$30)*(Input_RAB_SCS!S$140:S$159))</f>
        <v>-8.2548579396744277E-3</v>
      </c>
      <c r="T97" s="58">
        <f>SUMPRODUCT((Calc_Alloc!$H$11:$H$30)*(Input_RAB_SCS!T$140:T$159))</f>
        <v>-8.2611719174398197E-3</v>
      </c>
    </row>
    <row r="98" spans="1:20" ht="12.3" x14ac:dyDescent="0.35">
      <c r="D98" s="10" t="str">
        <f t="shared" si="35"/>
        <v>Underground network assets 33kV and above</v>
      </c>
      <c r="E98" s="45" t="str">
        <f t="shared" si="35"/>
        <v>Calculated</v>
      </c>
      <c r="F98" s="45" t="str">
        <f t="shared" si="36"/>
        <v>$Millions</v>
      </c>
      <c r="G98" s="45" t="str">
        <f t="shared" si="37"/>
        <v>Nominal</v>
      </c>
      <c r="H98" s="45" t="str">
        <f t="shared" si="38"/>
        <v>End year</v>
      </c>
      <c r="J98" s="58">
        <f>SUMPRODUCT((Calc_Alloc!$I$11:$I$30)*(Input_RAB_SCS!J$140:J$159))</f>
        <v>0</v>
      </c>
      <c r="K98" s="56">
        <f>SUMPRODUCT((Calc_Alloc!$I$11:$I$30)*(Input_RAB_SCS!K$140:K$159))</f>
        <v>-1.763355098204276E-3</v>
      </c>
      <c r="L98" s="57">
        <f>SUMPRODUCT((Calc_Alloc!$I$11:$I$30)*(Input_RAB_SCS!L$140:L$159))</f>
        <v>-3.2379183519962006E-3</v>
      </c>
      <c r="M98" s="57">
        <f>SUMPRODUCT((Calc_Alloc!$I$11:$I$30)*(Input_RAB_SCS!M$140:M$159))</f>
        <v>-5.2393461527712945E-3</v>
      </c>
      <c r="N98" s="57">
        <f>SUMPRODUCT((Calc_Alloc!$I$11:$I$30)*(Input_RAB_SCS!N$140:N$159))</f>
        <v>-4.0055317321382585E-3</v>
      </c>
      <c r="O98" s="58">
        <f>SUMPRODUCT((Calc_Alloc!$I$11:$I$30)*(Input_RAB_SCS!O$140:O$159))</f>
        <v>-4.139423757957169E-3</v>
      </c>
      <c r="P98" s="56">
        <f>SUMPRODUCT((Calc_Alloc!$I$11:$I$30)*(Input_RAB_SCS!P$140:P$159))</f>
        <v>-4.1211220937315933E-3</v>
      </c>
      <c r="Q98" s="57">
        <f>SUMPRODUCT((Calc_Alloc!$I$11:$I$30)*(Input_RAB_SCS!Q$140:Q$159))</f>
        <v>-4.1242887914787769E-3</v>
      </c>
      <c r="R98" s="57">
        <f>SUMPRODUCT((Calc_Alloc!$I$11:$I$30)*(Input_RAB_SCS!R$140:R$159))</f>
        <v>-4.1274530596473501E-3</v>
      </c>
      <c r="S98" s="57">
        <f>SUMPRODUCT((Calc_Alloc!$I$11:$I$30)*(Input_RAB_SCS!S$140:S$159))</f>
        <v>-4.1306149038208674E-3</v>
      </c>
      <c r="T98" s="58">
        <f>SUMPRODUCT((Calc_Alloc!$I$11:$I$30)*(Input_RAB_SCS!T$140:T$159))</f>
        <v>-4.1337743295615289E-3</v>
      </c>
    </row>
    <row r="99" spans="1:20" ht="12.3" x14ac:dyDescent="0.35">
      <c r="D99" s="10" t="str">
        <f t="shared" si="35"/>
        <v>Zone substations and transformers</v>
      </c>
      <c r="E99" s="45" t="str">
        <f t="shared" si="35"/>
        <v>Calculated</v>
      </c>
      <c r="F99" s="45" t="str">
        <f t="shared" si="36"/>
        <v>$Millions</v>
      </c>
      <c r="G99" s="45" t="str">
        <f t="shared" si="37"/>
        <v>Nominal</v>
      </c>
      <c r="H99" s="45" t="str">
        <f t="shared" si="38"/>
        <v>End year</v>
      </c>
      <c r="J99" s="58">
        <f>SUMPRODUCT((Calc_Alloc!$J$11:$J$30)*(Input_RAB_SCS!J$140:J$159))</f>
        <v>-2.9543411839054325E-2</v>
      </c>
      <c r="K99" s="56">
        <f>SUMPRODUCT((Calc_Alloc!$J$11:$J$30)*(Input_RAB_SCS!K$140:K$159))</f>
        <v>-1.5862025241209592E-2</v>
      </c>
      <c r="L99" s="57">
        <f>SUMPRODUCT((Calc_Alloc!$J$11:$J$30)*(Input_RAB_SCS!L$140:L$159))</f>
        <v>-2.9126290932327339E-2</v>
      </c>
      <c r="M99" s="57">
        <f>SUMPRODUCT((Calc_Alloc!$J$11:$J$30)*(Input_RAB_SCS!M$140:M$159))</f>
        <v>-4.7129858513230871E-2</v>
      </c>
      <c r="N99" s="57">
        <f>SUMPRODUCT((Calc_Alloc!$J$11:$J$30)*(Input_RAB_SCS!N$140:N$159))</f>
        <v>-4.2499138516089968E-2</v>
      </c>
      <c r="O99" s="58">
        <f>SUMPRODUCT((Calc_Alloc!$J$11:$J$30)*(Input_RAB_SCS!O$140:O$159))</f>
        <v>-4.391974784638733E-2</v>
      </c>
      <c r="P99" s="56">
        <f>SUMPRODUCT((Calc_Alloc!$J$11:$J$30)*(Input_RAB_SCS!P$140:P$159))</f>
        <v>-4.3725565147307195E-2</v>
      </c>
      <c r="Q99" s="57">
        <f>SUMPRODUCT((Calc_Alloc!$J$11:$J$30)*(Input_RAB_SCS!Q$140:Q$159))</f>
        <v>-4.3759164163666577E-2</v>
      </c>
      <c r="R99" s="57">
        <f>SUMPRODUCT((Calc_Alloc!$J$11:$J$30)*(Input_RAB_SCS!R$140:R$159))</f>
        <v>-4.379273740192588E-2</v>
      </c>
      <c r="S99" s="57">
        <f>SUMPRODUCT((Calc_Alloc!$J$11:$J$30)*(Input_RAB_SCS!S$140:S$159))</f>
        <v>-4.3826284921327223E-2</v>
      </c>
      <c r="T99" s="58">
        <f>SUMPRODUCT((Calc_Alloc!$J$11:$J$30)*(Input_RAB_SCS!T$140:T$159))</f>
        <v>-4.3859806780886183E-2</v>
      </c>
    </row>
    <row r="100" spans="1:20" ht="12.3" x14ac:dyDescent="0.35">
      <c r="D100" s="10" t="str">
        <f t="shared" si="35"/>
        <v>Easements</v>
      </c>
      <c r="E100" s="45" t="str">
        <f t="shared" si="35"/>
        <v>Calculated</v>
      </c>
      <c r="F100" s="45" t="str">
        <f t="shared" si="36"/>
        <v>$Millions</v>
      </c>
      <c r="G100" s="45" t="str">
        <f t="shared" si="37"/>
        <v>Nominal</v>
      </c>
      <c r="H100" s="45" t="str">
        <f t="shared" si="38"/>
        <v>End year</v>
      </c>
      <c r="J100" s="58">
        <f>SUMPRODUCT((Calc_Alloc!$K$11:$K$30)*(Input_RAB_SCS!J$140:J$159))</f>
        <v>0</v>
      </c>
      <c r="K100" s="56">
        <f>SUMPRODUCT((Calc_Alloc!$K$11:$K$30)*(Input_RAB_SCS!K$140:K$159))</f>
        <v>0</v>
      </c>
      <c r="L100" s="57">
        <f>SUMPRODUCT((Calc_Alloc!$K$11:$K$30)*(Input_RAB_SCS!L$140:L$159))</f>
        <v>0</v>
      </c>
      <c r="M100" s="57">
        <f>SUMPRODUCT((Calc_Alloc!$K$11:$K$30)*(Input_RAB_SCS!M$140:M$159))</f>
        <v>0</v>
      </c>
      <c r="N100" s="57">
        <f>SUMPRODUCT((Calc_Alloc!$K$11:$K$30)*(Input_RAB_SCS!N$140:N$159))</f>
        <v>0</v>
      </c>
      <c r="O100" s="58">
        <f>SUMPRODUCT((Calc_Alloc!$K$11:$K$30)*(Input_RAB_SCS!O$140:O$159))</f>
        <v>0</v>
      </c>
      <c r="P100" s="56">
        <f>SUMPRODUCT((Calc_Alloc!$K$11:$K$30)*(Input_RAB_SCS!P$140:P$159))</f>
        <v>0</v>
      </c>
      <c r="Q100" s="57">
        <f>SUMPRODUCT((Calc_Alloc!$K$11:$K$30)*(Input_RAB_SCS!Q$140:Q$159))</f>
        <v>0</v>
      </c>
      <c r="R100" s="57">
        <f>SUMPRODUCT((Calc_Alloc!$K$11:$K$30)*(Input_RAB_SCS!R$140:R$159))</f>
        <v>0</v>
      </c>
      <c r="S100" s="57">
        <f>SUMPRODUCT((Calc_Alloc!$K$11:$K$30)*(Input_RAB_SCS!S$140:S$159))</f>
        <v>0</v>
      </c>
      <c r="T100" s="58">
        <f>SUMPRODUCT((Calc_Alloc!$K$11:$K$30)*(Input_RAB_SCS!T$140:T$159))</f>
        <v>0</v>
      </c>
    </row>
    <row r="101" spans="1:20" ht="12.3" x14ac:dyDescent="0.35">
      <c r="D101" s="10" t="str">
        <f t="shared" si="35"/>
        <v>Meters</v>
      </c>
      <c r="E101" s="45" t="str">
        <f t="shared" si="35"/>
        <v>Calculated</v>
      </c>
      <c r="F101" s="45" t="str">
        <f t="shared" si="36"/>
        <v>$Millions</v>
      </c>
      <c r="G101" s="45" t="str">
        <f t="shared" si="37"/>
        <v>Nominal</v>
      </c>
      <c r="H101" s="45" t="str">
        <f t="shared" si="38"/>
        <v>End year</v>
      </c>
      <c r="J101" s="58">
        <f>SUMPRODUCT((Calc_Alloc!$L$11:$L$30)*(Input_RAB_SCS!J$140:J$159))</f>
        <v>0</v>
      </c>
      <c r="K101" s="56">
        <f>SUMPRODUCT((Calc_Alloc!$L$11:$L$30)*(Input_RAB_SCS!K$140:K$159))</f>
        <v>0</v>
      </c>
      <c r="L101" s="57">
        <f>SUMPRODUCT((Calc_Alloc!$L$11:$L$30)*(Input_RAB_SCS!L$140:L$159))</f>
        <v>0</v>
      </c>
      <c r="M101" s="57">
        <f>SUMPRODUCT((Calc_Alloc!$L$11:$L$30)*(Input_RAB_SCS!M$140:M$159))</f>
        <v>0</v>
      </c>
      <c r="N101" s="57">
        <f>SUMPRODUCT((Calc_Alloc!$L$11:$L$30)*(Input_RAB_SCS!N$140:N$159))</f>
        <v>0</v>
      </c>
      <c r="O101" s="58">
        <f>SUMPRODUCT((Calc_Alloc!$L$11:$L$30)*(Input_RAB_SCS!O$140:O$159))</f>
        <v>0</v>
      </c>
      <c r="P101" s="56">
        <f>SUMPRODUCT((Calc_Alloc!$L$11:$L$30)*(Input_RAB_SCS!P$140:P$159))</f>
        <v>0</v>
      </c>
      <c r="Q101" s="57">
        <f>SUMPRODUCT((Calc_Alloc!$L$11:$L$30)*(Input_RAB_SCS!Q$140:Q$159))</f>
        <v>0</v>
      </c>
      <c r="R101" s="57">
        <f>SUMPRODUCT((Calc_Alloc!$L$11:$L$30)*(Input_RAB_SCS!R$140:R$159))</f>
        <v>0</v>
      </c>
      <c r="S101" s="57">
        <f>SUMPRODUCT((Calc_Alloc!$L$11:$L$30)*(Input_RAB_SCS!S$140:S$159))</f>
        <v>0</v>
      </c>
      <c r="T101" s="58">
        <f>SUMPRODUCT((Calc_Alloc!$L$11:$L$30)*(Input_RAB_SCS!T$140:T$159))</f>
        <v>0</v>
      </c>
    </row>
    <row r="102" spans="1:20" ht="12.3" x14ac:dyDescent="0.35">
      <c r="D102" s="10" t="str">
        <f t="shared" si="35"/>
        <v>“Other” asset items with long lives</v>
      </c>
      <c r="E102" s="45" t="str">
        <f t="shared" si="35"/>
        <v>Calculated</v>
      </c>
      <c r="F102" s="45" t="str">
        <f t="shared" si="36"/>
        <v>$Millions</v>
      </c>
      <c r="G102" s="45" t="str">
        <f t="shared" si="37"/>
        <v>Nominal</v>
      </c>
      <c r="H102" s="45" t="str">
        <f t="shared" si="38"/>
        <v>End year</v>
      </c>
      <c r="J102" s="58">
        <f>SUMPRODUCT((Calc_Alloc!$M$11:$M$30)*(Input_RAB_SCS!J$140:J$159))</f>
        <v>0</v>
      </c>
      <c r="K102" s="56">
        <f>SUMPRODUCT((Calc_Alloc!$M$11:$M$30)*(Input_RAB_SCS!K$140:K$159))</f>
        <v>0</v>
      </c>
      <c r="L102" s="57">
        <f>SUMPRODUCT((Calc_Alloc!$M$11:$M$30)*(Input_RAB_SCS!L$140:L$159))</f>
        <v>0</v>
      </c>
      <c r="M102" s="57">
        <f>SUMPRODUCT((Calc_Alloc!$M$11:$M$30)*(Input_RAB_SCS!M$140:M$159))</f>
        <v>0</v>
      </c>
      <c r="N102" s="57">
        <f>SUMPRODUCT((Calc_Alloc!$M$11:$M$30)*(Input_RAB_SCS!N$140:N$159))</f>
        <v>0</v>
      </c>
      <c r="O102" s="58">
        <f>SUMPRODUCT((Calc_Alloc!$M$11:$M$30)*(Input_RAB_SCS!O$140:O$159))</f>
        <v>0</v>
      </c>
      <c r="P102" s="56">
        <f>SUMPRODUCT((Calc_Alloc!$M$11:$M$30)*(Input_RAB_SCS!P$140:P$159))</f>
        <v>0</v>
      </c>
      <c r="Q102" s="57">
        <f>SUMPRODUCT((Calc_Alloc!$M$11:$M$30)*(Input_RAB_SCS!Q$140:Q$159))</f>
        <v>0</v>
      </c>
      <c r="R102" s="57">
        <f>SUMPRODUCT((Calc_Alloc!$M$11:$M$30)*(Input_RAB_SCS!R$140:R$159))</f>
        <v>0</v>
      </c>
      <c r="S102" s="57">
        <f>SUMPRODUCT((Calc_Alloc!$M$11:$M$30)*(Input_RAB_SCS!S$140:S$159))</f>
        <v>0</v>
      </c>
      <c r="T102" s="58">
        <f>SUMPRODUCT((Calc_Alloc!$M$11:$M$30)*(Input_RAB_SCS!T$140:T$159))</f>
        <v>0</v>
      </c>
    </row>
    <row r="103" spans="1:20" ht="12.3" x14ac:dyDescent="0.35">
      <c r="D103" s="10" t="str">
        <f t="shared" si="35"/>
        <v>“Other” asset items with short lives</v>
      </c>
      <c r="E103" s="45" t="str">
        <f t="shared" si="35"/>
        <v>Calculated</v>
      </c>
      <c r="F103" s="45" t="str">
        <f t="shared" si="36"/>
        <v>$Millions</v>
      </c>
      <c r="G103" s="45" t="str">
        <f t="shared" si="37"/>
        <v>Nominal</v>
      </c>
      <c r="H103" s="45" t="str">
        <f t="shared" si="38"/>
        <v>End year</v>
      </c>
      <c r="J103" s="58">
        <f>SUMPRODUCT((Calc_Alloc!$N$11:$N$30)*(Input_RAB_SCS!J$140:J$159))</f>
        <v>0</v>
      </c>
      <c r="K103" s="56">
        <f>SUMPRODUCT((Calc_Alloc!$N$11:$N$30)*(Input_RAB_SCS!K$140:K$159))</f>
        <v>0</v>
      </c>
      <c r="L103" s="57">
        <f>SUMPRODUCT((Calc_Alloc!$N$11:$N$30)*(Input_RAB_SCS!L$140:L$159))</f>
        <v>0</v>
      </c>
      <c r="M103" s="57">
        <f>SUMPRODUCT((Calc_Alloc!$N$11:$N$30)*(Input_RAB_SCS!M$140:M$159))</f>
        <v>0</v>
      </c>
      <c r="N103" s="57">
        <f>SUMPRODUCT((Calc_Alloc!$N$11:$N$30)*(Input_RAB_SCS!N$140:N$159))</f>
        <v>0</v>
      </c>
      <c r="O103" s="58">
        <f>SUMPRODUCT((Calc_Alloc!$N$11:$N$30)*(Input_RAB_SCS!O$140:O$159))</f>
        <v>0</v>
      </c>
      <c r="P103" s="56">
        <f>SUMPRODUCT((Calc_Alloc!$N$11:$N$30)*(Input_RAB_SCS!P$140:P$159))</f>
        <v>0</v>
      </c>
      <c r="Q103" s="57">
        <f>SUMPRODUCT((Calc_Alloc!$N$11:$N$30)*(Input_RAB_SCS!Q$140:Q$159))</f>
        <v>0</v>
      </c>
      <c r="R103" s="57">
        <f>SUMPRODUCT((Calc_Alloc!$N$11:$N$30)*(Input_RAB_SCS!R$140:R$159))</f>
        <v>0</v>
      </c>
      <c r="S103" s="57">
        <f>SUMPRODUCT((Calc_Alloc!$N$11:$N$30)*(Input_RAB_SCS!S$140:S$159))</f>
        <v>0</v>
      </c>
      <c r="T103" s="58">
        <f>SUMPRODUCT((Calc_Alloc!$N$11:$N$30)*(Input_RAB_SCS!T$140:T$159))</f>
        <v>0</v>
      </c>
    </row>
    <row r="104" spans="1:20" x14ac:dyDescent="0.35">
      <c r="J104" s="49"/>
      <c r="K104" s="48"/>
      <c r="O104" s="49"/>
      <c r="P104" s="48"/>
      <c r="T104" s="49"/>
    </row>
    <row r="105" spans="1:20" ht="12.3" x14ac:dyDescent="0.35">
      <c r="D105" s="44" t="str">
        <f>"Total "&amp;D92</f>
        <v>Total EB RIN categories</v>
      </c>
      <c r="E105" s="40" t="s">
        <v>91</v>
      </c>
      <c r="F105" s="40" t="str">
        <f>F94</f>
        <v>$Millions</v>
      </c>
      <c r="G105" s="40" t="str">
        <f>G94</f>
        <v>Nominal</v>
      </c>
      <c r="H105" s="40" t="str">
        <f>H94</f>
        <v>End year</v>
      </c>
      <c r="J105" s="54">
        <f t="shared" ref="J105:T105" si="39">SUM(J94:J103)</f>
        <v>-0.12001093642773109</v>
      </c>
      <c r="K105" s="53">
        <f t="shared" si="39"/>
        <v>-9.4757443894090201E-2</v>
      </c>
      <c r="L105" s="39">
        <f t="shared" si="39"/>
        <v>-0.13916351269461014</v>
      </c>
      <c r="M105" s="39">
        <f t="shared" si="39"/>
        <v>-0.15709953180620265</v>
      </c>
      <c r="N105" s="39">
        <f t="shared" si="39"/>
        <v>-0.1655325410554031</v>
      </c>
      <c r="O105" s="54">
        <f t="shared" si="39"/>
        <v>-0.17106576079824823</v>
      </c>
      <c r="P105" s="53">
        <f t="shared" si="39"/>
        <v>-0.17030942651171763</v>
      </c>
      <c r="Q105" s="39">
        <f t="shared" si="39"/>
        <v>-0.17044029341276848</v>
      </c>
      <c r="R105" s="39">
        <f t="shared" si="39"/>
        <v>-0.17057105990909208</v>
      </c>
      <c r="S105" s="39">
        <f t="shared" si="39"/>
        <v>-0.17070172623143426</v>
      </c>
      <c r="T105" s="54">
        <f t="shared" si="39"/>
        <v>-0.17083229260965857</v>
      </c>
    </row>
    <row r="106" spans="1:20" ht="11.25" customHeight="1" x14ac:dyDescent="0.35"/>
    <row r="107" spans="1:20" ht="11.25" customHeight="1" x14ac:dyDescent="0.35">
      <c r="A107" s="42">
        <f>IF(SUM($J107:$T107)&lt;&gt;0,1,0)</f>
        <v>0</v>
      </c>
      <c r="D107" s="10" t="s">
        <v>94</v>
      </c>
      <c r="J107" s="42">
        <f>IF(ROUND(J105-Input_RAB_SCS!J$161,5)&lt;&gt;0,1,0)</f>
        <v>0</v>
      </c>
      <c r="K107" s="42">
        <f>IF(ROUND(K105-Input_RAB_SCS!K$161,5)&lt;&gt;0,1,0)</f>
        <v>0</v>
      </c>
      <c r="L107" s="42">
        <f>IF(ROUND(L105-Input_RAB_SCS!L$161,5)&lt;&gt;0,1,0)</f>
        <v>0</v>
      </c>
      <c r="M107" s="42">
        <f>IF(ROUND(M105-Input_RAB_SCS!M$161,5)&lt;&gt;0,1,0)</f>
        <v>0</v>
      </c>
      <c r="N107" s="42">
        <f>IF(ROUND(N105-Input_RAB_SCS!N$161,5)&lt;&gt;0,1,0)</f>
        <v>0</v>
      </c>
      <c r="O107" s="42">
        <f>IF(ROUND(O105-Input_RAB_SCS!O$161,5)&lt;&gt;0,1,0)</f>
        <v>0</v>
      </c>
      <c r="P107" s="42">
        <f>IF(ROUND(P105-Input_RAB_SCS!P$161,5)&lt;&gt;0,1,0)</f>
        <v>0</v>
      </c>
      <c r="Q107" s="42">
        <f>IF(ROUND(Q105-Input_RAB_SCS!Q$161,5)&lt;&gt;0,1,0)</f>
        <v>0</v>
      </c>
      <c r="R107" s="42">
        <f>IF(ROUND(R105-Input_RAB_SCS!R$161,5)&lt;&gt;0,1,0)</f>
        <v>0</v>
      </c>
      <c r="S107" s="42">
        <f>IF(ROUND(S105-Input_RAB_SCS!S$161,5)&lt;&gt;0,1,0)</f>
        <v>0</v>
      </c>
      <c r="T107" s="42">
        <f>IF(ROUND(T105-Input_RAB_SCS!T$161,5)&lt;&gt;0,1,0)</f>
        <v>0</v>
      </c>
    </row>
    <row r="109" spans="1:20" s="8" customFormat="1" ht="14.1" x14ac:dyDescent="0.35">
      <c r="C109" s="8" t="s">
        <v>406</v>
      </c>
    </row>
    <row r="110" spans="1:20" ht="11.25" customHeight="1" x14ac:dyDescent="0.35"/>
    <row r="111" spans="1:20" ht="12.3" x14ac:dyDescent="0.35">
      <c r="D111" s="43" t="str">
        <f>D$16</f>
        <v>EB RIN categories</v>
      </c>
      <c r="E111" s="38" t="str">
        <f>Lookup!E$20</f>
        <v>Source</v>
      </c>
      <c r="F111" s="38" t="str">
        <f>Lookup!F$20</f>
        <v>Unit</v>
      </c>
      <c r="G111" s="38" t="str">
        <f>Lookup!G$20</f>
        <v>Basis</v>
      </c>
      <c r="H111" s="38" t="str">
        <f>Lookup!H$20</f>
        <v>Timing</v>
      </c>
      <c r="J111" s="47" t="str">
        <f t="shared" ref="J111:T111" si="40">J$10</f>
        <v>RY19</v>
      </c>
      <c r="K111" s="46" t="str">
        <f t="shared" si="40"/>
        <v>RY20</v>
      </c>
      <c r="L111" s="38" t="str">
        <f t="shared" si="40"/>
        <v>RY21</v>
      </c>
      <c r="M111" s="38" t="str">
        <f t="shared" si="40"/>
        <v>RY22</v>
      </c>
      <c r="N111" s="38" t="str">
        <f t="shared" si="40"/>
        <v>RY23</v>
      </c>
      <c r="O111" s="47" t="str">
        <f t="shared" si="40"/>
        <v>RY24</v>
      </c>
      <c r="P111" s="46" t="str">
        <f t="shared" si="40"/>
        <v>RY25</v>
      </c>
      <c r="Q111" s="38" t="str">
        <f t="shared" si="40"/>
        <v>RY26</v>
      </c>
      <c r="R111" s="38" t="str">
        <f t="shared" si="40"/>
        <v>RY27</v>
      </c>
      <c r="S111" s="38" t="str">
        <f t="shared" si="40"/>
        <v>RY28</v>
      </c>
      <c r="T111" s="47" t="str">
        <f t="shared" si="40"/>
        <v>RY29</v>
      </c>
    </row>
    <row r="112" spans="1:20" x14ac:dyDescent="0.35">
      <c r="J112" s="49"/>
      <c r="K112" s="48"/>
      <c r="O112" s="49"/>
      <c r="P112" s="48"/>
      <c r="T112" s="49"/>
    </row>
    <row r="113" spans="1:20" ht="12.3" x14ac:dyDescent="0.35">
      <c r="D113" s="10" t="str">
        <f t="shared" ref="D113:D122" si="41">D18</f>
        <v>Overhead network assets less than 33kV</v>
      </c>
      <c r="E113" s="45" t="s">
        <v>91</v>
      </c>
      <c r="F113" s="45" t="str">
        <f t="shared" ref="F113:F122" si="42">Millions</f>
        <v>$Millions</v>
      </c>
      <c r="G113" s="45" t="str">
        <f t="shared" ref="G113:G122" si="43">Nominal</f>
        <v>Nominal</v>
      </c>
      <c r="H113" s="45" t="str">
        <f t="shared" ref="H113:H122" si="44">End_year</f>
        <v>End year</v>
      </c>
      <c r="J113" s="58">
        <f t="shared" ref="J113:T113" si="45">J18+J37+J56+J75+J94</f>
        <v>82.544391943939758</v>
      </c>
      <c r="K113" s="56">
        <f t="shared" si="45"/>
        <v>83.227994811772021</v>
      </c>
      <c r="L113" s="57">
        <f t="shared" si="45"/>
        <v>84.635465429053355</v>
      </c>
      <c r="M113" s="57">
        <f t="shared" si="45"/>
        <v>91.292224462432841</v>
      </c>
      <c r="N113" s="57">
        <f t="shared" si="45"/>
        <v>104.83790856243229</v>
      </c>
      <c r="O113" s="58">
        <f t="shared" si="45"/>
        <v>114.55126337938425</v>
      </c>
      <c r="P113" s="56">
        <f t="shared" si="45"/>
        <v>121.78116011280649</v>
      </c>
      <c r="Q113" s="57">
        <f t="shared" si="45"/>
        <v>129.95699819413005</v>
      </c>
      <c r="R113" s="57">
        <f t="shared" si="45"/>
        <v>138.3896717328077</v>
      </c>
      <c r="S113" s="57">
        <f t="shared" si="45"/>
        <v>145.96988221610806</v>
      </c>
      <c r="T113" s="58">
        <f t="shared" si="45"/>
        <v>153.82817181995102</v>
      </c>
    </row>
    <row r="114" spans="1:20" ht="12.3" x14ac:dyDescent="0.35">
      <c r="D114" s="10" t="str">
        <f t="shared" si="41"/>
        <v>Underground network assets less than 33kV</v>
      </c>
      <c r="E114" s="45" t="s">
        <v>91</v>
      </c>
      <c r="F114" s="45" t="str">
        <f t="shared" si="42"/>
        <v>$Millions</v>
      </c>
      <c r="G114" s="45" t="str">
        <f t="shared" si="43"/>
        <v>Nominal</v>
      </c>
      <c r="H114" s="45" t="str">
        <f t="shared" si="44"/>
        <v>End year</v>
      </c>
      <c r="J114" s="58">
        <f t="shared" ref="J114:T114" si="46">J19+J38+J57+J76+J95</f>
        <v>170.98770239690276</v>
      </c>
      <c r="K114" s="56">
        <f t="shared" si="46"/>
        <v>172.40376084702689</v>
      </c>
      <c r="L114" s="57">
        <f t="shared" si="46"/>
        <v>175.31928498346406</v>
      </c>
      <c r="M114" s="57">
        <f t="shared" si="46"/>
        <v>189.10851894257317</v>
      </c>
      <c r="N114" s="57">
        <f t="shared" si="46"/>
        <v>217.1679103452766</v>
      </c>
      <c r="O114" s="58">
        <f t="shared" si="46"/>
        <v>237.28877117667608</v>
      </c>
      <c r="P114" s="56">
        <f t="shared" si="46"/>
        <v>252.26523901296866</v>
      </c>
      <c r="Q114" s="57">
        <f t="shared" si="46"/>
        <v>269.20118990887022</v>
      </c>
      <c r="R114" s="57">
        <f t="shared" si="46"/>
        <v>286.66916610307266</v>
      </c>
      <c r="S114" s="57">
        <f t="shared" si="46"/>
        <v>302.37129611700146</v>
      </c>
      <c r="T114" s="58">
        <f t="shared" si="46"/>
        <v>318.64945690402539</v>
      </c>
    </row>
    <row r="115" spans="1:20" ht="12.3" x14ac:dyDescent="0.35">
      <c r="D115" s="10" t="str">
        <f t="shared" si="41"/>
        <v>Distribution substations and transformers</v>
      </c>
      <c r="E115" s="45" t="s">
        <v>91</v>
      </c>
      <c r="F115" s="45" t="str">
        <f t="shared" si="42"/>
        <v>$Millions</v>
      </c>
      <c r="G115" s="45" t="str">
        <f t="shared" si="43"/>
        <v>Nominal</v>
      </c>
      <c r="H115" s="45" t="str">
        <f t="shared" si="44"/>
        <v>End year</v>
      </c>
      <c r="J115" s="58">
        <f t="shared" ref="J115:T115" si="47">J20+J39+J58+J77+J96</f>
        <v>133.17445521965351</v>
      </c>
      <c r="K115" s="56">
        <f t="shared" si="47"/>
        <v>144.7607548917367</v>
      </c>
      <c r="L115" s="57">
        <f t="shared" si="47"/>
        <v>147.13720685357404</v>
      </c>
      <c r="M115" s="57">
        <f t="shared" si="47"/>
        <v>154.15038158558008</v>
      </c>
      <c r="N115" s="57">
        <f t="shared" si="47"/>
        <v>167.18054554245165</v>
      </c>
      <c r="O115" s="58">
        <f t="shared" si="47"/>
        <v>174.66390521991818</v>
      </c>
      <c r="P115" s="56">
        <f t="shared" si="47"/>
        <v>181.93538417230215</v>
      </c>
      <c r="Q115" s="57">
        <f t="shared" si="47"/>
        <v>190.21581760441333</v>
      </c>
      <c r="R115" s="57">
        <f t="shared" si="47"/>
        <v>198.92741749072647</v>
      </c>
      <c r="S115" s="57">
        <f t="shared" si="47"/>
        <v>208.06827162426234</v>
      </c>
      <c r="T115" s="58">
        <f t="shared" si="47"/>
        <v>217.68578907327455</v>
      </c>
    </row>
    <row r="116" spans="1:20" ht="12.3" x14ac:dyDescent="0.35">
      <c r="D116" s="10" t="str">
        <f t="shared" si="41"/>
        <v>Overhead network assets 33kV and above</v>
      </c>
      <c r="E116" s="45" t="s">
        <v>91</v>
      </c>
      <c r="F116" s="45" t="str">
        <f t="shared" si="42"/>
        <v>$Millions</v>
      </c>
      <c r="G116" s="45" t="str">
        <f t="shared" si="43"/>
        <v>Nominal</v>
      </c>
      <c r="H116" s="45" t="str">
        <f t="shared" si="44"/>
        <v>End year</v>
      </c>
      <c r="J116" s="58">
        <f t="shared" ref="J116:T116" si="48">J21+J40+J59+J78+J97</f>
        <v>117.43774183760671</v>
      </c>
      <c r="K116" s="56">
        <f t="shared" si="48"/>
        <v>116.92662676154043</v>
      </c>
      <c r="L116" s="57">
        <f t="shared" si="48"/>
        <v>114.5637827333488</v>
      </c>
      <c r="M116" s="57">
        <f t="shared" si="48"/>
        <v>115.64687455245625</v>
      </c>
      <c r="N116" s="57">
        <f t="shared" si="48"/>
        <v>122.17080133819033</v>
      </c>
      <c r="O116" s="58">
        <f t="shared" si="48"/>
        <v>126.42917514845414</v>
      </c>
      <c r="P116" s="56">
        <f t="shared" si="48"/>
        <v>129.94276586502178</v>
      </c>
      <c r="Q116" s="57">
        <f t="shared" si="48"/>
        <v>133.09131475498137</v>
      </c>
      <c r="R116" s="57">
        <f t="shared" si="48"/>
        <v>133.15610417171649</v>
      </c>
      <c r="S116" s="57">
        <f t="shared" si="48"/>
        <v>132.33488678273261</v>
      </c>
      <c r="T116" s="58">
        <f t="shared" si="48"/>
        <v>131.33534642459489</v>
      </c>
    </row>
    <row r="117" spans="1:20" ht="12.3" x14ac:dyDescent="0.35">
      <c r="D117" s="10" t="str">
        <f t="shared" si="41"/>
        <v>Underground network assets 33kV and above</v>
      </c>
      <c r="E117" s="45" t="s">
        <v>91</v>
      </c>
      <c r="F117" s="45" t="str">
        <f t="shared" si="42"/>
        <v>$Millions</v>
      </c>
      <c r="G117" s="45" t="str">
        <f t="shared" si="43"/>
        <v>Nominal</v>
      </c>
      <c r="H117" s="45" t="str">
        <f t="shared" si="44"/>
        <v>End year</v>
      </c>
      <c r="J117" s="58">
        <f t="shared" ref="J117:T117" si="49">J22+J41+J60+J79+J98</f>
        <v>58.76419561069001</v>
      </c>
      <c r="K117" s="56">
        <f t="shared" si="49"/>
        <v>58.508440809554067</v>
      </c>
      <c r="L117" s="57">
        <f t="shared" si="49"/>
        <v>57.326106863945611</v>
      </c>
      <c r="M117" s="57">
        <f t="shared" si="49"/>
        <v>57.86807078905565</v>
      </c>
      <c r="N117" s="57">
        <f t="shared" si="49"/>
        <v>61.132552068990577</v>
      </c>
      <c r="O117" s="58">
        <f t="shared" si="49"/>
        <v>63.263382478824383</v>
      </c>
      <c r="P117" s="56">
        <f t="shared" si="49"/>
        <v>65.021533895340852</v>
      </c>
      <c r="Q117" s="57">
        <f t="shared" si="49"/>
        <v>66.597023511917897</v>
      </c>
      <c r="R117" s="57">
        <f t="shared" si="49"/>
        <v>66.629443225537642</v>
      </c>
      <c r="S117" s="57">
        <f t="shared" si="49"/>
        <v>66.218517585023534</v>
      </c>
      <c r="T117" s="58">
        <f t="shared" si="49"/>
        <v>65.718361636796899</v>
      </c>
    </row>
    <row r="118" spans="1:20" ht="12.3" x14ac:dyDescent="0.35">
      <c r="D118" s="10" t="str">
        <f t="shared" si="41"/>
        <v>Zone substations and transformers</v>
      </c>
      <c r="E118" s="45" t="s">
        <v>91</v>
      </c>
      <c r="F118" s="45" t="str">
        <f t="shared" si="42"/>
        <v>$Millions</v>
      </c>
      <c r="G118" s="45" t="str">
        <f t="shared" si="43"/>
        <v>Nominal</v>
      </c>
      <c r="H118" s="45" t="str">
        <f t="shared" si="44"/>
        <v>End year</v>
      </c>
      <c r="J118" s="58">
        <f t="shared" ref="J118:T118" si="50">J23+J42+J61+J80+J99</f>
        <v>332.9523067302502</v>
      </c>
      <c r="K118" s="56">
        <f t="shared" si="50"/>
        <v>327.41798681760213</v>
      </c>
      <c r="L118" s="57">
        <f t="shared" si="50"/>
        <v>325.66292475029201</v>
      </c>
      <c r="M118" s="57">
        <f t="shared" si="50"/>
        <v>332.37283187466795</v>
      </c>
      <c r="N118" s="57">
        <f t="shared" si="50"/>
        <v>358.67792636580361</v>
      </c>
      <c r="O118" s="58">
        <f t="shared" si="50"/>
        <v>386.55371760043187</v>
      </c>
      <c r="P118" s="56">
        <f t="shared" si="50"/>
        <v>402.96189082118678</v>
      </c>
      <c r="Q118" s="57">
        <f t="shared" si="50"/>
        <v>413.17934920905304</v>
      </c>
      <c r="R118" s="57">
        <f t="shared" si="50"/>
        <v>408.64255862968884</v>
      </c>
      <c r="S118" s="57">
        <f t="shared" si="50"/>
        <v>399.5778523758562</v>
      </c>
      <c r="T118" s="58">
        <f t="shared" si="50"/>
        <v>387.58069532245389</v>
      </c>
    </row>
    <row r="119" spans="1:20" ht="12.3" x14ac:dyDescent="0.35">
      <c r="D119" s="10" t="str">
        <f t="shared" si="41"/>
        <v>Easements</v>
      </c>
      <c r="E119" s="45" t="s">
        <v>91</v>
      </c>
      <c r="F119" s="45" t="str">
        <f t="shared" si="42"/>
        <v>$Millions</v>
      </c>
      <c r="G119" s="45" t="str">
        <f t="shared" si="43"/>
        <v>Nominal</v>
      </c>
      <c r="H119" s="45" t="str">
        <f t="shared" si="44"/>
        <v>End year</v>
      </c>
      <c r="J119" s="58">
        <f t="shared" ref="J119:T119" si="51">J24+J43+J62+J81+J100</f>
        <v>37.671980238857458</v>
      </c>
      <c r="K119" s="56">
        <f t="shared" si="51"/>
        <v>46.658995785295687</v>
      </c>
      <c r="L119" s="57">
        <f t="shared" si="51"/>
        <v>47.060536196528865</v>
      </c>
      <c r="M119" s="57">
        <f t="shared" si="51"/>
        <v>48.706851882584907</v>
      </c>
      <c r="N119" s="57">
        <f t="shared" si="51"/>
        <v>52.603400033191697</v>
      </c>
      <c r="O119" s="58">
        <f t="shared" si="51"/>
        <v>55.075759834751707</v>
      </c>
      <c r="P119" s="56">
        <f t="shared" si="51"/>
        <v>56.864530337569484</v>
      </c>
      <c r="Q119" s="57">
        <f t="shared" si="51"/>
        <v>58.524769939474631</v>
      </c>
      <c r="R119" s="57">
        <f t="shared" si="51"/>
        <v>60.23348256172077</v>
      </c>
      <c r="S119" s="57">
        <f t="shared" si="51"/>
        <v>61.992083442023159</v>
      </c>
      <c r="T119" s="58">
        <f t="shared" si="51"/>
        <v>63.802029137944196</v>
      </c>
    </row>
    <row r="120" spans="1:20" ht="12.3" x14ac:dyDescent="0.35">
      <c r="D120" s="10" t="str">
        <f t="shared" si="41"/>
        <v>Meters</v>
      </c>
      <c r="E120" s="45" t="s">
        <v>91</v>
      </c>
      <c r="F120" s="45" t="str">
        <f t="shared" si="42"/>
        <v>$Millions</v>
      </c>
      <c r="G120" s="45" t="str">
        <f t="shared" si="43"/>
        <v>Nominal</v>
      </c>
      <c r="H120" s="45" t="str">
        <f t="shared" si="44"/>
        <v>End year</v>
      </c>
      <c r="J120" s="58">
        <f t="shared" ref="J120:T120" si="52">J25+J44+J63+J82+J101</f>
        <v>0</v>
      </c>
      <c r="K120" s="56">
        <f t="shared" si="52"/>
        <v>0</v>
      </c>
      <c r="L120" s="57">
        <f t="shared" si="52"/>
        <v>0</v>
      </c>
      <c r="M120" s="57">
        <f t="shared" si="52"/>
        <v>0</v>
      </c>
      <c r="N120" s="57">
        <f t="shared" si="52"/>
        <v>0</v>
      </c>
      <c r="O120" s="58">
        <f t="shared" si="52"/>
        <v>0</v>
      </c>
      <c r="P120" s="56">
        <f t="shared" si="52"/>
        <v>0</v>
      </c>
      <c r="Q120" s="57">
        <f t="shared" si="52"/>
        <v>0</v>
      </c>
      <c r="R120" s="57">
        <f t="shared" si="52"/>
        <v>0</v>
      </c>
      <c r="S120" s="57">
        <f t="shared" si="52"/>
        <v>0</v>
      </c>
      <c r="T120" s="58">
        <f t="shared" si="52"/>
        <v>0</v>
      </c>
    </row>
    <row r="121" spans="1:20" ht="12.3" x14ac:dyDescent="0.35">
      <c r="D121" s="10" t="str">
        <f t="shared" si="41"/>
        <v>“Other” asset items with long lives</v>
      </c>
      <c r="E121" s="45" t="s">
        <v>91</v>
      </c>
      <c r="F121" s="45" t="str">
        <f t="shared" si="42"/>
        <v>$Millions</v>
      </c>
      <c r="G121" s="45" t="str">
        <f t="shared" si="43"/>
        <v>Nominal</v>
      </c>
      <c r="H121" s="45" t="str">
        <f t="shared" si="44"/>
        <v>End year</v>
      </c>
      <c r="J121" s="58">
        <f t="shared" ref="J121:T121" si="53">J26+J45+J64+J83+J102</f>
        <v>12.055497990448027</v>
      </c>
      <c r="K121" s="56">
        <f t="shared" si="53"/>
        <v>28.757416893035817</v>
      </c>
      <c r="L121" s="57">
        <f t="shared" si="53"/>
        <v>29.262117856539479</v>
      </c>
      <c r="M121" s="57">
        <f t="shared" si="53"/>
        <v>34.69846069099178</v>
      </c>
      <c r="N121" s="57">
        <f t="shared" si="53"/>
        <v>57.958728795606547</v>
      </c>
      <c r="O121" s="58">
        <f t="shared" si="53"/>
        <v>81.296500932651824</v>
      </c>
      <c r="P121" s="56">
        <f t="shared" si="53"/>
        <v>102.13855280738885</v>
      </c>
      <c r="Q121" s="57">
        <f t="shared" si="53"/>
        <v>125.31481789154545</v>
      </c>
      <c r="R121" s="57">
        <f t="shared" si="53"/>
        <v>145.26010822362272</v>
      </c>
      <c r="S121" s="57">
        <f t="shared" si="53"/>
        <v>214.72422111062605</v>
      </c>
      <c r="T121" s="58">
        <f t="shared" si="53"/>
        <v>315.78179472102443</v>
      </c>
    </row>
    <row r="122" spans="1:20" ht="12.3" x14ac:dyDescent="0.35">
      <c r="D122" s="10" t="str">
        <f t="shared" si="41"/>
        <v>“Other” asset items with short lives</v>
      </c>
      <c r="E122" s="45" t="s">
        <v>91</v>
      </c>
      <c r="F122" s="45" t="str">
        <f t="shared" si="42"/>
        <v>$Millions</v>
      </c>
      <c r="G122" s="45" t="str">
        <f t="shared" si="43"/>
        <v>Nominal</v>
      </c>
      <c r="H122" s="45" t="str">
        <f t="shared" si="44"/>
        <v>End year</v>
      </c>
      <c r="J122" s="58">
        <f t="shared" ref="J122:T122" si="54">J27+J46+J65+J84+J103</f>
        <v>5.4754457687349412</v>
      </c>
      <c r="K122" s="56">
        <f t="shared" si="54"/>
        <v>23.207140261197104</v>
      </c>
      <c r="L122" s="57">
        <f t="shared" si="54"/>
        <v>24.912282670685393</v>
      </c>
      <c r="M122" s="57">
        <f t="shared" si="54"/>
        <v>35.117193966192374</v>
      </c>
      <c r="N122" s="57">
        <f t="shared" si="54"/>
        <v>35.458557884292944</v>
      </c>
      <c r="O122" s="58">
        <f t="shared" si="54"/>
        <v>36.925326421867524</v>
      </c>
      <c r="P122" s="56">
        <f t="shared" si="54"/>
        <v>38.535808151464018</v>
      </c>
      <c r="Q122" s="57">
        <f t="shared" si="54"/>
        <v>41.002258481296167</v>
      </c>
      <c r="R122" s="57">
        <f t="shared" si="54"/>
        <v>52.401128158605459</v>
      </c>
      <c r="S122" s="57">
        <f t="shared" si="54"/>
        <v>52.638006132966993</v>
      </c>
      <c r="T122" s="58">
        <f t="shared" si="54"/>
        <v>52.788115512311151</v>
      </c>
    </row>
    <row r="123" spans="1:20" x14ac:dyDescent="0.35">
      <c r="J123" s="49"/>
      <c r="K123" s="48"/>
      <c r="O123" s="49"/>
      <c r="P123" s="48"/>
      <c r="T123" s="49"/>
    </row>
    <row r="124" spans="1:20" ht="12.3" x14ac:dyDescent="0.35">
      <c r="D124" s="44" t="str">
        <f>"Total "&amp;D111</f>
        <v>Total EB RIN categories</v>
      </c>
      <c r="E124" s="40" t="s">
        <v>91</v>
      </c>
      <c r="F124" s="40" t="str">
        <f>F113</f>
        <v>$Millions</v>
      </c>
      <c r="G124" s="40" t="str">
        <f>G113</f>
        <v>Nominal</v>
      </c>
      <c r="H124" s="40" t="str">
        <f>H113</f>
        <v>End year</v>
      </c>
      <c r="J124" s="54">
        <f t="shared" ref="J124:T124" si="55">SUM(J113:J122)</f>
        <v>951.06371773708338</v>
      </c>
      <c r="K124" s="53">
        <f t="shared" si="55"/>
        <v>1001.8691178787608</v>
      </c>
      <c r="L124" s="39">
        <f t="shared" si="55"/>
        <v>1005.8797083374317</v>
      </c>
      <c r="M124" s="39">
        <f t="shared" si="55"/>
        <v>1058.961408746535</v>
      </c>
      <c r="N124" s="39">
        <f t="shared" si="55"/>
        <v>1177.1883309362363</v>
      </c>
      <c r="O124" s="54">
        <f t="shared" si="55"/>
        <v>1276.04780219296</v>
      </c>
      <c r="P124" s="53">
        <f t="shared" si="55"/>
        <v>1351.446865176049</v>
      </c>
      <c r="Q124" s="39">
        <f t="shared" si="55"/>
        <v>1427.0835394956823</v>
      </c>
      <c r="R124" s="39">
        <f t="shared" si="55"/>
        <v>1490.3090802974987</v>
      </c>
      <c r="S124" s="39">
        <f t="shared" si="55"/>
        <v>1583.8950173866003</v>
      </c>
      <c r="T124" s="54">
        <f t="shared" si="55"/>
        <v>1707.1697605523764</v>
      </c>
    </row>
    <row r="125" spans="1:20" ht="11.25" customHeight="1" x14ac:dyDescent="0.35"/>
    <row r="126" spans="1:20" ht="11.25" customHeight="1" x14ac:dyDescent="0.35">
      <c r="A126" s="42">
        <f>IF(SUM($J126:$T126)&lt;&gt;0,1,0)</f>
        <v>0</v>
      </c>
      <c r="D126" s="10" t="s">
        <v>94</v>
      </c>
      <c r="J126" s="42">
        <f>IF(ROUND(J124-Input_RAB_SCS!J$192,3)=0,0,1)</f>
        <v>0</v>
      </c>
      <c r="K126" s="42">
        <f>IF(ROUND(K124-Input_RAB_SCS!K$192,3)=0,0,1)</f>
        <v>0</v>
      </c>
      <c r="L126" s="42">
        <f>IF(ROUND(L124-Input_RAB_SCS!L$192,3)=0,0,1)</f>
        <v>0</v>
      </c>
      <c r="M126" s="42">
        <f>IF(ROUND(M124-Input_RAB_SCS!M$192,3)=0,0,1)</f>
        <v>0</v>
      </c>
      <c r="N126" s="42">
        <f>IF(ROUND(N124-Input_RAB_SCS!N$192,3)=0,0,1)</f>
        <v>0</v>
      </c>
      <c r="O126" s="42">
        <f>IF(ROUND(O124-Input_RAB_SCS!O$192,3)=0,0,1)</f>
        <v>0</v>
      </c>
      <c r="P126" s="42">
        <f>IF(ROUND(P124-Input_RAB_SCS!P$192,3)=0,0,1)</f>
        <v>0</v>
      </c>
      <c r="Q126" s="42">
        <f>IF(ROUND(Q124-Input_RAB_SCS!Q$192,3)=0,0,1)</f>
        <v>0</v>
      </c>
      <c r="R126" s="42">
        <f>IF(ROUND(R124-Input_RAB_SCS!R$192,3)=0,0,1)</f>
        <v>0</v>
      </c>
      <c r="S126" s="42">
        <f>IF(ROUND(S124-Input_RAB_SCS!S$192,3)=0,0,1)</f>
        <v>0</v>
      </c>
      <c r="T126" s="42">
        <f>IF(ROUND(T124-Input_RAB_SCS!T$192,3)=0,0,1)</f>
        <v>0</v>
      </c>
    </row>
    <row r="128" spans="1:20" s="8" customFormat="1" ht="14.1" x14ac:dyDescent="0.35">
      <c r="C128" s="8" t="s">
        <v>144</v>
      </c>
    </row>
    <row r="129" spans="4:20" ht="11.25" customHeight="1" x14ac:dyDescent="0.35"/>
    <row r="130" spans="4:20" ht="12.3" x14ac:dyDescent="0.35">
      <c r="D130" s="43" t="str">
        <f>D$16</f>
        <v>EB RIN categories</v>
      </c>
      <c r="E130" s="38" t="str">
        <f>Lookup!E$20</f>
        <v>Source</v>
      </c>
      <c r="F130" s="38" t="str">
        <f>Lookup!F$20</f>
        <v>Unit</v>
      </c>
      <c r="G130" s="38" t="str">
        <f>Lookup!G$20</f>
        <v>Basis</v>
      </c>
      <c r="H130" s="38" t="str">
        <f>Lookup!H$20</f>
        <v>Timing</v>
      </c>
      <c r="J130" s="47" t="str">
        <f t="shared" ref="J130:T130" si="56">J$10</f>
        <v>RY19</v>
      </c>
      <c r="K130" s="46" t="str">
        <f t="shared" si="56"/>
        <v>RY20</v>
      </c>
      <c r="L130" s="38" t="str">
        <f t="shared" si="56"/>
        <v>RY21</v>
      </c>
      <c r="M130" s="38" t="str">
        <f t="shared" si="56"/>
        <v>RY22</v>
      </c>
      <c r="N130" s="38" t="str">
        <f t="shared" si="56"/>
        <v>RY23</v>
      </c>
      <c r="O130" s="47" t="str">
        <f t="shared" si="56"/>
        <v>RY24</v>
      </c>
      <c r="P130" s="46" t="str">
        <f t="shared" si="56"/>
        <v>RY25</v>
      </c>
      <c r="Q130" s="38" t="str">
        <f t="shared" si="56"/>
        <v>RY26</v>
      </c>
      <c r="R130" s="38" t="str">
        <f t="shared" si="56"/>
        <v>RY27</v>
      </c>
      <c r="S130" s="38" t="str">
        <f t="shared" si="56"/>
        <v>RY28</v>
      </c>
      <c r="T130" s="47" t="str">
        <f t="shared" si="56"/>
        <v>RY29</v>
      </c>
    </row>
    <row r="131" spans="4:20" x14ac:dyDescent="0.35">
      <c r="J131" s="49"/>
      <c r="K131" s="48"/>
      <c r="O131" s="49"/>
      <c r="P131" s="48"/>
      <c r="T131" s="49"/>
    </row>
    <row r="132" spans="4:20" ht="12.3" x14ac:dyDescent="0.35">
      <c r="D132" s="10" t="str">
        <f t="shared" ref="D132:E141" si="57">D18</f>
        <v>Overhead network assets less than 33kV</v>
      </c>
      <c r="E132" s="45" t="str">
        <f t="shared" si="57"/>
        <v>Calculated</v>
      </c>
      <c r="F132" s="45" t="str">
        <f t="shared" ref="F132:F141" si="58">Millions</f>
        <v>$Millions</v>
      </c>
      <c r="G132" s="45" t="str">
        <f t="shared" ref="G132:G141" si="59">Nominal</f>
        <v>Nominal</v>
      </c>
      <c r="H132" s="45" t="str">
        <f t="shared" ref="H132:H141" si="60">End_year</f>
        <v>End year</v>
      </c>
      <c r="J132" s="58">
        <f>SUMPRODUCT((Calc_Alloc!$E$11:$E$30)*(Input_RAB_SCS!J$200:J$219))</f>
        <v>-1.0622595847262479</v>
      </c>
      <c r="K132" s="56">
        <f>SUMPRODUCT((Calc_Alloc!$E$11:$E$30)*(Input_RAB_SCS!K$200:K$219))</f>
        <v>0</v>
      </c>
      <c r="L132" s="57">
        <f>SUMPRODUCT((Calc_Alloc!$E$11:$E$30)*(Input_RAB_SCS!L$200:L$219))</f>
        <v>0</v>
      </c>
      <c r="M132" s="57">
        <f>SUMPRODUCT((Calc_Alloc!$E$11:$E$30)*(Input_RAB_SCS!M$200:M$219))</f>
        <v>0</v>
      </c>
      <c r="N132" s="57">
        <f>SUMPRODUCT((Calc_Alloc!$E$11:$E$30)*(Input_RAB_SCS!N$200:N$219))</f>
        <v>0</v>
      </c>
      <c r="O132" s="58">
        <f>SUMPRODUCT((Calc_Alloc!$E$11:$E$30)*(Input_RAB_SCS!O$200:O$219))</f>
        <v>-5.811707278414413E-2</v>
      </c>
      <c r="P132" s="56">
        <f>SUMPRODUCT((Calc_Alloc!$E$11:$E$30)*(Input_RAB_SCS!P$200:P$219))</f>
        <v>0</v>
      </c>
      <c r="Q132" s="57">
        <f>SUMPRODUCT((Calc_Alloc!$E$11:$E$30)*(Input_RAB_SCS!Q$200:Q$219))</f>
        <v>0</v>
      </c>
      <c r="R132" s="57">
        <f>SUMPRODUCT((Calc_Alloc!$E$11:$E$30)*(Input_RAB_SCS!R$200:R$219))</f>
        <v>0</v>
      </c>
      <c r="S132" s="57">
        <f>SUMPRODUCT((Calc_Alloc!$E$11:$E$30)*(Input_RAB_SCS!S$200:S$219))</f>
        <v>0</v>
      </c>
      <c r="T132" s="58">
        <f>SUMPRODUCT((Calc_Alloc!$E$11:$E$30)*(Input_RAB_SCS!T$200:T$219))</f>
        <v>0</v>
      </c>
    </row>
    <row r="133" spans="4:20" ht="12.3" x14ac:dyDescent="0.35">
      <c r="D133" s="10" t="str">
        <f t="shared" si="57"/>
        <v>Underground network assets less than 33kV</v>
      </c>
      <c r="E133" s="45" t="str">
        <f t="shared" si="57"/>
        <v>Calculated</v>
      </c>
      <c r="F133" s="45" t="str">
        <f t="shared" si="58"/>
        <v>$Millions</v>
      </c>
      <c r="G133" s="45" t="str">
        <f t="shared" si="59"/>
        <v>Nominal</v>
      </c>
      <c r="H133" s="45" t="str">
        <f t="shared" si="60"/>
        <v>End year</v>
      </c>
      <c r="J133" s="58">
        <f>SUMPRODUCT((Calc_Alloc!$F$11:$F$30)*(Input_RAB_SCS!J$200:J$219))</f>
        <v>-2.2004320519410445</v>
      </c>
      <c r="K133" s="56">
        <f>SUMPRODUCT((Calc_Alloc!$F$11:$F$30)*(Input_RAB_SCS!K$200:K$219))</f>
        <v>0</v>
      </c>
      <c r="L133" s="57">
        <f>SUMPRODUCT((Calc_Alloc!$F$11:$F$30)*(Input_RAB_SCS!L$200:L$219))</f>
        <v>0</v>
      </c>
      <c r="M133" s="57">
        <f>SUMPRODUCT((Calc_Alloc!$F$11:$F$30)*(Input_RAB_SCS!M$200:M$219))</f>
        <v>0</v>
      </c>
      <c r="N133" s="57">
        <f>SUMPRODUCT((Calc_Alloc!$F$11:$F$30)*(Input_RAB_SCS!N$200:N$219))</f>
        <v>0</v>
      </c>
      <c r="O133" s="58">
        <f>SUMPRODUCT((Calc_Alloc!$F$11:$F$30)*(Input_RAB_SCS!O$200:O$219))</f>
        <v>-0.12038740017787425</v>
      </c>
      <c r="P133" s="56">
        <f>SUMPRODUCT((Calc_Alloc!$F$11:$F$30)*(Input_RAB_SCS!P$200:P$219))</f>
        <v>0</v>
      </c>
      <c r="Q133" s="57">
        <f>SUMPRODUCT((Calc_Alloc!$F$11:$F$30)*(Input_RAB_SCS!Q$200:Q$219))</f>
        <v>0</v>
      </c>
      <c r="R133" s="57">
        <f>SUMPRODUCT((Calc_Alloc!$F$11:$F$30)*(Input_RAB_SCS!R$200:R$219))</f>
        <v>0</v>
      </c>
      <c r="S133" s="57">
        <f>SUMPRODUCT((Calc_Alloc!$F$11:$F$30)*(Input_RAB_SCS!S$200:S$219))</f>
        <v>0</v>
      </c>
      <c r="T133" s="58">
        <f>SUMPRODUCT((Calc_Alloc!$F$11:$F$30)*(Input_RAB_SCS!T$200:T$219))</f>
        <v>0</v>
      </c>
    </row>
    <row r="134" spans="4:20" ht="12.3" x14ac:dyDescent="0.35">
      <c r="D134" s="10" t="str">
        <f t="shared" si="57"/>
        <v>Distribution substations and transformers</v>
      </c>
      <c r="E134" s="45" t="str">
        <f t="shared" si="57"/>
        <v>Calculated</v>
      </c>
      <c r="F134" s="45" t="str">
        <f t="shared" si="58"/>
        <v>$Millions</v>
      </c>
      <c r="G134" s="45" t="str">
        <f t="shared" si="59"/>
        <v>Nominal</v>
      </c>
      <c r="H134" s="45" t="str">
        <f t="shared" si="60"/>
        <v>End year</v>
      </c>
      <c r="J134" s="58">
        <f>SUMPRODUCT((Calc_Alloc!$G$11:$G$30)*(Input_RAB_SCS!J$200:J$219))</f>
        <v>8.6443118963238916</v>
      </c>
      <c r="K134" s="56">
        <f>SUMPRODUCT((Calc_Alloc!$G$11:$G$30)*(Input_RAB_SCS!K$200:K$219))</f>
        <v>0</v>
      </c>
      <c r="L134" s="57">
        <f>SUMPRODUCT((Calc_Alloc!$G$11:$G$30)*(Input_RAB_SCS!L$200:L$219))</f>
        <v>0</v>
      </c>
      <c r="M134" s="57">
        <f>SUMPRODUCT((Calc_Alloc!$G$11:$G$30)*(Input_RAB_SCS!M$200:M$219))</f>
        <v>0</v>
      </c>
      <c r="N134" s="57">
        <f>SUMPRODUCT((Calc_Alloc!$G$11:$G$30)*(Input_RAB_SCS!N$200:N$219))</f>
        <v>0</v>
      </c>
      <c r="O134" s="58">
        <f>SUMPRODUCT((Calc_Alloc!$G$11:$G$30)*(Input_RAB_SCS!O$200:O$219))</f>
        <v>-0.54664952023995339</v>
      </c>
      <c r="P134" s="56">
        <f>SUMPRODUCT((Calc_Alloc!$G$11:$G$30)*(Input_RAB_SCS!P$200:P$219))</f>
        <v>0</v>
      </c>
      <c r="Q134" s="57">
        <f>SUMPRODUCT((Calc_Alloc!$G$11:$G$30)*(Input_RAB_SCS!Q$200:Q$219))</f>
        <v>0</v>
      </c>
      <c r="R134" s="57">
        <f>SUMPRODUCT((Calc_Alloc!$G$11:$G$30)*(Input_RAB_SCS!R$200:R$219))</f>
        <v>0</v>
      </c>
      <c r="S134" s="57">
        <f>SUMPRODUCT((Calc_Alloc!$G$11:$G$30)*(Input_RAB_SCS!S$200:S$219))</f>
        <v>0</v>
      </c>
      <c r="T134" s="58">
        <f>SUMPRODUCT((Calc_Alloc!$G$11:$G$30)*(Input_RAB_SCS!T$200:T$219))</f>
        <v>0</v>
      </c>
    </row>
    <row r="135" spans="4:20" ht="12.3" x14ac:dyDescent="0.35">
      <c r="D135" s="10" t="str">
        <f t="shared" si="57"/>
        <v>Overhead network assets 33kV and above</v>
      </c>
      <c r="E135" s="45" t="str">
        <f t="shared" si="57"/>
        <v>Calculated</v>
      </c>
      <c r="F135" s="45" t="str">
        <f t="shared" si="58"/>
        <v>$Millions</v>
      </c>
      <c r="G135" s="45" t="str">
        <f t="shared" si="59"/>
        <v>Nominal</v>
      </c>
      <c r="H135" s="45" t="str">
        <f t="shared" si="60"/>
        <v>End year</v>
      </c>
      <c r="J135" s="58">
        <f>SUMPRODUCT((Calc_Alloc!$H$11:$H$30)*(Input_RAB_SCS!J$200:J$219))</f>
        <v>1.0289284070386253</v>
      </c>
      <c r="K135" s="56">
        <f>SUMPRODUCT((Calc_Alloc!$H$11:$H$30)*(Input_RAB_SCS!K$200:K$219))</f>
        <v>0</v>
      </c>
      <c r="L135" s="57">
        <f>SUMPRODUCT((Calc_Alloc!$H$11:$H$30)*(Input_RAB_SCS!L$200:L$219))</f>
        <v>0</v>
      </c>
      <c r="M135" s="57">
        <f>SUMPRODUCT((Calc_Alloc!$H$11:$H$30)*(Input_RAB_SCS!M$200:M$219))</f>
        <v>0</v>
      </c>
      <c r="N135" s="57">
        <f>SUMPRODUCT((Calc_Alloc!$H$11:$H$30)*(Input_RAB_SCS!N$200:N$219))</f>
        <v>0</v>
      </c>
      <c r="O135" s="58">
        <f>SUMPRODUCT((Calc_Alloc!$H$11:$H$30)*(Input_RAB_SCS!O$200:O$219))</f>
        <v>2.8466213627438264</v>
      </c>
      <c r="P135" s="56">
        <f>SUMPRODUCT((Calc_Alloc!$H$11:$H$30)*(Input_RAB_SCS!P$200:P$219))</f>
        <v>0</v>
      </c>
      <c r="Q135" s="57">
        <f>SUMPRODUCT((Calc_Alloc!$H$11:$H$30)*(Input_RAB_SCS!Q$200:Q$219))</f>
        <v>0</v>
      </c>
      <c r="R135" s="57">
        <f>SUMPRODUCT((Calc_Alloc!$H$11:$H$30)*(Input_RAB_SCS!R$200:R$219))</f>
        <v>0</v>
      </c>
      <c r="S135" s="57">
        <f>SUMPRODUCT((Calc_Alloc!$H$11:$H$30)*(Input_RAB_SCS!S$200:S$219))</f>
        <v>0</v>
      </c>
      <c r="T135" s="58">
        <f>SUMPRODUCT((Calc_Alloc!$H$11:$H$30)*(Input_RAB_SCS!T$200:T$219))</f>
        <v>0</v>
      </c>
    </row>
    <row r="136" spans="4:20" ht="12.3" x14ac:dyDescent="0.35">
      <c r="D136" s="10" t="str">
        <f t="shared" si="57"/>
        <v>Underground network assets 33kV and above</v>
      </c>
      <c r="E136" s="45" t="str">
        <f t="shared" si="57"/>
        <v>Calculated</v>
      </c>
      <c r="F136" s="45" t="str">
        <f t="shared" si="58"/>
        <v>$Millions</v>
      </c>
      <c r="G136" s="45" t="str">
        <f t="shared" si="59"/>
        <v>Nominal</v>
      </c>
      <c r="H136" s="45" t="str">
        <f t="shared" si="60"/>
        <v>End year</v>
      </c>
      <c r="J136" s="58">
        <f>SUMPRODUCT((Calc_Alloc!$I$11:$I$30)*(Input_RAB_SCS!J$200:J$219))</f>
        <v>0.51486131489332865</v>
      </c>
      <c r="K136" s="56">
        <f>SUMPRODUCT((Calc_Alloc!$I$11:$I$30)*(Input_RAB_SCS!K$200:K$219))</f>
        <v>0</v>
      </c>
      <c r="L136" s="57">
        <f>SUMPRODUCT((Calc_Alloc!$I$11:$I$30)*(Input_RAB_SCS!L$200:L$219))</f>
        <v>0</v>
      </c>
      <c r="M136" s="57">
        <f>SUMPRODUCT((Calc_Alloc!$I$11:$I$30)*(Input_RAB_SCS!M$200:M$219))</f>
        <v>0</v>
      </c>
      <c r="N136" s="57">
        <f>SUMPRODUCT((Calc_Alloc!$I$11:$I$30)*(Input_RAB_SCS!N$200:N$219))</f>
        <v>0</v>
      </c>
      <c r="O136" s="58">
        <f>SUMPRODUCT((Calc_Alloc!$I$11:$I$30)*(Input_RAB_SCS!O$200:O$219))</f>
        <v>1.4244093250801919</v>
      </c>
      <c r="P136" s="56">
        <f>SUMPRODUCT((Calc_Alloc!$I$11:$I$30)*(Input_RAB_SCS!P$200:P$219))</f>
        <v>0</v>
      </c>
      <c r="Q136" s="57">
        <f>SUMPRODUCT((Calc_Alloc!$I$11:$I$30)*(Input_RAB_SCS!Q$200:Q$219))</f>
        <v>0</v>
      </c>
      <c r="R136" s="57">
        <f>SUMPRODUCT((Calc_Alloc!$I$11:$I$30)*(Input_RAB_SCS!R$200:R$219))</f>
        <v>0</v>
      </c>
      <c r="S136" s="57">
        <f>SUMPRODUCT((Calc_Alloc!$I$11:$I$30)*(Input_RAB_SCS!S$200:S$219))</f>
        <v>0</v>
      </c>
      <c r="T136" s="58">
        <f>SUMPRODUCT((Calc_Alloc!$I$11:$I$30)*(Input_RAB_SCS!T$200:T$219))</f>
        <v>0</v>
      </c>
    </row>
    <row r="137" spans="4:20" ht="12.3" x14ac:dyDescent="0.35">
      <c r="D137" s="10" t="str">
        <f t="shared" si="57"/>
        <v>Zone substations and transformers</v>
      </c>
      <c r="E137" s="45" t="str">
        <f t="shared" si="57"/>
        <v>Calculated</v>
      </c>
      <c r="F137" s="45" t="str">
        <f t="shared" si="58"/>
        <v>$Millions</v>
      </c>
      <c r="G137" s="45" t="str">
        <f t="shared" si="59"/>
        <v>Nominal</v>
      </c>
      <c r="H137" s="45" t="str">
        <f t="shared" si="60"/>
        <v>End year</v>
      </c>
      <c r="J137" s="58">
        <f>SUMPRODUCT((Calc_Alloc!$J$11:$J$30)*(Input_RAB_SCS!J$200:J$219))</f>
        <v>-14.781043061767889</v>
      </c>
      <c r="K137" s="56">
        <f>SUMPRODUCT((Calc_Alloc!$J$11:$J$30)*(Input_RAB_SCS!K$200:K$219))</f>
        <v>0</v>
      </c>
      <c r="L137" s="57">
        <f>SUMPRODUCT((Calc_Alloc!$J$11:$J$30)*(Input_RAB_SCS!L$200:L$219))</f>
        <v>0</v>
      </c>
      <c r="M137" s="57">
        <f>SUMPRODUCT((Calc_Alloc!$J$11:$J$30)*(Input_RAB_SCS!M$200:M$219))</f>
        <v>0</v>
      </c>
      <c r="N137" s="57">
        <f>SUMPRODUCT((Calc_Alloc!$J$11:$J$30)*(Input_RAB_SCS!N$200:N$219))</f>
        <v>0</v>
      </c>
      <c r="O137" s="58">
        <f>SUMPRODUCT((Calc_Alloc!$J$11:$J$30)*(Input_RAB_SCS!O$200:O$219))</f>
        <v>-5.4857990928552942</v>
      </c>
      <c r="P137" s="56">
        <f>SUMPRODUCT((Calc_Alloc!$J$11:$J$30)*(Input_RAB_SCS!P$200:P$219))</f>
        <v>0</v>
      </c>
      <c r="Q137" s="57">
        <f>SUMPRODUCT((Calc_Alloc!$J$11:$J$30)*(Input_RAB_SCS!Q$200:Q$219))</f>
        <v>0</v>
      </c>
      <c r="R137" s="57">
        <f>SUMPRODUCT((Calc_Alloc!$J$11:$J$30)*(Input_RAB_SCS!R$200:R$219))</f>
        <v>0</v>
      </c>
      <c r="S137" s="57">
        <f>SUMPRODUCT((Calc_Alloc!$J$11:$J$30)*(Input_RAB_SCS!S$200:S$219))</f>
        <v>0</v>
      </c>
      <c r="T137" s="58">
        <f>SUMPRODUCT((Calc_Alloc!$J$11:$J$30)*(Input_RAB_SCS!T$200:T$219))</f>
        <v>0</v>
      </c>
    </row>
    <row r="138" spans="4:20" ht="12.3" x14ac:dyDescent="0.35">
      <c r="D138" s="10" t="str">
        <f t="shared" si="57"/>
        <v>Easements</v>
      </c>
      <c r="E138" s="45" t="str">
        <f t="shared" si="57"/>
        <v>Calculated</v>
      </c>
      <c r="F138" s="45" t="str">
        <f t="shared" si="58"/>
        <v>$Millions</v>
      </c>
      <c r="G138" s="45" t="str">
        <f t="shared" si="59"/>
        <v>Nominal</v>
      </c>
      <c r="H138" s="45" t="str">
        <f t="shared" si="60"/>
        <v>End year</v>
      </c>
      <c r="J138" s="58">
        <f>SUMPRODUCT((Calc_Alloc!$K$11:$K$30)*(Input_RAB_SCS!J$200:J$219))</f>
        <v>8.14378068284854</v>
      </c>
      <c r="K138" s="56">
        <f>SUMPRODUCT((Calc_Alloc!$K$11:$K$30)*(Input_RAB_SCS!K$200:K$219))</f>
        <v>0</v>
      </c>
      <c r="L138" s="57">
        <f>SUMPRODUCT((Calc_Alloc!$K$11:$K$30)*(Input_RAB_SCS!L$200:L$219))</f>
        <v>0</v>
      </c>
      <c r="M138" s="57">
        <f>SUMPRODUCT((Calc_Alloc!$K$11:$K$30)*(Input_RAB_SCS!M$200:M$219))</f>
        <v>0</v>
      </c>
      <c r="N138" s="57">
        <f>SUMPRODUCT((Calc_Alloc!$K$11:$K$30)*(Input_RAB_SCS!N$200:N$219))</f>
        <v>0</v>
      </c>
      <c r="O138" s="58">
        <f>SUMPRODUCT((Calc_Alloc!$K$11:$K$30)*(Input_RAB_SCS!O$200:O$219))</f>
        <v>0.17562883121777981</v>
      </c>
      <c r="P138" s="56">
        <f>SUMPRODUCT((Calc_Alloc!$K$11:$K$30)*(Input_RAB_SCS!P$200:P$219))</f>
        <v>0</v>
      </c>
      <c r="Q138" s="57">
        <f>SUMPRODUCT((Calc_Alloc!$K$11:$K$30)*(Input_RAB_SCS!Q$200:Q$219))</f>
        <v>0</v>
      </c>
      <c r="R138" s="57">
        <f>SUMPRODUCT((Calc_Alloc!$K$11:$K$30)*(Input_RAB_SCS!R$200:R$219))</f>
        <v>0</v>
      </c>
      <c r="S138" s="57">
        <f>SUMPRODUCT((Calc_Alloc!$K$11:$K$30)*(Input_RAB_SCS!S$200:S$219))</f>
        <v>0</v>
      </c>
      <c r="T138" s="58">
        <f>SUMPRODUCT((Calc_Alloc!$K$11:$K$30)*(Input_RAB_SCS!T$200:T$219))</f>
        <v>0</v>
      </c>
    </row>
    <row r="139" spans="4:20" ht="12.3" x14ac:dyDescent="0.35">
      <c r="D139" s="10" t="str">
        <f t="shared" si="57"/>
        <v>Meters</v>
      </c>
      <c r="E139" s="45" t="str">
        <f t="shared" si="57"/>
        <v>Calculated</v>
      </c>
      <c r="F139" s="45" t="str">
        <f t="shared" si="58"/>
        <v>$Millions</v>
      </c>
      <c r="G139" s="45" t="str">
        <f t="shared" si="59"/>
        <v>Nominal</v>
      </c>
      <c r="H139" s="45" t="str">
        <f t="shared" si="60"/>
        <v>End year</v>
      </c>
      <c r="J139" s="58">
        <f>SUMPRODUCT((Calc_Alloc!$L$11:$L$30)*(Input_RAB_SCS!J$200:J$219))</f>
        <v>0</v>
      </c>
      <c r="K139" s="56">
        <f>SUMPRODUCT((Calc_Alloc!$L$11:$L$30)*(Input_RAB_SCS!K$200:K$219))</f>
        <v>0</v>
      </c>
      <c r="L139" s="57">
        <f>SUMPRODUCT((Calc_Alloc!$L$11:$L$30)*(Input_RAB_SCS!L$200:L$219))</f>
        <v>0</v>
      </c>
      <c r="M139" s="57">
        <f>SUMPRODUCT((Calc_Alloc!$L$11:$L$30)*(Input_RAB_SCS!M$200:M$219))</f>
        <v>0</v>
      </c>
      <c r="N139" s="57">
        <f>SUMPRODUCT((Calc_Alloc!$L$11:$L$30)*(Input_RAB_SCS!N$200:N$219))</f>
        <v>0</v>
      </c>
      <c r="O139" s="58">
        <f>SUMPRODUCT((Calc_Alloc!$L$11:$L$30)*(Input_RAB_SCS!O$200:O$219))</f>
        <v>0</v>
      </c>
      <c r="P139" s="56">
        <f>SUMPRODUCT((Calc_Alloc!$L$11:$L$30)*(Input_RAB_SCS!P$200:P$219))</f>
        <v>0</v>
      </c>
      <c r="Q139" s="57">
        <f>SUMPRODUCT((Calc_Alloc!$L$11:$L$30)*(Input_RAB_SCS!Q$200:Q$219))</f>
        <v>0</v>
      </c>
      <c r="R139" s="57">
        <f>SUMPRODUCT((Calc_Alloc!$L$11:$L$30)*(Input_RAB_SCS!R$200:R$219))</f>
        <v>0</v>
      </c>
      <c r="S139" s="57">
        <f>SUMPRODUCT((Calc_Alloc!$L$11:$L$30)*(Input_RAB_SCS!S$200:S$219))</f>
        <v>0</v>
      </c>
      <c r="T139" s="58">
        <f>SUMPRODUCT((Calc_Alloc!$L$11:$L$30)*(Input_RAB_SCS!T$200:T$219))</f>
        <v>0</v>
      </c>
    </row>
    <row r="140" spans="4:20" ht="12.3" x14ac:dyDescent="0.35">
      <c r="D140" s="10" t="str">
        <f t="shared" si="57"/>
        <v>“Other” asset items with long lives</v>
      </c>
      <c r="E140" s="45" t="str">
        <f t="shared" si="57"/>
        <v>Calculated</v>
      </c>
      <c r="F140" s="45" t="str">
        <f t="shared" si="58"/>
        <v>$Millions</v>
      </c>
      <c r="G140" s="45" t="str">
        <f t="shared" si="59"/>
        <v>Nominal</v>
      </c>
      <c r="H140" s="45" t="str">
        <f t="shared" si="60"/>
        <v>End year</v>
      </c>
      <c r="J140" s="58">
        <f>SUMPRODUCT((Calc_Alloc!$M$11:$M$30)*(Input_RAB_SCS!J$200:J$219))</f>
        <v>10.988389620121804</v>
      </c>
      <c r="K140" s="56">
        <f>SUMPRODUCT((Calc_Alloc!$M$11:$M$30)*(Input_RAB_SCS!K$200:K$219))</f>
        <v>0</v>
      </c>
      <c r="L140" s="57">
        <f>SUMPRODUCT((Calc_Alloc!$M$11:$M$30)*(Input_RAB_SCS!L$200:L$219))</f>
        <v>0</v>
      </c>
      <c r="M140" s="57">
        <f>SUMPRODUCT((Calc_Alloc!$M$11:$M$30)*(Input_RAB_SCS!M$200:M$219))</f>
        <v>0</v>
      </c>
      <c r="N140" s="57">
        <f>SUMPRODUCT((Calc_Alloc!$M$11:$M$30)*(Input_RAB_SCS!N$200:N$219))</f>
        <v>0</v>
      </c>
      <c r="O140" s="58">
        <f>SUMPRODUCT((Calc_Alloc!$M$11:$M$30)*(Input_RAB_SCS!O$200:O$219))</f>
        <v>4.1753035562913139</v>
      </c>
      <c r="P140" s="56">
        <f>SUMPRODUCT((Calc_Alloc!$M$11:$M$30)*(Input_RAB_SCS!P$200:P$219))</f>
        <v>0</v>
      </c>
      <c r="Q140" s="57">
        <f>SUMPRODUCT((Calc_Alloc!$M$11:$M$30)*(Input_RAB_SCS!Q$200:Q$219))</f>
        <v>0</v>
      </c>
      <c r="R140" s="57">
        <f>SUMPRODUCT((Calc_Alloc!$M$11:$M$30)*(Input_RAB_SCS!R$200:R$219))</f>
        <v>0</v>
      </c>
      <c r="S140" s="57">
        <f>SUMPRODUCT((Calc_Alloc!$M$11:$M$30)*(Input_RAB_SCS!S$200:S$219))</f>
        <v>0</v>
      </c>
      <c r="T140" s="58">
        <f>SUMPRODUCT((Calc_Alloc!$M$11:$M$30)*(Input_RAB_SCS!T$200:T$219))</f>
        <v>0</v>
      </c>
    </row>
    <row r="141" spans="4:20" ht="12.3" x14ac:dyDescent="0.35">
      <c r="D141" s="10" t="str">
        <f t="shared" si="57"/>
        <v>“Other” asset items with short lives</v>
      </c>
      <c r="E141" s="45" t="str">
        <f t="shared" si="57"/>
        <v>Calculated</v>
      </c>
      <c r="F141" s="45" t="str">
        <f t="shared" si="58"/>
        <v>$Millions</v>
      </c>
      <c r="G141" s="45" t="str">
        <f t="shared" si="59"/>
        <v>Nominal</v>
      </c>
      <c r="H141" s="45" t="str">
        <f t="shared" si="60"/>
        <v>End year</v>
      </c>
      <c r="J141" s="58">
        <f>SUMPRODUCT((Calc_Alloc!$N$11:$N$30)*(Input_RAB_SCS!J$200:J$219))</f>
        <v>-0.38752342147615126</v>
      </c>
      <c r="K141" s="56">
        <f>SUMPRODUCT((Calc_Alloc!$N$11:$N$30)*(Input_RAB_SCS!K$200:K$219))</f>
        <v>0</v>
      </c>
      <c r="L141" s="57">
        <f>SUMPRODUCT((Calc_Alloc!$N$11:$N$30)*(Input_RAB_SCS!L$200:L$219))</f>
        <v>0</v>
      </c>
      <c r="M141" s="57">
        <f>SUMPRODUCT((Calc_Alloc!$N$11:$N$30)*(Input_RAB_SCS!M$200:M$219))</f>
        <v>0</v>
      </c>
      <c r="N141" s="57">
        <f>SUMPRODUCT((Calc_Alloc!$N$11:$N$30)*(Input_RAB_SCS!N$200:N$219))</f>
        <v>0</v>
      </c>
      <c r="O141" s="58">
        <f>SUMPRODUCT((Calc_Alloc!$N$11:$N$30)*(Input_RAB_SCS!O$200:O$219))</f>
        <v>1.0681947778859522</v>
      </c>
      <c r="P141" s="56">
        <f>SUMPRODUCT((Calc_Alloc!$N$11:$N$30)*(Input_RAB_SCS!P$200:P$219))</f>
        <v>0</v>
      </c>
      <c r="Q141" s="57">
        <f>SUMPRODUCT((Calc_Alloc!$N$11:$N$30)*(Input_RAB_SCS!Q$200:Q$219))</f>
        <v>0</v>
      </c>
      <c r="R141" s="57">
        <f>SUMPRODUCT((Calc_Alloc!$N$11:$N$30)*(Input_RAB_SCS!R$200:R$219))</f>
        <v>0</v>
      </c>
      <c r="S141" s="57">
        <f>SUMPRODUCT((Calc_Alloc!$N$11:$N$30)*(Input_RAB_SCS!S$200:S$219))</f>
        <v>0</v>
      </c>
      <c r="T141" s="58">
        <f>SUMPRODUCT((Calc_Alloc!$N$11:$N$30)*(Input_RAB_SCS!T$200:T$219))</f>
        <v>0</v>
      </c>
    </row>
    <row r="142" spans="4:20" x14ac:dyDescent="0.35">
      <c r="J142" s="49"/>
      <c r="K142" s="48"/>
      <c r="O142" s="49"/>
      <c r="P142" s="48"/>
      <c r="T142" s="49"/>
    </row>
    <row r="143" spans="4:20" ht="12.3" x14ac:dyDescent="0.35">
      <c r="D143" s="44" t="str">
        <f>"Total "&amp;D130</f>
        <v>Total EB RIN categories</v>
      </c>
      <c r="E143" s="40" t="s">
        <v>91</v>
      </c>
      <c r="F143" s="40" t="str">
        <f>F132</f>
        <v>$Millions</v>
      </c>
      <c r="G143" s="40" t="str">
        <f>G132</f>
        <v>Nominal</v>
      </c>
      <c r="H143" s="40" t="str">
        <f>H132</f>
        <v>End year</v>
      </c>
      <c r="J143" s="54">
        <f t="shared" ref="J143:T143" si="61">SUM(J132:J141)</f>
        <v>10.889013801314858</v>
      </c>
      <c r="K143" s="53">
        <f t="shared" si="61"/>
        <v>0</v>
      </c>
      <c r="L143" s="39">
        <f t="shared" si="61"/>
        <v>0</v>
      </c>
      <c r="M143" s="39">
        <f t="shared" si="61"/>
        <v>0</v>
      </c>
      <c r="N143" s="39">
        <f t="shared" si="61"/>
        <v>0</v>
      </c>
      <c r="O143" s="54">
        <f t="shared" si="61"/>
        <v>3.4792047671617983</v>
      </c>
      <c r="P143" s="53">
        <f t="shared" si="61"/>
        <v>0</v>
      </c>
      <c r="Q143" s="39">
        <f t="shared" si="61"/>
        <v>0</v>
      </c>
      <c r="R143" s="39">
        <f t="shared" si="61"/>
        <v>0</v>
      </c>
      <c r="S143" s="39">
        <f t="shared" si="61"/>
        <v>0</v>
      </c>
      <c r="T143" s="54">
        <f t="shared" si="61"/>
        <v>0</v>
      </c>
    </row>
    <row r="144" spans="4:20" ht="11.25" customHeight="1" x14ac:dyDescent="0.35"/>
    <row r="145" spans="1:20" ht="11.25" customHeight="1" x14ac:dyDescent="0.35">
      <c r="A145" s="42">
        <f>IF(SUM($J145:$T145)&lt;&gt;0,1,0)</f>
        <v>0</v>
      </c>
      <c r="D145" s="10" t="s">
        <v>94</v>
      </c>
      <c r="J145" s="42">
        <f>IF(ROUND(J143-Input_RAB_SCS!J$221,3)=0,0,1)</f>
        <v>0</v>
      </c>
      <c r="K145" s="42">
        <f>IF(ROUND(K143-Input_RAB_SCS!K$221,3)=0,0,1)</f>
        <v>0</v>
      </c>
      <c r="L145" s="42">
        <f>IF(ROUND(L143-Input_RAB_SCS!L$221,3)=0,0,1)</f>
        <v>0</v>
      </c>
      <c r="M145" s="42">
        <f>IF(ROUND(M143-Input_RAB_SCS!M$221,3)=0,0,1)</f>
        <v>0</v>
      </c>
      <c r="N145" s="42">
        <f>IF(ROUND(N143-Input_RAB_SCS!N$221,3)=0,0,1)</f>
        <v>0</v>
      </c>
      <c r="O145" s="42">
        <f>IF(ROUND(O143-Input_RAB_SCS!O$221,3)=0,0,1)</f>
        <v>0</v>
      </c>
      <c r="P145" s="42">
        <f>IF(ROUND(P143-Input_RAB_SCS!P$221,3)=0,0,1)</f>
        <v>0</v>
      </c>
      <c r="Q145" s="42">
        <f>IF(ROUND(Q143-Input_RAB_SCS!Q$221,3)=0,0,1)</f>
        <v>0</v>
      </c>
      <c r="R145" s="42">
        <f>IF(ROUND(R143-Input_RAB_SCS!R$221,3)=0,0,1)</f>
        <v>0</v>
      </c>
      <c r="S145" s="42">
        <f>IF(ROUND(S143-Input_RAB_SCS!S$221,3)=0,0,1)</f>
        <v>0</v>
      </c>
      <c r="T145" s="42">
        <f>IF(ROUND(T143-Input_RAB_SCS!T$221,3)=0,0,1)</f>
        <v>0</v>
      </c>
    </row>
    <row r="147" spans="1:20" s="8" customFormat="1" ht="14.1" x14ac:dyDescent="0.35">
      <c r="C147" s="8" t="s">
        <v>439</v>
      </c>
    </row>
    <row r="148" spans="1:20" ht="11.25" customHeight="1" x14ac:dyDescent="0.35"/>
    <row r="149" spans="1:20" ht="12.3" x14ac:dyDescent="0.35">
      <c r="D149" s="43" t="str">
        <f>D$16</f>
        <v>EB RIN categories</v>
      </c>
      <c r="E149" s="38" t="str">
        <f>Lookup!E$20</f>
        <v>Source</v>
      </c>
      <c r="F149" s="38" t="str">
        <f>Lookup!F$20</f>
        <v>Unit</v>
      </c>
      <c r="G149" s="38" t="str">
        <f>Lookup!G$20</f>
        <v>Basis</v>
      </c>
      <c r="H149" s="38" t="str">
        <f>Lookup!H$20</f>
        <v>Timing</v>
      </c>
      <c r="J149" s="47" t="str">
        <f t="shared" ref="J149:T149" si="62">J$10</f>
        <v>RY19</v>
      </c>
      <c r="K149" s="46" t="str">
        <f t="shared" si="62"/>
        <v>RY20</v>
      </c>
      <c r="L149" s="38" t="str">
        <f t="shared" si="62"/>
        <v>RY21</v>
      </c>
      <c r="M149" s="38" t="str">
        <f t="shared" si="62"/>
        <v>RY22</v>
      </c>
      <c r="N149" s="38" t="str">
        <f t="shared" si="62"/>
        <v>RY23</v>
      </c>
      <c r="O149" s="47" t="str">
        <f t="shared" si="62"/>
        <v>RY24</v>
      </c>
      <c r="P149" s="46" t="str">
        <f t="shared" si="62"/>
        <v>RY25</v>
      </c>
      <c r="Q149" s="38" t="str">
        <f t="shared" si="62"/>
        <v>RY26</v>
      </c>
      <c r="R149" s="38" t="str">
        <f t="shared" si="62"/>
        <v>RY27</v>
      </c>
      <c r="S149" s="38" t="str">
        <f t="shared" si="62"/>
        <v>RY28</v>
      </c>
      <c r="T149" s="47" t="str">
        <f t="shared" si="62"/>
        <v>RY29</v>
      </c>
    </row>
    <row r="150" spans="1:20" x14ac:dyDescent="0.35">
      <c r="J150" s="49"/>
      <c r="K150" s="48"/>
      <c r="O150" s="49"/>
      <c r="P150" s="48"/>
      <c r="T150" s="49"/>
    </row>
    <row r="151" spans="1:20" ht="12.3" x14ac:dyDescent="0.35">
      <c r="D151" s="10" t="str">
        <f t="shared" ref="D151:D160" si="63">D18</f>
        <v>Overhead network assets less than 33kV</v>
      </c>
      <c r="E151" s="45" t="s">
        <v>91</v>
      </c>
      <c r="F151" s="45" t="str">
        <f t="shared" ref="F151:F160" si="64">Millions</f>
        <v>$Millions</v>
      </c>
      <c r="G151" s="45" t="str">
        <f t="shared" ref="G151:G160" si="65">Nominal</f>
        <v>Nominal</v>
      </c>
      <c r="H151" s="45" t="str">
        <f t="shared" ref="H151:H160" si="66">End_year</f>
        <v>End year</v>
      </c>
      <c r="J151" s="58">
        <f t="shared" ref="J151:T151" si="67">J113+J132</f>
        <v>81.482132359213509</v>
      </c>
      <c r="K151" s="56">
        <f t="shared" si="67"/>
        <v>83.227994811772021</v>
      </c>
      <c r="L151" s="57">
        <f t="shared" si="67"/>
        <v>84.635465429053355</v>
      </c>
      <c r="M151" s="57">
        <f t="shared" si="67"/>
        <v>91.292224462432841</v>
      </c>
      <c r="N151" s="57">
        <f t="shared" si="67"/>
        <v>104.83790856243229</v>
      </c>
      <c r="O151" s="58">
        <f t="shared" si="67"/>
        <v>114.49314630660011</v>
      </c>
      <c r="P151" s="56">
        <f t="shared" si="67"/>
        <v>121.78116011280649</v>
      </c>
      <c r="Q151" s="57">
        <f t="shared" si="67"/>
        <v>129.95699819413005</v>
      </c>
      <c r="R151" s="57">
        <f t="shared" si="67"/>
        <v>138.3896717328077</v>
      </c>
      <c r="S151" s="57">
        <f t="shared" si="67"/>
        <v>145.96988221610806</v>
      </c>
      <c r="T151" s="58">
        <f t="shared" si="67"/>
        <v>153.82817181995102</v>
      </c>
    </row>
    <row r="152" spans="1:20" ht="12.3" x14ac:dyDescent="0.35">
      <c r="D152" s="10" t="str">
        <f t="shared" si="63"/>
        <v>Underground network assets less than 33kV</v>
      </c>
      <c r="E152" s="45" t="s">
        <v>91</v>
      </c>
      <c r="F152" s="45" t="str">
        <f t="shared" si="64"/>
        <v>$Millions</v>
      </c>
      <c r="G152" s="45" t="str">
        <f t="shared" si="65"/>
        <v>Nominal</v>
      </c>
      <c r="H152" s="45" t="str">
        <f t="shared" si="66"/>
        <v>End year</v>
      </c>
      <c r="J152" s="58">
        <f t="shared" ref="J152:T152" si="68">J114+J133</f>
        <v>168.78727034496171</v>
      </c>
      <c r="K152" s="56">
        <f t="shared" si="68"/>
        <v>172.40376084702689</v>
      </c>
      <c r="L152" s="57">
        <f t="shared" si="68"/>
        <v>175.31928498346406</v>
      </c>
      <c r="M152" s="57">
        <f t="shared" si="68"/>
        <v>189.10851894257317</v>
      </c>
      <c r="N152" s="57">
        <f t="shared" si="68"/>
        <v>217.1679103452766</v>
      </c>
      <c r="O152" s="58">
        <f t="shared" si="68"/>
        <v>237.16838377649822</v>
      </c>
      <c r="P152" s="56">
        <f t="shared" si="68"/>
        <v>252.26523901296866</v>
      </c>
      <c r="Q152" s="57">
        <f t="shared" si="68"/>
        <v>269.20118990887022</v>
      </c>
      <c r="R152" s="57">
        <f t="shared" si="68"/>
        <v>286.66916610307266</v>
      </c>
      <c r="S152" s="57">
        <f t="shared" si="68"/>
        <v>302.37129611700146</v>
      </c>
      <c r="T152" s="58">
        <f t="shared" si="68"/>
        <v>318.64945690402539</v>
      </c>
    </row>
    <row r="153" spans="1:20" ht="12.3" x14ac:dyDescent="0.35">
      <c r="D153" s="10" t="str">
        <f t="shared" si="63"/>
        <v>Distribution substations and transformers</v>
      </c>
      <c r="E153" s="45" t="s">
        <v>91</v>
      </c>
      <c r="F153" s="45" t="str">
        <f t="shared" si="64"/>
        <v>$Millions</v>
      </c>
      <c r="G153" s="45" t="str">
        <f t="shared" si="65"/>
        <v>Nominal</v>
      </c>
      <c r="H153" s="45" t="str">
        <f t="shared" si="66"/>
        <v>End year</v>
      </c>
      <c r="J153" s="58">
        <f t="shared" ref="J153:T153" si="69">J115+J134</f>
        <v>141.81876711597741</v>
      </c>
      <c r="K153" s="56">
        <f t="shared" si="69"/>
        <v>144.7607548917367</v>
      </c>
      <c r="L153" s="57">
        <f t="shared" si="69"/>
        <v>147.13720685357404</v>
      </c>
      <c r="M153" s="57">
        <f t="shared" si="69"/>
        <v>154.15038158558008</v>
      </c>
      <c r="N153" s="57">
        <f t="shared" si="69"/>
        <v>167.18054554245165</v>
      </c>
      <c r="O153" s="58">
        <f t="shared" si="69"/>
        <v>174.11725569967822</v>
      </c>
      <c r="P153" s="56">
        <f t="shared" si="69"/>
        <v>181.93538417230215</v>
      </c>
      <c r="Q153" s="57">
        <f t="shared" si="69"/>
        <v>190.21581760441333</v>
      </c>
      <c r="R153" s="57">
        <f t="shared" si="69"/>
        <v>198.92741749072647</v>
      </c>
      <c r="S153" s="57">
        <f t="shared" si="69"/>
        <v>208.06827162426234</v>
      </c>
      <c r="T153" s="58">
        <f t="shared" si="69"/>
        <v>217.68578907327455</v>
      </c>
    </row>
    <row r="154" spans="1:20" ht="12.3" x14ac:dyDescent="0.35">
      <c r="D154" s="10" t="str">
        <f t="shared" si="63"/>
        <v>Overhead network assets 33kV and above</v>
      </c>
      <c r="E154" s="45" t="s">
        <v>91</v>
      </c>
      <c r="F154" s="45" t="str">
        <f t="shared" si="64"/>
        <v>$Millions</v>
      </c>
      <c r="G154" s="45" t="str">
        <f t="shared" si="65"/>
        <v>Nominal</v>
      </c>
      <c r="H154" s="45" t="str">
        <f t="shared" si="66"/>
        <v>End year</v>
      </c>
      <c r="J154" s="58">
        <f t="shared" ref="J154:T154" si="70">J116+J135</f>
        <v>118.46667024464533</v>
      </c>
      <c r="K154" s="56">
        <f t="shared" si="70"/>
        <v>116.92662676154043</v>
      </c>
      <c r="L154" s="57">
        <f t="shared" si="70"/>
        <v>114.5637827333488</v>
      </c>
      <c r="M154" s="57">
        <f t="shared" si="70"/>
        <v>115.64687455245625</v>
      </c>
      <c r="N154" s="57">
        <f t="shared" si="70"/>
        <v>122.17080133819033</v>
      </c>
      <c r="O154" s="58">
        <f t="shared" si="70"/>
        <v>129.27579651119797</v>
      </c>
      <c r="P154" s="56">
        <f t="shared" si="70"/>
        <v>129.94276586502178</v>
      </c>
      <c r="Q154" s="57">
        <f t="shared" si="70"/>
        <v>133.09131475498137</v>
      </c>
      <c r="R154" s="57">
        <f t="shared" si="70"/>
        <v>133.15610417171649</v>
      </c>
      <c r="S154" s="57">
        <f t="shared" si="70"/>
        <v>132.33488678273261</v>
      </c>
      <c r="T154" s="58">
        <f t="shared" si="70"/>
        <v>131.33534642459489</v>
      </c>
    </row>
    <row r="155" spans="1:20" ht="12.3" x14ac:dyDescent="0.35">
      <c r="D155" s="10" t="str">
        <f t="shared" si="63"/>
        <v>Underground network assets 33kV and above</v>
      </c>
      <c r="E155" s="45" t="s">
        <v>91</v>
      </c>
      <c r="F155" s="45" t="str">
        <f t="shared" si="64"/>
        <v>$Millions</v>
      </c>
      <c r="G155" s="45" t="str">
        <f t="shared" si="65"/>
        <v>Nominal</v>
      </c>
      <c r="H155" s="45" t="str">
        <f t="shared" si="66"/>
        <v>End year</v>
      </c>
      <c r="J155" s="58">
        <f t="shared" ref="J155:T155" si="71">J117+J136</f>
        <v>59.27905692558334</v>
      </c>
      <c r="K155" s="56">
        <f t="shared" si="71"/>
        <v>58.508440809554067</v>
      </c>
      <c r="L155" s="57">
        <f t="shared" si="71"/>
        <v>57.326106863945611</v>
      </c>
      <c r="M155" s="57">
        <f t="shared" si="71"/>
        <v>57.86807078905565</v>
      </c>
      <c r="N155" s="57">
        <f t="shared" si="71"/>
        <v>61.132552068990577</v>
      </c>
      <c r="O155" s="58">
        <f t="shared" si="71"/>
        <v>64.687791803904574</v>
      </c>
      <c r="P155" s="56">
        <f t="shared" si="71"/>
        <v>65.021533895340852</v>
      </c>
      <c r="Q155" s="57">
        <f t="shared" si="71"/>
        <v>66.597023511917897</v>
      </c>
      <c r="R155" s="57">
        <f t="shared" si="71"/>
        <v>66.629443225537642</v>
      </c>
      <c r="S155" s="57">
        <f t="shared" si="71"/>
        <v>66.218517585023534</v>
      </c>
      <c r="T155" s="58">
        <f t="shared" si="71"/>
        <v>65.718361636796899</v>
      </c>
    </row>
    <row r="156" spans="1:20" ht="12.3" x14ac:dyDescent="0.35">
      <c r="D156" s="10" t="str">
        <f t="shared" si="63"/>
        <v>Zone substations and transformers</v>
      </c>
      <c r="E156" s="45" t="s">
        <v>91</v>
      </c>
      <c r="F156" s="45" t="str">
        <f t="shared" si="64"/>
        <v>$Millions</v>
      </c>
      <c r="G156" s="45" t="str">
        <f t="shared" si="65"/>
        <v>Nominal</v>
      </c>
      <c r="H156" s="45" t="str">
        <f t="shared" si="66"/>
        <v>End year</v>
      </c>
      <c r="J156" s="58">
        <f t="shared" ref="J156:T156" si="72">J118+J137</f>
        <v>318.17126366848231</v>
      </c>
      <c r="K156" s="56">
        <f t="shared" si="72"/>
        <v>327.41798681760213</v>
      </c>
      <c r="L156" s="57">
        <f t="shared" si="72"/>
        <v>325.66292475029201</v>
      </c>
      <c r="M156" s="57">
        <f t="shared" si="72"/>
        <v>332.37283187466795</v>
      </c>
      <c r="N156" s="57">
        <f t="shared" si="72"/>
        <v>358.67792636580361</v>
      </c>
      <c r="O156" s="58">
        <f t="shared" si="72"/>
        <v>381.06791850757656</v>
      </c>
      <c r="P156" s="56">
        <f t="shared" si="72"/>
        <v>402.96189082118678</v>
      </c>
      <c r="Q156" s="57">
        <f t="shared" si="72"/>
        <v>413.17934920905304</v>
      </c>
      <c r="R156" s="57">
        <f t="shared" si="72"/>
        <v>408.64255862968884</v>
      </c>
      <c r="S156" s="57">
        <f t="shared" si="72"/>
        <v>399.5778523758562</v>
      </c>
      <c r="T156" s="58">
        <f t="shared" si="72"/>
        <v>387.58069532245389</v>
      </c>
    </row>
    <row r="157" spans="1:20" ht="12.3" x14ac:dyDescent="0.35">
      <c r="D157" s="10" t="str">
        <f t="shared" si="63"/>
        <v>Easements</v>
      </c>
      <c r="E157" s="45" t="s">
        <v>91</v>
      </c>
      <c r="F157" s="45" t="str">
        <f t="shared" si="64"/>
        <v>$Millions</v>
      </c>
      <c r="G157" s="45" t="str">
        <f t="shared" si="65"/>
        <v>Nominal</v>
      </c>
      <c r="H157" s="45" t="str">
        <f t="shared" si="66"/>
        <v>End year</v>
      </c>
      <c r="J157" s="58">
        <f t="shared" ref="J157:T157" si="73">J119+J138</f>
        <v>45.815760921706001</v>
      </c>
      <c r="K157" s="56">
        <f t="shared" si="73"/>
        <v>46.658995785295687</v>
      </c>
      <c r="L157" s="57">
        <f t="shared" si="73"/>
        <v>47.060536196528865</v>
      </c>
      <c r="M157" s="57">
        <f t="shared" si="73"/>
        <v>48.706851882584907</v>
      </c>
      <c r="N157" s="57">
        <f t="shared" si="73"/>
        <v>52.603400033191697</v>
      </c>
      <c r="O157" s="58">
        <f t="shared" si="73"/>
        <v>55.251388665969486</v>
      </c>
      <c r="P157" s="56">
        <f t="shared" si="73"/>
        <v>56.864530337569484</v>
      </c>
      <c r="Q157" s="57">
        <f t="shared" si="73"/>
        <v>58.524769939474631</v>
      </c>
      <c r="R157" s="57">
        <f t="shared" si="73"/>
        <v>60.23348256172077</v>
      </c>
      <c r="S157" s="57">
        <f t="shared" si="73"/>
        <v>61.992083442023159</v>
      </c>
      <c r="T157" s="58">
        <f t="shared" si="73"/>
        <v>63.802029137944196</v>
      </c>
    </row>
    <row r="158" spans="1:20" ht="12.3" x14ac:dyDescent="0.35">
      <c r="D158" s="10" t="str">
        <f t="shared" si="63"/>
        <v>Meters</v>
      </c>
      <c r="E158" s="45" t="s">
        <v>91</v>
      </c>
      <c r="F158" s="45" t="str">
        <f t="shared" si="64"/>
        <v>$Millions</v>
      </c>
      <c r="G158" s="45" t="str">
        <f t="shared" si="65"/>
        <v>Nominal</v>
      </c>
      <c r="H158" s="45" t="str">
        <f t="shared" si="66"/>
        <v>End year</v>
      </c>
      <c r="J158" s="58">
        <f t="shared" ref="J158:T158" si="74">J120+J139</f>
        <v>0</v>
      </c>
      <c r="K158" s="56">
        <f t="shared" si="74"/>
        <v>0</v>
      </c>
      <c r="L158" s="57">
        <f t="shared" si="74"/>
        <v>0</v>
      </c>
      <c r="M158" s="57">
        <f t="shared" si="74"/>
        <v>0</v>
      </c>
      <c r="N158" s="57">
        <f t="shared" si="74"/>
        <v>0</v>
      </c>
      <c r="O158" s="58">
        <f t="shared" si="74"/>
        <v>0</v>
      </c>
      <c r="P158" s="56">
        <f t="shared" si="74"/>
        <v>0</v>
      </c>
      <c r="Q158" s="57">
        <f t="shared" si="74"/>
        <v>0</v>
      </c>
      <c r="R158" s="57">
        <f t="shared" si="74"/>
        <v>0</v>
      </c>
      <c r="S158" s="57">
        <f t="shared" si="74"/>
        <v>0</v>
      </c>
      <c r="T158" s="58">
        <f t="shared" si="74"/>
        <v>0</v>
      </c>
    </row>
    <row r="159" spans="1:20" ht="12.3" x14ac:dyDescent="0.35">
      <c r="D159" s="10" t="str">
        <f t="shared" si="63"/>
        <v>“Other” asset items with long lives</v>
      </c>
      <c r="E159" s="45" t="s">
        <v>91</v>
      </c>
      <c r="F159" s="45" t="str">
        <f t="shared" si="64"/>
        <v>$Millions</v>
      </c>
      <c r="G159" s="45" t="str">
        <f t="shared" si="65"/>
        <v>Nominal</v>
      </c>
      <c r="H159" s="45" t="str">
        <f t="shared" si="66"/>
        <v>End year</v>
      </c>
      <c r="J159" s="58">
        <f t="shared" ref="J159:T159" si="75">J121+J140</f>
        <v>23.043887610569833</v>
      </c>
      <c r="K159" s="56">
        <f t="shared" si="75"/>
        <v>28.757416893035817</v>
      </c>
      <c r="L159" s="57">
        <f t="shared" si="75"/>
        <v>29.262117856539479</v>
      </c>
      <c r="M159" s="57">
        <f t="shared" si="75"/>
        <v>34.69846069099178</v>
      </c>
      <c r="N159" s="57">
        <f t="shared" si="75"/>
        <v>57.958728795606547</v>
      </c>
      <c r="O159" s="58">
        <f t="shared" si="75"/>
        <v>85.471804488943135</v>
      </c>
      <c r="P159" s="56">
        <f t="shared" si="75"/>
        <v>102.13855280738885</v>
      </c>
      <c r="Q159" s="57">
        <f t="shared" si="75"/>
        <v>125.31481789154545</v>
      </c>
      <c r="R159" s="57">
        <f t="shared" si="75"/>
        <v>145.26010822362272</v>
      </c>
      <c r="S159" s="57">
        <f t="shared" si="75"/>
        <v>214.72422111062605</v>
      </c>
      <c r="T159" s="58">
        <f t="shared" si="75"/>
        <v>315.78179472102443</v>
      </c>
    </row>
    <row r="160" spans="1:20" ht="12.3" x14ac:dyDescent="0.35">
      <c r="D160" s="10" t="str">
        <f t="shared" si="63"/>
        <v>“Other” asset items with short lives</v>
      </c>
      <c r="E160" s="45" t="s">
        <v>91</v>
      </c>
      <c r="F160" s="45" t="str">
        <f t="shared" si="64"/>
        <v>$Millions</v>
      </c>
      <c r="G160" s="45" t="str">
        <f t="shared" si="65"/>
        <v>Nominal</v>
      </c>
      <c r="H160" s="45" t="str">
        <f t="shared" si="66"/>
        <v>End year</v>
      </c>
      <c r="J160" s="58">
        <f t="shared" ref="J160:T160" si="76">J122+J141</f>
        <v>5.0879223472587896</v>
      </c>
      <c r="K160" s="56">
        <f t="shared" si="76"/>
        <v>23.207140261197104</v>
      </c>
      <c r="L160" s="57">
        <f t="shared" si="76"/>
        <v>24.912282670685393</v>
      </c>
      <c r="M160" s="57">
        <f t="shared" si="76"/>
        <v>35.117193966192374</v>
      </c>
      <c r="N160" s="57">
        <f t="shared" si="76"/>
        <v>35.458557884292944</v>
      </c>
      <c r="O160" s="58">
        <f t="shared" si="76"/>
        <v>37.993521199753474</v>
      </c>
      <c r="P160" s="56">
        <f t="shared" si="76"/>
        <v>38.535808151464018</v>
      </c>
      <c r="Q160" s="57">
        <f t="shared" si="76"/>
        <v>41.002258481296167</v>
      </c>
      <c r="R160" s="57">
        <f t="shared" si="76"/>
        <v>52.401128158605459</v>
      </c>
      <c r="S160" s="57">
        <f t="shared" si="76"/>
        <v>52.638006132966993</v>
      </c>
      <c r="T160" s="58">
        <f t="shared" si="76"/>
        <v>52.788115512311151</v>
      </c>
    </row>
    <row r="161" spans="1:20" x14ac:dyDescent="0.35">
      <c r="J161" s="49"/>
      <c r="K161" s="48"/>
      <c r="O161" s="49"/>
      <c r="P161" s="48"/>
      <c r="T161" s="49"/>
    </row>
    <row r="162" spans="1:20" ht="12.3" x14ac:dyDescent="0.35">
      <c r="D162" s="44" t="str">
        <f>"Total "&amp;D149</f>
        <v>Total EB RIN categories</v>
      </c>
      <c r="E162" s="40" t="s">
        <v>91</v>
      </c>
      <c r="F162" s="40" t="str">
        <f>F151</f>
        <v>$Millions</v>
      </c>
      <c r="G162" s="40" t="str">
        <f>G151</f>
        <v>Nominal</v>
      </c>
      <c r="H162" s="40" t="str">
        <f>H151</f>
        <v>End year</v>
      </c>
      <c r="J162" s="54">
        <f t="shared" ref="J162:T162" si="77">SUM(J151:J160)</f>
        <v>961.95273153839821</v>
      </c>
      <c r="K162" s="53">
        <f t="shared" si="77"/>
        <v>1001.8691178787608</v>
      </c>
      <c r="L162" s="39">
        <f t="shared" si="77"/>
        <v>1005.8797083374317</v>
      </c>
      <c r="M162" s="39">
        <f t="shared" si="77"/>
        <v>1058.961408746535</v>
      </c>
      <c r="N162" s="39">
        <f t="shared" si="77"/>
        <v>1177.1883309362363</v>
      </c>
      <c r="O162" s="54">
        <f t="shared" si="77"/>
        <v>1279.527006960122</v>
      </c>
      <c r="P162" s="53">
        <f t="shared" si="77"/>
        <v>1351.446865176049</v>
      </c>
      <c r="Q162" s="39">
        <f t="shared" si="77"/>
        <v>1427.0835394956823</v>
      </c>
      <c r="R162" s="39">
        <f t="shared" si="77"/>
        <v>1490.3090802974987</v>
      </c>
      <c r="S162" s="39">
        <f t="shared" si="77"/>
        <v>1583.8950173866003</v>
      </c>
      <c r="T162" s="54">
        <f t="shared" si="77"/>
        <v>1707.1697605523764</v>
      </c>
    </row>
    <row r="163" spans="1:20" ht="11.25" customHeight="1" x14ac:dyDescent="0.35"/>
    <row r="164" spans="1:20" ht="11.25" customHeight="1" x14ac:dyDescent="0.35">
      <c r="A164" s="42">
        <f>IF(SUM($J164:$T164)&lt;&gt;0,1,0)</f>
        <v>0</v>
      </c>
      <c r="D164" s="10" t="s">
        <v>94</v>
      </c>
      <c r="J164" s="42">
        <f>IF(ROUND(J162-Input_RAB_SCS!J$252,3)=0,0,1)</f>
        <v>0</v>
      </c>
      <c r="K164" s="42">
        <f>IF(ROUND(K162-Input_RAB_SCS!K$252,3)=0,0,1)</f>
        <v>0</v>
      </c>
      <c r="L164" s="42">
        <f>IF(ROUND(L162-Input_RAB_SCS!L$252,3)=0,0,1)</f>
        <v>0</v>
      </c>
      <c r="M164" s="42">
        <f>IF(ROUND(M162-Input_RAB_SCS!M$252,3)=0,0,1)</f>
        <v>0</v>
      </c>
      <c r="N164" s="42">
        <f>IF(ROUND(N162-Input_RAB_SCS!N$252,3)=0,0,1)</f>
        <v>0</v>
      </c>
      <c r="O164" s="42">
        <f>IF(ROUND(O162-Input_RAB_SCS!O$252,3)=0,0,1)</f>
        <v>0</v>
      </c>
      <c r="P164" s="42">
        <f>IF(ROUND(P162-Input_RAB_SCS!P$252,3)=0,0,1)</f>
        <v>0</v>
      </c>
      <c r="Q164" s="42">
        <f>IF(ROUND(Q162-Input_RAB_SCS!Q$252,3)=0,0,1)</f>
        <v>0</v>
      </c>
      <c r="R164" s="42">
        <f>IF(ROUND(R162-Input_RAB_SCS!R$252,3)=0,0,1)</f>
        <v>0</v>
      </c>
      <c r="S164" s="42">
        <f>IF(ROUND(S162-Input_RAB_SCS!S$252,3)=0,0,1)</f>
        <v>0</v>
      </c>
      <c r="T164" s="42">
        <f>IF(ROUND(T162-Input_RAB_SCS!T$252,3)=0,0,1)</f>
        <v>0</v>
      </c>
    </row>
    <row r="166" spans="1:20" s="2" customFormat="1" ht="15" x14ac:dyDescent="0.35">
      <c r="B166" s="2" t="s">
        <v>26</v>
      </c>
    </row>
  </sheetData>
  <conditionalFormatting sqref="B2">
    <cfRule type="cellIs" dxfId="10" priority="1" operator="notEqual">
      <formula>"No Errors Found"</formula>
    </cfRule>
  </conditionalFormatting>
  <hyperlinks>
    <hyperlink ref="B3:E3" location="TOC!A1" display="TOC!A1"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6" tint="0.59999389629810485"/>
  </sheetPr>
  <dimension ref="A1:T166"/>
  <sheetViews>
    <sheetView showGridLines="0" zoomScaleNormal="100" workbookViewId="0">
      <pane xSplit="1" ySplit="10" topLeftCell="B11" activePane="bottomRight" state="frozen"/>
      <selection activeCell="D44" sqref="D44"/>
      <selection pane="topRight" activeCell="D44" sqref="D44"/>
      <selection pane="bottomLeft" activeCell="D44" sqref="D44"/>
      <selection pane="bottomRight" activeCell="B11" sqref="B11"/>
    </sheetView>
  </sheetViews>
  <sheetFormatPr defaultColWidth="9.33203125" defaultRowHeight="10.199999999999999" outlineLevelRow="1" x14ac:dyDescent="0.35"/>
  <cols>
    <col min="1" max="1" width="3.33203125" customWidth="1"/>
    <col min="2" max="3" width="2.796875" customWidth="1"/>
    <col min="4" max="4" width="47.46484375" customWidth="1"/>
    <col min="5" max="8" width="12.1328125" customWidth="1"/>
    <col min="9" max="9" width="4.46484375" customWidth="1"/>
    <col min="10" max="20" width="12.796875" customWidth="1"/>
    <col min="21" max="21" width="4.33203125" customWidth="1"/>
    <col min="22" max="23" width="10.796875" customWidth="1"/>
  </cols>
  <sheetData>
    <row r="1" spans="1:20" ht="18.899999999999999" x14ac:dyDescent="0.35">
      <c r="A1" s="42">
        <f>IF(SUM($A11:$A166)&gt;0,1,0)</f>
        <v>0</v>
      </c>
      <c r="B1" s="3" t="s">
        <v>445</v>
      </c>
    </row>
    <row r="2" spans="1:20" x14ac:dyDescent="0.35">
      <c r="B2" s="13" t="str">
        <f>Title_Msg</f>
        <v>No Errors Found</v>
      </c>
    </row>
    <row r="3" spans="1:20" x14ac:dyDescent="0.35">
      <c r="B3" s="30" t="str">
        <f>TOC!B1</f>
        <v>Table of Contents</v>
      </c>
      <c r="C3" s="28"/>
      <c r="D3" s="28"/>
      <c r="E3" s="28"/>
    </row>
    <row r="4" spans="1:20" ht="12.3" x14ac:dyDescent="0.35">
      <c r="B4" s="27" t="str">
        <f>Model_Name</f>
        <v>Power and Water Corporation (PWC) - RAB Allocation - EB RIN</v>
      </c>
    </row>
    <row r="5" spans="1:20" ht="12.3" hidden="1" outlineLevel="1" x14ac:dyDescent="0.35">
      <c r="B5" s="10" t="str">
        <f>Lookup!B15</f>
        <v>Period start date</v>
      </c>
      <c r="J5" s="35">
        <f>Lookup!R15</f>
        <v>43282</v>
      </c>
      <c r="K5" s="35">
        <f>Lookup!S15</f>
        <v>43647</v>
      </c>
      <c r="L5" s="35">
        <f>Lookup!T15</f>
        <v>44013</v>
      </c>
      <c r="M5" s="35">
        <f>Lookup!U15</f>
        <v>44378</v>
      </c>
      <c r="N5" s="35">
        <f>Lookup!V15</f>
        <v>44743</v>
      </c>
      <c r="O5" s="35">
        <f>Lookup!W15</f>
        <v>45108</v>
      </c>
      <c r="P5" s="35">
        <f>Lookup!X15</f>
        <v>45474</v>
      </c>
      <c r="Q5" s="35">
        <f>Lookup!Y15</f>
        <v>45839</v>
      </c>
      <c r="R5" s="35">
        <f>Lookup!Z15</f>
        <v>46204</v>
      </c>
      <c r="S5" s="35">
        <f>Lookup!AA15</f>
        <v>46569</v>
      </c>
      <c r="T5" s="35">
        <f>Lookup!AB15</f>
        <v>46935</v>
      </c>
    </row>
    <row r="6" spans="1:20" ht="12.3" hidden="1" outlineLevel="1" x14ac:dyDescent="0.35">
      <c r="B6" s="10" t="str">
        <f>Lookup!B16</f>
        <v>Period end date</v>
      </c>
      <c r="J6" s="35">
        <f>Lookup!R16</f>
        <v>43646</v>
      </c>
      <c r="K6" s="35">
        <f>Lookup!S16</f>
        <v>44012</v>
      </c>
      <c r="L6" s="35">
        <f>Lookup!T16</f>
        <v>44377</v>
      </c>
      <c r="M6" s="35">
        <f>Lookup!U16</f>
        <v>44742</v>
      </c>
      <c r="N6" s="35">
        <f>Lookup!V16</f>
        <v>45107</v>
      </c>
      <c r="O6" s="35">
        <f>Lookup!W16</f>
        <v>45473</v>
      </c>
      <c r="P6" s="35">
        <f>Lookup!X16</f>
        <v>45838</v>
      </c>
      <c r="Q6" s="35">
        <f>Lookup!Y16</f>
        <v>46203</v>
      </c>
      <c r="R6" s="35">
        <f>Lookup!Z16</f>
        <v>46568</v>
      </c>
      <c r="S6" s="35">
        <f>Lookup!AA16</f>
        <v>46934</v>
      </c>
      <c r="T6" s="35">
        <f>Lookup!AB16</f>
        <v>47299</v>
      </c>
    </row>
    <row r="7" spans="1:20" ht="12.3" hidden="1" outlineLevel="1" x14ac:dyDescent="0.35">
      <c r="B7" s="10" t="str">
        <f>Lookup!B17</f>
        <v>Period counter</v>
      </c>
      <c r="J7" s="36">
        <f>Lookup!R17</f>
        <v>9</v>
      </c>
      <c r="K7" s="36">
        <f>Lookup!S17</f>
        <v>10</v>
      </c>
      <c r="L7" s="36">
        <f>Lookup!T17</f>
        <v>11</v>
      </c>
      <c r="M7" s="36">
        <f>Lookup!U17</f>
        <v>12</v>
      </c>
      <c r="N7" s="36">
        <f>Lookup!V17</f>
        <v>13</v>
      </c>
      <c r="O7" s="36">
        <f>Lookup!W17</f>
        <v>14</v>
      </c>
      <c r="P7" s="36">
        <f>Lookup!X17</f>
        <v>15</v>
      </c>
      <c r="Q7" s="36">
        <f>Lookup!Y17</f>
        <v>16</v>
      </c>
      <c r="R7" s="36">
        <f>Lookup!Z17</f>
        <v>17</v>
      </c>
      <c r="S7" s="36">
        <f>Lookup!AA17</f>
        <v>18</v>
      </c>
      <c r="T7" s="36">
        <f>Lookup!AB17</f>
        <v>19</v>
      </c>
    </row>
    <row r="8" spans="1:20" ht="12.3" hidden="1" outlineLevel="1" x14ac:dyDescent="0.35">
      <c r="B8" s="10" t="str">
        <f>Lookup!B18</f>
        <v>Year</v>
      </c>
      <c r="J8" s="37">
        <f>Lookup!R18</f>
        <v>2019</v>
      </c>
      <c r="K8" s="37">
        <f>Lookup!S18</f>
        <v>2020</v>
      </c>
      <c r="L8" s="37">
        <f>Lookup!T18</f>
        <v>2021</v>
      </c>
      <c r="M8" s="37">
        <f>Lookup!U18</f>
        <v>2022</v>
      </c>
      <c r="N8" s="37">
        <f>Lookup!V18</f>
        <v>2023</v>
      </c>
      <c r="O8" s="37">
        <f>Lookup!W18</f>
        <v>2024</v>
      </c>
      <c r="P8" s="37">
        <f>Lookup!X18</f>
        <v>2025</v>
      </c>
      <c r="Q8" s="37">
        <f>Lookup!Y18</f>
        <v>2026</v>
      </c>
      <c r="R8" s="37">
        <f>Lookup!Z18</f>
        <v>2027</v>
      </c>
      <c r="S8" s="37">
        <f>Lookup!AA18</f>
        <v>2028</v>
      </c>
      <c r="T8" s="37">
        <f>Lookup!AB18</f>
        <v>2029</v>
      </c>
    </row>
    <row r="9" spans="1:20" ht="12.3" hidden="1" outlineLevel="1" x14ac:dyDescent="0.35">
      <c r="B9" s="10" t="str">
        <f>Lookup!B19</f>
        <v>Period type</v>
      </c>
      <c r="J9" s="37" t="str">
        <f>Lookup!R19</f>
        <v>Actual</v>
      </c>
      <c r="K9" s="37" t="str">
        <f>Lookup!S19</f>
        <v>Actual</v>
      </c>
      <c r="L9" s="37" t="str">
        <f>Lookup!T19</f>
        <v>Actual</v>
      </c>
      <c r="M9" s="37" t="str">
        <f>Lookup!U19</f>
        <v>Base Year</v>
      </c>
      <c r="N9" s="37" t="str">
        <f>Lookup!V19</f>
        <v>Estimate</v>
      </c>
      <c r="O9" s="37" t="str">
        <f>Lookup!W19</f>
        <v>Estimate</v>
      </c>
      <c r="P9" s="37" t="str">
        <f>Lookup!X19</f>
        <v>Forecast</v>
      </c>
      <c r="Q9" s="37" t="str">
        <f>Lookup!Y19</f>
        <v>Forecast</v>
      </c>
      <c r="R9" s="37" t="str">
        <f>Lookup!Z19</f>
        <v>Forecast</v>
      </c>
      <c r="S9" s="37" t="str">
        <f>Lookup!AA19</f>
        <v>Forecast</v>
      </c>
      <c r="T9" s="37" t="str">
        <f>Lookup!AB19</f>
        <v>Forecast</v>
      </c>
    </row>
    <row r="10" spans="1:20" ht="12.3" collapsed="1" x14ac:dyDescent="0.35">
      <c r="B10" s="5" t="str">
        <f>Lookup!B20</f>
        <v>Regulatory year</v>
      </c>
      <c r="E10" s="34" t="str">
        <f>Lookup!E20</f>
        <v>Source</v>
      </c>
      <c r="F10" s="34" t="str">
        <f>Lookup!F20</f>
        <v>Unit</v>
      </c>
      <c r="G10" s="34" t="str">
        <f>Lookup!G20</f>
        <v>Basis</v>
      </c>
      <c r="H10" s="34" t="str">
        <f>Lookup!H20</f>
        <v>Timing</v>
      </c>
      <c r="I10" s="34"/>
      <c r="J10" s="34" t="str">
        <f>Lookup!R20</f>
        <v>RY19</v>
      </c>
      <c r="K10" s="34" t="str">
        <f>Lookup!S20</f>
        <v>RY20</v>
      </c>
      <c r="L10" s="34" t="str">
        <f>Lookup!T20</f>
        <v>RY21</v>
      </c>
      <c r="M10" s="34" t="str">
        <f>Lookup!U20</f>
        <v>RY22</v>
      </c>
      <c r="N10" s="34" t="str">
        <f>Lookup!V20</f>
        <v>RY23</v>
      </c>
      <c r="O10" s="34" t="str">
        <f>Lookup!W20</f>
        <v>RY24</v>
      </c>
      <c r="P10" s="34" t="str">
        <f>Lookup!X20</f>
        <v>RY25</v>
      </c>
      <c r="Q10" s="34" t="str">
        <f>Lookup!Y20</f>
        <v>RY26</v>
      </c>
      <c r="R10" s="34" t="str">
        <f>Lookup!Z20</f>
        <v>RY27</v>
      </c>
      <c r="S10" s="34" t="str">
        <f>Lookup!AA20</f>
        <v>RY28</v>
      </c>
      <c r="T10" s="34" t="str">
        <f>Lookup!AB20</f>
        <v>RY29</v>
      </c>
    </row>
    <row r="12" spans="1:20" s="2" customFormat="1" ht="15" x14ac:dyDescent="0.35">
      <c r="B12" s="2" t="s">
        <v>442</v>
      </c>
    </row>
    <row r="13" spans="1:20" ht="4.5" customHeight="1" x14ac:dyDescent="0.35"/>
    <row r="14" spans="1:20" s="8" customFormat="1" ht="14.1" x14ac:dyDescent="0.35">
      <c r="C14" s="8" t="s">
        <v>402</v>
      </c>
    </row>
    <row r="15" spans="1:20" ht="11.25" customHeight="1" x14ac:dyDescent="0.35"/>
    <row r="16" spans="1:20" ht="12.3" x14ac:dyDescent="0.35">
      <c r="D16" s="43" t="s">
        <v>443</v>
      </c>
      <c r="E16" s="38" t="str">
        <f>Lookup!E$20</f>
        <v>Source</v>
      </c>
      <c r="F16" s="38" t="str">
        <f>Lookup!F$20</f>
        <v>Unit</v>
      </c>
      <c r="G16" s="38" t="str">
        <f>Lookup!G$20</f>
        <v>Basis</v>
      </c>
      <c r="H16" s="38" t="str">
        <f>Lookup!H$20</f>
        <v>Timing</v>
      </c>
      <c r="J16" s="47" t="str">
        <f t="shared" ref="J16:T16" si="0">J$10</f>
        <v>RY19</v>
      </c>
      <c r="K16" s="46" t="str">
        <f t="shared" si="0"/>
        <v>RY20</v>
      </c>
      <c r="L16" s="38" t="str">
        <f>L$10</f>
        <v>RY21</v>
      </c>
      <c r="M16" s="38" t="str">
        <f t="shared" si="0"/>
        <v>RY22</v>
      </c>
      <c r="N16" s="38" t="str">
        <f t="shared" si="0"/>
        <v>RY23</v>
      </c>
      <c r="O16" s="47" t="str">
        <f t="shared" si="0"/>
        <v>RY24</v>
      </c>
      <c r="P16" s="46" t="str">
        <f t="shared" si="0"/>
        <v>RY25</v>
      </c>
      <c r="Q16" s="38" t="str">
        <f>Q$10</f>
        <v>RY26</v>
      </c>
      <c r="R16" s="38" t="str">
        <f t="shared" si="0"/>
        <v>RY27</v>
      </c>
      <c r="S16" s="38" t="str">
        <f t="shared" si="0"/>
        <v>RY28</v>
      </c>
      <c r="T16" s="47" t="str">
        <f t="shared" si="0"/>
        <v>RY29</v>
      </c>
    </row>
    <row r="17" spans="1:20" x14ac:dyDescent="0.35">
      <c r="J17" s="49"/>
      <c r="K17" s="48"/>
      <c r="O17" s="49"/>
      <c r="P17" s="48"/>
      <c r="T17" s="49"/>
    </row>
    <row r="18" spans="1:20" ht="12.3" outlineLevel="1" x14ac:dyDescent="0.35">
      <c r="D18" s="10" t="str">
        <f>Lookup!D106</f>
        <v>Overhead network assets less than 33kV</v>
      </c>
      <c r="E18" s="45" t="s">
        <v>91</v>
      </c>
      <c r="F18" s="45" t="str">
        <f t="shared" ref="F18:F27" si="1">Millions</f>
        <v>$Millions</v>
      </c>
      <c r="G18" s="45" t="str">
        <f t="shared" ref="G18:G27" si="2">Nominal</f>
        <v>Nominal</v>
      </c>
      <c r="H18" s="45" t="str">
        <f t="shared" ref="H18:H27" si="3">Start_year</f>
        <v>Start year</v>
      </c>
      <c r="J18" s="58" t="str">
        <f t="shared" ref="J18:K24" si="4">NA</f>
        <v>N/A</v>
      </c>
      <c r="K18" s="56" t="str">
        <f t="shared" si="4"/>
        <v>N/A</v>
      </c>
      <c r="L18" s="57" t="str">
        <f t="shared" ref="L18:T24" si="5">NA</f>
        <v>N/A</v>
      </c>
      <c r="M18" s="57" t="str">
        <f t="shared" si="5"/>
        <v>N/A</v>
      </c>
      <c r="N18" s="57" t="str">
        <f t="shared" si="5"/>
        <v>N/A</v>
      </c>
      <c r="O18" s="58" t="str">
        <f t="shared" si="5"/>
        <v>N/A</v>
      </c>
      <c r="P18" s="56" t="str">
        <f t="shared" si="5"/>
        <v>N/A</v>
      </c>
      <c r="Q18" s="57" t="str">
        <f t="shared" si="5"/>
        <v>N/A</v>
      </c>
      <c r="R18" s="57" t="str">
        <f t="shared" si="5"/>
        <v>N/A</v>
      </c>
      <c r="S18" s="57" t="str">
        <f t="shared" si="5"/>
        <v>N/A</v>
      </c>
      <c r="T18" s="58" t="str">
        <f t="shared" si="5"/>
        <v>N/A</v>
      </c>
    </row>
    <row r="19" spans="1:20" ht="12.3" outlineLevel="1" x14ac:dyDescent="0.35">
      <c r="D19" s="10" t="str">
        <f>Lookup!D107</f>
        <v>Underground network assets less than 33kV</v>
      </c>
      <c r="E19" s="45" t="str">
        <f>E18</f>
        <v>Calculated</v>
      </c>
      <c r="F19" s="45" t="str">
        <f t="shared" si="1"/>
        <v>$Millions</v>
      </c>
      <c r="G19" s="45" t="str">
        <f t="shared" si="2"/>
        <v>Nominal</v>
      </c>
      <c r="H19" s="45" t="str">
        <f t="shared" si="3"/>
        <v>Start year</v>
      </c>
      <c r="J19" s="58" t="str">
        <f t="shared" si="4"/>
        <v>N/A</v>
      </c>
      <c r="K19" s="56" t="str">
        <f t="shared" si="4"/>
        <v>N/A</v>
      </c>
      <c r="L19" s="57" t="str">
        <f t="shared" si="5"/>
        <v>N/A</v>
      </c>
      <c r="M19" s="57" t="str">
        <f t="shared" si="5"/>
        <v>N/A</v>
      </c>
      <c r="N19" s="57" t="str">
        <f t="shared" si="5"/>
        <v>N/A</v>
      </c>
      <c r="O19" s="58" t="str">
        <f t="shared" si="5"/>
        <v>N/A</v>
      </c>
      <c r="P19" s="56" t="str">
        <f t="shared" si="5"/>
        <v>N/A</v>
      </c>
      <c r="Q19" s="57" t="str">
        <f t="shared" si="5"/>
        <v>N/A</v>
      </c>
      <c r="R19" s="57" t="str">
        <f t="shared" si="5"/>
        <v>N/A</v>
      </c>
      <c r="S19" s="57" t="str">
        <f t="shared" si="5"/>
        <v>N/A</v>
      </c>
      <c r="T19" s="58" t="str">
        <f t="shared" si="5"/>
        <v>N/A</v>
      </c>
    </row>
    <row r="20" spans="1:20" ht="12.3" outlineLevel="1" x14ac:dyDescent="0.35">
      <c r="D20" s="10" t="str">
        <f>Lookup!D108</f>
        <v>Distribution substations and transformers</v>
      </c>
      <c r="E20" s="45" t="str">
        <f t="shared" ref="E20:E27" si="6">E19</f>
        <v>Calculated</v>
      </c>
      <c r="F20" s="45" t="str">
        <f t="shared" si="1"/>
        <v>$Millions</v>
      </c>
      <c r="G20" s="45" t="str">
        <f t="shared" si="2"/>
        <v>Nominal</v>
      </c>
      <c r="H20" s="45" t="str">
        <f t="shared" si="3"/>
        <v>Start year</v>
      </c>
      <c r="J20" s="58" t="str">
        <f t="shared" si="4"/>
        <v>N/A</v>
      </c>
      <c r="K20" s="56" t="str">
        <f t="shared" si="4"/>
        <v>N/A</v>
      </c>
      <c r="L20" s="57" t="str">
        <f t="shared" si="5"/>
        <v>N/A</v>
      </c>
      <c r="M20" s="57" t="str">
        <f t="shared" si="5"/>
        <v>N/A</v>
      </c>
      <c r="N20" s="57" t="str">
        <f t="shared" si="5"/>
        <v>N/A</v>
      </c>
      <c r="O20" s="58" t="str">
        <f t="shared" si="5"/>
        <v>N/A</v>
      </c>
      <c r="P20" s="56" t="str">
        <f t="shared" si="5"/>
        <v>N/A</v>
      </c>
      <c r="Q20" s="57" t="str">
        <f t="shared" si="5"/>
        <v>N/A</v>
      </c>
      <c r="R20" s="57" t="str">
        <f t="shared" si="5"/>
        <v>N/A</v>
      </c>
      <c r="S20" s="57" t="str">
        <f t="shared" si="5"/>
        <v>N/A</v>
      </c>
      <c r="T20" s="58" t="str">
        <f t="shared" si="5"/>
        <v>N/A</v>
      </c>
    </row>
    <row r="21" spans="1:20" ht="12.3" outlineLevel="1" x14ac:dyDescent="0.35">
      <c r="D21" s="10" t="str">
        <f>Lookup!D109</f>
        <v>Overhead network assets 33kV and above</v>
      </c>
      <c r="E21" s="45" t="str">
        <f t="shared" si="6"/>
        <v>Calculated</v>
      </c>
      <c r="F21" s="45" t="str">
        <f t="shared" si="1"/>
        <v>$Millions</v>
      </c>
      <c r="G21" s="45" t="str">
        <f t="shared" si="2"/>
        <v>Nominal</v>
      </c>
      <c r="H21" s="45" t="str">
        <f t="shared" si="3"/>
        <v>Start year</v>
      </c>
      <c r="J21" s="58" t="str">
        <f t="shared" si="4"/>
        <v>N/A</v>
      </c>
      <c r="K21" s="56" t="str">
        <f t="shared" si="4"/>
        <v>N/A</v>
      </c>
      <c r="L21" s="57" t="str">
        <f t="shared" si="5"/>
        <v>N/A</v>
      </c>
      <c r="M21" s="57" t="str">
        <f t="shared" si="5"/>
        <v>N/A</v>
      </c>
      <c r="N21" s="57" t="str">
        <f t="shared" si="5"/>
        <v>N/A</v>
      </c>
      <c r="O21" s="58" t="str">
        <f t="shared" si="5"/>
        <v>N/A</v>
      </c>
      <c r="P21" s="56" t="str">
        <f t="shared" si="5"/>
        <v>N/A</v>
      </c>
      <c r="Q21" s="57" t="str">
        <f t="shared" si="5"/>
        <v>N/A</v>
      </c>
      <c r="R21" s="57" t="str">
        <f t="shared" si="5"/>
        <v>N/A</v>
      </c>
      <c r="S21" s="57" t="str">
        <f t="shared" si="5"/>
        <v>N/A</v>
      </c>
      <c r="T21" s="58" t="str">
        <f t="shared" si="5"/>
        <v>N/A</v>
      </c>
    </row>
    <row r="22" spans="1:20" ht="12.3" outlineLevel="1" x14ac:dyDescent="0.35">
      <c r="D22" s="10" t="str">
        <f>Lookup!D110</f>
        <v>Underground network assets 33kV and above</v>
      </c>
      <c r="E22" s="45" t="str">
        <f t="shared" si="6"/>
        <v>Calculated</v>
      </c>
      <c r="F22" s="45" t="str">
        <f t="shared" si="1"/>
        <v>$Millions</v>
      </c>
      <c r="G22" s="45" t="str">
        <f t="shared" si="2"/>
        <v>Nominal</v>
      </c>
      <c r="H22" s="45" t="str">
        <f t="shared" si="3"/>
        <v>Start year</v>
      </c>
      <c r="J22" s="58" t="str">
        <f t="shared" si="4"/>
        <v>N/A</v>
      </c>
      <c r="K22" s="56" t="str">
        <f t="shared" si="4"/>
        <v>N/A</v>
      </c>
      <c r="L22" s="57" t="str">
        <f t="shared" si="5"/>
        <v>N/A</v>
      </c>
      <c r="M22" s="57" t="str">
        <f t="shared" si="5"/>
        <v>N/A</v>
      </c>
      <c r="N22" s="57" t="str">
        <f t="shared" si="5"/>
        <v>N/A</v>
      </c>
      <c r="O22" s="58" t="str">
        <f t="shared" si="5"/>
        <v>N/A</v>
      </c>
      <c r="P22" s="56" t="str">
        <f t="shared" si="5"/>
        <v>N/A</v>
      </c>
      <c r="Q22" s="57" t="str">
        <f t="shared" si="5"/>
        <v>N/A</v>
      </c>
      <c r="R22" s="57" t="str">
        <f t="shared" si="5"/>
        <v>N/A</v>
      </c>
      <c r="S22" s="57" t="str">
        <f t="shared" si="5"/>
        <v>N/A</v>
      </c>
      <c r="T22" s="58" t="str">
        <f t="shared" si="5"/>
        <v>N/A</v>
      </c>
    </row>
    <row r="23" spans="1:20" ht="12.3" outlineLevel="1" x14ac:dyDescent="0.35">
      <c r="D23" s="10" t="str">
        <f>Lookup!D111</f>
        <v>Zone substations and transformers</v>
      </c>
      <c r="E23" s="45" t="str">
        <f t="shared" si="6"/>
        <v>Calculated</v>
      </c>
      <c r="F23" s="45" t="str">
        <f t="shared" si="1"/>
        <v>$Millions</v>
      </c>
      <c r="G23" s="45" t="str">
        <f t="shared" si="2"/>
        <v>Nominal</v>
      </c>
      <c r="H23" s="45" t="str">
        <f t="shared" si="3"/>
        <v>Start year</v>
      </c>
      <c r="J23" s="58" t="str">
        <f t="shared" si="4"/>
        <v>N/A</v>
      </c>
      <c r="K23" s="56" t="str">
        <f t="shared" si="4"/>
        <v>N/A</v>
      </c>
      <c r="L23" s="57" t="str">
        <f t="shared" si="5"/>
        <v>N/A</v>
      </c>
      <c r="M23" s="57" t="str">
        <f t="shared" si="5"/>
        <v>N/A</v>
      </c>
      <c r="N23" s="57" t="str">
        <f t="shared" si="5"/>
        <v>N/A</v>
      </c>
      <c r="O23" s="58" t="str">
        <f t="shared" si="5"/>
        <v>N/A</v>
      </c>
      <c r="P23" s="56" t="str">
        <f t="shared" si="5"/>
        <v>N/A</v>
      </c>
      <c r="Q23" s="57" t="str">
        <f t="shared" si="5"/>
        <v>N/A</v>
      </c>
      <c r="R23" s="57" t="str">
        <f t="shared" si="5"/>
        <v>N/A</v>
      </c>
      <c r="S23" s="57" t="str">
        <f t="shared" si="5"/>
        <v>N/A</v>
      </c>
      <c r="T23" s="58" t="str">
        <f t="shared" si="5"/>
        <v>N/A</v>
      </c>
    </row>
    <row r="24" spans="1:20" ht="12.3" outlineLevel="1" x14ac:dyDescent="0.35">
      <c r="D24" s="10" t="str">
        <f>Lookup!D112</f>
        <v>Easements</v>
      </c>
      <c r="E24" s="45" t="str">
        <f t="shared" si="6"/>
        <v>Calculated</v>
      </c>
      <c r="F24" s="45" t="str">
        <f t="shared" si="1"/>
        <v>$Millions</v>
      </c>
      <c r="G24" s="45" t="str">
        <f t="shared" si="2"/>
        <v>Nominal</v>
      </c>
      <c r="H24" s="45" t="str">
        <f t="shared" si="3"/>
        <v>Start year</v>
      </c>
      <c r="J24" s="58" t="str">
        <f t="shared" si="4"/>
        <v>N/A</v>
      </c>
      <c r="K24" s="56" t="str">
        <f t="shared" si="4"/>
        <v>N/A</v>
      </c>
      <c r="L24" s="57" t="str">
        <f t="shared" si="5"/>
        <v>N/A</v>
      </c>
      <c r="M24" s="57" t="str">
        <f t="shared" si="5"/>
        <v>N/A</v>
      </c>
      <c r="N24" s="57" t="str">
        <f t="shared" si="5"/>
        <v>N/A</v>
      </c>
      <c r="O24" s="58" t="str">
        <f t="shared" si="5"/>
        <v>N/A</v>
      </c>
      <c r="P24" s="56" t="str">
        <f t="shared" si="5"/>
        <v>N/A</v>
      </c>
      <c r="Q24" s="57" t="str">
        <f t="shared" si="5"/>
        <v>N/A</v>
      </c>
      <c r="R24" s="57" t="str">
        <f t="shared" si="5"/>
        <v>N/A</v>
      </c>
      <c r="S24" s="57" t="str">
        <f t="shared" si="5"/>
        <v>N/A</v>
      </c>
      <c r="T24" s="58" t="str">
        <f t="shared" si="5"/>
        <v>N/A</v>
      </c>
    </row>
    <row r="25" spans="1:20" ht="12.3" x14ac:dyDescent="0.35">
      <c r="D25" s="10" t="str">
        <f>Lookup!D113</f>
        <v>Meters</v>
      </c>
      <c r="E25" s="45" t="str">
        <f t="shared" si="6"/>
        <v>Calculated</v>
      </c>
      <c r="F25" s="45" t="str">
        <f t="shared" si="1"/>
        <v>$Millions</v>
      </c>
      <c r="G25" s="45" t="str">
        <f t="shared" si="2"/>
        <v>Nominal</v>
      </c>
      <c r="H25" s="45" t="str">
        <f t="shared" si="3"/>
        <v>Start year</v>
      </c>
      <c r="J25" s="58">
        <f>SUM(Input_RAB_ACS!$J$18:$J$28)*Calc_Alloc!$L$35</f>
        <v>13.124633463947241</v>
      </c>
      <c r="K25" s="56">
        <f t="shared" ref="K25:T27" si="7">J158</f>
        <v>12.404122553663825</v>
      </c>
      <c r="L25" s="57">
        <f t="shared" si="7"/>
        <v>14.336118976769413</v>
      </c>
      <c r="M25" s="57">
        <f t="shared" si="7"/>
        <v>15.302199747621378</v>
      </c>
      <c r="N25" s="57">
        <f t="shared" si="7"/>
        <v>17.630682406329925</v>
      </c>
      <c r="O25" s="58">
        <f t="shared" si="7"/>
        <v>28.081094405855303</v>
      </c>
      <c r="P25" s="56">
        <f t="shared" si="7"/>
        <v>44.039918484464877</v>
      </c>
      <c r="Q25" s="57">
        <f t="shared" si="7"/>
        <v>47.26274586356665</v>
      </c>
      <c r="R25" s="57">
        <f t="shared" si="7"/>
        <v>50.278543888796989</v>
      </c>
      <c r="S25" s="57">
        <f t="shared" si="7"/>
        <v>56.003176181777192</v>
      </c>
      <c r="T25" s="58">
        <f t="shared" si="7"/>
        <v>62.874110719915443</v>
      </c>
    </row>
    <row r="26" spans="1:20" ht="12.3" x14ac:dyDescent="0.35">
      <c r="D26" s="10" t="str">
        <f>Lookup!D114</f>
        <v>“Other” asset items with long lives</v>
      </c>
      <c r="E26" s="45" t="str">
        <f t="shared" si="6"/>
        <v>Calculated</v>
      </c>
      <c r="F26" s="45" t="str">
        <f t="shared" si="1"/>
        <v>$Millions</v>
      </c>
      <c r="G26" s="45" t="str">
        <f t="shared" si="2"/>
        <v>Nominal</v>
      </c>
      <c r="H26" s="45" t="str">
        <f t="shared" si="3"/>
        <v>Start year</v>
      </c>
      <c r="J26" s="58">
        <f>SUM(Input_RAB_ACS!$J$18:$J$28)*Calc_Alloc!$M$35</f>
        <v>0.83388571775759623</v>
      </c>
      <c r="K26" s="56">
        <f t="shared" si="7"/>
        <v>0.78810739113047179</v>
      </c>
      <c r="L26" s="57">
        <f t="shared" si="7"/>
        <v>0.9108585695471515</v>
      </c>
      <c r="M26" s="57">
        <f t="shared" si="7"/>
        <v>0.97223940423687072</v>
      </c>
      <c r="N26" s="57">
        <f t="shared" si="7"/>
        <v>1.1201817020905227</v>
      </c>
      <c r="O26" s="58">
        <f t="shared" si="7"/>
        <v>1.7841582874195534</v>
      </c>
      <c r="P26" s="56">
        <f t="shared" si="7"/>
        <v>2.7981169254199645</v>
      </c>
      <c r="Q26" s="57">
        <f t="shared" si="7"/>
        <v>3.0028822416943934</v>
      </c>
      <c r="R26" s="57">
        <f t="shared" si="7"/>
        <v>3.1944937566208305</v>
      </c>
      <c r="S26" s="57">
        <f t="shared" si="7"/>
        <v>3.5582135604266445</v>
      </c>
      <c r="T26" s="58">
        <f t="shared" si="7"/>
        <v>3.9947647368644281</v>
      </c>
    </row>
    <row r="27" spans="1:20" ht="12.3" x14ac:dyDescent="0.35">
      <c r="D27" s="10" t="str">
        <f>Lookup!D115</f>
        <v>“Other” asset items with short lives</v>
      </c>
      <c r="E27" s="45" t="str">
        <f t="shared" si="6"/>
        <v>Calculated</v>
      </c>
      <c r="F27" s="45" t="str">
        <f t="shared" si="1"/>
        <v>$Millions</v>
      </c>
      <c r="G27" s="45" t="str">
        <f t="shared" si="2"/>
        <v>Nominal</v>
      </c>
      <c r="H27" s="45" t="str">
        <f t="shared" si="3"/>
        <v>Start year</v>
      </c>
      <c r="J27" s="58">
        <f>SUM(Input_RAB_ACS!$J$18:$J$28)*Calc_Alloc!$N$35</f>
        <v>0.91190614601793307</v>
      </c>
      <c r="K27" s="56">
        <f t="shared" si="7"/>
        <v>0.86184468493673216</v>
      </c>
      <c r="L27" s="57">
        <f t="shared" si="7"/>
        <v>0.99608076986468319</v>
      </c>
      <c r="M27" s="57">
        <f t="shared" si="7"/>
        <v>1.0632045485903632</v>
      </c>
      <c r="N27" s="57">
        <f t="shared" si="7"/>
        <v>1.2249886969405068</v>
      </c>
      <c r="O27" s="58">
        <f t="shared" si="7"/>
        <v>1.951088588184301</v>
      </c>
      <c r="P27" s="56">
        <f t="shared" si="7"/>
        <v>3.0599157261367118</v>
      </c>
      <c r="Q27" s="57">
        <f t="shared" si="7"/>
        <v>3.2838393962819268</v>
      </c>
      <c r="R27" s="57">
        <f t="shared" si="7"/>
        <v>3.4933785626068952</v>
      </c>
      <c r="S27" s="57">
        <f t="shared" si="7"/>
        <v>3.8911288987211474</v>
      </c>
      <c r="T27" s="58">
        <f t="shared" si="7"/>
        <v>4.368524892401779</v>
      </c>
    </row>
    <row r="28" spans="1:20" x14ac:dyDescent="0.35">
      <c r="J28" s="49"/>
      <c r="K28" s="48"/>
      <c r="O28" s="49"/>
      <c r="P28" s="48"/>
      <c r="T28" s="49"/>
    </row>
    <row r="29" spans="1:20" ht="12.3" x14ac:dyDescent="0.35">
      <c r="D29" s="44" t="str">
        <f>"Total "&amp;D16</f>
        <v>Total EB RIN categories</v>
      </c>
      <c r="E29" s="40" t="s">
        <v>91</v>
      </c>
      <c r="F29" s="40" t="str">
        <f>F18</f>
        <v>$Millions</v>
      </c>
      <c r="G29" s="40" t="str">
        <f>G18</f>
        <v>Nominal</v>
      </c>
      <c r="H29" s="40" t="str">
        <f>H18</f>
        <v>Start year</v>
      </c>
      <c r="J29" s="54">
        <f t="shared" ref="J29:T29" si="8">SUM(J18:J27)</f>
        <v>14.870425327722771</v>
      </c>
      <c r="K29" s="53">
        <f t="shared" si="8"/>
        <v>14.05407462973103</v>
      </c>
      <c r="L29" s="39">
        <f t="shared" si="8"/>
        <v>16.243058316181248</v>
      </c>
      <c r="M29" s="39">
        <f t="shared" si="8"/>
        <v>17.337643700448613</v>
      </c>
      <c r="N29" s="39">
        <f t="shared" si="8"/>
        <v>19.975852805360955</v>
      </c>
      <c r="O29" s="54">
        <f t="shared" si="8"/>
        <v>31.81634128145916</v>
      </c>
      <c r="P29" s="53">
        <f t="shared" si="8"/>
        <v>49.897951136021547</v>
      </c>
      <c r="Q29" s="39">
        <f t="shared" si="8"/>
        <v>53.549467501542971</v>
      </c>
      <c r="R29" s="39">
        <f t="shared" si="8"/>
        <v>56.966416208024711</v>
      </c>
      <c r="S29" s="39">
        <f t="shared" si="8"/>
        <v>63.452518640924986</v>
      </c>
      <c r="T29" s="54">
        <f t="shared" si="8"/>
        <v>71.237400349181655</v>
      </c>
    </row>
    <row r="30" spans="1:20" ht="11.25" customHeight="1" x14ac:dyDescent="0.35"/>
    <row r="31" spans="1:20" ht="11.25" customHeight="1" x14ac:dyDescent="0.35">
      <c r="A31" s="42">
        <f>IF(SUM($J31:$T31)&lt;&gt;0,1,0)</f>
        <v>0</v>
      </c>
      <c r="D31" s="10" t="s">
        <v>94</v>
      </c>
      <c r="J31" s="42">
        <f>IF(ROUND(J29-Input_RAB_ACS!J$30,5)&lt;&gt;0,1,0)</f>
        <v>0</v>
      </c>
      <c r="K31" s="42">
        <f>IF(ROUND(K29-Input_RAB_ACS!K$30,5)&lt;&gt;0,1,0)</f>
        <v>0</v>
      </c>
      <c r="L31" s="42">
        <f>IF(ROUND(L29-Input_RAB_ACS!L$30,5)&lt;&gt;0,1,0)</f>
        <v>0</v>
      </c>
      <c r="M31" s="42">
        <f>IF(ROUND(M29-Input_RAB_ACS!M$30,5)&lt;&gt;0,1,0)</f>
        <v>0</v>
      </c>
      <c r="N31" s="42">
        <f>IF(ROUND(N29-Input_RAB_ACS!N$30,5)&lt;&gt;0,1,0)</f>
        <v>0</v>
      </c>
      <c r="O31" s="42">
        <f>IF(ROUND(O29-Input_RAB_ACS!O$30,5)&lt;&gt;0,1,0)</f>
        <v>0</v>
      </c>
      <c r="P31" s="42">
        <f>IF(ROUND(P29-Input_RAB_ACS!P$30,5)&lt;&gt;0,1,0)</f>
        <v>0</v>
      </c>
      <c r="Q31" s="42">
        <f>IF(ROUND(Q29-Input_RAB_ACS!Q$30,5)&lt;&gt;0,1,0)</f>
        <v>0</v>
      </c>
      <c r="R31" s="42">
        <f>IF(ROUND(R29-Input_RAB_ACS!R$30,5)&lt;&gt;0,1,0)</f>
        <v>0</v>
      </c>
      <c r="S31" s="42">
        <f>IF(ROUND(S29-Input_RAB_ACS!S$30,5)&lt;&gt;0,1,0)</f>
        <v>0</v>
      </c>
      <c r="T31" s="42">
        <f>IF(ROUND(T29-Input_RAB_ACS!T$30,5)&lt;&gt;0,1,0)</f>
        <v>0</v>
      </c>
    </row>
    <row r="32" spans="1:20" ht="11.25" customHeight="1" x14ac:dyDescent="0.35">
      <c r="N32" s="5"/>
      <c r="S32" s="5"/>
    </row>
    <row r="33" spans="3:20" s="8" customFormat="1" ht="14.1" x14ac:dyDescent="0.35">
      <c r="C33" s="8" t="s">
        <v>125</v>
      </c>
    </row>
    <row r="34" spans="3:20" ht="11.25" customHeight="1" x14ac:dyDescent="0.35"/>
    <row r="35" spans="3:20" ht="12.3" x14ac:dyDescent="0.35">
      <c r="D35" s="43" t="str">
        <f>D$16</f>
        <v>EB RIN categories</v>
      </c>
      <c r="E35" s="38" t="str">
        <f>Lookup!E$20</f>
        <v>Source</v>
      </c>
      <c r="F35" s="38" t="str">
        <f>Lookup!F$20</f>
        <v>Unit</v>
      </c>
      <c r="G35" s="38" t="str">
        <f>Lookup!G$20</f>
        <v>Basis</v>
      </c>
      <c r="H35" s="38" t="str">
        <f>Lookup!H$20</f>
        <v>Timing</v>
      </c>
      <c r="J35" s="47" t="str">
        <f t="shared" ref="J35:T35" si="9">J$10</f>
        <v>RY19</v>
      </c>
      <c r="K35" s="46" t="str">
        <f t="shared" si="9"/>
        <v>RY20</v>
      </c>
      <c r="L35" s="38" t="str">
        <f>L$10</f>
        <v>RY21</v>
      </c>
      <c r="M35" s="38" t="str">
        <f t="shared" si="9"/>
        <v>RY22</v>
      </c>
      <c r="N35" s="38" t="str">
        <f t="shared" si="9"/>
        <v>RY23</v>
      </c>
      <c r="O35" s="47" t="str">
        <f t="shared" si="9"/>
        <v>RY24</v>
      </c>
      <c r="P35" s="46" t="str">
        <f t="shared" si="9"/>
        <v>RY25</v>
      </c>
      <c r="Q35" s="38" t="str">
        <f>Q$10</f>
        <v>RY26</v>
      </c>
      <c r="R35" s="38" t="str">
        <f t="shared" si="9"/>
        <v>RY27</v>
      </c>
      <c r="S35" s="38" t="str">
        <f t="shared" si="9"/>
        <v>RY28</v>
      </c>
      <c r="T35" s="47" t="str">
        <f t="shared" si="9"/>
        <v>RY29</v>
      </c>
    </row>
    <row r="36" spans="3:20" x14ac:dyDescent="0.35">
      <c r="J36" s="49"/>
      <c r="K36" s="48"/>
      <c r="O36" s="49"/>
      <c r="P36" s="48"/>
      <c r="T36" s="49"/>
    </row>
    <row r="37" spans="3:20" ht="12.3" outlineLevel="1" x14ac:dyDescent="0.35">
      <c r="D37" s="10" t="str">
        <f t="shared" ref="D37:E46" si="10">D18</f>
        <v>Overhead network assets less than 33kV</v>
      </c>
      <c r="E37" s="45" t="str">
        <f t="shared" si="10"/>
        <v>Calculated</v>
      </c>
      <c r="F37" s="45" t="str">
        <f t="shared" ref="F37:F46" si="11">Millions</f>
        <v>$Millions</v>
      </c>
      <c r="G37" s="45" t="str">
        <f t="shared" ref="G37:G46" si="12">Nominal</f>
        <v>Nominal</v>
      </c>
      <c r="H37" s="45" t="str">
        <f t="shared" ref="H37:H46" si="13">End_year</f>
        <v>End year</v>
      </c>
      <c r="J37" s="58" t="str">
        <f t="shared" ref="J37:K43" si="14">NA</f>
        <v>N/A</v>
      </c>
      <c r="K37" s="56" t="str">
        <f t="shared" si="14"/>
        <v>N/A</v>
      </c>
      <c r="L37" s="57" t="str">
        <f t="shared" ref="L37:T43" si="15">NA</f>
        <v>N/A</v>
      </c>
      <c r="M37" s="57" t="str">
        <f t="shared" si="15"/>
        <v>N/A</v>
      </c>
      <c r="N37" s="57" t="str">
        <f t="shared" si="15"/>
        <v>N/A</v>
      </c>
      <c r="O37" s="58" t="str">
        <f t="shared" si="15"/>
        <v>N/A</v>
      </c>
      <c r="P37" s="56" t="str">
        <f t="shared" si="15"/>
        <v>N/A</v>
      </c>
      <c r="Q37" s="57" t="str">
        <f t="shared" si="15"/>
        <v>N/A</v>
      </c>
      <c r="R37" s="57" t="str">
        <f t="shared" si="15"/>
        <v>N/A</v>
      </c>
      <c r="S37" s="57" t="str">
        <f t="shared" si="15"/>
        <v>N/A</v>
      </c>
      <c r="T37" s="58" t="str">
        <f t="shared" si="15"/>
        <v>N/A</v>
      </c>
    </row>
    <row r="38" spans="3:20" ht="12.3" outlineLevel="1" x14ac:dyDescent="0.35">
      <c r="D38" s="10" t="str">
        <f t="shared" si="10"/>
        <v>Underground network assets less than 33kV</v>
      </c>
      <c r="E38" s="45" t="str">
        <f t="shared" si="10"/>
        <v>Calculated</v>
      </c>
      <c r="F38" s="45" t="str">
        <f t="shared" si="11"/>
        <v>$Millions</v>
      </c>
      <c r="G38" s="45" t="str">
        <f t="shared" si="12"/>
        <v>Nominal</v>
      </c>
      <c r="H38" s="45" t="str">
        <f t="shared" si="13"/>
        <v>End year</v>
      </c>
      <c r="J38" s="58" t="str">
        <f t="shared" si="14"/>
        <v>N/A</v>
      </c>
      <c r="K38" s="56" t="str">
        <f t="shared" si="14"/>
        <v>N/A</v>
      </c>
      <c r="L38" s="57" t="str">
        <f t="shared" si="15"/>
        <v>N/A</v>
      </c>
      <c r="M38" s="57" t="str">
        <f t="shared" si="15"/>
        <v>N/A</v>
      </c>
      <c r="N38" s="57" t="str">
        <f t="shared" si="15"/>
        <v>N/A</v>
      </c>
      <c r="O38" s="58" t="str">
        <f t="shared" si="15"/>
        <v>N/A</v>
      </c>
      <c r="P38" s="56" t="str">
        <f t="shared" si="15"/>
        <v>N/A</v>
      </c>
      <c r="Q38" s="57" t="str">
        <f t="shared" si="15"/>
        <v>N/A</v>
      </c>
      <c r="R38" s="57" t="str">
        <f t="shared" si="15"/>
        <v>N/A</v>
      </c>
      <c r="S38" s="57" t="str">
        <f t="shared" si="15"/>
        <v>N/A</v>
      </c>
      <c r="T38" s="58" t="str">
        <f t="shared" si="15"/>
        <v>N/A</v>
      </c>
    </row>
    <row r="39" spans="3:20" ht="12.3" outlineLevel="1" x14ac:dyDescent="0.35">
      <c r="D39" s="10" t="str">
        <f t="shared" si="10"/>
        <v>Distribution substations and transformers</v>
      </c>
      <c r="E39" s="45" t="str">
        <f t="shared" si="10"/>
        <v>Calculated</v>
      </c>
      <c r="F39" s="45" t="str">
        <f t="shared" si="11"/>
        <v>$Millions</v>
      </c>
      <c r="G39" s="45" t="str">
        <f t="shared" si="12"/>
        <v>Nominal</v>
      </c>
      <c r="H39" s="45" t="str">
        <f t="shared" si="13"/>
        <v>End year</v>
      </c>
      <c r="J39" s="58" t="str">
        <f t="shared" si="14"/>
        <v>N/A</v>
      </c>
      <c r="K39" s="56" t="str">
        <f t="shared" si="14"/>
        <v>N/A</v>
      </c>
      <c r="L39" s="57" t="str">
        <f t="shared" si="15"/>
        <v>N/A</v>
      </c>
      <c r="M39" s="57" t="str">
        <f t="shared" si="15"/>
        <v>N/A</v>
      </c>
      <c r="N39" s="57" t="str">
        <f t="shared" si="15"/>
        <v>N/A</v>
      </c>
      <c r="O39" s="58" t="str">
        <f t="shared" si="15"/>
        <v>N/A</v>
      </c>
      <c r="P39" s="56" t="str">
        <f t="shared" si="15"/>
        <v>N/A</v>
      </c>
      <c r="Q39" s="57" t="str">
        <f t="shared" si="15"/>
        <v>N/A</v>
      </c>
      <c r="R39" s="57" t="str">
        <f t="shared" si="15"/>
        <v>N/A</v>
      </c>
      <c r="S39" s="57" t="str">
        <f t="shared" si="15"/>
        <v>N/A</v>
      </c>
      <c r="T39" s="58" t="str">
        <f t="shared" si="15"/>
        <v>N/A</v>
      </c>
    </row>
    <row r="40" spans="3:20" ht="12.3" outlineLevel="1" x14ac:dyDescent="0.35">
      <c r="D40" s="10" t="str">
        <f t="shared" si="10"/>
        <v>Overhead network assets 33kV and above</v>
      </c>
      <c r="E40" s="45" t="str">
        <f t="shared" si="10"/>
        <v>Calculated</v>
      </c>
      <c r="F40" s="45" t="str">
        <f t="shared" si="11"/>
        <v>$Millions</v>
      </c>
      <c r="G40" s="45" t="str">
        <f t="shared" si="12"/>
        <v>Nominal</v>
      </c>
      <c r="H40" s="45" t="str">
        <f t="shared" si="13"/>
        <v>End year</v>
      </c>
      <c r="J40" s="58" t="str">
        <f t="shared" si="14"/>
        <v>N/A</v>
      </c>
      <c r="K40" s="56" t="str">
        <f t="shared" si="14"/>
        <v>N/A</v>
      </c>
      <c r="L40" s="57" t="str">
        <f t="shared" si="15"/>
        <v>N/A</v>
      </c>
      <c r="M40" s="57" t="str">
        <f t="shared" si="15"/>
        <v>N/A</v>
      </c>
      <c r="N40" s="57" t="str">
        <f t="shared" si="15"/>
        <v>N/A</v>
      </c>
      <c r="O40" s="58" t="str">
        <f t="shared" si="15"/>
        <v>N/A</v>
      </c>
      <c r="P40" s="56" t="str">
        <f t="shared" si="15"/>
        <v>N/A</v>
      </c>
      <c r="Q40" s="57" t="str">
        <f t="shared" si="15"/>
        <v>N/A</v>
      </c>
      <c r="R40" s="57" t="str">
        <f t="shared" si="15"/>
        <v>N/A</v>
      </c>
      <c r="S40" s="57" t="str">
        <f t="shared" si="15"/>
        <v>N/A</v>
      </c>
      <c r="T40" s="58" t="str">
        <f t="shared" si="15"/>
        <v>N/A</v>
      </c>
    </row>
    <row r="41" spans="3:20" ht="12.3" outlineLevel="1" x14ac:dyDescent="0.35">
      <c r="D41" s="10" t="str">
        <f t="shared" si="10"/>
        <v>Underground network assets 33kV and above</v>
      </c>
      <c r="E41" s="45" t="str">
        <f t="shared" si="10"/>
        <v>Calculated</v>
      </c>
      <c r="F41" s="45" t="str">
        <f t="shared" si="11"/>
        <v>$Millions</v>
      </c>
      <c r="G41" s="45" t="str">
        <f t="shared" si="12"/>
        <v>Nominal</v>
      </c>
      <c r="H41" s="45" t="str">
        <f t="shared" si="13"/>
        <v>End year</v>
      </c>
      <c r="J41" s="58" t="str">
        <f t="shared" si="14"/>
        <v>N/A</v>
      </c>
      <c r="K41" s="56" t="str">
        <f t="shared" si="14"/>
        <v>N/A</v>
      </c>
      <c r="L41" s="57" t="str">
        <f t="shared" si="15"/>
        <v>N/A</v>
      </c>
      <c r="M41" s="57" t="str">
        <f t="shared" si="15"/>
        <v>N/A</v>
      </c>
      <c r="N41" s="57" t="str">
        <f t="shared" si="15"/>
        <v>N/A</v>
      </c>
      <c r="O41" s="58" t="str">
        <f t="shared" si="15"/>
        <v>N/A</v>
      </c>
      <c r="P41" s="56" t="str">
        <f t="shared" si="15"/>
        <v>N/A</v>
      </c>
      <c r="Q41" s="57" t="str">
        <f t="shared" si="15"/>
        <v>N/A</v>
      </c>
      <c r="R41" s="57" t="str">
        <f t="shared" si="15"/>
        <v>N/A</v>
      </c>
      <c r="S41" s="57" t="str">
        <f t="shared" si="15"/>
        <v>N/A</v>
      </c>
      <c r="T41" s="58" t="str">
        <f t="shared" si="15"/>
        <v>N/A</v>
      </c>
    </row>
    <row r="42" spans="3:20" ht="12.3" outlineLevel="1" x14ac:dyDescent="0.35">
      <c r="D42" s="10" t="str">
        <f t="shared" si="10"/>
        <v>Zone substations and transformers</v>
      </c>
      <c r="E42" s="45" t="str">
        <f t="shared" si="10"/>
        <v>Calculated</v>
      </c>
      <c r="F42" s="45" t="str">
        <f t="shared" si="11"/>
        <v>$Millions</v>
      </c>
      <c r="G42" s="45" t="str">
        <f t="shared" si="12"/>
        <v>Nominal</v>
      </c>
      <c r="H42" s="45" t="str">
        <f t="shared" si="13"/>
        <v>End year</v>
      </c>
      <c r="J42" s="58" t="str">
        <f t="shared" si="14"/>
        <v>N/A</v>
      </c>
      <c r="K42" s="56" t="str">
        <f t="shared" si="14"/>
        <v>N/A</v>
      </c>
      <c r="L42" s="57" t="str">
        <f t="shared" si="15"/>
        <v>N/A</v>
      </c>
      <c r="M42" s="57" t="str">
        <f t="shared" si="15"/>
        <v>N/A</v>
      </c>
      <c r="N42" s="57" t="str">
        <f t="shared" si="15"/>
        <v>N/A</v>
      </c>
      <c r="O42" s="58" t="str">
        <f t="shared" si="15"/>
        <v>N/A</v>
      </c>
      <c r="P42" s="56" t="str">
        <f t="shared" si="15"/>
        <v>N/A</v>
      </c>
      <c r="Q42" s="57" t="str">
        <f t="shared" si="15"/>
        <v>N/A</v>
      </c>
      <c r="R42" s="57" t="str">
        <f t="shared" si="15"/>
        <v>N/A</v>
      </c>
      <c r="S42" s="57" t="str">
        <f t="shared" si="15"/>
        <v>N/A</v>
      </c>
      <c r="T42" s="58" t="str">
        <f t="shared" si="15"/>
        <v>N/A</v>
      </c>
    </row>
    <row r="43" spans="3:20" ht="12.3" outlineLevel="1" x14ac:dyDescent="0.35">
      <c r="D43" s="10" t="str">
        <f t="shared" si="10"/>
        <v>Easements</v>
      </c>
      <c r="E43" s="45" t="str">
        <f t="shared" si="10"/>
        <v>Calculated</v>
      </c>
      <c r="F43" s="45" t="str">
        <f t="shared" si="11"/>
        <v>$Millions</v>
      </c>
      <c r="G43" s="45" t="str">
        <f t="shared" si="12"/>
        <v>Nominal</v>
      </c>
      <c r="H43" s="45" t="str">
        <f t="shared" si="13"/>
        <v>End year</v>
      </c>
      <c r="J43" s="58" t="str">
        <f t="shared" si="14"/>
        <v>N/A</v>
      </c>
      <c r="K43" s="56" t="str">
        <f t="shared" si="14"/>
        <v>N/A</v>
      </c>
      <c r="L43" s="57" t="str">
        <f t="shared" si="15"/>
        <v>N/A</v>
      </c>
      <c r="M43" s="57" t="str">
        <f t="shared" si="15"/>
        <v>N/A</v>
      </c>
      <c r="N43" s="57" t="str">
        <f t="shared" si="15"/>
        <v>N/A</v>
      </c>
      <c r="O43" s="58" t="str">
        <f t="shared" si="15"/>
        <v>N/A</v>
      </c>
      <c r="P43" s="56" t="str">
        <f t="shared" si="15"/>
        <v>N/A</v>
      </c>
      <c r="Q43" s="57" t="str">
        <f t="shared" si="15"/>
        <v>N/A</v>
      </c>
      <c r="R43" s="57" t="str">
        <f t="shared" si="15"/>
        <v>N/A</v>
      </c>
      <c r="S43" s="57" t="str">
        <f t="shared" si="15"/>
        <v>N/A</v>
      </c>
      <c r="T43" s="58" t="str">
        <f t="shared" si="15"/>
        <v>N/A</v>
      </c>
    </row>
    <row r="44" spans="3:20" ht="12.3" x14ac:dyDescent="0.35">
      <c r="D44" s="10" t="str">
        <f t="shared" si="10"/>
        <v>Meters</v>
      </c>
      <c r="E44" s="45" t="str">
        <f t="shared" si="10"/>
        <v>Calculated</v>
      </c>
      <c r="F44" s="45" t="str">
        <f t="shared" si="11"/>
        <v>$Millions</v>
      </c>
      <c r="G44" s="45" t="str">
        <f t="shared" si="12"/>
        <v>Nominal</v>
      </c>
      <c r="H44" s="45" t="str">
        <f t="shared" si="13"/>
        <v>End year</v>
      </c>
      <c r="J44" s="58">
        <f>SUM(Input_RAB_ACS!J$38:J$48)*Calc_Alloc!$L$35</f>
        <v>0.23415938383492094</v>
      </c>
      <c r="K44" s="56">
        <f>SUM(Input_RAB_ACS!K$38:K$48)*Calc_Alloc!$L$35</f>
        <v>0.22829673411651358</v>
      </c>
      <c r="L44" s="57">
        <f>SUM(Input_RAB_ACS!L$38:L$48)*Calc_Alloc!$L$35</f>
        <v>0.12337451787236989</v>
      </c>
      <c r="M44" s="57">
        <f>SUM(Input_RAB_ACS!M$38:M$48)*Calc_Alloc!$L$35</f>
        <v>0.53531586147822097</v>
      </c>
      <c r="N44" s="57">
        <f>SUM(Input_RAB_ACS!N$38:N$48)*Calc_Alloc!$L$35</f>
        <v>1.4104545925063943</v>
      </c>
      <c r="O44" s="58">
        <f>SUM(Input_RAB_ACS!O$38:O$48)*Calc_Alloc!$L$35</f>
        <v>1.3198114370751994</v>
      </c>
      <c r="P44" s="56">
        <f>SUM(Input_RAB_ACS!P$38:P$48)*Calc_Alloc!$L$35</f>
        <v>1.2858070980017546</v>
      </c>
      <c r="Q44" s="57">
        <f>SUM(Input_RAB_ACS!Q$38:Q$48)*Calc_Alloc!$L$35</f>
        <v>1.3799020569001281</v>
      </c>
      <c r="R44" s="57">
        <f>SUM(Input_RAB_ACS!R$38:R$48)*Calc_Alloc!$L$35</f>
        <v>1.4679525038678882</v>
      </c>
      <c r="S44" s="57">
        <f>SUM(Input_RAB_ACS!S$38:S$48)*Calc_Alloc!$L$35</f>
        <v>1.6350911610014278</v>
      </c>
      <c r="T44" s="58">
        <f>SUM(Input_RAB_ACS!T$38:T$48)*Calc_Alloc!$L$35</f>
        <v>1.8356977175771405</v>
      </c>
    </row>
    <row r="45" spans="3:20" ht="12.3" x14ac:dyDescent="0.35">
      <c r="D45" s="10" t="str">
        <f t="shared" si="10"/>
        <v>“Other” asset items with long lives</v>
      </c>
      <c r="E45" s="45" t="str">
        <f t="shared" si="10"/>
        <v>Calculated</v>
      </c>
      <c r="F45" s="45" t="str">
        <f t="shared" si="11"/>
        <v>$Millions</v>
      </c>
      <c r="G45" s="45" t="str">
        <f t="shared" si="12"/>
        <v>Nominal</v>
      </c>
      <c r="H45" s="45" t="str">
        <f t="shared" si="13"/>
        <v>End year</v>
      </c>
      <c r="J45" s="58">
        <f>SUM(Input_RAB_ACS!J$38:J$48)*Calc_Alloc!$M$35</f>
        <v>1.4877532877031243E-2</v>
      </c>
      <c r="K45" s="56">
        <f>SUM(Input_RAB_ACS!K$38:K$48)*Calc_Alloc!$M$35</f>
        <v>1.4505044008536382E-2</v>
      </c>
      <c r="L45" s="57">
        <f>SUM(Input_RAB_ACS!L$38:L$48)*Calc_Alloc!$M$35</f>
        <v>7.8387140236415593E-3</v>
      </c>
      <c r="M45" s="57">
        <f>SUM(Input_RAB_ACS!M$38:M$48)*Calc_Alloc!$M$35</f>
        <v>3.4011788032177123E-2</v>
      </c>
      <c r="N45" s="57">
        <f>SUM(Input_RAB_ACS!N$38:N$48)*Calc_Alloc!$M$35</f>
        <v>8.9614536167241826E-2</v>
      </c>
      <c r="O45" s="58">
        <f>SUM(Input_RAB_ACS!O$38:O$48)*Calc_Alloc!$M$35</f>
        <v>8.3855439508719015E-2</v>
      </c>
      <c r="P45" s="56">
        <f>SUM(Input_RAB_ACS!P$38:P$48)*Calc_Alloc!$M$35</f>
        <v>8.169494239670258E-2</v>
      </c>
      <c r="Q45" s="57">
        <f>SUM(Input_RAB_ACS!Q$38:Q$48)*Calc_Alloc!$M$35</f>
        <v>8.767335257889014E-2</v>
      </c>
      <c r="R45" s="57">
        <f>SUM(Input_RAB_ACS!R$38:R$48)*Calc_Alloc!$M$35</f>
        <v>9.3267719108841629E-2</v>
      </c>
      <c r="S45" s="57">
        <f>SUM(Input_RAB_ACS!S$38:S$48)*Calc_Alloc!$M$35</f>
        <v>0.10388702817005829</v>
      </c>
      <c r="T45" s="58">
        <f>SUM(Input_RAB_ACS!T$38:T$48)*Calc_Alloc!$M$35</f>
        <v>0.11663275115550674</v>
      </c>
    </row>
    <row r="46" spans="3:20" ht="12.3" x14ac:dyDescent="0.35">
      <c r="D46" s="10" t="str">
        <f t="shared" si="10"/>
        <v>“Other” asset items with short lives</v>
      </c>
      <c r="E46" s="45" t="str">
        <f t="shared" si="10"/>
        <v>Calculated</v>
      </c>
      <c r="F46" s="45" t="str">
        <f t="shared" si="11"/>
        <v>$Millions</v>
      </c>
      <c r="G46" s="45" t="str">
        <f t="shared" si="12"/>
        <v>Nominal</v>
      </c>
      <c r="H46" s="45" t="str">
        <f t="shared" si="13"/>
        <v>End year</v>
      </c>
      <c r="J46" s="58">
        <f>SUM(Input_RAB_ACS!J$38:J$48)*Calc_Alloc!$N$35</f>
        <v>1.6269511971774106E-2</v>
      </c>
      <c r="K46" s="56">
        <f>SUM(Input_RAB_ACS!K$38:K$48)*Calc_Alloc!$N$35</f>
        <v>1.5862172115400079E-2</v>
      </c>
      <c r="L46" s="57">
        <f>SUM(Input_RAB_ACS!L$38:L$48)*Calc_Alloc!$N$35</f>
        <v>8.5721236649284067E-3</v>
      </c>
      <c r="M46" s="57">
        <f>SUM(Input_RAB_ACS!M$38:M$48)*Calc_Alloc!$N$35</f>
        <v>3.7194015778331722E-2</v>
      </c>
      <c r="N46" s="57">
        <f>SUM(Input_RAB_ACS!N$38:N$48)*Calc_Alloc!$N$35</f>
        <v>9.7999095755240559E-2</v>
      </c>
      <c r="O46" s="58">
        <f>SUM(Input_RAB_ACS!O$38:O$48)*Calc_Alloc!$N$35</f>
        <v>9.1701163644662145E-2</v>
      </c>
      <c r="P46" s="56">
        <f>SUM(Input_RAB_ACS!P$38:P$48)*Calc_Alloc!$N$35</f>
        <v>8.9338525032503432E-2</v>
      </c>
      <c r="Q46" s="57">
        <f>SUM(Input_RAB_ACS!Q$38:Q$48)*Calc_Alloc!$N$35</f>
        <v>9.5876290187197941E-2</v>
      </c>
      <c r="R46" s="57">
        <f>SUM(Input_RAB_ACS!R$38:R$48)*Calc_Alloc!$N$35</f>
        <v>0.10199407960738172</v>
      </c>
      <c r="S46" s="57">
        <f>SUM(Input_RAB_ACS!S$38:S$48)*Calc_Alloc!$N$35</f>
        <v>0.1136069577190589</v>
      </c>
      <c r="T46" s="58">
        <f>SUM(Input_RAB_ACS!T$38:T$48)*Calc_Alloc!$N$35</f>
        <v>0.12754520234702502</v>
      </c>
    </row>
    <row r="47" spans="3:20" x14ac:dyDescent="0.35">
      <c r="J47" s="49"/>
      <c r="K47" s="48"/>
      <c r="O47" s="49"/>
      <c r="P47" s="48"/>
      <c r="T47" s="49"/>
    </row>
    <row r="48" spans="3:20" ht="12.3" x14ac:dyDescent="0.35">
      <c r="D48" s="44" t="str">
        <f>"Total "&amp;D35</f>
        <v>Total EB RIN categories</v>
      </c>
      <c r="E48" s="40" t="s">
        <v>91</v>
      </c>
      <c r="F48" s="40" t="str">
        <f>F37</f>
        <v>$Millions</v>
      </c>
      <c r="G48" s="40" t="str">
        <f>G37</f>
        <v>Nominal</v>
      </c>
      <c r="H48" s="40" t="str">
        <f>H37</f>
        <v>End year</v>
      </c>
      <c r="J48" s="54">
        <f t="shared" ref="J48:T48" si="16">SUM(J37:J46)</f>
        <v>0.26530642868372628</v>
      </c>
      <c r="K48" s="53">
        <f t="shared" si="16"/>
        <v>0.25866395024045002</v>
      </c>
      <c r="L48" s="39">
        <f t="shared" si="16"/>
        <v>0.13978535556093985</v>
      </c>
      <c r="M48" s="39">
        <f t="shared" si="16"/>
        <v>0.60652166528872975</v>
      </c>
      <c r="N48" s="39">
        <f t="shared" si="16"/>
        <v>1.5980682244288766</v>
      </c>
      <c r="O48" s="54">
        <f t="shared" si="16"/>
        <v>1.4953680402285805</v>
      </c>
      <c r="P48" s="53">
        <f t="shared" si="16"/>
        <v>1.4568405654309606</v>
      </c>
      <c r="Q48" s="39">
        <f t="shared" si="16"/>
        <v>1.5634516996662162</v>
      </c>
      <c r="R48" s="39">
        <f t="shared" si="16"/>
        <v>1.6632143025841115</v>
      </c>
      <c r="S48" s="39">
        <f t="shared" si="16"/>
        <v>1.852585146890545</v>
      </c>
      <c r="T48" s="54">
        <f t="shared" si="16"/>
        <v>2.0798756710796722</v>
      </c>
    </row>
    <row r="49" spans="1:20" ht="11.25" customHeight="1" x14ac:dyDescent="0.35"/>
    <row r="50" spans="1:20" ht="11.25" customHeight="1" x14ac:dyDescent="0.35">
      <c r="A50" s="42">
        <f>IF(SUM($J50:$T50)&lt;&gt;0,1,0)</f>
        <v>0</v>
      </c>
      <c r="D50" s="10" t="s">
        <v>94</v>
      </c>
      <c r="J50" s="42">
        <f>IF(ROUND(J48-Input_RAB_ACS!J$50,5)&lt;&gt;0,1,0)</f>
        <v>0</v>
      </c>
      <c r="K50" s="42">
        <f>IF(ROUND(K48-Input_RAB_ACS!K$50,5)&lt;&gt;0,1,0)</f>
        <v>0</v>
      </c>
      <c r="L50" s="42">
        <f>IF(ROUND(L48-Input_RAB_ACS!L$50,5)&lt;&gt;0,1,0)</f>
        <v>0</v>
      </c>
      <c r="M50" s="42">
        <f>IF(ROUND(M48-Input_RAB_ACS!M$50,5)&lt;&gt;0,1,0)</f>
        <v>0</v>
      </c>
      <c r="N50" s="42">
        <f>IF(ROUND(N48-Input_RAB_ACS!N$50,5)&lt;&gt;0,1,0)</f>
        <v>0</v>
      </c>
      <c r="O50" s="42">
        <f>IF(ROUND(O48-Input_RAB_ACS!O$50,5)&lt;&gt;0,1,0)</f>
        <v>0</v>
      </c>
      <c r="P50" s="42">
        <f>IF(ROUND(P48-Input_RAB_ACS!P$50,5)&lt;&gt;0,1,0)</f>
        <v>0</v>
      </c>
      <c r="Q50" s="42">
        <f>IF(ROUND(Q48-Input_RAB_ACS!Q$50,5)&lt;&gt;0,1,0)</f>
        <v>0</v>
      </c>
      <c r="R50" s="42">
        <f>IF(ROUND(R48-Input_RAB_ACS!R$50,5)&lt;&gt;0,1,0)</f>
        <v>0</v>
      </c>
      <c r="S50" s="42">
        <f>IF(ROUND(S48-Input_RAB_ACS!S$50,5)&lt;&gt;0,1,0)</f>
        <v>0</v>
      </c>
      <c r="T50" s="42">
        <f>IF(ROUND(T48-Input_RAB_ACS!T$50,5)&lt;&gt;0,1,0)</f>
        <v>0</v>
      </c>
    </row>
    <row r="51" spans="1:20" ht="11.25" customHeight="1" x14ac:dyDescent="0.35">
      <c r="N51" s="5"/>
      <c r="S51" s="5"/>
    </row>
    <row r="52" spans="1:20" s="8" customFormat="1" ht="14.1" x14ac:dyDescent="0.35">
      <c r="C52" s="8" t="s">
        <v>222</v>
      </c>
    </row>
    <row r="53" spans="1:20" ht="11.25" customHeight="1" x14ac:dyDescent="0.35"/>
    <row r="54" spans="1:20" ht="12.3" x14ac:dyDescent="0.35">
      <c r="D54" s="43" t="str">
        <f>D$16</f>
        <v>EB RIN categories</v>
      </c>
      <c r="E54" s="38" t="str">
        <f>Lookup!E$20</f>
        <v>Source</v>
      </c>
      <c r="F54" s="38" t="str">
        <f>Lookup!F$20</f>
        <v>Unit</v>
      </c>
      <c r="G54" s="38" t="str">
        <f>Lookup!G$20</f>
        <v>Basis</v>
      </c>
      <c r="H54" s="38" t="str">
        <f>Lookup!H$20</f>
        <v>Timing</v>
      </c>
      <c r="J54" s="47" t="str">
        <f t="shared" ref="J54:T54" si="17">J$10</f>
        <v>RY19</v>
      </c>
      <c r="K54" s="46" t="str">
        <f t="shared" si="17"/>
        <v>RY20</v>
      </c>
      <c r="L54" s="38" t="str">
        <f>L$10</f>
        <v>RY21</v>
      </c>
      <c r="M54" s="38" t="str">
        <f t="shared" si="17"/>
        <v>RY22</v>
      </c>
      <c r="N54" s="38" t="str">
        <f t="shared" si="17"/>
        <v>RY23</v>
      </c>
      <c r="O54" s="47" t="str">
        <f t="shared" si="17"/>
        <v>RY24</v>
      </c>
      <c r="P54" s="46" t="str">
        <f t="shared" si="17"/>
        <v>RY25</v>
      </c>
      <c r="Q54" s="38" t="str">
        <f>Q$10</f>
        <v>RY26</v>
      </c>
      <c r="R54" s="38" t="str">
        <f t="shared" si="17"/>
        <v>RY27</v>
      </c>
      <c r="S54" s="38" t="str">
        <f t="shared" si="17"/>
        <v>RY28</v>
      </c>
      <c r="T54" s="47" t="str">
        <f t="shared" si="17"/>
        <v>RY29</v>
      </c>
    </row>
    <row r="55" spans="1:20" x14ac:dyDescent="0.35">
      <c r="J55" s="49"/>
      <c r="K55" s="48"/>
      <c r="O55" s="49"/>
      <c r="P55" s="48"/>
      <c r="T55" s="49"/>
    </row>
    <row r="56" spans="1:20" ht="12.3" outlineLevel="1" x14ac:dyDescent="0.35">
      <c r="D56" s="10" t="str">
        <f>D18</f>
        <v>Overhead network assets less than 33kV</v>
      </c>
      <c r="E56" s="45" t="str">
        <f>E18</f>
        <v>Calculated</v>
      </c>
      <c r="F56" s="45" t="str">
        <f t="shared" ref="F56:F65" si="18">Millions</f>
        <v>$Millions</v>
      </c>
      <c r="G56" s="45" t="str">
        <f t="shared" ref="G56:G65" si="19">Nominal</f>
        <v>Nominal</v>
      </c>
      <c r="H56" s="45" t="str">
        <f t="shared" ref="H56:H65" si="20">End_year</f>
        <v>End year</v>
      </c>
      <c r="J56" s="58" t="str">
        <f t="shared" ref="J56:K62" si="21">NA</f>
        <v>N/A</v>
      </c>
      <c r="K56" s="56" t="str">
        <f t="shared" si="21"/>
        <v>N/A</v>
      </c>
      <c r="L56" s="57" t="str">
        <f t="shared" ref="L56:T62" si="22">NA</f>
        <v>N/A</v>
      </c>
      <c r="M56" s="57" t="str">
        <f t="shared" si="22"/>
        <v>N/A</v>
      </c>
      <c r="N56" s="57" t="str">
        <f t="shared" si="22"/>
        <v>N/A</v>
      </c>
      <c r="O56" s="58" t="str">
        <f t="shared" si="22"/>
        <v>N/A</v>
      </c>
      <c r="P56" s="56" t="str">
        <f t="shared" si="22"/>
        <v>N/A</v>
      </c>
      <c r="Q56" s="57" t="str">
        <f t="shared" si="22"/>
        <v>N/A</v>
      </c>
      <c r="R56" s="57" t="str">
        <f t="shared" si="22"/>
        <v>N/A</v>
      </c>
      <c r="S56" s="57" t="str">
        <f t="shared" si="22"/>
        <v>N/A</v>
      </c>
      <c r="T56" s="58" t="str">
        <f t="shared" si="22"/>
        <v>N/A</v>
      </c>
    </row>
    <row r="57" spans="1:20" ht="12.3" outlineLevel="1" x14ac:dyDescent="0.35">
      <c r="D57" s="10" t="str">
        <f t="shared" ref="D57:D65" si="23">D19</f>
        <v>Underground network assets less than 33kV</v>
      </c>
      <c r="E57" s="45" t="str">
        <f t="shared" ref="E57:E65" si="24">E19</f>
        <v>Calculated</v>
      </c>
      <c r="F57" s="45" t="str">
        <f t="shared" si="18"/>
        <v>$Millions</v>
      </c>
      <c r="G57" s="45" t="str">
        <f t="shared" si="19"/>
        <v>Nominal</v>
      </c>
      <c r="H57" s="45" t="str">
        <f t="shared" si="20"/>
        <v>End year</v>
      </c>
      <c r="J57" s="58" t="str">
        <f t="shared" si="21"/>
        <v>N/A</v>
      </c>
      <c r="K57" s="56" t="str">
        <f t="shared" si="21"/>
        <v>N/A</v>
      </c>
      <c r="L57" s="57" t="str">
        <f t="shared" si="22"/>
        <v>N/A</v>
      </c>
      <c r="M57" s="57" t="str">
        <f t="shared" si="22"/>
        <v>N/A</v>
      </c>
      <c r="N57" s="57" t="str">
        <f t="shared" si="22"/>
        <v>N/A</v>
      </c>
      <c r="O57" s="58" t="str">
        <f t="shared" si="22"/>
        <v>N/A</v>
      </c>
      <c r="P57" s="56" t="str">
        <f t="shared" si="22"/>
        <v>N/A</v>
      </c>
      <c r="Q57" s="57" t="str">
        <f t="shared" si="22"/>
        <v>N/A</v>
      </c>
      <c r="R57" s="57" t="str">
        <f t="shared" si="22"/>
        <v>N/A</v>
      </c>
      <c r="S57" s="57" t="str">
        <f t="shared" si="22"/>
        <v>N/A</v>
      </c>
      <c r="T57" s="58" t="str">
        <f t="shared" si="22"/>
        <v>N/A</v>
      </c>
    </row>
    <row r="58" spans="1:20" ht="12.3" outlineLevel="1" x14ac:dyDescent="0.35">
      <c r="D58" s="10" t="str">
        <f t="shared" si="23"/>
        <v>Distribution substations and transformers</v>
      </c>
      <c r="E58" s="45" t="str">
        <f t="shared" si="24"/>
        <v>Calculated</v>
      </c>
      <c r="F58" s="45" t="str">
        <f t="shared" si="18"/>
        <v>$Millions</v>
      </c>
      <c r="G58" s="45" t="str">
        <f t="shared" si="19"/>
        <v>Nominal</v>
      </c>
      <c r="H58" s="45" t="str">
        <f t="shared" si="20"/>
        <v>End year</v>
      </c>
      <c r="J58" s="58" t="str">
        <f t="shared" si="21"/>
        <v>N/A</v>
      </c>
      <c r="K58" s="56" t="str">
        <f t="shared" si="21"/>
        <v>N/A</v>
      </c>
      <c r="L58" s="57" t="str">
        <f t="shared" si="22"/>
        <v>N/A</v>
      </c>
      <c r="M58" s="57" t="str">
        <f t="shared" si="22"/>
        <v>N/A</v>
      </c>
      <c r="N58" s="57" t="str">
        <f t="shared" si="22"/>
        <v>N/A</v>
      </c>
      <c r="O58" s="58" t="str">
        <f t="shared" si="22"/>
        <v>N/A</v>
      </c>
      <c r="P58" s="56" t="str">
        <f t="shared" si="22"/>
        <v>N/A</v>
      </c>
      <c r="Q58" s="57" t="str">
        <f t="shared" si="22"/>
        <v>N/A</v>
      </c>
      <c r="R58" s="57" t="str">
        <f t="shared" si="22"/>
        <v>N/A</v>
      </c>
      <c r="S58" s="57" t="str">
        <f t="shared" si="22"/>
        <v>N/A</v>
      </c>
      <c r="T58" s="58" t="str">
        <f t="shared" si="22"/>
        <v>N/A</v>
      </c>
    </row>
    <row r="59" spans="1:20" ht="12.3" outlineLevel="1" x14ac:dyDescent="0.35">
      <c r="D59" s="10" t="str">
        <f t="shared" si="23"/>
        <v>Overhead network assets 33kV and above</v>
      </c>
      <c r="E59" s="45" t="str">
        <f t="shared" si="24"/>
        <v>Calculated</v>
      </c>
      <c r="F59" s="45" t="str">
        <f t="shared" si="18"/>
        <v>$Millions</v>
      </c>
      <c r="G59" s="45" t="str">
        <f t="shared" si="19"/>
        <v>Nominal</v>
      </c>
      <c r="H59" s="45" t="str">
        <f t="shared" si="20"/>
        <v>End year</v>
      </c>
      <c r="J59" s="58" t="str">
        <f t="shared" si="21"/>
        <v>N/A</v>
      </c>
      <c r="K59" s="56" t="str">
        <f t="shared" si="21"/>
        <v>N/A</v>
      </c>
      <c r="L59" s="57" t="str">
        <f t="shared" si="22"/>
        <v>N/A</v>
      </c>
      <c r="M59" s="57" t="str">
        <f t="shared" si="22"/>
        <v>N/A</v>
      </c>
      <c r="N59" s="57" t="str">
        <f t="shared" si="22"/>
        <v>N/A</v>
      </c>
      <c r="O59" s="58" t="str">
        <f t="shared" si="22"/>
        <v>N/A</v>
      </c>
      <c r="P59" s="56" t="str">
        <f t="shared" si="22"/>
        <v>N/A</v>
      </c>
      <c r="Q59" s="57" t="str">
        <f t="shared" si="22"/>
        <v>N/A</v>
      </c>
      <c r="R59" s="57" t="str">
        <f t="shared" si="22"/>
        <v>N/A</v>
      </c>
      <c r="S59" s="57" t="str">
        <f t="shared" si="22"/>
        <v>N/A</v>
      </c>
      <c r="T59" s="58" t="str">
        <f t="shared" si="22"/>
        <v>N/A</v>
      </c>
    </row>
    <row r="60" spans="1:20" ht="12.3" outlineLevel="1" x14ac:dyDescent="0.35">
      <c r="D60" s="10" t="str">
        <f t="shared" si="23"/>
        <v>Underground network assets 33kV and above</v>
      </c>
      <c r="E60" s="45" t="str">
        <f t="shared" si="24"/>
        <v>Calculated</v>
      </c>
      <c r="F60" s="45" t="str">
        <f t="shared" si="18"/>
        <v>$Millions</v>
      </c>
      <c r="G60" s="45" t="str">
        <f t="shared" si="19"/>
        <v>Nominal</v>
      </c>
      <c r="H60" s="45" t="str">
        <f t="shared" si="20"/>
        <v>End year</v>
      </c>
      <c r="J60" s="58" t="str">
        <f t="shared" si="21"/>
        <v>N/A</v>
      </c>
      <c r="K60" s="56" t="str">
        <f t="shared" si="21"/>
        <v>N/A</v>
      </c>
      <c r="L60" s="57" t="str">
        <f t="shared" si="22"/>
        <v>N/A</v>
      </c>
      <c r="M60" s="57" t="str">
        <f t="shared" si="22"/>
        <v>N/A</v>
      </c>
      <c r="N60" s="57" t="str">
        <f t="shared" si="22"/>
        <v>N/A</v>
      </c>
      <c r="O60" s="58" t="str">
        <f t="shared" si="22"/>
        <v>N/A</v>
      </c>
      <c r="P60" s="56" t="str">
        <f t="shared" si="22"/>
        <v>N/A</v>
      </c>
      <c r="Q60" s="57" t="str">
        <f t="shared" si="22"/>
        <v>N/A</v>
      </c>
      <c r="R60" s="57" t="str">
        <f t="shared" si="22"/>
        <v>N/A</v>
      </c>
      <c r="S60" s="57" t="str">
        <f t="shared" si="22"/>
        <v>N/A</v>
      </c>
      <c r="T60" s="58" t="str">
        <f t="shared" si="22"/>
        <v>N/A</v>
      </c>
    </row>
    <row r="61" spans="1:20" ht="12.3" outlineLevel="1" x14ac:dyDescent="0.35">
      <c r="D61" s="10" t="str">
        <f t="shared" si="23"/>
        <v>Zone substations and transformers</v>
      </c>
      <c r="E61" s="45" t="str">
        <f t="shared" si="24"/>
        <v>Calculated</v>
      </c>
      <c r="F61" s="45" t="str">
        <f t="shared" si="18"/>
        <v>$Millions</v>
      </c>
      <c r="G61" s="45" t="str">
        <f t="shared" si="19"/>
        <v>Nominal</v>
      </c>
      <c r="H61" s="45" t="str">
        <f t="shared" si="20"/>
        <v>End year</v>
      </c>
      <c r="J61" s="58" t="str">
        <f t="shared" si="21"/>
        <v>N/A</v>
      </c>
      <c r="K61" s="56" t="str">
        <f t="shared" si="21"/>
        <v>N/A</v>
      </c>
      <c r="L61" s="57" t="str">
        <f t="shared" si="22"/>
        <v>N/A</v>
      </c>
      <c r="M61" s="57" t="str">
        <f t="shared" si="22"/>
        <v>N/A</v>
      </c>
      <c r="N61" s="57" t="str">
        <f t="shared" si="22"/>
        <v>N/A</v>
      </c>
      <c r="O61" s="58" t="str">
        <f t="shared" si="22"/>
        <v>N/A</v>
      </c>
      <c r="P61" s="56" t="str">
        <f t="shared" si="22"/>
        <v>N/A</v>
      </c>
      <c r="Q61" s="57" t="str">
        <f t="shared" si="22"/>
        <v>N/A</v>
      </c>
      <c r="R61" s="57" t="str">
        <f t="shared" si="22"/>
        <v>N/A</v>
      </c>
      <c r="S61" s="57" t="str">
        <f t="shared" si="22"/>
        <v>N/A</v>
      </c>
      <c r="T61" s="58" t="str">
        <f t="shared" si="22"/>
        <v>N/A</v>
      </c>
    </row>
    <row r="62" spans="1:20" ht="12.3" outlineLevel="1" x14ac:dyDescent="0.35">
      <c r="D62" s="10" t="str">
        <f t="shared" si="23"/>
        <v>Easements</v>
      </c>
      <c r="E62" s="45" t="str">
        <f t="shared" si="24"/>
        <v>Calculated</v>
      </c>
      <c r="F62" s="45" t="str">
        <f t="shared" si="18"/>
        <v>$Millions</v>
      </c>
      <c r="G62" s="45" t="str">
        <f t="shared" si="19"/>
        <v>Nominal</v>
      </c>
      <c r="H62" s="45" t="str">
        <f t="shared" si="20"/>
        <v>End year</v>
      </c>
      <c r="J62" s="58" t="str">
        <f t="shared" si="21"/>
        <v>N/A</v>
      </c>
      <c r="K62" s="56" t="str">
        <f t="shared" si="21"/>
        <v>N/A</v>
      </c>
      <c r="L62" s="57" t="str">
        <f t="shared" si="22"/>
        <v>N/A</v>
      </c>
      <c r="M62" s="57" t="str">
        <f t="shared" si="22"/>
        <v>N/A</v>
      </c>
      <c r="N62" s="57" t="str">
        <f t="shared" si="22"/>
        <v>N/A</v>
      </c>
      <c r="O62" s="58" t="str">
        <f t="shared" si="22"/>
        <v>N/A</v>
      </c>
      <c r="P62" s="56" t="str">
        <f t="shared" si="22"/>
        <v>N/A</v>
      </c>
      <c r="Q62" s="57" t="str">
        <f t="shared" si="22"/>
        <v>N/A</v>
      </c>
      <c r="R62" s="57" t="str">
        <f t="shared" si="22"/>
        <v>N/A</v>
      </c>
      <c r="S62" s="57" t="str">
        <f t="shared" si="22"/>
        <v>N/A</v>
      </c>
      <c r="T62" s="58" t="str">
        <f t="shared" si="22"/>
        <v>N/A</v>
      </c>
    </row>
    <row r="63" spans="1:20" ht="12.3" x14ac:dyDescent="0.35">
      <c r="D63" s="10" t="str">
        <f t="shared" si="23"/>
        <v>Meters</v>
      </c>
      <c r="E63" s="45" t="str">
        <f t="shared" si="24"/>
        <v>Calculated</v>
      </c>
      <c r="F63" s="45" t="str">
        <f t="shared" si="18"/>
        <v>$Millions</v>
      </c>
      <c r="G63" s="45" t="str">
        <f t="shared" si="19"/>
        <v>Nominal</v>
      </c>
      <c r="H63" s="45" t="str">
        <f t="shared" si="20"/>
        <v>End year</v>
      </c>
      <c r="J63" s="58">
        <f>SUM(Input_RAB_ACS!J$60:J$70)*Calc_Alloc!$L$35</f>
        <v>-1.6293929047084523</v>
      </c>
      <c r="K63" s="56">
        <f>SUM(Input_RAB_ACS!K$60:K$70)*Calc_Alloc!$L$35</f>
        <v>-0.75012866504342612</v>
      </c>
      <c r="L63" s="57">
        <f>SUM(Input_RAB_ACS!L$60:L$70)*Calc_Alloc!$L$35</f>
        <v>-0.99176379430751493</v>
      </c>
      <c r="M63" s="57">
        <f>SUM(Input_RAB_ACS!M$60:M$70)*Calc_Alloc!$L$35</f>
        <v>-1.133749922834469</v>
      </c>
      <c r="N63" s="57">
        <f>SUM(Input_RAB_ACS!N$60:N$70)*Calc_Alloc!$L$35</f>
        <v>-1.3887472387518744</v>
      </c>
      <c r="O63" s="58">
        <f>SUM(Input_RAB_ACS!O$60:O$70)*Calc_Alloc!$L$35</f>
        <v>-2.2836836733874839</v>
      </c>
      <c r="P63" s="56">
        <f>SUM(Input_RAB_ACS!P$60:P$70)*Calc_Alloc!$L$35</f>
        <v>-3.3778233812227554</v>
      </c>
      <c r="Q63" s="57">
        <f>SUM(Input_RAB_ACS!Q$60:Q$70)*Calc_Alloc!$L$35</f>
        <v>-3.825493698754971</v>
      </c>
      <c r="R63" s="57">
        <f>SUM(Input_RAB_ACS!R$60:R$70)*Calc_Alloc!$L$35</f>
        <v>-4.2619436869713576</v>
      </c>
      <c r="S63" s="57">
        <f>SUM(Input_RAB_ACS!S$60:S$70)*Calc_Alloc!$L$35</f>
        <v>-5.011016579905645</v>
      </c>
      <c r="T63" s="58">
        <f>SUM(Input_RAB_ACS!T$60:T$70)*Calc_Alloc!$L$35</f>
        <v>-5.7815551333071724</v>
      </c>
    </row>
    <row r="64" spans="1:20" ht="12.3" x14ac:dyDescent="0.35">
      <c r="D64" s="10" t="str">
        <f t="shared" si="23"/>
        <v>“Other” asset items with long lives</v>
      </c>
      <c r="E64" s="45" t="str">
        <f t="shared" si="24"/>
        <v>Calculated</v>
      </c>
      <c r="F64" s="45" t="str">
        <f t="shared" si="18"/>
        <v>$Millions</v>
      </c>
      <c r="G64" s="45" t="str">
        <f t="shared" si="19"/>
        <v>Nominal</v>
      </c>
      <c r="H64" s="45" t="str">
        <f t="shared" si="20"/>
        <v>End year</v>
      </c>
      <c r="J64" s="58">
        <f>SUM(Input_RAB_ACS!J$60:J$70)*Calc_Alloc!$M$35</f>
        <v>-0.10352498418979118</v>
      </c>
      <c r="K64" s="56">
        <f>SUM(Input_RAB_ACS!K$60:K$70)*Calc_Alloc!$M$35</f>
        <v>-4.7660118050425075E-2</v>
      </c>
      <c r="L64" s="57">
        <f>SUM(Input_RAB_ACS!L$60:L$70)*Calc_Alloc!$M$35</f>
        <v>-6.3012629322860572E-2</v>
      </c>
      <c r="M64" s="57">
        <f>SUM(Input_RAB_ACS!M$60:M$70)*Calc_Alloc!$M$35</f>
        <v>-7.2033849231482122E-2</v>
      </c>
      <c r="N64" s="57">
        <f>SUM(Input_RAB_ACS!N$60:N$70)*Calc_Alloc!$M$35</f>
        <v>-8.8235339383123654E-2</v>
      </c>
      <c r="O64" s="58">
        <f>SUM(Input_RAB_ACS!O$60:O$70)*Calc_Alloc!$M$35</f>
        <v>-0.14509595291519076</v>
      </c>
      <c r="P64" s="56">
        <f>SUM(Input_RAB_ACS!P$60:P$70)*Calc_Alloc!$M$35</f>
        <v>-0.21461313052640466</v>
      </c>
      <c r="Q64" s="57">
        <f>SUM(Input_RAB_ACS!Q$60:Q$70)*Calc_Alloc!$M$35</f>
        <v>-0.24305627791635476</v>
      </c>
      <c r="R64" s="57">
        <f>SUM(Input_RAB_ACS!R$60:R$70)*Calc_Alloc!$M$35</f>
        <v>-0.27078653131267766</v>
      </c>
      <c r="S64" s="57">
        <f>SUM(Input_RAB_ACS!S$60:S$70)*Calc_Alloc!$M$35</f>
        <v>-0.31837956990633648</v>
      </c>
      <c r="T64" s="58">
        <f>SUM(Input_RAB_ACS!T$60:T$70)*Calc_Alloc!$M$35</f>
        <v>-0.36733644907771779</v>
      </c>
    </row>
    <row r="65" spans="1:20" ht="12.3" x14ac:dyDescent="0.35">
      <c r="D65" s="10" t="str">
        <f t="shared" si="23"/>
        <v>“Other” asset items with short lives</v>
      </c>
      <c r="E65" s="45" t="str">
        <f t="shared" si="24"/>
        <v>Calculated</v>
      </c>
      <c r="F65" s="45" t="str">
        <f t="shared" si="18"/>
        <v>$Millions</v>
      </c>
      <c r="G65" s="45" t="str">
        <f t="shared" si="19"/>
        <v>Nominal</v>
      </c>
      <c r="H65" s="45" t="str">
        <f t="shared" si="20"/>
        <v>End year</v>
      </c>
      <c r="J65" s="58">
        <f>SUM(Input_RAB_ACS!J$60:J$70)*Calc_Alloc!$N$35</f>
        <v>-0.11321104000071473</v>
      </c>
      <c r="K65" s="56">
        <f>SUM(Input_RAB_ACS!K$60:K$70)*Calc_Alloc!$N$35</f>
        <v>-5.2119317605049544E-2</v>
      </c>
      <c r="L65" s="57">
        <f>SUM(Input_RAB_ACS!L$60:L$70)*Calc_Alloc!$N$35</f>
        <v>-6.8908248135951422E-2</v>
      </c>
      <c r="M65" s="57">
        <f>SUM(Input_RAB_ACS!M$60:M$70)*Calc_Alloc!$N$35</f>
        <v>-7.8773515886756934E-2</v>
      </c>
      <c r="N65" s="57">
        <f>SUM(Input_RAB_ACS!N$60:N$70)*Calc_Alloc!$N$35</f>
        <v>-9.6490857878967037E-2</v>
      </c>
      <c r="O65" s="58">
        <f>SUM(Input_RAB_ACS!O$60:O$70)*Calc_Alloc!$N$35</f>
        <v>-0.15867149227773877</v>
      </c>
      <c r="P65" s="56">
        <f>SUM(Input_RAB_ACS!P$60:P$70)*Calc_Alloc!$N$35</f>
        <v>-0.234692870468454</v>
      </c>
      <c r="Q65" s="57">
        <f>SUM(Input_RAB_ACS!Q$60:Q$70)*Calc_Alloc!$N$35</f>
        <v>-0.26579722969256681</v>
      </c>
      <c r="R65" s="57">
        <f>SUM(Input_RAB_ACS!R$60:R$70)*Calc_Alloc!$N$35</f>
        <v>-0.29612199478237056</v>
      </c>
      <c r="S65" s="57">
        <f>SUM(Input_RAB_ACS!S$60:S$70)*Calc_Alloc!$N$35</f>
        <v>-0.34816795680931867</v>
      </c>
      <c r="T65" s="58">
        <f>SUM(Input_RAB_ACS!T$60:T$70)*Calc_Alloc!$N$35</f>
        <v>-0.40170536374116111</v>
      </c>
    </row>
    <row r="66" spans="1:20" x14ac:dyDescent="0.35">
      <c r="J66" s="49"/>
      <c r="K66" s="48"/>
      <c r="O66" s="49"/>
      <c r="P66" s="48"/>
      <c r="T66" s="49"/>
    </row>
    <row r="67" spans="1:20" ht="12.3" x14ac:dyDescent="0.35">
      <c r="D67" s="44" t="str">
        <f>"Total "&amp;D54</f>
        <v>Total EB RIN categories</v>
      </c>
      <c r="E67" s="40" t="s">
        <v>91</v>
      </c>
      <c r="F67" s="40" t="str">
        <f>F56</f>
        <v>$Millions</v>
      </c>
      <c r="G67" s="40" t="str">
        <f>G56</f>
        <v>Nominal</v>
      </c>
      <c r="H67" s="40" t="str">
        <f>H56</f>
        <v>End year</v>
      </c>
      <c r="J67" s="54">
        <f t="shared" ref="J67:T67" si="25">SUM(J56:J65)</f>
        <v>-1.8461289288989582</v>
      </c>
      <c r="K67" s="53">
        <f t="shared" si="25"/>
        <v>-0.84990810069890066</v>
      </c>
      <c r="L67" s="39">
        <f t="shared" si="25"/>
        <v>-1.1236846717663269</v>
      </c>
      <c r="M67" s="39">
        <f t="shared" si="25"/>
        <v>-1.2845572879527078</v>
      </c>
      <c r="N67" s="39">
        <f t="shared" si="25"/>
        <v>-1.5734734360139651</v>
      </c>
      <c r="O67" s="54">
        <f t="shared" si="25"/>
        <v>-2.5874511185804132</v>
      </c>
      <c r="P67" s="53">
        <f t="shared" si="25"/>
        <v>-3.8271293822176142</v>
      </c>
      <c r="Q67" s="39">
        <f t="shared" si="25"/>
        <v>-4.3343472063638924</v>
      </c>
      <c r="R67" s="39">
        <f t="shared" si="25"/>
        <v>-4.8288522130664058</v>
      </c>
      <c r="S67" s="39">
        <f t="shared" si="25"/>
        <v>-5.6775641066213005</v>
      </c>
      <c r="T67" s="54">
        <f t="shared" si="25"/>
        <v>-6.5505969461260518</v>
      </c>
    </row>
    <row r="68" spans="1:20" ht="11.25" customHeight="1" x14ac:dyDescent="0.35"/>
    <row r="69" spans="1:20" ht="11.25" customHeight="1" x14ac:dyDescent="0.35">
      <c r="A69" s="42">
        <f>IF(SUM($J69:$T69)&lt;&gt;0,1,0)</f>
        <v>0</v>
      </c>
      <c r="D69" s="10" t="s">
        <v>94</v>
      </c>
      <c r="J69" s="42">
        <f>IF(ROUND(J67-Input_RAB_ACS!J$72,5)&lt;&gt;0,1,0)</f>
        <v>0</v>
      </c>
      <c r="K69" s="42">
        <f>IF(ROUND(K67-Input_RAB_ACS!K$72,5)&lt;&gt;0,1,0)</f>
        <v>0</v>
      </c>
      <c r="L69" s="42">
        <f>IF(ROUND(L67-Input_RAB_ACS!L$72,5)&lt;&gt;0,1,0)</f>
        <v>0</v>
      </c>
      <c r="M69" s="42">
        <f>IF(ROUND(M67-Input_RAB_ACS!M$72,5)&lt;&gt;0,1,0)</f>
        <v>0</v>
      </c>
      <c r="N69" s="42">
        <f>IF(ROUND(N67-Input_RAB_ACS!N$72,5)&lt;&gt;0,1,0)</f>
        <v>0</v>
      </c>
      <c r="O69" s="42">
        <f>IF(ROUND(O67-Input_RAB_ACS!O$72,5)&lt;&gt;0,1,0)</f>
        <v>0</v>
      </c>
      <c r="P69" s="42">
        <f>IF(ROUND(P67-Input_RAB_ACS!P$72,5)&lt;&gt;0,1,0)</f>
        <v>0</v>
      </c>
      <c r="Q69" s="42">
        <f>IF(ROUND(Q67-Input_RAB_ACS!Q$72,5)&lt;&gt;0,1,0)</f>
        <v>0</v>
      </c>
      <c r="R69" s="42">
        <f>IF(ROUND(R67-Input_RAB_ACS!R$72,5)&lt;&gt;0,1,0)</f>
        <v>0</v>
      </c>
      <c r="S69" s="42">
        <f>IF(ROUND(S67-Input_RAB_ACS!S$72,5)&lt;&gt;0,1,0)</f>
        <v>0</v>
      </c>
      <c r="T69" s="42">
        <f>IF(ROUND(T67-Input_RAB_ACS!T$72,5)&lt;&gt;0,1,0)</f>
        <v>0</v>
      </c>
    </row>
    <row r="70" spans="1:20" ht="11.25" customHeight="1" x14ac:dyDescent="0.35">
      <c r="N70" s="5"/>
      <c r="S70" s="5"/>
    </row>
    <row r="71" spans="1:20" s="8" customFormat="1" ht="14.1" x14ac:dyDescent="0.35">
      <c r="C71" s="8" t="s">
        <v>438</v>
      </c>
    </row>
    <row r="72" spans="1:20" ht="11.25" customHeight="1" x14ac:dyDescent="0.35"/>
    <row r="73" spans="1:20" ht="12.3" x14ac:dyDescent="0.35">
      <c r="D73" s="43" t="str">
        <f>D$16</f>
        <v>EB RIN categories</v>
      </c>
      <c r="E73" s="38" t="str">
        <f>Lookup!E$20</f>
        <v>Source</v>
      </c>
      <c r="F73" s="38" t="str">
        <f>Lookup!F$20</f>
        <v>Unit</v>
      </c>
      <c r="G73" s="38" t="str">
        <f>Lookup!G$20</f>
        <v>Basis</v>
      </c>
      <c r="H73" s="38" t="str">
        <f>Lookup!H$20</f>
        <v>Timing</v>
      </c>
      <c r="J73" s="47" t="str">
        <f t="shared" ref="J73:T73" si="26">J$10</f>
        <v>RY19</v>
      </c>
      <c r="K73" s="46" t="str">
        <f t="shared" si="26"/>
        <v>RY20</v>
      </c>
      <c r="L73" s="38" t="str">
        <f>L$10</f>
        <v>RY21</v>
      </c>
      <c r="M73" s="38" t="str">
        <f t="shared" si="26"/>
        <v>RY22</v>
      </c>
      <c r="N73" s="38" t="str">
        <f t="shared" si="26"/>
        <v>RY23</v>
      </c>
      <c r="O73" s="47" t="str">
        <f t="shared" si="26"/>
        <v>RY24</v>
      </c>
      <c r="P73" s="46" t="str">
        <f t="shared" si="26"/>
        <v>RY25</v>
      </c>
      <c r="Q73" s="38" t="str">
        <f>Q$10</f>
        <v>RY26</v>
      </c>
      <c r="R73" s="38" t="str">
        <f t="shared" si="26"/>
        <v>RY27</v>
      </c>
      <c r="S73" s="38" t="str">
        <f t="shared" si="26"/>
        <v>RY28</v>
      </c>
      <c r="T73" s="47" t="str">
        <f t="shared" si="26"/>
        <v>RY29</v>
      </c>
    </row>
    <row r="74" spans="1:20" x14ac:dyDescent="0.35">
      <c r="J74" s="49"/>
      <c r="K74" s="48"/>
      <c r="O74" s="49"/>
      <c r="P74" s="48"/>
      <c r="T74" s="49"/>
    </row>
    <row r="75" spans="1:20" ht="12.3" outlineLevel="1" x14ac:dyDescent="0.35">
      <c r="D75" s="10" t="str">
        <f>D18</f>
        <v>Overhead network assets less than 33kV</v>
      </c>
      <c r="E75" s="45" t="str">
        <f>E18</f>
        <v>Calculated</v>
      </c>
      <c r="F75" s="45" t="str">
        <f t="shared" ref="F75:F84" si="27">Millions</f>
        <v>$Millions</v>
      </c>
      <c r="G75" s="45" t="str">
        <f t="shared" ref="G75:G84" si="28">Nominal</f>
        <v>Nominal</v>
      </c>
      <c r="H75" s="45" t="str">
        <f t="shared" ref="H75:H84" si="29">End_year</f>
        <v>End year</v>
      </c>
      <c r="J75" s="58" t="str">
        <f t="shared" ref="J75:K81" si="30">NA</f>
        <v>N/A</v>
      </c>
      <c r="K75" s="56" t="str">
        <f t="shared" si="30"/>
        <v>N/A</v>
      </c>
      <c r="L75" s="57" t="str">
        <f t="shared" ref="L75:T81" si="31">NA</f>
        <v>N/A</v>
      </c>
      <c r="M75" s="57" t="str">
        <f t="shared" si="31"/>
        <v>N/A</v>
      </c>
      <c r="N75" s="57" t="str">
        <f t="shared" si="31"/>
        <v>N/A</v>
      </c>
      <c r="O75" s="58" t="str">
        <f t="shared" si="31"/>
        <v>N/A</v>
      </c>
      <c r="P75" s="56" t="str">
        <f t="shared" si="31"/>
        <v>N/A</v>
      </c>
      <c r="Q75" s="57" t="str">
        <f t="shared" si="31"/>
        <v>N/A</v>
      </c>
      <c r="R75" s="57" t="str">
        <f t="shared" si="31"/>
        <v>N/A</v>
      </c>
      <c r="S75" s="57" t="str">
        <f t="shared" si="31"/>
        <v>N/A</v>
      </c>
      <c r="T75" s="58" t="str">
        <f t="shared" si="31"/>
        <v>N/A</v>
      </c>
    </row>
    <row r="76" spans="1:20" ht="12.3" outlineLevel="1" x14ac:dyDescent="0.35">
      <c r="D76" s="10" t="str">
        <f t="shared" ref="D76:D84" si="32">D19</f>
        <v>Underground network assets less than 33kV</v>
      </c>
      <c r="E76" s="45" t="str">
        <f t="shared" ref="E76:E84" si="33">E19</f>
        <v>Calculated</v>
      </c>
      <c r="F76" s="45" t="str">
        <f t="shared" si="27"/>
        <v>$Millions</v>
      </c>
      <c r="G76" s="45" t="str">
        <f t="shared" si="28"/>
        <v>Nominal</v>
      </c>
      <c r="H76" s="45" t="str">
        <f t="shared" si="29"/>
        <v>End year</v>
      </c>
      <c r="J76" s="58" t="str">
        <f t="shared" si="30"/>
        <v>N/A</v>
      </c>
      <c r="K76" s="56" t="str">
        <f t="shared" si="30"/>
        <v>N/A</v>
      </c>
      <c r="L76" s="57" t="str">
        <f t="shared" si="31"/>
        <v>N/A</v>
      </c>
      <c r="M76" s="57" t="str">
        <f t="shared" si="31"/>
        <v>N/A</v>
      </c>
      <c r="N76" s="57" t="str">
        <f t="shared" si="31"/>
        <v>N/A</v>
      </c>
      <c r="O76" s="58" t="str">
        <f t="shared" si="31"/>
        <v>N/A</v>
      </c>
      <c r="P76" s="56" t="str">
        <f t="shared" si="31"/>
        <v>N/A</v>
      </c>
      <c r="Q76" s="57" t="str">
        <f t="shared" si="31"/>
        <v>N/A</v>
      </c>
      <c r="R76" s="57" t="str">
        <f t="shared" si="31"/>
        <v>N/A</v>
      </c>
      <c r="S76" s="57" t="str">
        <f t="shared" si="31"/>
        <v>N/A</v>
      </c>
      <c r="T76" s="58" t="str">
        <f t="shared" si="31"/>
        <v>N/A</v>
      </c>
    </row>
    <row r="77" spans="1:20" ht="12.3" outlineLevel="1" x14ac:dyDescent="0.35">
      <c r="D77" s="10" t="str">
        <f t="shared" si="32"/>
        <v>Distribution substations and transformers</v>
      </c>
      <c r="E77" s="45" t="str">
        <f t="shared" si="33"/>
        <v>Calculated</v>
      </c>
      <c r="F77" s="45" t="str">
        <f t="shared" si="27"/>
        <v>$Millions</v>
      </c>
      <c r="G77" s="45" t="str">
        <f t="shared" si="28"/>
        <v>Nominal</v>
      </c>
      <c r="H77" s="45" t="str">
        <f t="shared" si="29"/>
        <v>End year</v>
      </c>
      <c r="J77" s="58" t="str">
        <f t="shared" si="30"/>
        <v>N/A</v>
      </c>
      <c r="K77" s="56" t="str">
        <f t="shared" si="30"/>
        <v>N/A</v>
      </c>
      <c r="L77" s="57" t="str">
        <f t="shared" si="31"/>
        <v>N/A</v>
      </c>
      <c r="M77" s="57" t="str">
        <f t="shared" si="31"/>
        <v>N/A</v>
      </c>
      <c r="N77" s="57" t="str">
        <f t="shared" si="31"/>
        <v>N/A</v>
      </c>
      <c r="O77" s="58" t="str">
        <f t="shared" si="31"/>
        <v>N/A</v>
      </c>
      <c r="P77" s="56" t="str">
        <f t="shared" si="31"/>
        <v>N/A</v>
      </c>
      <c r="Q77" s="57" t="str">
        <f t="shared" si="31"/>
        <v>N/A</v>
      </c>
      <c r="R77" s="57" t="str">
        <f t="shared" si="31"/>
        <v>N/A</v>
      </c>
      <c r="S77" s="57" t="str">
        <f t="shared" si="31"/>
        <v>N/A</v>
      </c>
      <c r="T77" s="58" t="str">
        <f t="shared" si="31"/>
        <v>N/A</v>
      </c>
    </row>
    <row r="78" spans="1:20" ht="12.3" outlineLevel="1" x14ac:dyDescent="0.35">
      <c r="D78" s="10" t="str">
        <f t="shared" si="32"/>
        <v>Overhead network assets 33kV and above</v>
      </c>
      <c r="E78" s="45" t="str">
        <f t="shared" si="33"/>
        <v>Calculated</v>
      </c>
      <c r="F78" s="45" t="str">
        <f t="shared" si="27"/>
        <v>$Millions</v>
      </c>
      <c r="G78" s="45" t="str">
        <f t="shared" si="28"/>
        <v>Nominal</v>
      </c>
      <c r="H78" s="45" t="str">
        <f t="shared" si="29"/>
        <v>End year</v>
      </c>
      <c r="J78" s="58" t="str">
        <f t="shared" si="30"/>
        <v>N/A</v>
      </c>
      <c r="K78" s="56" t="str">
        <f t="shared" si="30"/>
        <v>N/A</v>
      </c>
      <c r="L78" s="57" t="str">
        <f t="shared" si="31"/>
        <v>N/A</v>
      </c>
      <c r="M78" s="57" t="str">
        <f t="shared" si="31"/>
        <v>N/A</v>
      </c>
      <c r="N78" s="57" t="str">
        <f t="shared" si="31"/>
        <v>N/A</v>
      </c>
      <c r="O78" s="58" t="str">
        <f t="shared" si="31"/>
        <v>N/A</v>
      </c>
      <c r="P78" s="56" t="str">
        <f t="shared" si="31"/>
        <v>N/A</v>
      </c>
      <c r="Q78" s="57" t="str">
        <f t="shared" si="31"/>
        <v>N/A</v>
      </c>
      <c r="R78" s="57" t="str">
        <f t="shared" si="31"/>
        <v>N/A</v>
      </c>
      <c r="S78" s="57" t="str">
        <f t="shared" si="31"/>
        <v>N/A</v>
      </c>
      <c r="T78" s="58" t="str">
        <f t="shared" si="31"/>
        <v>N/A</v>
      </c>
    </row>
    <row r="79" spans="1:20" ht="12.3" outlineLevel="1" x14ac:dyDescent="0.35">
      <c r="D79" s="10" t="str">
        <f t="shared" si="32"/>
        <v>Underground network assets 33kV and above</v>
      </c>
      <c r="E79" s="45" t="str">
        <f t="shared" si="33"/>
        <v>Calculated</v>
      </c>
      <c r="F79" s="45" t="str">
        <f t="shared" si="27"/>
        <v>$Millions</v>
      </c>
      <c r="G79" s="45" t="str">
        <f t="shared" si="28"/>
        <v>Nominal</v>
      </c>
      <c r="H79" s="45" t="str">
        <f t="shared" si="29"/>
        <v>End year</v>
      </c>
      <c r="J79" s="58" t="str">
        <f t="shared" si="30"/>
        <v>N/A</v>
      </c>
      <c r="K79" s="56" t="str">
        <f t="shared" si="30"/>
        <v>N/A</v>
      </c>
      <c r="L79" s="57" t="str">
        <f t="shared" si="31"/>
        <v>N/A</v>
      </c>
      <c r="M79" s="57" t="str">
        <f t="shared" si="31"/>
        <v>N/A</v>
      </c>
      <c r="N79" s="57" t="str">
        <f t="shared" si="31"/>
        <v>N/A</v>
      </c>
      <c r="O79" s="58" t="str">
        <f t="shared" si="31"/>
        <v>N/A</v>
      </c>
      <c r="P79" s="56" t="str">
        <f t="shared" si="31"/>
        <v>N/A</v>
      </c>
      <c r="Q79" s="57" t="str">
        <f t="shared" si="31"/>
        <v>N/A</v>
      </c>
      <c r="R79" s="57" t="str">
        <f t="shared" si="31"/>
        <v>N/A</v>
      </c>
      <c r="S79" s="57" t="str">
        <f t="shared" si="31"/>
        <v>N/A</v>
      </c>
      <c r="T79" s="58" t="str">
        <f t="shared" si="31"/>
        <v>N/A</v>
      </c>
    </row>
    <row r="80" spans="1:20" ht="12.3" outlineLevel="1" x14ac:dyDescent="0.35">
      <c r="D80" s="10" t="str">
        <f t="shared" si="32"/>
        <v>Zone substations and transformers</v>
      </c>
      <c r="E80" s="45" t="str">
        <f t="shared" si="33"/>
        <v>Calculated</v>
      </c>
      <c r="F80" s="45" t="str">
        <f t="shared" si="27"/>
        <v>$Millions</v>
      </c>
      <c r="G80" s="45" t="str">
        <f t="shared" si="28"/>
        <v>Nominal</v>
      </c>
      <c r="H80" s="45" t="str">
        <f t="shared" si="29"/>
        <v>End year</v>
      </c>
      <c r="J80" s="58" t="str">
        <f t="shared" si="30"/>
        <v>N/A</v>
      </c>
      <c r="K80" s="56" t="str">
        <f t="shared" si="30"/>
        <v>N/A</v>
      </c>
      <c r="L80" s="57" t="str">
        <f t="shared" si="31"/>
        <v>N/A</v>
      </c>
      <c r="M80" s="57" t="str">
        <f t="shared" si="31"/>
        <v>N/A</v>
      </c>
      <c r="N80" s="57" t="str">
        <f t="shared" si="31"/>
        <v>N/A</v>
      </c>
      <c r="O80" s="58" t="str">
        <f t="shared" si="31"/>
        <v>N/A</v>
      </c>
      <c r="P80" s="56" t="str">
        <f t="shared" si="31"/>
        <v>N/A</v>
      </c>
      <c r="Q80" s="57" t="str">
        <f t="shared" si="31"/>
        <v>N/A</v>
      </c>
      <c r="R80" s="57" t="str">
        <f t="shared" si="31"/>
        <v>N/A</v>
      </c>
      <c r="S80" s="57" t="str">
        <f t="shared" si="31"/>
        <v>N/A</v>
      </c>
      <c r="T80" s="58" t="str">
        <f t="shared" si="31"/>
        <v>N/A</v>
      </c>
    </row>
    <row r="81" spans="1:20" ht="12.3" outlineLevel="1" x14ac:dyDescent="0.35">
      <c r="D81" s="10" t="str">
        <f t="shared" si="32"/>
        <v>Easements</v>
      </c>
      <c r="E81" s="45" t="str">
        <f t="shared" si="33"/>
        <v>Calculated</v>
      </c>
      <c r="F81" s="45" t="str">
        <f t="shared" si="27"/>
        <v>$Millions</v>
      </c>
      <c r="G81" s="45" t="str">
        <f t="shared" si="28"/>
        <v>Nominal</v>
      </c>
      <c r="H81" s="45" t="str">
        <f t="shared" si="29"/>
        <v>End year</v>
      </c>
      <c r="J81" s="58" t="str">
        <f t="shared" si="30"/>
        <v>N/A</v>
      </c>
      <c r="K81" s="56" t="str">
        <f t="shared" si="30"/>
        <v>N/A</v>
      </c>
      <c r="L81" s="57" t="str">
        <f t="shared" si="31"/>
        <v>N/A</v>
      </c>
      <c r="M81" s="57" t="str">
        <f t="shared" si="31"/>
        <v>N/A</v>
      </c>
      <c r="N81" s="57" t="str">
        <f t="shared" si="31"/>
        <v>N/A</v>
      </c>
      <c r="O81" s="58" t="str">
        <f t="shared" si="31"/>
        <v>N/A</v>
      </c>
      <c r="P81" s="56" t="str">
        <f t="shared" si="31"/>
        <v>N/A</v>
      </c>
      <c r="Q81" s="57" t="str">
        <f t="shared" si="31"/>
        <v>N/A</v>
      </c>
      <c r="R81" s="57" t="str">
        <f t="shared" si="31"/>
        <v>N/A</v>
      </c>
      <c r="S81" s="57" t="str">
        <f t="shared" si="31"/>
        <v>N/A</v>
      </c>
      <c r="T81" s="58" t="str">
        <f t="shared" si="31"/>
        <v>N/A</v>
      </c>
    </row>
    <row r="82" spans="1:20" ht="12.3" x14ac:dyDescent="0.35">
      <c r="D82" s="10" t="str">
        <f t="shared" si="32"/>
        <v>Meters</v>
      </c>
      <c r="E82" s="45" t="str">
        <f t="shared" si="33"/>
        <v>Calculated</v>
      </c>
      <c r="F82" s="45" t="str">
        <f t="shared" si="27"/>
        <v>$Millions</v>
      </c>
      <c r="G82" s="45" t="str">
        <f t="shared" si="28"/>
        <v>Nominal</v>
      </c>
      <c r="H82" s="45" t="str">
        <f t="shared" si="29"/>
        <v>End year</v>
      </c>
      <c r="J82" s="58">
        <f>SUM(Input_RAB_ACS!J$82:J$92)*Calc_Alloc!$L$35</f>
        <v>0</v>
      </c>
      <c r="K82" s="56">
        <f>SUM(Input_RAB_ACS!K$82:K$92)*Calc_Alloc!$L$35</f>
        <v>2.4538283540325012</v>
      </c>
      <c r="L82" s="57">
        <f>SUM(Input_RAB_ACS!L$82:L$92)*Calc_Alloc!$L$35</f>
        <v>1.8344700472871107</v>
      </c>
      <c r="M82" s="57">
        <f>SUM(Input_RAB_ACS!M$82:M$92)*Calc_Alloc!$L$35</f>
        <v>2.9269167200647943</v>
      </c>
      <c r="N82" s="57">
        <f>SUM(Input_RAB_ACS!N$82:N$92)*Calc_Alloc!$L$35</f>
        <v>10.428704645770859</v>
      </c>
      <c r="O82" s="58">
        <f>SUM(Input_RAB_ACS!O$82:O$92)*Calc_Alloc!$L$35</f>
        <v>12.072905147377933</v>
      </c>
      <c r="P82" s="56">
        <f>SUM(Input_RAB_ACS!P$82:P$92)*Calc_Alloc!$L$35</f>
        <v>5.3148436623227715</v>
      </c>
      <c r="Q82" s="57">
        <f>SUM(Input_RAB_ACS!Q$82:Q$92)*Calc_Alloc!$L$35</f>
        <v>5.4613896670851787</v>
      </c>
      <c r="R82" s="57">
        <f>SUM(Input_RAB_ACS!R$82:R$92)*Calc_Alloc!$L$35</f>
        <v>8.5186234760836701</v>
      </c>
      <c r="S82" s="57">
        <f>SUM(Input_RAB_ACS!S$82:S$92)*Calc_Alloc!$L$35</f>
        <v>10.246859957042469</v>
      </c>
      <c r="T82" s="58">
        <f>SUM(Input_RAB_ACS!T$82:T$92)*Calc_Alloc!$L$35</f>
        <v>11.482350266980733</v>
      </c>
    </row>
    <row r="83" spans="1:20" ht="12.3" x14ac:dyDescent="0.35">
      <c r="D83" s="10" t="str">
        <f t="shared" si="32"/>
        <v>“Other” asset items with long lives</v>
      </c>
      <c r="E83" s="45" t="str">
        <f t="shared" si="33"/>
        <v>Calculated</v>
      </c>
      <c r="F83" s="45" t="str">
        <f t="shared" si="27"/>
        <v>$Millions</v>
      </c>
      <c r="G83" s="45" t="str">
        <f t="shared" si="28"/>
        <v>Nominal</v>
      </c>
      <c r="H83" s="45" t="str">
        <f t="shared" si="29"/>
        <v>End year</v>
      </c>
      <c r="J83" s="58">
        <f>SUM(Input_RAB_ACS!J$82:J$92)*Calc_Alloc!$M$35</f>
        <v>0</v>
      </c>
      <c r="K83" s="56">
        <f>SUM(Input_RAB_ACS!K$82:K$92)*Calc_Alloc!$M$35</f>
        <v>0.15590625245856835</v>
      </c>
      <c r="L83" s="57">
        <f>SUM(Input_RAB_ACS!L$82:L$92)*Calc_Alloc!$M$35</f>
        <v>0.11655474998893828</v>
      </c>
      <c r="M83" s="57">
        <f>SUM(Input_RAB_ACS!M$82:M$92)*Calc_Alloc!$M$35</f>
        <v>0.18596435905295705</v>
      </c>
      <c r="N83" s="57">
        <f>SUM(Input_RAB_ACS!N$82:N$92)*Calc_Alloc!$M$35</f>
        <v>0.66259738854491257</v>
      </c>
      <c r="O83" s="58">
        <f>SUM(Input_RAB_ACS!O$82:O$92)*Calc_Alloc!$M$35</f>
        <v>0.76706318708978571</v>
      </c>
      <c r="P83" s="56">
        <f>SUM(Input_RAB_ACS!P$82:P$92)*Calc_Alloc!$M$35</f>
        <v>0.33768350440413114</v>
      </c>
      <c r="Q83" s="57">
        <f>SUM(Input_RAB_ACS!Q$82:Q$92)*Calc_Alloc!$M$35</f>
        <v>0.34699444026390147</v>
      </c>
      <c r="R83" s="57">
        <f>SUM(Input_RAB_ACS!R$82:R$92)*Calc_Alloc!$M$35</f>
        <v>0.54123861600964973</v>
      </c>
      <c r="S83" s="57">
        <f>SUM(Input_RAB_ACS!S$82:S$92)*Calc_Alloc!$M$35</f>
        <v>0.65104371817406204</v>
      </c>
      <c r="T83" s="58">
        <f>SUM(Input_RAB_ACS!T$82:T$92)*Calc_Alloc!$M$35</f>
        <v>0.72954173693515678</v>
      </c>
    </row>
    <row r="84" spans="1:20" ht="12.3" x14ac:dyDescent="0.35">
      <c r="D84" s="10" t="str">
        <f t="shared" si="32"/>
        <v>“Other” asset items with short lives</v>
      </c>
      <c r="E84" s="45" t="str">
        <f t="shared" si="33"/>
        <v>Calculated</v>
      </c>
      <c r="F84" s="45" t="str">
        <f t="shared" si="27"/>
        <v>$Millions</v>
      </c>
      <c r="G84" s="45" t="str">
        <f t="shared" si="28"/>
        <v>Nominal</v>
      </c>
      <c r="H84" s="45" t="str">
        <f t="shared" si="29"/>
        <v>End year</v>
      </c>
      <c r="J84" s="58">
        <f>SUM(Input_RAB_ACS!J$82:J$92)*Calc_Alloc!$N$35</f>
        <v>0</v>
      </c>
      <c r="K84" s="56">
        <f>SUM(Input_RAB_ACS!K$82:K$92)*Calc_Alloc!$N$35</f>
        <v>0.17049323041760045</v>
      </c>
      <c r="L84" s="57">
        <f>SUM(Input_RAB_ACS!L$82:L$92)*Calc_Alloc!$N$35</f>
        <v>0.12745990319670303</v>
      </c>
      <c r="M84" s="57">
        <f>SUM(Input_RAB_ACS!M$82:M$92)*Calc_Alloc!$N$35</f>
        <v>0.20336364845856891</v>
      </c>
      <c r="N84" s="57">
        <f>SUM(Input_RAB_ACS!N$82:N$92)*Calc_Alloc!$N$35</f>
        <v>0.72459165336752052</v>
      </c>
      <c r="O84" s="58">
        <f>SUM(Input_RAB_ACS!O$82:O$92)*Calc_Alloc!$N$35</f>
        <v>0.83883153266166777</v>
      </c>
      <c r="P84" s="56">
        <f>SUM(Input_RAB_ACS!P$82:P$92)*Calc_Alloc!$N$35</f>
        <v>0.36927801558116552</v>
      </c>
      <c r="Q84" s="57">
        <f>SUM(Input_RAB_ACS!Q$82:Q$92)*Calc_Alloc!$N$35</f>
        <v>0.3794601058303374</v>
      </c>
      <c r="R84" s="57">
        <f>SUM(Input_RAB_ACS!R$82:R$92)*Calc_Alloc!$N$35</f>
        <v>0.5918782512892411</v>
      </c>
      <c r="S84" s="57">
        <f>SUM(Input_RAB_ACS!S$82:S$92)*Calc_Alloc!$N$35</f>
        <v>0.71195699277089119</v>
      </c>
      <c r="T84" s="58">
        <f>SUM(Input_RAB_ACS!T$82:T$92)*Calc_Alloc!$N$35</f>
        <v>0.79779948201626028</v>
      </c>
    </row>
    <row r="85" spans="1:20" x14ac:dyDescent="0.35">
      <c r="J85" s="49"/>
      <c r="K85" s="48"/>
      <c r="O85" s="49"/>
      <c r="P85" s="48"/>
      <c r="T85" s="49"/>
    </row>
    <row r="86" spans="1:20" ht="12.3" x14ac:dyDescent="0.35">
      <c r="D86" s="44" t="str">
        <f>"Total "&amp;D73</f>
        <v>Total EB RIN categories</v>
      </c>
      <c r="E86" s="40" t="s">
        <v>91</v>
      </c>
      <c r="F86" s="40" t="str">
        <f>F75</f>
        <v>$Millions</v>
      </c>
      <c r="G86" s="40" t="str">
        <f>G75</f>
        <v>Nominal</v>
      </c>
      <c r="H86" s="40" t="str">
        <f>H75</f>
        <v>End year</v>
      </c>
      <c r="J86" s="54">
        <f t="shared" ref="J86:T86" si="34">SUM(J75:J84)</f>
        <v>0</v>
      </c>
      <c r="K86" s="53">
        <f t="shared" si="34"/>
        <v>2.7802278369086699</v>
      </c>
      <c r="L86" s="39">
        <f t="shared" si="34"/>
        <v>2.0784847004727522</v>
      </c>
      <c r="M86" s="39">
        <f t="shared" si="34"/>
        <v>3.3162447275763203</v>
      </c>
      <c r="N86" s="39">
        <f t="shared" si="34"/>
        <v>11.815893687683291</v>
      </c>
      <c r="O86" s="54">
        <f t="shared" si="34"/>
        <v>13.678799867129387</v>
      </c>
      <c r="P86" s="53">
        <f t="shared" si="34"/>
        <v>6.0218051823080678</v>
      </c>
      <c r="Q86" s="39">
        <f t="shared" si="34"/>
        <v>6.1878442131794174</v>
      </c>
      <c r="R86" s="39">
        <f t="shared" si="34"/>
        <v>9.6517403433825617</v>
      </c>
      <c r="S86" s="39">
        <f t="shared" si="34"/>
        <v>11.609860667987423</v>
      </c>
      <c r="T86" s="54">
        <f t="shared" si="34"/>
        <v>13.009691485932152</v>
      </c>
    </row>
    <row r="87" spans="1:20" ht="11.25" customHeight="1" x14ac:dyDescent="0.35"/>
    <row r="88" spans="1:20" ht="11.25" customHeight="1" x14ac:dyDescent="0.35">
      <c r="A88" s="42">
        <f>IF(SUM($J88:$T88)&lt;&gt;0,1,0)</f>
        <v>0</v>
      </c>
      <c r="D88" s="10" t="s">
        <v>94</v>
      </c>
      <c r="J88" s="42">
        <f>IF(ROUND(J86-Input_RAB_ACS!J$94,5)&lt;&gt;0,1,0)</f>
        <v>0</v>
      </c>
      <c r="K88" s="42">
        <f>IF(ROUND(K86-Input_RAB_ACS!K$94,5)&lt;&gt;0,1,0)</f>
        <v>0</v>
      </c>
      <c r="L88" s="42">
        <f>IF(ROUND(L86-Input_RAB_ACS!L$94,5)&lt;&gt;0,1,0)</f>
        <v>0</v>
      </c>
      <c r="M88" s="42">
        <f>IF(ROUND(M86-Input_RAB_ACS!M$94,5)&lt;&gt;0,1,0)</f>
        <v>0</v>
      </c>
      <c r="N88" s="42">
        <f>IF(ROUND(N86-Input_RAB_ACS!N$94,5)&lt;&gt;0,1,0)</f>
        <v>0</v>
      </c>
      <c r="O88" s="42">
        <f>IF(ROUND(O86-Input_RAB_ACS!O$94,5)&lt;&gt;0,1,0)</f>
        <v>0</v>
      </c>
      <c r="P88" s="42">
        <f>IF(ROUND(P86-Input_RAB_ACS!P$94,5)&lt;&gt;0,1,0)</f>
        <v>0</v>
      </c>
      <c r="Q88" s="42">
        <f>IF(ROUND(Q86-Input_RAB_ACS!Q$94,5)&lt;&gt;0,1,0)</f>
        <v>0</v>
      </c>
      <c r="R88" s="42">
        <f>IF(ROUND(R86-Input_RAB_ACS!R$94,5)&lt;&gt;0,1,0)</f>
        <v>0</v>
      </c>
      <c r="S88" s="42">
        <f>IF(ROUND(S86-Input_RAB_ACS!S$94,5)&lt;&gt;0,1,0)</f>
        <v>0</v>
      </c>
      <c r="T88" s="42">
        <f>IF(ROUND(T86-Input_RAB_ACS!T$94,5)&lt;&gt;0,1,0)</f>
        <v>0</v>
      </c>
    </row>
    <row r="90" spans="1:20" s="8" customFormat="1" ht="14.1" x14ac:dyDescent="0.35">
      <c r="C90" s="8" t="s">
        <v>126</v>
      </c>
    </row>
    <row r="91" spans="1:20" ht="11.25" customHeight="1" x14ac:dyDescent="0.35"/>
    <row r="92" spans="1:20" ht="12.3" x14ac:dyDescent="0.35">
      <c r="D92" s="43" t="str">
        <f>D$16</f>
        <v>EB RIN categories</v>
      </c>
      <c r="E92" s="38" t="str">
        <f>Lookup!E$20</f>
        <v>Source</v>
      </c>
      <c r="F92" s="38" t="str">
        <f>Lookup!F$20</f>
        <v>Unit</v>
      </c>
      <c r="G92" s="38" t="str">
        <f>Lookup!G$20</f>
        <v>Basis</v>
      </c>
      <c r="H92" s="38" t="str">
        <f>Lookup!H$20</f>
        <v>Timing</v>
      </c>
      <c r="J92" s="47" t="str">
        <f t="shared" ref="J92:T92" si="35">J$10</f>
        <v>RY19</v>
      </c>
      <c r="K92" s="46" t="str">
        <f t="shared" si="35"/>
        <v>RY20</v>
      </c>
      <c r="L92" s="38" t="str">
        <f>L$10</f>
        <v>RY21</v>
      </c>
      <c r="M92" s="38" t="str">
        <f t="shared" si="35"/>
        <v>RY22</v>
      </c>
      <c r="N92" s="38" t="str">
        <f t="shared" si="35"/>
        <v>RY23</v>
      </c>
      <c r="O92" s="47" t="str">
        <f t="shared" si="35"/>
        <v>RY24</v>
      </c>
      <c r="P92" s="46" t="str">
        <f t="shared" si="35"/>
        <v>RY25</v>
      </c>
      <c r="Q92" s="38" t="str">
        <f>Q$10</f>
        <v>RY26</v>
      </c>
      <c r="R92" s="38" t="str">
        <f t="shared" si="35"/>
        <v>RY27</v>
      </c>
      <c r="S92" s="38" t="str">
        <f t="shared" si="35"/>
        <v>RY28</v>
      </c>
      <c r="T92" s="47" t="str">
        <f t="shared" si="35"/>
        <v>RY29</v>
      </c>
    </row>
    <row r="93" spans="1:20" x14ac:dyDescent="0.35">
      <c r="J93" s="49"/>
      <c r="K93" s="48"/>
      <c r="O93" s="49"/>
      <c r="P93" s="48"/>
      <c r="T93" s="49"/>
    </row>
    <row r="94" spans="1:20" ht="12.3" outlineLevel="1" x14ac:dyDescent="0.35">
      <c r="D94" s="10" t="str">
        <f>D18</f>
        <v>Overhead network assets less than 33kV</v>
      </c>
      <c r="E94" s="45" t="str">
        <f>E18</f>
        <v>Calculated</v>
      </c>
      <c r="F94" s="45" t="str">
        <f t="shared" ref="F94:F103" si="36">Millions</f>
        <v>$Millions</v>
      </c>
      <c r="G94" s="45" t="str">
        <f t="shared" ref="G94:G103" si="37">Nominal</f>
        <v>Nominal</v>
      </c>
      <c r="H94" s="45" t="str">
        <f t="shared" ref="H94:H103" si="38">End_year</f>
        <v>End year</v>
      </c>
      <c r="J94" s="58" t="str">
        <f t="shared" ref="J94:K100" si="39">NA</f>
        <v>N/A</v>
      </c>
      <c r="K94" s="56" t="str">
        <f t="shared" si="39"/>
        <v>N/A</v>
      </c>
      <c r="L94" s="57" t="str">
        <f t="shared" ref="L94:T100" si="40">NA</f>
        <v>N/A</v>
      </c>
      <c r="M94" s="57" t="str">
        <f t="shared" si="40"/>
        <v>N/A</v>
      </c>
      <c r="N94" s="57" t="str">
        <f t="shared" si="40"/>
        <v>N/A</v>
      </c>
      <c r="O94" s="58" t="str">
        <f t="shared" si="40"/>
        <v>N/A</v>
      </c>
      <c r="P94" s="56" t="str">
        <f t="shared" si="40"/>
        <v>N/A</v>
      </c>
      <c r="Q94" s="57" t="str">
        <f t="shared" si="40"/>
        <v>N/A</v>
      </c>
      <c r="R94" s="57" t="str">
        <f t="shared" si="40"/>
        <v>N/A</v>
      </c>
      <c r="S94" s="57" t="str">
        <f t="shared" si="40"/>
        <v>N/A</v>
      </c>
      <c r="T94" s="58" t="str">
        <f t="shared" si="40"/>
        <v>N/A</v>
      </c>
    </row>
    <row r="95" spans="1:20" ht="12.3" outlineLevel="1" x14ac:dyDescent="0.35">
      <c r="D95" s="10" t="str">
        <f t="shared" ref="D95:D103" si="41">D19</f>
        <v>Underground network assets less than 33kV</v>
      </c>
      <c r="E95" s="45" t="str">
        <f t="shared" ref="E95:E103" si="42">E19</f>
        <v>Calculated</v>
      </c>
      <c r="F95" s="45" t="str">
        <f t="shared" si="36"/>
        <v>$Millions</v>
      </c>
      <c r="G95" s="45" t="str">
        <f t="shared" si="37"/>
        <v>Nominal</v>
      </c>
      <c r="H95" s="45" t="str">
        <f t="shared" si="38"/>
        <v>End year</v>
      </c>
      <c r="J95" s="58" t="str">
        <f t="shared" si="39"/>
        <v>N/A</v>
      </c>
      <c r="K95" s="56" t="str">
        <f t="shared" si="39"/>
        <v>N/A</v>
      </c>
      <c r="L95" s="57" t="str">
        <f t="shared" si="40"/>
        <v>N/A</v>
      </c>
      <c r="M95" s="57" t="str">
        <f t="shared" si="40"/>
        <v>N/A</v>
      </c>
      <c r="N95" s="57" t="str">
        <f t="shared" si="40"/>
        <v>N/A</v>
      </c>
      <c r="O95" s="58" t="str">
        <f t="shared" si="40"/>
        <v>N/A</v>
      </c>
      <c r="P95" s="56" t="str">
        <f t="shared" si="40"/>
        <v>N/A</v>
      </c>
      <c r="Q95" s="57" t="str">
        <f t="shared" si="40"/>
        <v>N/A</v>
      </c>
      <c r="R95" s="57" t="str">
        <f t="shared" si="40"/>
        <v>N/A</v>
      </c>
      <c r="S95" s="57" t="str">
        <f t="shared" si="40"/>
        <v>N/A</v>
      </c>
      <c r="T95" s="58" t="str">
        <f t="shared" si="40"/>
        <v>N/A</v>
      </c>
    </row>
    <row r="96" spans="1:20" ht="12.3" outlineLevel="1" x14ac:dyDescent="0.35">
      <c r="D96" s="10" t="str">
        <f t="shared" si="41"/>
        <v>Distribution substations and transformers</v>
      </c>
      <c r="E96" s="45" t="str">
        <f t="shared" si="42"/>
        <v>Calculated</v>
      </c>
      <c r="F96" s="45" t="str">
        <f t="shared" si="36"/>
        <v>$Millions</v>
      </c>
      <c r="G96" s="45" t="str">
        <f t="shared" si="37"/>
        <v>Nominal</v>
      </c>
      <c r="H96" s="45" t="str">
        <f t="shared" si="38"/>
        <v>End year</v>
      </c>
      <c r="J96" s="58" t="str">
        <f t="shared" si="39"/>
        <v>N/A</v>
      </c>
      <c r="K96" s="56" t="str">
        <f t="shared" si="39"/>
        <v>N/A</v>
      </c>
      <c r="L96" s="57" t="str">
        <f t="shared" si="40"/>
        <v>N/A</v>
      </c>
      <c r="M96" s="57" t="str">
        <f t="shared" si="40"/>
        <v>N/A</v>
      </c>
      <c r="N96" s="57" t="str">
        <f t="shared" si="40"/>
        <v>N/A</v>
      </c>
      <c r="O96" s="58" t="str">
        <f t="shared" si="40"/>
        <v>N/A</v>
      </c>
      <c r="P96" s="56" t="str">
        <f t="shared" si="40"/>
        <v>N/A</v>
      </c>
      <c r="Q96" s="57" t="str">
        <f t="shared" si="40"/>
        <v>N/A</v>
      </c>
      <c r="R96" s="57" t="str">
        <f t="shared" si="40"/>
        <v>N/A</v>
      </c>
      <c r="S96" s="57" t="str">
        <f t="shared" si="40"/>
        <v>N/A</v>
      </c>
      <c r="T96" s="58" t="str">
        <f t="shared" si="40"/>
        <v>N/A</v>
      </c>
    </row>
    <row r="97" spans="1:20" ht="12.3" outlineLevel="1" x14ac:dyDescent="0.35">
      <c r="D97" s="10" t="str">
        <f t="shared" si="41"/>
        <v>Overhead network assets 33kV and above</v>
      </c>
      <c r="E97" s="45" t="str">
        <f t="shared" si="42"/>
        <v>Calculated</v>
      </c>
      <c r="F97" s="45" t="str">
        <f t="shared" si="36"/>
        <v>$Millions</v>
      </c>
      <c r="G97" s="45" t="str">
        <f t="shared" si="37"/>
        <v>Nominal</v>
      </c>
      <c r="H97" s="45" t="str">
        <f t="shared" si="38"/>
        <v>End year</v>
      </c>
      <c r="J97" s="58" t="str">
        <f t="shared" si="39"/>
        <v>N/A</v>
      </c>
      <c r="K97" s="56" t="str">
        <f t="shared" si="39"/>
        <v>N/A</v>
      </c>
      <c r="L97" s="57" t="str">
        <f t="shared" si="40"/>
        <v>N/A</v>
      </c>
      <c r="M97" s="57" t="str">
        <f t="shared" si="40"/>
        <v>N/A</v>
      </c>
      <c r="N97" s="57" t="str">
        <f t="shared" si="40"/>
        <v>N/A</v>
      </c>
      <c r="O97" s="58" t="str">
        <f t="shared" si="40"/>
        <v>N/A</v>
      </c>
      <c r="P97" s="56" t="str">
        <f t="shared" si="40"/>
        <v>N/A</v>
      </c>
      <c r="Q97" s="57" t="str">
        <f t="shared" si="40"/>
        <v>N/A</v>
      </c>
      <c r="R97" s="57" t="str">
        <f t="shared" si="40"/>
        <v>N/A</v>
      </c>
      <c r="S97" s="57" t="str">
        <f t="shared" si="40"/>
        <v>N/A</v>
      </c>
      <c r="T97" s="58" t="str">
        <f t="shared" si="40"/>
        <v>N/A</v>
      </c>
    </row>
    <row r="98" spans="1:20" ht="12.3" outlineLevel="1" x14ac:dyDescent="0.35">
      <c r="D98" s="10" t="str">
        <f t="shared" si="41"/>
        <v>Underground network assets 33kV and above</v>
      </c>
      <c r="E98" s="45" t="str">
        <f t="shared" si="42"/>
        <v>Calculated</v>
      </c>
      <c r="F98" s="45" t="str">
        <f t="shared" si="36"/>
        <v>$Millions</v>
      </c>
      <c r="G98" s="45" t="str">
        <f t="shared" si="37"/>
        <v>Nominal</v>
      </c>
      <c r="H98" s="45" t="str">
        <f t="shared" si="38"/>
        <v>End year</v>
      </c>
      <c r="J98" s="58" t="str">
        <f t="shared" si="39"/>
        <v>N/A</v>
      </c>
      <c r="K98" s="56" t="str">
        <f t="shared" si="39"/>
        <v>N/A</v>
      </c>
      <c r="L98" s="57" t="str">
        <f t="shared" si="40"/>
        <v>N/A</v>
      </c>
      <c r="M98" s="57" t="str">
        <f t="shared" si="40"/>
        <v>N/A</v>
      </c>
      <c r="N98" s="57" t="str">
        <f t="shared" si="40"/>
        <v>N/A</v>
      </c>
      <c r="O98" s="58" t="str">
        <f t="shared" si="40"/>
        <v>N/A</v>
      </c>
      <c r="P98" s="56" t="str">
        <f t="shared" si="40"/>
        <v>N/A</v>
      </c>
      <c r="Q98" s="57" t="str">
        <f t="shared" si="40"/>
        <v>N/A</v>
      </c>
      <c r="R98" s="57" t="str">
        <f t="shared" si="40"/>
        <v>N/A</v>
      </c>
      <c r="S98" s="57" t="str">
        <f t="shared" si="40"/>
        <v>N/A</v>
      </c>
      <c r="T98" s="58" t="str">
        <f t="shared" si="40"/>
        <v>N/A</v>
      </c>
    </row>
    <row r="99" spans="1:20" ht="12.3" outlineLevel="1" x14ac:dyDescent="0.35">
      <c r="D99" s="10" t="str">
        <f t="shared" si="41"/>
        <v>Zone substations and transformers</v>
      </c>
      <c r="E99" s="45" t="str">
        <f t="shared" si="42"/>
        <v>Calculated</v>
      </c>
      <c r="F99" s="45" t="str">
        <f t="shared" si="36"/>
        <v>$Millions</v>
      </c>
      <c r="G99" s="45" t="str">
        <f t="shared" si="37"/>
        <v>Nominal</v>
      </c>
      <c r="H99" s="45" t="str">
        <f t="shared" si="38"/>
        <v>End year</v>
      </c>
      <c r="J99" s="58" t="str">
        <f t="shared" si="39"/>
        <v>N/A</v>
      </c>
      <c r="K99" s="56" t="str">
        <f t="shared" si="39"/>
        <v>N/A</v>
      </c>
      <c r="L99" s="57" t="str">
        <f t="shared" si="40"/>
        <v>N/A</v>
      </c>
      <c r="M99" s="57" t="str">
        <f t="shared" si="40"/>
        <v>N/A</v>
      </c>
      <c r="N99" s="57" t="str">
        <f t="shared" si="40"/>
        <v>N/A</v>
      </c>
      <c r="O99" s="58" t="str">
        <f t="shared" si="40"/>
        <v>N/A</v>
      </c>
      <c r="P99" s="56" t="str">
        <f t="shared" si="40"/>
        <v>N/A</v>
      </c>
      <c r="Q99" s="57" t="str">
        <f t="shared" si="40"/>
        <v>N/A</v>
      </c>
      <c r="R99" s="57" t="str">
        <f t="shared" si="40"/>
        <v>N/A</v>
      </c>
      <c r="S99" s="57" t="str">
        <f t="shared" si="40"/>
        <v>N/A</v>
      </c>
      <c r="T99" s="58" t="str">
        <f t="shared" si="40"/>
        <v>N/A</v>
      </c>
    </row>
    <row r="100" spans="1:20" ht="12.3" outlineLevel="1" x14ac:dyDescent="0.35">
      <c r="D100" s="10" t="str">
        <f t="shared" si="41"/>
        <v>Easements</v>
      </c>
      <c r="E100" s="45" t="str">
        <f t="shared" si="42"/>
        <v>Calculated</v>
      </c>
      <c r="F100" s="45" t="str">
        <f t="shared" si="36"/>
        <v>$Millions</v>
      </c>
      <c r="G100" s="45" t="str">
        <f t="shared" si="37"/>
        <v>Nominal</v>
      </c>
      <c r="H100" s="45" t="str">
        <f t="shared" si="38"/>
        <v>End year</v>
      </c>
      <c r="J100" s="58" t="str">
        <f t="shared" si="39"/>
        <v>N/A</v>
      </c>
      <c r="K100" s="56" t="str">
        <f t="shared" si="39"/>
        <v>N/A</v>
      </c>
      <c r="L100" s="57" t="str">
        <f t="shared" si="40"/>
        <v>N/A</v>
      </c>
      <c r="M100" s="57" t="str">
        <f t="shared" si="40"/>
        <v>N/A</v>
      </c>
      <c r="N100" s="57" t="str">
        <f t="shared" si="40"/>
        <v>N/A</v>
      </c>
      <c r="O100" s="58" t="str">
        <f t="shared" si="40"/>
        <v>N/A</v>
      </c>
      <c r="P100" s="56" t="str">
        <f t="shared" si="40"/>
        <v>N/A</v>
      </c>
      <c r="Q100" s="57" t="str">
        <f t="shared" si="40"/>
        <v>N/A</v>
      </c>
      <c r="R100" s="57" t="str">
        <f t="shared" si="40"/>
        <v>N/A</v>
      </c>
      <c r="S100" s="57" t="str">
        <f t="shared" si="40"/>
        <v>N/A</v>
      </c>
      <c r="T100" s="58" t="str">
        <f t="shared" si="40"/>
        <v>N/A</v>
      </c>
    </row>
    <row r="101" spans="1:20" ht="12.3" x14ac:dyDescent="0.35">
      <c r="D101" s="10" t="str">
        <f t="shared" si="41"/>
        <v>Meters</v>
      </c>
      <c r="E101" s="45" t="str">
        <f t="shared" si="42"/>
        <v>Calculated</v>
      </c>
      <c r="F101" s="45" t="str">
        <f t="shared" si="36"/>
        <v>$Millions</v>
      </c>
      <c r="G101" s="45" t="str">
        <f t="shared" si="37"/>
        <v>Nominal</v>
      </c>
      <c r="H101" s="45" t="str">
        <f t="shared" si="38"/>
        <v>End year</v>
      </c>
      <c r="J101" s="58">
        <f>SUM(Input_RAB_ACS!J$104:J$114)*Calc_Alloc!$L$35</f>
        <v>0</v>
      </c>
      <c r="K101" s="56">
        <f>SUM(Input_RAB_ACS!K$104:K$114)*Calc_Alloc!$L$35</f>
        <v>0</v>
      </c>
      <c r="L101" s="57">
        <f>SUM(Input_RAB_ACS!L$104:L$114)*Calc_Alloc!$L$35</f>
        <v>0</v>
      </c>
      <c r="M101" s="57">
        <f>SUM(Input_RAB_ACS!M$104:M$114)*Calc_Alloc!$L$35</f>
        <v>0</v>
      </c>
      <c r="N101" s="57">
        <f>SUM(Input_RAB_ACS!N$104:N$114)*Calc_Alloc!$L$35</f>
        <v>0</v>
      </c>
      <c r="O101" s="58">
        <f>SUM(Input_RAB_ACS!O$104:O$114)*Calc_Alloc!$L$35</f>
        <v>0</v>
      </c>
      <c r="P101" s="56">
        <f>SUM(Input_RAB_ACS!P$104:P$114)*Calc_Alloc!$L$35</f>
        <v>0</v>
      </c>
      <c r="Q101" s="57">
        <f>SUM(Input_RAB_ACS!Q$104:Q$114)*Calc_Alloc!$L$35</f>
        <v>0</v>
      </c>
      <c r="R101" s="57">
        <f>SUM(Input_RAB_ACS!R$104:R$114)*Calc_Alloc!$L$35</f>
        <v>0</v>
      </c>
      <c r="S101" s="57">
        <f>SUM(Input_RAB_ACS!S$104:S$114)*Calc_Alloc!$L$35</f>
        <v>0</v>
      </c>
      <c r="T101" s="58">
        <f>SUM(Input_RAB_ACS!T$104:T$114)*Calc_Alloc!$L$35</f>
        <v>0</v>
      </c>
    </row>
    <row r="102" spans="1:20" ht="12.3" x14ac:dyDescent="0.35">
      <c r="D102" s="10" t="str">
        <f t="shared" si="41"/>
        <v>“Other” asset items with long lives</v>
      </c>
      <c r="E102" s="45" t="str">
        <f t="shared" si="42"/>
        <v>Calculated</v>
      </c>
      <c r="F102" s="45" t="str">
        <f t="shared" si="36"/>
        <v>$Millions</v>
      </c>
      <c r="G102" s="45" t="str">
        <f t="shared" si="37"/>
        <v>Nominal</v>
      </c>
      <c r="H102" s="45" t="str">
        <f t="shared" si="38"/>
        <v>End year</v>
      </c>
      <c r="J102" s="58">
        <f>SUM(Input_RAB_ACS!J$104:J$114)*Calc_Alloc!$M$35</f>
        <v>0</v>
      </c>
      <c r="K102" s="56">
        <f>SUM(Input_RAB_ACS!K$104:K$114)*Calc_Alloc!$M$35</f>
        <v>0</v>
      </c>
      <c r="L102" s="57">
        <f>SUM(Input_RAB_ACS!L$104:L$114)*Calc_Alloc!$M$35</f>
        <v>0</v>
      </c>
      <c r="M102" s="57">
        <f>SUM(Input_RAB_ACS!M$104:M$114)*Calc_Alloc!$M$35</f>
        <v>0</v>
      </c>
      <c r="N102" s="57">
        <f>SUM(Input_RAB_ACS!N$104:N$114)*Calc_Alloc!$M$35</f>
        <v>0</v>
      </c>
      <c r="O102" s="58">
        <f>SUM(Input_RAB_ACS!O$104:O$114)*Calc_Alloc!$M$35</f>
        <v>0</v>
      </c>
      <c r="P102" s="56">
        <f>SUM(Input_RAB_ACS!P$104:P$114)*Calc_Alloc!$M$35</f>
        <v>0</v>
      </c>
      <c r="Q102" s="57">
        <f>SUM(Input_RAB_ACS!Q$104:Q$114)*Calc_Alloc!$M$35</f>
        <v>0</v>
      </c>
      <c r="R102" s="57">
        <f>SUM(Input_RAB_ACS!R$104:R$114)*Calc_Alloc!$M$35</f>
        <v>0</v>
      </c>
      <c r="S102" s="57">
        <f>SUM(Input_RAB_ACS!S$104:S$114)*Calc_Alloc!$M$35</f>
        <v>0</v>
      </c>
      <c r="T102" s="58">
        <f>SUM(Input_RAB_ACS!T$104:T$114)*Calc_Alloc!$M$35</f>
        <v>0</v>
      </c>
    </row>
    <row r="103" spans="1:20" ht="12.3" x14ac:dyDescent="0.35">
      <c r="D103" s="10" t="str">
        <f t="shared" si="41"/>
        <v>“Other” asset items with short lives</v>
      </c>
      <c r="E103" s="45" t="str">
        <f t="shared" si="42"/>
        <v>Calculated</v>
      </c>
      <c r="F103" s="45" t="str">
        <f t="shared" si="36"/>
        <v>$Millions</v>
      </c>
      <c r="G103" s="45" t="str">
        <f t="shared" si="37"/>
        <v>Nominal</v>
      </c>
      <c r="H103" s="45" t="str">
        <f t="shared" si="38"/>
        <v>End year</v>
      </c>
      <c r="J103" s="58">
        <f>SUM(Input_RAB_ACS!J$104:J$114)*Calc_Alloc!$N$35</f>
        <v>0</v>
      </c>
      <c r="K103" s="56">
        <f>SUM(Input_RAB_ACS!K$104:K$114)*Calc_Alloc!$N$35</f>
        <v>0</v>
      </c>
      <c r="L103" s="57">
        <f>SUM(Input_RAB_ACS!L$104:L$114)*Calc_Alloc!$N$35</f>
        <v>0</v>
      </c>
      <c r="M103" s="57">
        <f>SUM(Input_RAB_ACS!M$104:M$114)*Calc_Alloc!$N$35</f>
        <v>0</v>
      </c>
      <c r="N103" s="57">
        <f>SUM(Input_RAB_ACS!N$104:N$114)*Calc_Alloc!$N$35</f>
        <v>0</v>
      </c>
      <c r="O103" s="58">
        <f>SUM(Input_RAB_ACS!O$104:O$114)*Calc_Alloc!$N$35</f>
        <v>0</v>
      </c>
      <c r="P103" s="56">
        <f>SUM(Input_RAB_ACS!P$104:P$114)*Calc_Alloc!$N$35</f>
        <v>0</v>
      </c>
      <c r="Q103" s="57">
        <f>SUM(Input_RAB_ACS!Q$104:Q$114)*Calc_Alloc!$N$35</f>
        <v>0</v>
      </c>
      <c r="R103" s="57">
        <f>SUM(Input_RAB_ACS!R$104:R$114)*Calc_Alloc!$N$35</f>
        <v>0</v>
      </c>
      <c r="S103" s="57">
        <f>SUM(Input_RAB_ACS!S$104:S$114)*Calc_Alloc!$N$35</f>
        <v>0</v>
      </c>
      <c r="T103" s="58">
        <f>SUM(Input_RAB_ACS!T$104:T$114)*Calc_Alloc!$N$35</f>
        <v>0</v>
      </c>
    </row>
    <row r="104" spans="1:20" x14ac:dyDescent="0.35">
      <c r="J104" s="49"/>
      <c r="K104" s="48"/>
      <c r="O104" s="49"/>
      <c r="P104" s="48"/>
      <c r="T104" s="49"/>
    </row>
    <row r="105" spans="1:20" ht="12.3" x14ac:dyDescent="0.35">
      <c r="D105" s="44" t="str">
        <f>"Total "&amp;D92</f>
        <v>Total EB RIN categories</v>
      </c>
      <c r="E105" s="40" t="s">
        <v>91</v>
      </c>
      <c r="F105" s="40" t="str">
        <f>F94</f>
        <v>$Millions</v>
      </c>
      <c r="G105" s="40" t="str">
        <f>G94</f>
        <v>Nominal</v>
      </c>
      <c r="H105" s="40" t="str">
        <f>H94</f>
        <v>End year</v>
      </c>
      <c r="J105" s="54">
        <f t="shared" ref="J105:T105" si="43">SUM(J94:J103)</f>
        <v>0</v>
      </c>
      <c r="K105" s="53">
        <f t="shared" si="43"/>
        <v>0</v>
      </c>
      <c r="L105" s="39">
        <f t="shared" si="43"/>
        <v>0</v>
      </c>
      <c r="M105" s="39">
        <f t="shared" si="43"/>
        <v>0</v>
      </c>
      <c r="N105" s="39">
        <f t="shared" si="43"/>
        <v>0</v>
      </c>
      <c r="O105" s="54">
        <f t="shared" si="43"/>
        <v>0</v>
      </c>
      <c r="P105" s="53">
        <f t="shared" si="43"/>
        <v>0</v>
      </c>
      <c r="Q105" s="39">
        <f t="shared" si="43"/>
        <v>0</v>
      </c>
      <c r="R105" s="39">
        <f t="shared" si="43"/>
        <v>0</v>
      </c>
      <c r="S105" s="39">
        <f t="shared" si="43"/>
        <v>0</v>
      </c>
      <c r="T105" s="54">
        <f t="shared" si="43"/>
        <v>0</v>
      </c>
    </row>
    <row r="106" spans="1:20" ht="11.25" customHeight="1" x14ac:dyDescent="0.35"/>
    <row r="107" spans="1:20" ht="11.25" customHeight="1" x14ac:dyDescent="0.35">
      <c r="A107" s="42">
        <f>IF(SUM($J107:$T107)&lt;&gt;0,1,0)</f>
        <v>0</v>
      </c>
      <c r="D107" s="10" t="s">
        <v>94</v>
      </c>
      <c r="J107" s="42">
        <f>IF(ROUND(J105-Input_RAB_ACS!J$116,5)&lt;&gt;0,1,0)</f>
        <v>0</v>
      </c>
      <c r="K107" s="42">
        <f>IF(ROUND(K105-Input_RAB_ACS!K$116,5)&lt;&gt;0,1,0)</f>
        <v>0</v>
      </c>
      <c r="L107" s="42">
        <f>IF(ROUND(L105-Input_RAB_ACS!L$116,5)&lt;&gt;0,1,0)</f>
        <v>0</v>
      </c>
      <c r="M107" s="42">
        <f>IF(ROUND(M105-Input_RAB_ACS!M$116,5)&lt;&gt;0,1,0)</f>
        <v>0</v>
      </c>
      <c r="N107" s="42">
        <f>IF(ROUND(N105-Input_RAB_ACS!N$116,5)&lt;&gt;0,1,0)</f>
        <v>0</v>
      </c>
      <c r="O107" s="42">
        <f>IF(ROUND(O105-Input_RAB_ACS!O$116,5)&lt;&gt;0,1,0)</f>
        <v>0</v>
      </c>
      <c r="P107" s="42">
        <f>IF(ROUND(P105-Input_RAB_ACS!P$116,5)&lt;&gt;0,1,0)</f>
        <v>0</v>
      </c>
      <c r="Q107" s="42">
        <f>IF(ROUND(Q105-Input_RAB_ACS!Q$116,5)&lt;&gt;0,1,0)</f>
        <v>0</v>
      </c>
      <c r="R107" s="42">
        <f>IF(ROUND(R105-Input_RAB_ACS!R$116,5)&lt;&gt;0,1,0)</f>
        <v>0</v>
      </c>
      <c r="S107" s="42">
        <f>IF(ROUND(S105-Input_RAB_ACS!S$116,5)&lt;&gt;0,1,0)</f>
        <v>0</v>
      </c>
      <c r="T107" s="42">
        <f>IF(ROUND(T105-Input_RAB_ACS!T$116,5)&lt;&gt;0,1,0)</f>
        <v>0</v>
      </c>
    </row>
    <row r="109" spans="1:20" s="8" customFormat="1" ht="14.1" x14ac:dyDescent="0.35">
      <c r="C109" s="8" t="s">
        <v>406</v>
      </c>
    </row>
    <row r="110" spans="1:20" ht="11.25" customHeight="1" x14ac:dyDescent="0.35"/>
    <row r="111" spans="1:20" ht="12.3" x14ac:dyDescent="0.35">
      <c r="D111" s="43" t="str">
        <f>D$16</f>
        <v>EB RIN categories</v>
      </c>
      <c r="E111" s="38" t="str">
        <f>Lookup!E$20</f>
        <v>Source</v>
      </c>
      <c r="F111" s="38" t="str">
        <f>Lookup!F$20</f>
        <v>Unit</v>
      </c>
      <c r="G111" s="38" t="str">
        <f>Lookup!G$20</f>
        <v>Basis</v>
      </c>
      <c r="H111" s="38" t="str">
        <f>Lookup!H$20</f>
        <v>Timing</v>
      </c>
      <c r="J111" s="47" t="str">
        <f t="shared" ref="J111:T111" si="44">J$10</f>
        <v>RY19</v>
      </c>
      <c r="K111" s="46" t="str">
        <f t="shared" si="44"/>
        <v>RY20</v>
      </c>
      <c r="L111" s="38" t="str">
        <f>L$10</f>
        <v>RY21</v>
      </c>
      <c r="M111" s="38" t="str">
        <f t="shared" si="44"/>
        <v>RY22</v>
      </c>
      <c r="N111" s="38" t="str">
        <f t="shared" si="44"/>
        <v>RY23</v>
      </c>
      <c r="O111" s="47" t="str">
        <f t="shared" si="44"/>
        <v>RY24</v>
      </c>
      <c r="P111" s="46" t="str">
        <f t="shared" si="44"/>
        <v>RY25</v>
      </c>
      <c r="Q111" s="38" t="str">
        <f>Q$10</f>
        <v>RY26</v>
      </c>
      <c r="R111" s="38" t="str">
        <f t="shared" si="44"/>
        <v>RY27</v>
      </c>
      <c r="S111" s="38" t="str">
        <f t="shared" si="44"/>
        <v>RY28</v>
      </c>
      <c r="T111" s="47" t="str">
        <f t="shared" si="44"/>
        <v>RY29</v>
      </c>
    </row>
    <row r="112" spans="1:20" x14ac:dyDescent="0.35">
      <c r="J112" s="49"/>
      <c r="K112" s="48"/>
      <c r="O112" s="49"/>
      <c r="P112" s="48"/>
      <c r="T112" s="49"/>
    </row>
    <row r="113" spans="1:20" ht="12.3" outlineLevel="1" x14ac:dyDescent="0.35">
      <c r="D113" s="10" t="str">
        <f>D18</f>
        <v>Overhead network assets less than 33kV</v>
      </c>
      <c r="E113" s="45" t="s">
        <v>91</v>
      </c>
      <c r="F113" s="45" t="str">
        <f t="shared" ref="F113:F122" si="45">Millions</f>
        <v>$Millions</v>
      </c>
      <c r="G113" s="45" t="str">
        <f t="shared" ref="G113:G122" si="46">Nominal</f>
        <v>Nominal</v>
      </c>
      <c r="H113" s="45" t="str">
        <f t="shared" ref="H113:H122" si="47">End_year</f>
        <v>End year</v>
      </c>
      <c r="J113" s="58" t="str">
        <f t="shared" ref="J113:Q119" si="48">NA</f>
        <v>N/A</v>
      </c>
      <c r="K113" s="56" t="str">
        <f t="shared" si="48"/>
        <v>N/A</v>
      </c>
      <c r="L113" s="57" t="str">
        <f t="shared" si="48"/>
        <v>N/A</v>
      </c>
      <c r="M113" s="57" t="str">
        <f t="shared" si="48"/>
        <v>N/A</v>
      </c>
      <c r="N113" s="57" t="str">
        <f t="shared" si="48"/>
        <v>N/A</v>
      </c>
      <c r="O113" s="58" t="str">
        <f t="shared" si="48"/>
        <v>N/A</v>
      </c>
      <c r="P113" s="56" t="str">
        <f t="shared" si="48"/>
        <v>N/A</v>
      </c>
      <c r="Q113" s="57" t="str">
        <f t="shared" si="48"/>
        <v>N/A</v>
      </c>
      <c r="R113" s="57" t="str">
        <f t="shared" ref="L113:T119" si="49">NA</f>
        <v>N/A</v>
      </c>
      <c r="S113" s="57" t="str">
        <f t="shared" si="49"/>
        <v>N/A</v>
      </c>
      <c r="T113" s="58" t="str">
        <f t="shared" si="49"/>
        <v>N/A</v>
      </c>
    </row>
    <row r="114" spans="1:20" ht="12.3" outlineLevel="1" x14ac:dyDescent="0.35">
      <c r="D114" s="10" t="str">
        <f t="shared" ref="D114:D122" si="50">D19</f>
        <v>Underground network assets less than 33kV</v>
      </c>
      <c r="E114" s="45" t="s">
        <v>91</v>
      </c>
      <c r="F114" s="45" t="str">
        <f t="shared" si="45"/>
        <v>$Millions</v>
      </c>
      <c r="G114" s="45" t="str">
        <f t="shared" si="46"/>
        <v>Nominal</v>
      </c>
      <c r="H114" s="45" t="str">
        <f t="shared" si="47"/>
        <v>End year</v>
      </c>
      <c r="J114" s="58" t="str">
        <f t="shared" si="48"/>
        <v>N/A</v>
      </c>
      <c r="K114" s="56" t="str">
        <f t="shared" si="48"/>
        <v>N/A</v>
      </c>
      <c r="L114" s="57" t="str">
        <f t="shared" si="49"/>
        <v>N/A</v>
      </c>
      <c r="M114" s="57" t="str">
        <f t="shared" si="49"/>
        <v>N/A</v>
      </c>
      <c r="N114" s="57" t="str">
        <f t="shared" si="49"/>
        <v>N/A</v>
      </c>
      <c r="O114" s="58" t="str">
        <f t="shared" si="49"/>
        <v>N/A</v>
      </c>
      <c r="P114" s="56" t="str">
        <f t="shared" si="49"/>
        <v>N/A</v>
      </c>
      <c r="Q114" s="57" t="str">
        <f t="shared" si="49"/>
        <v>N/A</v>
      </c>
      <c r="R114" s="57" t="str">
        <f t="shared" si="49"/>
        <v>N/A</v>
      </c>
      <c r="S114" s="57" t="str">
        <f t="shared" si="49"/>
        <v>N/A</v>
      </c>
      <c r="T114" s="58" t="str">
        <f t="shared" si="49"/>
        <v>N/A</v>
      </c>
    </row>
    <row r="115" spans="1:20" ht="12.3" outlineLevel="1" x14ac:dyDescent="0.35">
      <c r="D115" s="10" t="str">
        <f t="shared" si="50"/>
        <v>Distribution substations and transformers</v>
      </c>
      <c r="E115" s="45" t="s">
        <v>91</v>
      </c>
      <c r="F115" s="45" t="str">
        <f t="shared" si="45"/>
        <v>$Millions</v>
      </c>
      <c r="G115" s="45" t="str">
        <f t="shared" si="46"/>
        <v>Nominal</v>
      </c>
      <c r="H115" s="45" t="str">
        <f t="shared" si="47"/>
        <v>End year</v>
      </c>
      <c r="J115" s="58" t="str">
        <f t="shared" si="48"/>
        <v>N/A</v>
      </c>
      <c r="K115" s="56" t="str">
        <f t="shared" si="48"/>
        <v>N/A</v>
      </c>
      <c r="L115" s="57" t="str">
        <f t="shared" si="49"/>
        <v>N/A</v>
      </c>
      <c r="M115" s="57" t="str">
        <f t="shared" si="49"/>
        <v>N/A</v>
      </c>
      <c r="N115" s="57" t="str">
        <f t="shared" si="49"/>
        <v>N/A</v>
      </c>
      <c r="O115" s="58" t="str">
        <f t="shared" si="49"/>
        <v>N/A</v>
      </c>
      <c r="P115" s="56" t="str">
        <f t="shared" si="49"/>
        <v>N/A</v>
      </c>
      <c r="Q115" s="57" t="str">
        <f t="shared" si="49"/>
        <v>N/A</v>
      </c>
      <c r="R115" s="57" t="str">
        <f t="shared" si="49"/>
        <v>N/A</v>
      </c>
      <c r="S115" s="57" t="str">
        <f t="shared" si="49"/>
        <v>N/A</v>
      </c>
      <c r="T115" s="58" t="str">
        <f t="shared" si="49"/>
        <v>N/A</v>
      </c>
    </row>
    <row r="116" spans="1:20" ht="12.3" outlineLevel="1" x14ac:dyDescent="0.35">
      <c r="D116" s="10" t="str">
        <f t="shared" si="50"/>
        <v>Overhead network assets 33kV and above</v>
      </c>
      <c r="E116" s="45" t="s">
        <v>91</v>
      </c>
      <c r="F116" s="45" t="str">
        <f t="shared" si="45"/>
        <v>$Millions</v>
      </c>
      <c r="G116" s="45" t="str">
        <f t="shared" si="46"/>
        <v>Nominal</v>
      </c>
      <c r="H116" s="45" t="str">
        <f t="shared" si="47"/>
        <v>End year</v>
      </c>
      <c r="J116" s="58" t="str">
        <f t="shared" si="48"/>
        <v>N/A</v>
      </c>
      <c r="K116" s="56" t="str">
        <f t="shared" si="48"/>
        <v>N/A</v>
      </c>
      <c r="L116" s="57" t="str">
        <f t="shared" si="49"/>
        <v>N/A</v>
      </c>
      <c r="M116" s="57" t="str">
        <f t="shared" si="49"/>
        <v>N/A</v>
      </c>
      <c r="N116" s="57" t="str">
        <f t="shared" si="49"/>
        <v>N/A</v>
      </c>
      <c r="O116" s="58" t="str">
        <f t="shared" si="49"/>
        <v>N/A</v>
      </c>
      <c r="P116" s="56" t="str">
        <f t="shared" si="49"/>
        <v>N/A</v>
      </c>
      <c r="Q116" s="57" t="str">
        <f t="shared" si="49"/>
        <v>N/A</v>
      </c>
      <c r="R116" s="57" t="str">
        <f t="shared" si="49"/>
        <v>N/A</v>
      </c>
      <c r="S116" s="57" t="str">
        <f t="shared" si="49"/>
        <v>N/A</v>
      </c>
      <c r="T116" s="58" t="str">
        <f t="shared" si="49"/>
        <v>N/A</v>
      </c>
    </row>
    <row r="117" spans="1:20" ht="12.3" outlineLevel="1" x14ac:dyDescent="0.35">
      <c r="D117" s="10" t="str">
        <f t="shared" si="50"/>
        <v>Underground network assets 33kV and above</v>
      </c>
      <c r="E117" s="45" t="s">
        <v>91</v>
      </c>
      <c r="F117" s="45" t="str">
        <f t="shared" si="45"/>
        <v>$Millions</v>
      </c>
      <c r="G117" s="45" t="str">
        <f t="shared" si="46"/>
        <v>Nominal</v>
      </c>
      <c r="H117" s="45" t="str">
        <f t="shared" si="47"/>
        <v>End year</v>
      </c>
      <c r="J117" s="58" t="str">
        <f t="shared" si="48"/>
        <v>N/A</v>
      </c>
      <c r="K117" s="56" t="str">
        <f t="shared" si="48"/>
        <v>N/A</v>
      </c>
      <c r="L117" s="57" t="str">
        <f t="shared" si="49"/>
        <v>N/A</v>
      </c>
      <c r="M117" s="57" t="str">
        <f t="shared" si="49"/>
        <v>N/A</v>
      </c>
      <c r="N117" s="57" t="str">
        <f t="shared" si="49"/>
        <v>N/A</v>
      </c>
      <c r="O117" s="58" t="str">
        <f t="shared" si="49"/>
        <v>N/A</v>
      </c>
      <c r="P117" s="56" t="str">
        <f t="shared" si="49"/>
        <v>N/A</v>
      </c>
      <c r="Q117" s="57" t="str">
        <f t="shared" si="49"/>
        <v>N/A</v>
      </c>
      <c r="R117" s="57" t="str">
        <f t="shared" si="49"/>
        <v>N/A</v>
      </c>
      <c r="S117" s="57" t="str">
        <f t="shared" si="49"/>
        <v>N/A</v>
      </c>
      <c r="T117" s="58" t="str">
        <f t="shared" si="49"/>
        <v>N/A</v>
      </c>
    </row>
    <row r="118" spans="1:20" ht="12.3" outlineLevel="1" x14ac:dyDescent="0.35">
      <c r="D118" s="10" t="str">
        <f t="shared" si="50"/>
        <v>Zone substations and transformers</v>
      </c>
      <c r="E118" s="45" t="s">
        <v>91</v>
      </c>
      <c r="F118" s="45" t="str">
        <f t="shared" si="45"/>
        <v>$Millions</v>
      </c>
      <c r="G118" s="45" t="str">
        <f t="shared" si="46"/>
        <v>Nominal</v>
      </c>
      <c r="H118" s="45" t="str">
        <f t="shared" si="47"/>
        <v>End year</v>
      </c>
      <c r="J118" s="58" t="str">
        <f t="shared" si="48"/>
        <v>N/A</v>
      </c>
      <c r="K118" s="56" t="str">
        <f t="shared" si="48"/>
        <v>N/A</v>
      </c>
      <c r="L118" s="57" t="str">
        <f t="shared" si="49"/>
        <v>N/A</v>
      </c>
      <c r="M118" s="57" t="str">
        <f t="shared" si="49"/>
        <v>N/A</v>
      </c>
      <c r="N118" s="57" t="str">
        <f t="shared" si="49"/>
        <v>N/A</v>
      </c>
      <c r="O118" s="58" t="str">
        <f t="shared" si="49"/>
        <v>N/A</v>
      </c>
      <c r="P118" s="56" t="str">
        <f t="shared" si="49"/>
        <v>N/A</v>
      </c>
      <c r="Q118" s="57" t="str">
        <f t="shared" si="49"/>
        <v>N/A</v>
      </c>
      <c r="R118" s="57" t="str">
        <f t="shared" si="49"/>
        <v>N/A</v>
      </c>
      <c r="S118" s="57" t="str">
        <f t="shared" si="49"/>
        <v>N/A</v>
      </c>
      <c r="T118" s="58" t="str">
        <f t="shared" si="49"/>
        <v>N/A</v>
      </c>
    </row>
    <row r="119" spans="1:20" ht="12.3" outlineLevel="1" x14ac:dyDescent="0.35">
      <c r="D119" s="10" t="str">
        <f t="shared" si="50"/>
        <v>Easements</v>
      </c>
      <c r="E119" s="45" t="s">
        <v>91</v>
      </c>
      <c r="F119" s="45" t="str">
        <f t="shared" si="45"/>
        <v>$Millions</v>
      </c>
      <c r="G119" s="45" t="str">
        <f t="shared" si="46"/>
        <v>Nominal</v>
      </c>
      <c r="H119" s="45" t="str">
        <f t="shared" si="47"/>
        <v>End year</v>
      </c>
      <c r="J119" s="58" t="str">
        <f t="shared" si="48"/>
        <v>N/A</v>
      </c>
      <c r="K119" s="56" t="str">
        <f t="shared" si="48"/>
        <v>N/A</v>
      </c>
      <c r="L119" s="57" t="str">
        <f t="shared" si="49"/>
        <v>N/A</v>
      </c>
      <c r="M119" s="57" t="str">
        <f t="shared" si="49"/>
        <v>N/A</v>
      </c>
      <c r="N119" s="57" t="str">
        <f t="shared" si="49"/>
        <v>N/A</v>
      </c>
      <c r="O119" s="58" t="str">
        <f t="shared" si="49"/>
        <v>N/A</v>
      </c>
      <c r="P119" s="56" t="str">
        <f t="shared" si="49"/>
        <v>N/A</v>
      </c>
      <c r="Q119" s="57" t="str">
        <f t="shared" si="49"/>
        <v>N/A</v>
      </c>
      <c r="R119" s="57" t="str">
        <f t="shared" si="49"/>
        <v>N/A</v>
      </c>
      <c r="S119" s="57" t="str">
        <f t="shared" si="49"/>
        <v>N/A</v>
      </c>
      <c r="T119" s="58" t="str">
        <f t="shared" si="49"/>
        <v>N/A</v>
      </c>
    </row>
    <row r="120" spans="1:20" ht="12.3" x14ac:dyDescent="0.35">
      <c r="D120" s="10" t="str">
        <f t="shared" si="50"/>
        <v>Meters</v>
      </c>
      <c r="E120" s="45" t="s">
        <v>91</v>
      </c>
      <c r="F120" s="45" t="str">
        <f t="shared" si="45"/>
        <v>$Millions</v>
      </c>
      <c r="G120" s="45" t="str">
        <f t="shared" si="46"/>
        <v>Nominal</v>
      </c>
      <c r="H120" s="45" t="str">
        <f t="shared" si="47"/>
        <v>End year</v>
      </c>
      <c r="J120" s="58">
        <f t="shared" ref="J120:T120" si="51">J25+J44+J63+J82+J101</f>
        <v>11.729399943073709</v>
      </c>
      <c r="K120" s="56">
        <f t="shared" si="51"/>
        <v>14.336118976769413</v>
      </c>
      <c r="L120" s="57">
        <f t="shared" si="51"/>
        <v>15.302199747621378</v>
      </c>
      <c r="M120" s="57">
        <f t="shared" si="51"/>
        <v>17.630682406329925</v>
      </c>
      <c r="N120" s="57">
        <f t="shared" si="51"/>
        <v>28.081094405855303</v>
      </c>
      <c r="O120" s="58">
        <f t="shared" si="51"/>
        <v>39.19012731692095</v>
      </c>
      <c r="P120" s="56">
        <f t="shared" si="51"/>
        <v>47.26274586356665</v>
      </c>
      <c r="Q120" s="57">
        <f t="shared" si="51"/>
        <v>50.278543888796989</v>
      </c>
      <c r="R120" s="57">
        <f t="shared" si="51"/>
        <v>56.003176181777192</v>
      </c>
      <c r="S120" s="57">
        <f t="shared" si="51"/>
        <v>62.874110719915443</v>
      </c>
      <c r="T120" s="58">
        <f t="shared" si="51"/>
        <v>70.410603571166149</v>
      </c>
    </row>
    <row r="121" spans="1:20" ht="12.3" x14ac:dyDescent="0.35">
      <c r="D121" s="10" t="str">
        <f t="shared" si="50"/>
        <v>“Other” asset items with long lives</v>
      </c>
      <c r="E121" s="45" t="s">
        <v>91</v>
      </c>
      <c r="F121" s="45" t="str">
        <f t="shared" si="45"/>
        <v>$Millions</v>
      </c>
      <c r="G121" s="45" t="str">
        <f t="shared" si="46"/>
        <v>Nominal</v>
      </c>
      <c r="H121" s="45" t="str">
        <f t="shared" si="47"/>
        <v>End year</v>
      </c>
      <c r="J121" s="58">
        <f t="shared" ref="J121:T121" si="52">J26+J45+J64+J83+J102</f>
        <v>0.74523826644483626</v>
      </c>
      <c r="K121" s="56">
        <f t="shared" si="52"/>
        <v>0.9108585695471515</v>
      </c>
      <c r="L121" s="57">
        <f t="shared" si="52"/>
        <v>0.97223940423687072</v>
      </c>
      <c r="M121" s="57">
        <f t="shared" si="52"/>
        <v>1.1201817020905227</v>
      </c>
      <c r="N121" s="57">
        <f t="shared" si="52"/>
        <v>1.7841582874195534</v>
      </c>
      <c r="O121" s="58">
        <f t="shared" si="52"/>
        <v>2.4899809611028676</v>
      </c>
      <c r="P121" s="56">
        <f t="shared" si="52"/>
        <v>3.0028822416943934</v>
      </c>
      <c r="Q121" s="57">
        <f t="shared" si="52"/>
        <v>3.1944937566208305</v>
      </c>
      <c r="R121" s="57">
        <f t="shared" si="52"/>
        <v>3.5582135604266445</v>
      </c>
      <c r="S121" s="57">
        <f t="shared" si="52"/>
        <v>3.9947647368644281</v>
      </c>
      <c r="T121" s="58">
        <f t="shared" si="52"/>
        <v>4.4736027758773735</v>
      </c>
    </row>
    <row r="122" spans="1:20" ht="12.3" x14ac:dyDescent="0.35">
      <c r="D122" s="10" t="str">
        <f t="shared" si="50"/>
        <v>“Other” asset items with short lives</v>
      </c>
      <c r="E122" s="45" t="s">
        <v>91</v>
      </c>
      <c r="F122" s="45" t="str">
        <f t="shared" si="45"/>
        <v>$Millions</v>
      </c>
      <c r="G122" s="45" t="str">
        <f t="shared" si="46"/>
        <v>Nominal</v>
      </c>
      <c r="H122" s="45" t="str">
        <f t="shared" si="47"/>
        <v>End year</v>
      </c>
      <c r="J122" s="58">
        <f t="shared" ref="J122:T122" si="53">J27+J46+J65+J84+J103</f>
        <v>0.81496461798899245</v>
      </c>
      <c r="K122" s="56">
        <f t="shared" si="53"/>
        <v>0.99608076986468319</v>
      </c>
      <c r="L122" s="57">
        <f t="shared" si="53"/>
        <v>1.0632045485903632</v>
      </c>
      <c r="M122" s="57">
        <f t="shared" si="53"/>
        <v>1.2249886969405068</v>
      </c>
      <c r="N122" s="57">
        <f t="shared" si="53"/>
        <v>1.951088588184301</v>
      </c>
      <c r="O122" s="58">
        <f t="shared" si="53"/>
        <v>2.722949792212892</v>
      </c>
      <c r="P122" s="56">
        <f t="shared" si="53"/>
        <v>3.2838393962819268</v>
      </c>
      <c r="Q122" s="57">
        <f t="shared" si="53"/>
        <v>3.4933785626068952</v>
      </c>
      <c r="R122" s="57">
        <f t="shared" si="53"/>
        <v>3.8911288987211474</v>
      </c>
      <c r="S122" s="57">
        <f t="shared" si="53"/>
        <v>4.368524892401779</v>
      </c>
      <c r="T122" s="58">
        <f t="shared" si="53"/>
        <v>4.8921642130239027</v>
      </c>
    </row>
    <row r="123" spans="1:20" x14ac:dyDescent="0.35">
      <c r="J123" s="49"/>
      <c r="K123" s="48"/>
      <c r="O123" s="49"/>
      <c r="P123" s="48"/>
      <c r="T123" s="49"/>
    </row>
    <row r="124" spans="1:20" ht="12.3" x14ac:dyDescent="0.35">
      <c r="D124" s="44" t="str">
        <f>"Total "&amp;D111</f>
        <v>Total EB RIN categories</v>
      </c>
      <c r="E124" s="40" t="s">
        <v>91</v>
      </c>
      <c r="F124" s="40" t="str">
        <f>F113</f>
        <v>$Millions</v>
      </c>
      <c r="G124" s="40" t="str">
        <f>G113</f>
        <v>Nominal</v>
      </c>
      <c r="H124" s="40" t="str">
        <f>H113</f>
        <v>End year</v>
      </c>
      <c r="J124" s="54">
        <f t="shared" ref="J124:T124" si="54">SUM(J113:J122)</f>
        <v>13.289602827507538</v>
      </c>
      <c r="K124" s="53">
        <f t="shared" si="54"/>
        <v>16.243058316181248</v>
      </c>
      <c r="L124" s="39">
        <f t="shared" si="54"/>
        <v>17.337643700448613</v>
      </c>
      <c r="M124" s="39">
        <f t="shared" si="54"/>
        <v>19.975852805360955</v>
      </c>
      <c r="N124" s="39">
        <f t="shared" si="54"/>
        <v>31.81634128145916</v>
      </c>
      <c r="O124" s="54">
        <f t="shared" si="54"/>
        <v>44.40305807023671</v>
      </c>
      <c r="P124" s="53">
        <f t="shared" si="54"/>
        <v>53.549467501542971</v>
      </c>
      <c r="Q124" s="39">
        <f t="shared" si="54"/>
        <v>56.966416208024711</v>
      </c>
      <c r="R124" s="39">
        <f t="shared" si="54"/>
        <v>63.452518640924986</v>
      </c>
      <c r="S124" s="39">
        <f t="shared" si="54"/>
        <v>71.237400349181655</v>
      </c>
      <c r="T124" s="54">
        <f t="shared" si="54"/>
        <v>79.77637056006742</v>
      </c>
    </row>
    <row r="125" spans="1:20" ht="11.25" customHeight="1" x14ac:dyDescent="0.35"/>
    <row r="126" spans="1:20" ht="11.25" customHeight="1" x14ac:dyDescent="0.35">
      <c r="A126" s="42">
        <f>IF(SUM($J126:$T126)&lt;&gt;0,1,0)</f>
        <v>0</v>
      </c>
      <c r="D126" s="10" t="s">
        <v>94</v>
      </c>
      <c r="J126" s="42">
        <f>IF(ROUND(J124-Input_RAB_ACS!J$138,5)&lt;&gt;0,1,0)</f>
        <v>0</v>
      </c>
      <c r="K126" s="42">
        <f>IF(ROUND(K124-Input_RAB_ACS!K$138,5)&lt;&gt;0,1,0)</f>
        <v>0</v>
      </c>
      <c r="L126" s="42">
        <f>IF(ROUND(L124-Input_RAB_ACS!L$138,5)&lt;&gt;0,1,0)</f>
        <v>0</v>
      </c>
      <c r="M126" s="42">
        <f>IF(ROUND(M124-Input_RAB_ACS!M$138,5)&lt;&gt;0,1,0)</f>
        <v>0</v>
      </c>
      <c r="N126" s="42">
        <f>IF(ROUND(N124-Input_RAB_ACS!N$138,5)&lt;&gt;0,1,0)</f>
        <v>0</v>
      </c>
      <c r="O126" s="42">
        <f>IF(ROUND(O124-Input_RAB_ACS!O$138,5)&lt;&gt;0,1,0)</f>
        <v>0</v>
      </c>
      <c r="P126" s="42">
        <f>IF(ROUND(P124-Input_RAB_ACS!P$138,5)&lt;&gt;0,1,0)</f>
        <v>0</v>
      </c>
      <c r="Q126" s="42">
        <f>IF(ROUND(Q124-Input_RAB_ACS!Q$138,5)&lt;&gt;0,1,0)</f>
        <v>0</v>
      </c>
      <c r="R126" s="42">
        <f>IF(ROUND(R124-Input_RAB_ACS!R$138,5)&lt;&gt;0,1,0)</f>
        <v>0</v>
      </c>
      <c r="S126" s="42">
        <f>IF(ROUND(S124-Input_RAB_ACS!S$138,5)&lt;&gt;0,1,0)</f>
        <v>0</v>
      </c>
      <c r="T126" s="42">
        <f>IF(ROUND(T124-Input_RAB_ACS!T$138,5)&lt;&gt;0,1,0)</f>
        <v>0</v>
      </c>
    </row>
    <row r="128" spans="1:20" s="8" customFormat="1" ht="14.1" x14ac:dyDescent="0.35">
      <c r="C128" s="8" t="s">
        <v>144</v>
      </c>
    </row>
    <row r="129" spans="4:20" ht="11.25" customHeight="1" x14ac:dyDescent="0.35"/>
    <row r="130" spans="4:20" ht="12.3" x14ac:dyDescent="0.35">
      <c r="D130" s="43" t="str">
        <f>D$16</f>
        <v>EB RIN categories</v>
      </c>
      <c r="E130" s="38" t="str">
        <f>Lookup!E$20</f>
        <v>Source</v>
      </c>
      <c r="F130" s="38" t="str">
        <f>Lookup!F$20</f>
        <v>Unit</v>
      </c>
      <c r="G130" s="38" t="str">
        <f>Lookup!G$20</f>
        <v>Basis</v>
      </c>
      <c r="H130" s="38" t="str">
        <f>Lookup!H$20</f>
        <v>Timing</v>
      </c>
      <c r="J130" s="47" t="str">
        <f t="shared" ref="J130:T130" si="55">J$10</f>
        <v>RY19</v>
      </c>
      <c r="K130" s="46" t="str">
        <f t="shared" si="55"/>
        <v>RY20</v>
      </c>
      <c r="L130" s="38" t="str">
        <f>L$10</f>
        <v>RY21</v>
      </c>
      <c r="M130" s="38" t="str">
        <f t="shared" si="55"/>
        <v>RY22</v>
      </c>
      <c r="N130" s="38" t="str">
        <f t="shared" si="55"/>
        <v>RY23</v>
      </c>
      <c r="O130" s="47" t="str">
        <f t="shared" si="55"/>
        <v>RY24</v>
      </c>
      <c r="P130" s="46" t="str">
        <f t="shared" si="55"/>
        <v>RY25</v>
      </c>
      <c r="Q130" s="38" t="str">
        <f>Q$10</f>
        <v>RY26</v>
      </c>
      <c r="R130" s="38" t="str">
        <f t="shared" si="55"/>
        <v>RY27</v>
      </c>
      <c r="S130" s="38" t="str">
        <f t="shared" si="55"/>
        <v>RY28</v>
      </c>
      <c r="T130" s="47" t="str">
        <f t="shared" si="55"/>
        <v>RY29</v>
      </c>
    </row>
    <row r="131" spans="4:20" x14ac:dyDescent="0.35">
      <c r="J131" s="49"/>
      <c r="K131" s="48"/>
      <c r="O131" s="49"/>
      <c r="P131" s="48"/>
      <c r="T131" s="49"/>
    </row>
    <row r="132" spans="4:20" ht="12.3" outlineLevel="1" x14ac:dyDescent="0.35">
      <c r="D132" s="10" t="str">
        <f>D18</f>
        <v>Overhead network assets less than 33kV</v>
      </c>
      <c r="E132" s="45" t="str">
        <f>E56</f>
        <v>Calculated</v>
      </c>
      <c r="F132" s="45" t="str">
        <f t="shared" ref="F132:F141" si="56">Millions</f>
        <v>$Millions</v>
      </c>
      <c r="G132" s="45" t="str">
        <f t="shared" ref="G132:G141" si="57">Nominal</f>
        <v>Nominal</v>
      </c>
      <c r="H132" s="45" t="str">
        <f t="shared" ref="H132:H141" si="58">End_year</f>
        <v>End year</v>
      </c>
      <c r="J132" s="58" t="str">
        <f t="shared" ref="J132:Q138" si="59">NA</f>
        <v>N/A</v>
      </c>
      <c r="K132" s="56" t="str">
        <f t="shared" si="59"/>
        <v>N/A</v>
      </c>
      <c r="L132" s="57" t="str">
        <f t="shared" si="59"/>
        <v>N/A</v>
      </c>
      <c r="M132" s="57" t="str">
        <f t="shared" si="59"/>
        <v>N/A</v>
      </c>
      <c r="N132" s="57" t="str">
        <f t="shared" si="59"/>
        <v>N/A</v>
      </c>
      <c r="O132" s="58" t="str">
        <f t="shared" si="59"/>
        <v>N/A</v>
      </c>
      <c r="P132" s="56" t="str">
        <f t="shared" si="59"/>
        <v>N/A</v>
      </c>
      <c r="Q132" s="57" t="str">
        <f t="shared" si="59"/>
        <v>N/A</v>
      </c>
      <c r="R132" s="57" t="str">
        <f t="shared" ref="L132:T138" si="60">NA</f>
        <v>N/A</v>
      </c>
      <c r="S132" s="57" t="str">
        <f t="shared" si="60"/>
        <v>N/A</v>
      </c>
      <c r="T132" s="58" t="str">
        <f t="shared" si="60"/>
        <v>N/A</v>
      </c>
    </row>
    <row r="133" spans="4:20" ht="12.3" outlineLevel="1" x14ac:dyDescent="0.35">
      <c r="D133" s="10" t="str">
        <f t="shared" ref="D133:D141" si="61">D19</f>
        <v>Underground network assets less than 33kV</v>
      </c>
      <c r="E133" s="45" t="str">
        <f t="shared" ref="E133:E141" si="62">E57</f>
        <v>Calculated</v>
      </c>
      <c r="F133" s="45" t="str">
        <f t="shared" si="56"/>
        <v>$Millions</v>
      </c>
      <c r="G133" s="45" t="str">
        <f t="shared" si="57"/>
        <v>Nominal</v>
      </c>
      <c r="H133" s="45" t="str">
        <f t="shared" si="58"/>
        <v>End year</v>
      </c>
      <c r="J133" s="58" t="str">
        <f t="shared" si="59"/>
        <v>N/A</v>
      </c>
      <c r="K133" s="56" t="str">
        <f t="shared" si="59"/>
        <v>N/A</v>
      </c>
      <c r="L133" s="57" t="str">
        <f t="shared" si="60"/>
        <v>N/A</v>
      </c>
      <c r="M133" s="57" t="str">
        <f t="shared" si="60"/>
        <v>N/A</v>
      </c>
      <c r="N133" s="57" t="str">
        <f t="shared" si="60"/>
        <v>N/A</v>
      </c>
      <c r="O133" s="58" t="str">
        <f t="shared" si="60"/>
        <v>N/A</v>
      </c>
      <c r="P133" s="56" t="str">
        <f t="shared" si="60"/>
        <v>N/A</v>
      </c>
      <c r="Q133" s="57" t="str">
        <f t="shared" si="60"/>
        <v>N/A</v>
      </c>
      <c r="R133" s="57" t="str">
        <f t="shared" si="60"/>
        <v>N/A</v>
      </c>
      <c r="S133" s="57" t="str">
        <f t="shared" si="60"/>
        <v>N/A</v>
      </c>
      <c r="T133" s="58" t="str">
        <f t="shared" si="60"/>
        <v>N/A</v>
      </c>
    </row>
    <row r="134" spans="4:20" ht="12.3" outlineLevel="1" x14ac:dyDescent="0.35">
      <c r="D134" s="10" t="str">
        <f t="shared" si="61"/>
        <v>Distribution substations and transformers</v>
      </c>
      <c r="E134" s="45" t="str">
        <f t="shared" si="62"/>
        <v>Calculated</v>
      </c>
      <c r="F134" s="45" t="str">
        <f t="shared" si="56"/>
        <v>$Millions</v>
      </c>
      <c r="G134" s="45" t="str">
        <f t="shared" si="57"/>
        <v>Nominal</v>
      </c>
      <c r="H134" s="45" t="str">
        <f t="shared" si="58"/>
        <v>End year</v>
      </c>
      <c r="J134" s="58" t="str">
        <f t="shared" si="59"/>
        <v>N/A</v>
      </c>
      <c r="K134" s="56" t="str">
        <f t="shared" si="59"/>
        <v>N/A</v>
      </c>
      <c r="L134" s="57" t="str">
        <f t="shared" si="60"/>
        <v>N/A</v>
      </c>
      <c r="M134" s="57" t="str">
        <f t="shared" si="60"/>
        <v>N/A</v>
      </c>
      <c r="N134" s="57" t="str">
        <f t="shared" si="60"/>
        <v>N/A</v>
      </c>
      <c r="O134" s="58" t="str">
        <f t="shared" si="60"/>
        <v>N/A</v>
      </c>
      <c r="P134" s="56" t="str">
        <f t="shared" si="60"/>
        <v>N/A</v>
      </c>
      <c r="Q134" s="57" t="str">
        <f t="shared" si="60"/>
        <v>N/A</v>
      </c>
      <c r="R134" s="57" t="str">
        <f t="shared" si="60"/>
        <v>N/A</v>
      </c>
      <c r="S134" s="57" t="str">
        <f t="shared" si="60"/>
        <v>N/A</v>
      </c>
      <c r="T134" s="58" t="str">
        <f t="shared" si="60"/>
        <v>N/A</v>
      </c>
    </row>
    <row r="135" spans="4:20" ht="12.3" outlineLevel="1" x14ac:dyDescent="0.35">
      <c r="D135" s="10" t="str">
        <f t="shared" si="61"/>
        <v>Overhead network assets 33kV and above</v>
      </c>
      <c r="E135" s="45" t="str">
        <f t="shared" si="62"/>
        <v>Calculated</v>
      </c>
      <c r="F135" s="45" t="str">
        <f t="shared" si="56"/>
        <v>$Millions</v>
      </c>
      <c r="G135" s="45" t="str">
        <f t="shared" si="57"/>
        <v>Nominal</v>
      </c>
      <c r="H135" s="45" t="str">
        <f t="shared" si="58"/>
        <v>End year</v>
      </c>
      <c r="J135" s="58" t="str">
        <f t="shared" si="59"/>
        <v>N/A</v>
      </c>
      <c r="K135" s="56" t="str">
        <f t="shared" si="59"/>
        <v>N/A</v>
      </c>
      <c r="L135" s="57" t="str">
        <f t="shared" si="60"/>
        <v>N/A</v>
      </c>
      <c r="M135" s="57" t="str">
        <f t="shared" si="60"/>
        <v>N/A</v>
      </c>
      <c r="N135" s="57" t="str">
        <f t="shared" si="60"/>
        <v>N/A</v>
      </c>
      <c r="O135" s="58" t="str">
        <f t="shared" si="60"/>
        <v>N/A</v>
      </c>
      <c r="P135" s="56" t="str">
        <f t="shared" si="60"/>
        <v>N/A</v>
      </c>
      <c r="Q135" s="57" t="str">
        <f t="shared" si="60"/>
        <v>N/A</v>
      </c>
      <c r="R135" s="57" t="str">
        <f t="shared" si="60"/>
        <v>N/A</v>
      </c>
      <c r="S135" s="57" t="str">
        <f t="shared" si="60"/>
        <v>N/A</v>
      </c>
      <c r="T135" s="58" t="str">
        <f t="shared" si="60"/>
        <v>N/A</v>
      </c>
    </row>
    <row r="136" spans="4:20" ht="12.3" outlineLevel="1" x14ac:dyDescent="0.35">
      <c r="D136" s="10" t="str">
        <f t="shared" si="61"/>
        <v>Underground network assets 33kV and above</v>
      </c>
      <c r="E136" s="45" t="str">
        <f t="shared" si="62"/>
        <v>Calculated</v>
      </c>
      <c r="F136" s="45" t="str">
        <f t="shared" si="56"/>
        <v>$Millions</v>
      </c>
      <c r="G136" s="45" t="str">
        <f t="shared" si="57"/>
        <v>Nominal</v>
      </c>
      <c r="H136" s="45" t="str">
        <f t="shared" si="58"/>
        <v>End year</v>
      </c>
      <c r="J136" s="58" t="str">
        <f t="shared" si="59"/>
        <v>N/A</v>
      </c>
      <c r="K136" s="56" t="str">
        <f t="shared" si="59"/>
        <v>N/A</v>
      </c>
      <c r="L136" s="57" t="str">
        <f t="shared" si="60"/>
        <v>N/A</v>
      </c>
      <c r="M136" s="57" t="str">
        <f t="shared" si="60"/>
        <v>N/A</v>
      </c>
      <c r="N136" s="57" t="str">
        <f t="shared" si="60"/>
        <v>N/A</v>
      </c>
      <c r="O136" s="58" t="str">
        <f t="shared" si="60"/>
        <v>N/A</v>
      </c>
      <c r="P136" s="56" t="str">
        <f t="shared" si="60"/>
        <v>N/A</v>
      </c>
      <c r="Q136" s="57" t="str">
        <f t="shared" si="60"/>
        <v>N/A</v>
      </c>
      <c r="R136" s="57" t="str">
        <f t="shared" si="60"/>
        <v>N/A</v>
      </c>
      <c r="S136" s="57" t="str">
        <f t="shared" si="60"/>
        <v>N/A</v>
      </c>
      <c r="T136" s="58" t="str">
        <f t="shared" si="60"/>
        <v>N/A</v>
      </c>
    </row>
    <row r="137" spans="4:20" ht="12.3" outlineLevel="1" x14ac:dyDescent="0.35">
      <c r="D137" s="10" t="str">
        <f t="shared" si="61"/>
        <v>Zone substations and transformers</v>
      </c>
      <c r="E137" s="45" t="str">
        <f t="shared" si="62"/>
        <v>Calculated</v>
      </c>
      <c r="F137" s="45" t="str">
        <f t="shared" si="56"/>
        <v>$Millions</v>
      </c>
      <c r="G137" s="45" t="str">
        <f t="shared" si="57"/>
        <v>Nominal</v>
      </c>
      <c r="H137" s="45" t="str">
        <f t="shared" si="58"/>
        <v>End year</v>
      </c>
      <c r="J137" s="58" t="str">
        <f t="shared" si="59"/>
        <v>N/A</v>
      </c>
      <c r="K137" s="56" t="str">
        <f t="shared" si="59"/>
        <v>N/A</v>
      </c>
      <c r="L137" s="57" t="str">
        <f t="shared" si="60"/>
        <v>N/A</v>
      </c>
      <c r="M137" s="57" t="str">
        <f t="shared" si="60"/>
        <v>N/A</v>
      </c>
      <c r="N137" s="57" t="str">
        <f t="shared" si="60"/>
        <v>N/A</v>
      </c>
      <c r="O137" s="58" t="str">
        <f t="shared" si="60"/>
        <v>N/A</v>
      </c>
      <c r="P137" s="56" t="str">
        <f t="shared" si="60"/>
        <v>N/A</v>
      </c>
      <c r="Q137" s="57" t="str">
        <f t="shared" si="60"/>
        <v>N/A</v>
      </c>
      <c r="R137" s="57" t="str">
        <f t="shared" si="60"/>
        <v>N/A</v>
      </c>
      <c r="S137" s="57" t="str">
        <f t="shared" si="60"/>
        <v>N/A</v>
      </c>
      <c r="T137" s="58" t="str">
        <f t="shared" si="60"/>
        <v>N/A</v>
      </c>
    </row>
    <row r="138" spans="4:20" ht="12.3" outlineLevel="1" x14ac:dyDescent="0.35">
      <c r="D138" s="10" t="str">
        <f t="shared" si="61"/>
        <v>Easements</v>
      </c>
      <c r="E138" s="45" t="str">
        <f t="shared" si="62"/>
        <v>Calculated</v>
      </c>
      <c r="F138" s="45" t="str">
        <f t="shared" si="56"/>
        <v>$Millions</v>
      </c>
      <c r="G138" s="45" t="str">
        <f t="shared" si="57"/>
        <v>Nominal</v>
      </c>
      <c r="H138" s="45" t="str">
        <f t="shared" si="58"/>
        <v>End year</v>
      </c>
      <c r="J138" s="58" t="str">
        <f t="shared" si="59"/>
        <v>N/A</v>
      </c>
      <c r="K138" s="56" t="str">
        <f t="shared" si="59"/>
        <v>N/A</v>
      </c>
      <c r="L138" s="57" t="str">
        <f t="shared" si="60"/>
        <v>N/A</v>
      </c>
      <c r="M138" s="57" t="str">
        <f t="shared" si="60"/>
        <v>N/A</v>
      </c>
      <c r="N138" s="57" t="str">
        <f t="shared" si="60"/>
        <v>N/A</v>
      </c>
      <c r="O138" s="58" t="str">
        <f t="shared" si="60"/>
        <v>N/A</v>
      </c>
      <c r="P138" s="56" t="str">
        <f t="shared" si="60"/>
        <v>N/A</v>
      </c>
      <c r="Q138" s="57" t="str">
        <f t="shared" si="60"/>
        <v>N/A</v>
      </c>
      <c r="R138" s="57" t="str">
        <f t="shared" si="60"/>
        <v>N/A</v>
      </c>
      <c r="S138" s="57" t="str">
        <f t="shared" si="60"/>
        <v>N/A</v>
      </c>
      <c r="T138" s="58" t="str">
        <f t="shared" si="60"/>
        <v>N/A</v>
      </c>
    </row>
    <row r="139" spans="4:20" ht="12.3" x14ac:dyDescent="0.35">
      <c r="D139" s="10" t="str">
        <f t="shared" si="61"/>
        <v>Meters</v>
      </c>
      <c r="E139" s="45" t="str">
        <f t="shared" si="62"/>
        <v>Calculated</v>
      </c>
      <c r="F139" s="45" t="str">
        <f t="shared" si="56"/>
        <v>$Millions</v>
      </c>
      <c r="G139" s="45" t="str">
        <f t="shared" si="57"/>
        <v>Nominal</v>
      </c>
      <c r="H139" s="45" t="str">
        <f t="shared" si="58"/>
        <v>End year</v>
      </c>
      <c r="J139" s="58">
        <f>SUM(Input_RAB_ACS!J$146:J$156)*Calc_Alloc!$L$35</f>
        <v>0.67472261059011696</v>
      </c>
      <c r="K139" s="56">
        <f>SUM(Input_RAB_ACS!K$146:K$156)*Calc_Alloc!$L$35</f>
        <v>0</v>
      </c>
      <c r="L139" s="57">
        <f>SUM(Input_RAB_ACS!L$146:L$156)*Calc_Alloc!$L$35</f>
        <v>0</v>
      </c>
      <c r="M139" s="57">
        <f>SUM(Input_RAB_ACS!M$146:M$156)*Calc_Alloc!$L$35</f>
        <v>0</v>
      </c>
      <c r="N139" s="57">
        <f>SUM(Input_RAB_ACS!N$146:N$156)*Calc_Alloc!$L$35</f>
        <v>0</v>
      </c>
      <c r="O139" s="58">
        <f>SUM(Input_RAB_ACS!O$146:O$156)*Calc_Alloc!$L$35</f>
        <v>4.8497911675439296</v>
      </c>
      <c r="P139" s="56">
        <f>SUM(Input_RAB_ACS!P$146:P$156)*Calc_Alloc!$L$35</f>
        <v>0</v>
      </c>
      <c r="Q139" s="57">
        <f>SUM(Input_RAB_ACS!Q$146:Q$156)*Calc_Alloc!$L$35</f>
        <v>0</v>
      </c>
      <c r="R139" s="57">
        <f>SUM(Input_RAB_ACS!R$146:R$156)*Calc_Alloc!$L$35</f>
        <v>0</v>
      </c>
      <c r="S139" s="57">
        <f>SUM(Input_RAB_ACS!S$146:S$156)*Calc_Alloc!$L$35</f>
        <v>0</v>
      </c>
      <c r="T139" s="58">
        <f>SUM(Input_RAB_ACS!T$146:T$156)*Calc_Alloc!$L$35</f>
        <v>0</v>
      </c>
    </row>
    <row r="140" spans="4:20" ht="12.3" x14ac:dyDescent="0.35">
      <c r="D140" s="10" t="str">
        <f t="shared" si="61"/>
        <v>“Other” asset items with long lives</v>
      </c>
      <c r="E140" s="45" t="str">
        <f t="shared" si="62"/>
        <v>Calculated</v>
      </c>
      <c r="F140" s="45" t="str">
        <f t="shared" si="56"/>
        <v>$Millions</v>
      </c>
      <c r="G140" s="45" t="str">
        <f t="shared" si="57"/>
        <v>Nominal</v>
      </c>
      <c r="H140" s="45" t="str">
        <f t="shared" si="58"/>
        <v>End year</v>
      </c>
      <c r="J140" s="58">
        <f>SUM(Input_RAB_ACS!J$146:J$156)*Calc_Alloc!$M$35</f>
        <v>4.2869124685635522E-2</v>
      </c>
      <c r="K140" s="56">
        <f>SUM(Input_RAB_ACS!K$146:K$156)*Calc_Alloc!$M$35</f>
        <v>0</v>
      </c>
      <c r="L140" s="57">
        <f>SUM(Input_RAB_ACS!L$146:L$156)*Calc_Alloc!$M$35</f>
        <v>0</v>
      </c>
      <c r="M140" s="57">
        <f>SUM(Input_RAB_ACS!M$146:M$156)*Calc_Alloc!$M$35</f>
        <v>0</v>
      </c>
      <c r="N140" s="57">
        <f>SUM(Input_RAB_ACS!N$146:N$156)*Calc_Alloc!$M$35</f>
        <v>0</v>
      </c>
      <c r="O140" s="58">
        <f>SUM(Input_RAB_ACS!O$146:O$156)*Calc_Alloc!$M$35</f>
        <v>0.30813596431709672</v>
      </c>
      <c r="P140" s="56">
        <f>SUM(Input_RAB_ACS!P$146:P$156)*Calc_Alloc!$M$35</f>
        <v>0</v>
      </c>
      <c r="Q140" s="57">
        <f>SUM(Input_RAB_ACS!Q$146:Q$156)*Calc_Alloc!$M$35</f>
        <v>0</v>
      </c>
      <c r="R140" s="57">
        <f>SUM(Input_RAB_ACS!R$146:R$156)*Calc_Alloc!$M$35</f>
        <v>0</v>
      </c>
      <c r="S140" s="57">
        <f>SUM(Input_RAB_ACS!S$146:S$156)*Calc_Alloc!$M$35</f>
        <v>0</v>
      </c>
      <c r="T140" s="58">
        <f>SUM(Input_RAB_ACS!T$146:T$156)*Calc_Alloc!$M$35</f>
        <v>0</v>
      </c>
    </row>
    <row r="141" spans="4:20" ht="12.3" x14ac:dyDescent="0.35">
      <c r="D141" s="10" t="str">
        <f t="shared" si="61"/>
        <v>“Other” asset items with short lives</v>
      </c>
      <c r="E141" s="45" t="str">
        <f t="shared" si="62"/>
        <v>Calculated</v>
      </c>
      <c r="F141" s="45" t="str">
        <f t="shared" si="56"/>
        <v>$Millions</v>
      </c>
      <c r="G141" s="45" t="str">
        <f t="shared" si="57"/>
        <v>Nominal</v>
      </c>
      <c r="H141" s="45" t="str">
        <f t="shared" si="58"/>
        <v>End year</v>
      </c>
      <c r="J141" s="58">
        <f>SUM(Input_RAB_ACS!J$146:J$156)*Calc_Alloc!$N$35</f>
        <v>4.6880066947739753E-2</v>
      </c>
      <c r="K141" s="56">
        <f>SUM(Input_RAB_ACS!K$146:K$156)*Calc_Alloc!$N$35</f>
        <v>0</v>
      </c>
      <c r="L141" s="57">
        <f>SUM(Input_RAB_ACS!L$146:L$156)*Calc_Alloc!$N$35</f>
        <v>0</v>
      </c>
      <c r="M141" s="57">
        <f>SUM(Input_RAB_ACS!M$146:M$156)*Calc_Alloc!$N$35</f>
        <v>0</v>
      </c>
      <c r="N141" s="57">
        <f>SUM(Input_RAB_ACS!N$146:N$156)*Calc_Alloc!$N$35</f>
        <v>0</v>
      </c>
      <c r="O141" s="58">
        <f>SUM(Input_RAB_ACS!O$146:O$156)*Calc_Alloc!$N$35</f>
        <v>0.33696593392381957</v>
      </c>
      <c r="P141" s="56">
        <f>SUM(Input_RAB_ACS!P$146:P$156)*Calc_Alloc!$N$35</f>
        <v>0</v>
      </c>
      <c r="Q141" s="57">
        <f>SUM(Input_RAB_ACS!Q$146:Q$156)*Calc_Alloc!$N$35</f>
        <v>0</v>
      </c>
      <c r="R141" s="57">
        <f>SUM(Input_RAB_ACS!R$146:R$156)*Calc_Alloc!$N$35</f>
        <v>0</v>
      </c>
      <c r="S141" s="57">
        <f>SUM(Input_RAB_ACS!S$146:S$156)*Calc_Alloc!$N$35</f>
        <v>0</v>
      </c>
      <c r="T141" s="58">
        <f>SUM(Input_RAB_ACS!T$146:T$156)*Calc_Alloc!$N$35</f>
        <v>0</v>
      </c>
    </row>
    <row r="142" spans="4:20" x14ac:dyDescent="0.35">
      <c r="J142" s="49"/>
      <c r="K142" s="48"/>
      <c r="O142" s="49"/>
      <c r="P142" s="48"/>
      <c r="T142" s="49"/>
    </row>
    <row r="143" spans="4:20" ht="12.3" x14ac:dyDescent="0.35">
      <c r="D143" s="44" t="str">
        <f>"Total "&amp;D130</f>
        <v>Total EB RIN categories</v>
      </c>
      <c r="E143" s="40" t="s">
        <v>91</v>
      </c>
      <c r="F143" s="40" t="str">
        <f>F132</f>
        <v>$Millions</v>
      </c>
      <c r="G143" s="40" t="str">
        <f>G132</f>
        <v>Nominal</v>
      </c>
      <c r="H143" s="40" t="str">
        <f>H132</f>
        <v>End year</v>
      </c>
      <c r="J143" s="54">
        <f t="shared" ref="J143:T143" si="63">SUM(J132:J141)</f>
        <v>0.7644718022234922</v>
      </c>
      <c r="K143" s="53">
        <f t="shared" si="63"/>
        <v>0</v>
      </c>
      <c r="L143" s="39">
        <f t="shared" si="63"/>
        <v>0</v>
      </c>
      <c r="M143" s="39">
        <f t="shared" si="63"/>
        <v>0</v>
      </c>
      <c r="N143" s="39">
        <f t="shared" si="63"/>
        <v>0</v>
      </c>
      <c r="O143" s="54">
        <f t="shared" si="63"/>
        <v>5.4948930657848454</v>
      </c>
      <c r="P143" s="53">
        <f t="shared" si="63"/>
        <v>0</v>
      </c>
      <c r="Q143" s="39">
        <f t="shared" si="63"/>
        <v>0</v>
      </c>
      <c r="R143" s="39">
        <f t="shared" si="63"/>
        <v>0</v>
      </c>
      <c r="S143" s="39">
        <f t="shared" si="63"/>
        <v>0</v>
      </c>
      <c r="T143" s="54">
        <f t="shared" si="63"/>
        <v>0</v>
      </c>
    </row>
    <row r="144" spans="4:20" ht="11.25" customHeight="1" x14ac:dyDescent="0.35"/>
    <row r="145" spans="1:20" ht="11.25" customHeight="1" x14ac:dyDescent="0.35">
      <c r="A145" s="42">
        <f>IF(SUM($J145:$T145)&lt;&gt;0,1,0)</f>
        <v>0</v>
      </c>
      <c r="D145" s="10" t="s">
        <v>94</v>
      </c>
      <c r="J145" s="42">
        <f>IF(ROUND(J143-Input_RAB_ACS!J$158,5)&lt;&gt;0,1,0)</f>
        <v>0</v>
      </c>
      <c r="K145" s="42">
        <f>IF(ROUND(K143-Input_RAB_ACS!K$158,5)&lt;&gt;0,1,0)</f>
        <v>0</v>
      </c>
      <c r="L145" s="42">
        <f>IF(ROUND(L143-Input_RAB_ACS!L$158,5)&lt;&gt;0,1,0)</f>
        <v>0</v>
      </c>
      <c r="M145" s="42">
        <f>IF(ROUND(M143-Input_RAB_ACS!M$158,5)&lt;&gt;0,1,0)</f>
        <v>0</v>
      </c>
      <c r="N145" s="42">
        <f>IF(ROUND(N143-Input_RAB_ACS!N$158,5)&lt;&gt;0,1,0)</f>
        <v>0</v>
      </c>
      <c r="O145" s="42">
        <f>IF(ROUND(O143-Input_RAB_ACS!O$158,5)&lt;&gt;0,1,0)</f>
        <v>0</v>
      </c>
      <c r="P145" s="42">
        <f>IF(ROUND(P143-Input_RAB_ACS!P$158,5)&lt;&gt;0,1,0)</f>
        <v>0</v>
      </c>
      <c r="Q145" s="42">
        <f>IF(ROUND(Q143-Input_RAB_ACS!Q$158,5)&lt;&gt;0,1,0)</f>
        <v>0</v>
      </c>
      <c r="R145" s="42">
        <f>IF(ROUND(R143-Input_RAB_ACS!R$158,5)&lt;&gt;0,1,0)</f>
        <v>0</v>
      </c>
      <c r="S145" s="42">
        <f>IF(ROUND(S143-Input_RAB_ACS!S$158,5)&lt;&gt;0,1,0)</f>
        <v>0</v>
      </c>
      <c r="T145" s="42">
        <f>IF(ROUND(T143-Input_RAB_ACS!T$158,5)&lt;&gt;0,1,0)</f>
        <v>0</v>
      </c>
    </row>
    <row r="147" spans="1:20" s="8" customFormat="1" ht="14.1" x14ac:dyDescent="0.35">
      <c r="C147" s="8" t="s">
        <v>439</v>
      </c>
    </row>
    <row r="148" spans="1:20" ht="11.25" customHeight="1" x14ac:dyDescent="0.35"/>
    <row r="149" spans="1:20" ht="12.3" x14ac:dyDescent="0.35">
      <c r="D149" s="43" t="str">
        <f>D$16</f>
        <v>EB RIN categories</v>
      </c>
      <c r="E149" s="38" t="str">
        <f>Lookup!E$20</f>
        <v>Source</v>
      </c>
      <c r="F149" s="38" t="str">
        <f>Lookup!F$20</f>
        <v>Unit</v>
      </c>
      <c r="G149" s="38" t="str">
        <f>Lookup!G$20</f>
        <v>Basis</v>
      </c>
      <c r="H149" s="38" t="str">
        <f>Lookup!H$20</f>
        <v>Timing</v>
      </c>
      <c r="J149" s="47" t="str">
        <f t="shared" ref="J149:T149" si="64">J$10</f>
        <v>RY19</v>
      </c>
      <c r="K149" s="46" t="str">
        <f t="shared" si="64"/>
        <v>RY20</v>
      </c>
      <c r="L149" s="38" t="str">
        <f>L$10</f>
        <v>RY21</v>
      </c>
      <c r="M149" s="38" t="str">
        <f t="shared" si="64"/>
        <v>RY22</v>
      </c>
      <c r="N149" s="38" t="str">
        <f t="shared" si="64"/>
        <v>RY23</v>
      </c>
      <c r="O149" s="47" t="str">
        <f t="shared" si="64"/>
        <v>RY24</v>
      </c>
      <c r="P149" s="46" t="str">
        <f t="shared" si="64"/>
        <v>RY25</v>
      </c>
      <c r="Q149" s="38" t="str">
        <f>Q$10</f>
        <v>RY26</v>
      </c>
      <c r="R149" s="38" t="str">
        <f t="shared" si="64"/>
        <v>RY27</v>
      </c>
      <c r="S149" s="38" t="str">
        <f t="shared" si="64"/>
        <v>RY28</v>
      </c>
      <c r="T149" s="47" t="str">
        <f t="shared" si="64"/>
        <v>RY29</v>
      </c>
    </row>
    <row r="150" spans="1:20" x14ac:dyDescent="0.35">
      <c r="J150" s="49"/>
      <c r="K150" s="48"/>
      <c r="O150" s="49"/>
      <c r="P150" s="48"/>
      <c r="T150" s="49"/>
    </row>
    <row r="151" spans="1:20" ht="12.3" outlineLevel="1" x14ac:dyDescent="0.35">
      <c r="D151" s="10" t="str">
        <f t="shared" ref="D151:D160" si="65">D18</f>
        <v>Overhead network assets less than 33kV</v>
      </c>
      <c r="E151" s="45" t="s">
        <v>91</v>
      </c>
      <c r="F151" s="45" t="str">
        <f t="shared" ref="F151:F160" si="66">Millions</f>
        <v>$Millions</v>
      </c>
      <c r="G151" s="45" t="str">
        <f t="shared" ref="G151:G160" si="67">Nominal</f>
        <v>Nominal</v>
      </c>
      <c r="H151" s="45" t="str">
        <f t="shared" ref="H151:H160" si="68">End_year</f>
        <v>End year</v>
      </c>
      <c r="J151" s="58" t="str">
        <f t="shared" ref="J151:K157" si="69">NA</f>
        <v>N/A</v>
      </c>
      <c r="K151" s="56" t="str">
        <f t="shared" si="69"/>
        <v>N/A</v>
      </c>
      <c r="L151" s="57" t="str">
        <f t="shared" ref="L151:T157" si="70">NA</f>
        <v>N/A</v>
      </c>
      <c r="M151" s="57" t="str">
        <f t="shared" si="70"/>
        <v>N/A</v>
      </c>
      <c r="N151" s="57" t="str">
        <f t="shared" si="70"/>
        <v>N/A</v>
      </c>
      <c r="O151" s="58" t="str">
        <f t="shared" si="70"/>
        <v>N/A</v>
      </c>
      <c r="P151" s="56" t="str">
        <f t="shared" si="70"/>
        <v>N/A</v>
      </c>
      <c r="Q151" s="57" t="str">
        <f t="shared" si="70"/>
        <v>N/A</v>
      </c>
      <c r="R151" s="57" t="str">
        <f t="shared" si="70"/>
        <v>N/A</v>
      </c>
      <c r="S151" s="57" t="str">
        <f t="shared" si="70"/>
        <v>N/A</v>
      </c>
      <c r="T151" s="58" t="str">
        <f t="shared" si="70"/>
        <v>N/A</v>
      </c>
    </row>
    <row r="152" spans="1:20" ht="12.3" outlineLevel="1" x14ac:dyDescent="0.35">
      <c r="D152" s="10" t="str">
        <f t="shared" si="65"/>
        <v>Underground network assets less than 33kV</v>
      </c>
      <c r="E152" s="45" t="s">
        <v>91</v>
      </c>
      <c r="F152" s="45" t="str">
        <f t="shared" si="66"/>
        <v>$Millions</v>
      </c>
      <c r="G152" s="45" t="str">
        <f t="shared" si="67"/>
        <v>Nominal</v>
      </c>
      <c r="H152" s="45" t="str">
        <f t="shared" si="68"/>
        <v>End year</v>
      </c>
      <c r="J152" s="58" t="str">
        <f t="shared" si="69"/>
        <v>N/A</v>
      </c>
      <c r="K152" s="56" t="str">
        <f t="shared" si="69"/>
        <v>N/A</v>
      </c>
      <c r="L152" s="57" t="str">
        <f t="shared" si="70"/>
        <v>N/A</v>
      </c>
      <c r="M152" s="57" t="str">
        <f t="shared" si="70"/>
        <v>N/A</v>
      </c>
      <c r="N152" s="57" t="str">
        <f t="shared" si="70"/>
        <v>N/A</v>
      </c>
      <c r="O152" s="58" t="str">
        <f t="shared" si="70"/>
        <v>N/A</v>
      </c>
      <c r="P152" s="56" t="str">
        <f t="shared" si="70"/>
        <v>N/A</v>
      </c>
      <c r="Q152" s="57" t="str">
        <f t="shared" si="70"/>
        <v>N/A</v>
      </c>
      <c r="R152" s="57" t="str">
        <f t="shared" si="70"/>
        <v>N/A</v>
      </c>
      <c r="S152" s="57" t="str">
        <f t="shared" si="70"/>
        <v>N/A</v>
      </c>
      <c r="T152" s="58" t="str">
        <f t="shared" si="70"/>
        <v>N/A</v>
      </c>
    </row>
    <row r="153" spans="1:20" ht="12.3" outlineLevel="1" x14ac:dyDescent="0.35">
      <c r="D153" s="10" t="str">
        <f t="shared" si="65"/>
        <v>Distribution substations and transformers</v>
      </c>
      <c r="E153" s="45" t="s">
        <v>91</v>
      </c>
      <c r="F153" s="45" t="str">
        <f t="shared" si="66"/>
        <v>$Millions</v>
      </c>
      <c r="G153" s="45" t="str">
        <f t="shared" si="67"/>
        <v>Nominal</v>
      </c>
      <c r="H153" s="45" t="str">
        <f t="shared" si="68"/>
        <v>End year</v>
      </c>
      <c r="J153" s="58" t="str">
        <f t="shared" si="69"/>
        <v>N/A</v>
      </c>
      <c r="K153" s="56" t="str">
        <f t="shared" si="69"/>
        <v>N/A</v>
      </c>
      <c r="L153" s="57" t="str">
        <f t="shared" si="70"/>
        <v>N/A</v>
      </c>
      <c r="M153" s="57" t="str">
        <f t="shared" si="70"/>
        <v>N/A</v>
      </c>
      <c r="N153" s="57" t="str">
        <f t="shared" si="70"/>
        <v>N/A</v>
      </c>
      <c r="O153" s="58" t="str">
        <f t="shared" si="70"/>
        <v>N/A</v>
      </c>
      <c r="P153" s="56" t="str">
        <f t="shared" si="70"/>
        <v>N/A</v>
      </c>
      <c r="Q153" s="57" t="str">
        <f t="shared" si="70"/>
        <v>N/A</v>
      </c>
      <c r="R153" s="57" t="str">
        <f t="shared" si="70"/>
        <v>N/A</v>
      </c>
      <c r="S153" s="57" t="str">
        <f t="shared" si="70"/>
        <v>N/A</v>
      </c>
      <c r="T153" s="58" t="str">
        <f t="shared" si="70"/>
        <v>N/A</v>
      </c>
    </row>
    <row r="154" spans="1:20" ht="12.3" outlineLevel="1" x14ac:dyDescent="0.35">
      <c r="D154" s="10" t="str">
        <f t="shared" si="65"/>
        <v>Overhead network assets 33kV and above</v>
      </c>
      <c r="E154" s="45" t="s">
        <v>91</v>
      </c>
      <c r="F154" s="45" t="str">
        <f t="shared" si="66"/>
        <v>$Millions</v>
      </c>
      <c r="G154" s="45" t="str">
        <f t="shared" si="67"/>
        <v>Nominal</v>
      </c>
      <c r="H154" s="45" t="str">
        <f t="shared" si="68"/>
        <v>End year</v>
      </c>
      <c r="J154" s="58" t="str">
        <f t="shared" si="69"/>
        <v>N/A</v>
      </c>
      <c r="K154" s="56" t="str">
        <f t="shared" si="69"/>
        <v>N/A</v>
      </c>
      <c r="L154" s="57" t="str">
        <f t="shared" si="70"/>
        <v>N/A</v>
      </c>
      <c r="M154" s="57" t="str">
        <f t="shared" si="70"/>
        <v>N/A</v>
      </c>
      <c r="N154" s="57" t="str">
        <f t="shared" si="70"/>
        <v>N/A</v>
      </c>
      <c r="O154" s="58" t="str">
        <f t="shared" si="70"/>
        <v>N/A</v>
      </c>
      <c r="P154" s="56" t="str">
        <f t="shared" si="70"/>
        <v>N/A</v>
      </c>
      <c r="Q154" s="57" t="str">
        <f t="shared" si="70"/>
        <v>N/A</v>
      </c>
      <c r="R154" s="57" t="str">
        <f t="shared" si="70"/>
        <v>N/A</v>
      </c>
      <c r="S154" s="57" t="str">
        <f t="shared" si="70"/>
        <v>N/A</v>
      </c>
      <c r="T154" s="58" t="str">
        <f t="shared" si="70"/>
        <v>N/A</v>
      </c>
    </row>
    <row r="155" spans="1:20" ht="12.3" outlineLevel="1" x14ac:dyDescent="0.35">
      <c r="D155" s="10" t="str">
        <f t="shared" si="65"/>
        <v>Underground network assets 33kV and above</v>
      </c>
      <c r="E155" s="45" t="s">
        <v>91</v>
      </c>
      <c r="F155" s="45" t="str">
        <f t="shared" si="66"/>
        <v>$Millions</v>
      </c>
      <c r="G155" s="45" t="str">
        <f t="shared" si="67"/>
        <v>Nominal</v>
      </c>
      <c r="H155" s="45" t="str">
        <f t="shared" si="68"/>
        <v>End year</v>
      </c>
      <c r="J155" s="58" t="str">
        <f t="shared" si="69"/>
        <v>N/A</v>
      </c>
      <c r="K155" s="56" t="str">
        <f t="shared" si="69"/>
        <v>N/A</v>
      </c>
      <c r="L155" s="57" t="str">
        <f t="shared" si="70"/>
        <v>N/A</v>
      </c>
      <c r="M155" s="57" t="str">
        <f t="shared" si="70"/>
        <v>N/A</v>
      </c>
      <c r="N155" s="57" t="str">
        <f t="shared" si="70"/>
        <v>N/A</v>
      </c>
      <c r="O155" s="58" t="str">
        <f t="shared" si="70"/>
        <v>N/A</v>
      </c>
      <c r="P155" s="56" t="str">
        <f t="shared" si="70"/>
        <v>N/A</v>
      </c>
      <c r="Q155" s="57" t="str">
        <f t="shared" si="70"/>
        <v>N/A</v>
      </c>
      <c r="R155" s="57" t="str">
        <f t="shared" si="70"/>
        <v>N/A</v>
      </c>
      <c r="S155" s="57" t="str">
        <f t="shared" si="70"/>
        <v>N/A</v>
      </c>
      <c r="T155" s="58" t="str">
        <f t="shared" si="70"/>
        <v>N/A</v>
      </c>
    </row>
    <row r="156" spans="1:20" ht="12.3" outlineLevel="1" x14ac:dyDescent="0.35">
      <c r="D156" s="10" t="str">
        <f t="shared" si="65"/>
        <v>Zone substations and transformers</v>
      </c>
      <c r="E156" s="45" t="s">
        <v>91</v>
      </c>
      <c r="F156" s="45" t="str">
        <f t="shared" si="66"/>
        <v>$Millions</v>
      </c>
      <c r="G156" s="45" t="str">
        <f t="shared" si="67"/>
        <v>Nominal</v>
      </c>
      <c r="H156" s="45" t="str">
        <f t="shared" si="68"/>
        <v>End year</v>
      </c>
      <c r="J156" s="58" t="str">
        <f t="shared" si="69"/>
        <v>N/A</v>
      </c>
      <c r="K156" s="56" t="str">
        <f t="shared" si="69"/>
        <v>N/A</v>
      </c>
      <c r="L156" s="57" t="str">
        <f t="shared" si="70"/>
        <v>N/A</v>
      </c>
      <c r="M156" s="57" t="str">
        <f t="shared" si="70"/>
        <v>N/A</v>
      </c>
      <c r="N156" s="57" t="str">
        <f t="shared" si="70"/>
        <v>N/A</v>
      </c>
      <c r="O156" s="58" t="str">
        <f t="shared" si="70"/>
        <v>N/A</v>
      </c>
      <c r="P156" s="56" t="str">
        <f t="shared" si="70"/>
        <v>N/A</v>
      </c>
      <c r="Q156" s="57" t="str">
        <f t="shared" si="70"/>
        <v>N/A</v>
      </c>
      <c r="R156" s="57" t="str">
        <f t="shared" si="70"/>
        <v>N/A</v>
      </c>
      <c r="S156" s="57" t="str">
        <f t="shared" si="70"/>
        <v>N/A</v>
      </c>
      <c r="T156" s="58" t="str">
        <f t="shared" si="70"/>
        <v>N/A</v>
      </c>
    </row>
    <row r="157" spans="1:20" ht="12.3" outlineLevel="1" x14ac:dyDescent="0.35">
      <c r="D157" s="10" t="str">
        <f t="shared" si="65"/>
        <v>Easements</v>
      </c>
      <c r="E157" s="45" t="s">
        <v>91</v>
      </c>
      <c r="F157" s="45" t="str">
        <f t="shared" si="66"/>
        <v>$Millions</v>
      </c>
      <c r="G157" s="45" t="str">
        <f t="shared" si="67"/>
        <v>Nominal</v>
      </c>
      <c r="H157" s="45" t="str">
        <f t="shared" si="68"/>
        <v>End year</v>
      </c>
      <c r="J157" s="58" t="str">
        <f t="shared" si="69"/>
        <v>N/A</v>
      </c>
      <c r="K157" s="56" t="str">
        <f t="shared" si="69"/>
        <v>N/A</v>
      </c>
      <c r="L157" s="57" t="str">
        <f t="shared" si="70"/>
        <v>N/A</v>
      </c>
      <c r="M157" s="57" t="str">
        <f t="shared" si="70"/>
        <v>N/A</v>
      </c>
      <c r="N157" s="57" t="str">
        <f t="shared" si="70"/>
        <v>N/A</v>
      </c>
      <c r="O157" s="58" t="str">
        <f t="shared" si="70"/>
        <v>N/A</v>
      </c>
      <c r="P157" s="56" t="str">
        <f t="shared" si="70"/>
        <v>N/A</v>
      </c>
      <c r="Q157" s="57" t="str">
        <f t="shared" si="70"/>
        <v>N/A</v>
      </c>
      <c r="R157" s="57" t="str">
        <f t="shared" si="70"/>
        <v>N/A</v>
      </c>
      <c r="S157" s="57" t="str">
        <f t="shared" si="70"/>
        <v>N/A</v>
      </c>
      <c r="T157" s="58" t="str">
        <f t="shared" si="70"/>
        <v>N/A</v>
      </c>
    </row>
    <row r="158" spans="1:20" ht="12.3" x14ac:dyDescent="0.35">
      <c r="D158" s="10" t="str">
        <f t="shared" si="65"/>
        <v>Meters</v>
      </c>
      <c r="E158" s="45" t="s">
        <v>91</v>
      </c>
      <c r="F158" s="45" t="str">
        <f t="shared" si="66"/>
        <v>$Millions</v>
      </c>
      <c r="G158" s="45" t="str">
        <f t="shared" si="67"/>
        <v>Nominal</v>
      </c>
      <c r="H158" s="45" t="str">
        <f t="shared" si="68"/>
        <v>End year</v>
      </c>
      <c r="J158" s="58">
        <f t="shared" ref="J158:T158" si="71">J120+J139</f>
        <v>12.404122553663825</v>
      </c>
      <c r="K158" s="56">
        <f t="shared" si="71"/>
        <v>14.336118976769413</v>
      </c>
      <c r="L158" s="57">
        <f t="shared" si="71"/>
        <v>15.302199747621378</v>
      </c>
      <c r="M158" s="57">
        <f t="shared" si="71"/>
        <v>17.630682406329925</v>
      </c>
      <c r="N158" s="57">
        <f t="shared" si="71"/>
        <v>28.081094405855303</v>
      </c>
      <c r="O158" s="58">
        <f t="shared" si="71"/>
        <v>44.039918484464877</v>
      </c>
      <c r="P158" s="56">
        <f t="shared" si="71"/>
        <v>47.26274586356665</v>
      </c>
      <c r="Q158" s="57">
        <f t="shared" si="71"/>
        <v>50.278543888796989</v>
      </c>
      <c r="R158" s="57">
        <f t="shared" si="71"/>
        <v>56.003176181777192</v>
      </c>
      <c r="S158" s="57">
        <f t="shared" si="71"/>
        <v>62.874110719915443</v>
      </c>
      <c r="T158" s="58">
        <f t="shared" si="71"/>
        <v>70.410603571166149</v>
      </c>
    </row>
    <row r="159" spans="1:20" ht="12.3" x14ac:dyDescent="0.35">
      <c r="D159" s="10" t="str">
        <f t="shared" si="65"/>
        <v>“Other” asset items with long lives</v>
      </c>
      <c r="E159" s="45" t="s">
        <v>91</v>
      </c>
      <c r="F159" s="45" t="str">
        <f t="shared" si="66"/>
        <v>$Millions</v>
      </c>
      <c r="G159" s="45" t="str">
        <f t="shared" si="67"/>
        <v>Nominal</v>
      </c>
      <c r="H159" s="45" t="str">
        <f t="shared" si="68"/>
        <v>End year</v>
      </c>
      <c r="J159" s="58">
        <f t="shared" ref="J159:T159" si="72">J121+J140</f>
        <v>0.78810739113047179</v>
      </c>
      <c r="K159" s="56">
        <f t="shared" si="72"/>
        <v>0.9108585695471515</v>
      </c>
      <c r="L159" s="57">
        <f t="shared" si="72"/>
        <v>0.97223940423687072</v>
      </c>
      <c r="M159" s="57">
        <f t="shared" si="72"/>
        <v>1.1201817020905227</v>
      </c>
      <c r="N159" s="57">
        <f t="shared" si="72"/>
        <v>1.7841582874195534</v>
      </c>
      <c r="O159" s="58">
        <f t="shared" si="72"/>
        <v>2.7981169254199645</v>
      </c>
      <c r="P159" s="56">
        <f t="shared" si="72"/>
        <v>3.0028822416943934</v>
      </c>
      <c r="Q159" s="57">
        <f t="shared" si="72"/>
        <v>3.1944937566208305</v>
      </c>
      <c r="R159" s="57">
        <f t="shared" si="72"/>
        <v>3.5582135604266445</v>
      </c>
      <c r="S159" s="57">
        <f t="shared" si="72"/>
        <v>3.9947647368644281</v>
      </c>
      <c r="T159" s="58">
        <f t="shared" si="72"/>
        <v>4.4736027758773735</v>
      </c>
    </row>
    <row r="160" spans="1:20" ht="12.3" x14ac:dyDescent="0.35">
      <c r="D160" s="10" t="str">
        <f t="shared" si="65"/>
        <v>“Other” asset items with short lives</v>
      </c>
      <c r="E160" s="45" t="s">
        <v>91</v>
      </c>
      <c r="F160" s="45" t="str">
        <f t="shared" si="66"/>
        <v>$Millions</v>
      </c>
      <c r="G160" s="45" t="str">
        <f t="shared" si="67"/>
        <v>Nominal</v>
      </c>
      <c r="H160" s="45" t="str">
        <f t="shared" si="68"/>
        <v>End year</v>
      </c>
      <c r="J160" s="58">
        <f t="shared" ref="J160:T160" si="73">J122+J141</f>
        <v>0.86184468493673216</v>
      </c>
      <c r="K160" s="56">
        <f t="shared" si="73"/>
        <v>0.99608076986468319</v>
      </c>
      <c r="L160" s="57">
        <f t="shared" si="73"/>
        <v>1.0632045485903632</v>
      </c>
      <c r="M160" s="57">
        <f t="shared" si="73"/>
        <v>1.2249886969405068</v>
      </c>
      <c r="N160" s="57">
        <f t="shared" si="73"/>
        <v>1.951088588184301</v>
      </c>
      <c r="O160" s="58">
        <f t="shared" si="73"/>
        <v>3.0599157261367118</v>
      </c>
      <c r="P160" s="56">
        <f t="shared" si="73"/>
        <v>3.2838393962819268</v>
      </c>
      <c r="Q160" s="57">
        <f t="shared" si="73"/>
        <v>3.4933785626068952</v>
      </c>
      <c r="R160" s="57">
        <f t="shared" si="73"/>
        <v>3.8911288987211474</v>
      </c>
      <c r="S160" s="57">
        <f t="shared" si="73"/>
        <v>4.368524892401779</v>
      </c>
      <c r="T160" s="58">
        <f t="shared" si="73"/>
        <v>4.8921642130239027</v>
      </c>
    </row>
    <row r="161" spans="1:20" x14ac:dyDescent="0.35">
      <c r="J161" s="49"/>
      <c r="K161" s="48"/>
      <c r="O161" s="49"/>
      <c r="P161" s="48"/>
      <c r="T161" s="49"/>
    </row>
    <row r="162" spans="1:20" ht="12.3" x14ac:dyDescent="0.35">
      <c r="D162" s="44" t="str">
        <f>"Total "&amp;D149</f>
        <v>Total EB RIN categories</v>
      </c>
      <c r="E162" s="40" t="s">
        <v>91</v>
      </c>
      <c r="F162" s="40" t="str">
        <f>F151</f>
        <v>$Millions</v>
      </c>
      <c r="G162" s="40" t="str">
        <f>G151</f>
        <v>Nominal</v>
      </c>
      <c r="H162" s="40" t="str">
        <f>H151</f>
        <v>End year</v>
      </c>
      <c r="J162" s="54">
        <f t="shared" ref="J162:T162" si="74">SUM(J151:J160)</f>
        <v>14.05407462973103</v>
      </c>
      <c r="K162" s="53">
        <f t="shared" si="74"/>
        <v>16.243058316181248</v>
      </c>
      <c r="L162" s="39">
        <f t="shared" si="74"/>
        <v>17.337643700448613</v>
      </c>
      <c r="M162" s="39">
        <f t="shared" si="74"/>
        <v>19.975852805360955</v>
      </c>
      <c r="N162" s="39">
        <f t="shared" si="74"/>
        <v>31.81634128145916</v>
      </c>
      <c r="O162" s="54">
        <f t="shared" si="74"/>
        <v>49.897951136021547</v>
      </c>
      <c r="P162" s="53">
        <f t="shared" si="74"/>
        <v>53.549467501542971</v>
      </c>
      <c r="Q162" s="39">
        <f t="shared" si="74"/>
        <v>56.966416208024711</v>
      </c>
      <c r="R162" s="39">
        <f t="shared" si="74"/>
        <v>63.452518640924986</v>
      </c>
      <c r="S162" s="39">
        <f t="shared" si="74"/>
        <v>71.237400349181655</v>
      </c>
      <c r="T162" s="54">
        <f t="shared" si="74"/>
        <v>79.77637056006742</v>
      </c>
    </row>
    <row r="163" spans="1:20" ht="11.25" customHeight="1" x14ac:dyDescent="0.35"/>
    <row r="164" spans="1:20" ht="11.25" customHeight="1" x14ac:dyDescent="0.35">
      <c r="A164" s="42">
        <f>IF(SUM($J164:$T164)&lt;&gt;0,1,0)</f>
        <v>0</v>
      </c>
      <c r="D164" s="10" t="s">
        <v>94</v>
      </c>
      <c r="J164" s="42">
        <f>IF(ROUND(J162-Input_RAB_ACS!J$180,5)&lt;&gt;0,1,0)</f>
        <v>0</v>
      </c>
      <c r="K164" s="42">
        <f>IF(ROUND(K162-Input_RAB_ACS!K$180,5)&lt;&gt;0,1,0)</f>
        <v>0</v>
      </c>
      <c r="L164" s="42">
        <f>IF(ROUND(L162-Input_RAB_ACS!L$180,5)&lt;&gt;0,1,0)</f>
        <v>0</v>
      </c>
      <c r="M164" s="42">
        <f>IF(ROUND(M162-Input_RAB_ACS!M$180,5)&lt;&gt;0,1,0)</f>
        <v>0</v>
      </c>
      <c r="N164" s="42">
        <f>IF(ROUND(N162-Input_RAB_ACS!N$180,5)&lt;&gt;0,1,0)</f>
        <v>0</v>
      </c>
      <c r="O164" s="42">
        <f>IF(ROUND(O162-Input_RAB_ACS!O$180,5)&lt;&gt;0,1,0)</f>
        <v>0</v>
      </c>
      <c r="P164" s="42">
        <f>IF(ROUND(P162-Input_RAB_ACS!P$180,5)&lt;&gt;0,1,0)</f>
        <v>0</v>
      </c>
      <c r="Q164" s="42">
        <f>IF(ROUND(Q162-Input_RAB_ACS!Q$180,5)&lt;&gt;0,1,0)</f>
        <v>0</v>
      </c>
      <c r="R164" s="42">
        <f>IF(ROUND(R162-Input_RAB_ACS!R$180,5)&lt;&gt;0,1,0)</f>
        <v>0</v>
      </c>
      <c r="S164" s="42">
        <f>IF(ROUND(S162-Input_RAB_ACS!S$180,5)&lt;&gt;0,1,0)</f>
        <v>0</v>
      </c>
      <c r="T164" s="42">
        <f>IF(ROUND(T162-Input_RAB_ACS!T$180,5)&lt;&gt;0,1,0)</f>
        <v>0</v>
      </c>
    </row>
    <row r="166" spans="1:20" s="2" customFormat="1" ht="15" x14ac:dyDescent="0.35">
      <c r="B166" s="2" t="s">
        <v>26</v>
      </c>
    </row>
  </sheetData>
  <conditionalFormatting sqref="B2">
    <cfRule type="cellIs" dxfId="9" priority="1" operator="notEqual">
      <formula>"No Errors Found"</formula>
    </cfRule>
  </conditionalFormatting>
  <hyperlinks>
    <hyperlink ref="B3:E3" location="TOC!A1" display="TOC!A1" xr:uid="{00000000-0004-0000-0D00-000000000000}"/>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4" tint="-0.249977111117893"/>
  </sheetPr>
  <dimension ref="A1:T168"/>
  <sheetViews>
    <sheetView showGridLines="0" zoomScaleNormal="100" workbookViewId="0">
      <pane xSplit="1" ySplit="10" topLeftCell="B11" activePane="bottomRight" state="frozen"/>
      <selection activeCell="D44" sqref="D44"/>
      <selection pane="topRight" activeCell="D44" sqref="D44"/>
      <selection pane="bottomLeft" activeCell="D44" sqref="D44"/>
      <selection pane="bottomRight" activeCell="B11" sqref="B11"/>
    </sheetView>
  </sheetViews>
  <sheetFormatPr defaultColWidth="9.33203125" defaultRowHeight="10.199999999999999" outlineLevelRow="1" x14ac:dyDescent="0.35"/>
  <cols>
    <col min="1" max="1" width="3.33203125" customWidth="1"/>
    <col min="2" max="3" width="2.796875" customWidth="1"/>
    <col min="4" max="4" width="47.46484375" customWidth="1"/>
    <col min="5" max="5" width="13.9296875" bestFit="1" customWidth="1"/>
    <col min="6" max="8" width="12.1328125" customWidth="1"/>
    <col min="9" max="9" width="4.46484375" customWidth="1"/>
    <col min="10" max="20" width="12.796875" customWidth="1"/>
    <col min="21" max="21" width="4.33203125" customWidth="1"/>
    <col min="22" max="23" width="10.796875" customWidth="1"/>
  </cols>
  <sheetData>
    <row r="1" spans="1:20" ht="18.899999999999999" x14ac:dyDescent="0.35">
      <c r="A1" s="42">
        <f>IF(SUM($A11:$A168)&gt;0,1,0)</f>
        <v>0</v>
      </c>
      <c r="B1" s="3" t="s">
        <v>135</v>
      </c>
    </row>
    <row r="2" spans="1:20" x14ac:dyDescent="0.35">
      <c r="B2" s="13" t="str">
        <f>Title_Msg</f>
        <v>No Errors Found</v>
      </c>
    </row>
    <row r="3" spans="1:20" x14ac:dyDescent="0.35">
      <c r="B3" s="30" t="str">
        <f>TOC!B1</f>
        <v>Table of Contents</v>
      </c>
      <c r="C3" s="28"/>
      <c r="D3" s="28"/>
      <c r="E3" s="28"/>
    </row>
    <row r="4" spans="1:20" ht="12.3" x14ac:dyDescent="0.35">
      <c r="B4" s="27" t="str">
        <f>Model_Name</f>
        <v>Power and Water Corporation (PWC) - RAB Allocation - EB RIN</v>
      </c>
    </row>
    <row r="5" spans="1:20" ht="12.3" hidden="1" outlineLevel="1" x14ac:dyDescent="0.35">
      <c r="B5" s="10" t="str">
        <f>Lookup!B15</f>
        <v>Period start date</v>
      </c>
      <c r="J5" s="35">
        <f>Lookup!R15</f>
        <v>43282</v>
      </c>
      <c r="K5" s="35">
        <f>Lookup!S15</f>
        <v>43647</v>
      </c>
      <c r="L5" s="35">
        <f>Lookup!T15</f>
        <v>44013</v>
      </c>
      <c r="M5" s="35">
        <f>Lookup!U15</f>
        <v>44378</v>
      </c>
      <c r="N5" s="35">
        <f>Lookup!V15</f>
        <v>44743</v>
      </c>
      <c r="O5" s="35">
        <f>Lookup!W15</f>
        <v>45108</v>
      </c>
      <c r="P5" s="35">
        <f>Lookup!X15</f>
        <v>45474</v>
      </c>
      <c r="Q5" s="35">
        <f>Lookup!Y15</f>
        <v>45839</v>
      </c>
      <c r="R5" s="35">
        <f>Lookup!Z15</f>
        <v>46204</v>
      </c>
      <c r="S5" s="35">
        <f>Lookup!AA15</f>
        <v>46569</v>
      </c>
      <c r="T5" s="35">
        <f>Lookup!AB15</f>
        <v>46935</v>
      </c>
    </row>
    <row r="6" spans="1:20" ht="12.3" hidden="1" outlineLevel="1" x14ac:dyDescent="0.35">
      <c r="B6" s="10" t="str">
        <f>Lookup!B16</f>
        <v>Period end date</v>
      </c>
      <c r="J6" s="35">
        <f>Lookup!R16</f>
        <v>43646</v>
      </c>
      <c r="K6" s="35">
        <f>Lookup!S16</f>
        <v>44012</v>
      </c>
      <c r="L6" s="35">
        <f>Lookup!T16</f>
        <v>44377</v>
      </c>
      <c r="M6" s="35">
        <f>Lookup!U16</f>
        <v>44742</v>
      </c>
      <c r="N6" s="35">
        <f>Lookup!V16</f>
        <v>45107</v>
      </c>
      <c r="O6" s="35">
        <f>Lookup!W16</f>
        <v>45473</v>
      </c>
      <c r="P6" s="35">
        <f>Lookup!X16</f>
        <v>45838</v>
      </c>
      <c r="Q6" s="35">
        <f>Lookup!Y16</f>
        <v>46203</v>
      </c>
      <c r="R6" s="35">
        <f>Lookup!Z16</f>
        <v>46568</v>
      </c>
      <c r="S6" s="35">
        <f>Lookup!AA16</f>
        <v>46934</v>
      </c>
      <c r="T6" s="35">
        <f>Lookup!AB16</f>
        <v>47299</v>
      </c>
    </row>
    <row r="7" spans="1:20" ht="12.3" hidden="1" outlineLevel="1" x14ac:dyDescent="0.35">
      <c r="B7" s="10" t="str">
        <f>Lookup!B17</f>
        <v>Period counter</v>
      </c>
      <c r="J7" s="36">
        <f>Lookup!R17</f>
        <v>9</v>
      </c>
      <c r="K7" s="36">
        <f>Lookup!S17</f>
        <v>10</v>
      </c>
      <c r="L7" s="36">
        <f>Lookup!T17</f>
        <v>11</v>
      </c>
      <c r="M7" s="36">
        <f>Lookup!U17</f>
        <v>12</v>
      </c>
      <c r="N7" s="36">
        <f>Lookup!V17</f>
        <v>13</v>
      </c>
      <c r="O7" s="36">
        <f>Lookup!W17</f>
        <v>14</v>
      </c>
      <c r="P7" s="36">
        <f>Lookup!X17</f>
        <v>15</v>
      </c>
      <c r="Q7" s="36">
        <f>Lookup!Y17</f>
        <v>16</v>
      </c>
      <c r="R7" s="36">
        <f>Lookup!Z17</f>
        <v>17</v>
      </c>
      <c r="S7" s="36">
        <f>Lookup!AA17</f>
        <v>18</v>
      </c>
      <c r="T7" s="36">
        <f>Lookup!AB17</f>
        <v>19</v>
      </c>
    </row>
    <row r="8" spans="1:20" ht="12.3" hidden="1" outlineLevel="1" x14ac:dyDescent="0.35">
      <c r="B8" s="10" t="str">
        <f>Lookup!B18</f>
        <v>Year</v>
      </c>
      <c r="J8" s="37">
        <f>Lookup!R18</f>
        <v>2019</v>
      </c>
      <c r="K8" s="37">
        <f>Lookup!S18</f>
        <v>2020</v>
      </c>
      <c r="L8" s="37">
        <f>Lookup!T18</f>
        <v>2021</v>
      </c>
      <c r="M8" s="37">
        <f>Lookup!U18</f>
        <v>2022</v>
      </c>
      <c r="N8" s="37">
        <f>Lookup!V18</f>
        <v>2023</v>
      </c>
      <c r="O8" s="37">
        <f>Lookup!W18</f>
        <v>2024</v>
      </c>
      <c r="P8" s="37">
        <f>Lookup!X18</f>
        <v>2025</v>
      </c>
      <c r="Q8" s="37">
        <f>Lookup!Y18</f>
        <v>2026</v>
      </c>
      <c r="R8" s="37">
        <f>Lookup!Z18</f>
        <v>2027</v>
      </c>
      <c r="S8" s="37">
        <f>Lookup!AA18</f>
        <v>2028</v>
      </c>
      <c r="T8" s="37">
        <f>Lookup!AB18</f>
        <v>2029</v>
      </c>
    </row>
    <row r="9" spans="1:20" ht="12.3" hidden="1" outlineLevel="1" x14ac:dyDescent="0.35">
      <c r="B9" s="10" t="str">
        <f>Lookup!B19</f>
        <v>Period type</v>
      </c>
      <c r="J9" s="37" t="str">
        <f>Lookup!R19</f>
        <v>Actual</v>
      </c>
      <c r="K9" s="37" t="str">
        <f>Lookup!S19</f>
        <v>Actual</v>
      </c>
      <c r="L9" s="37" t="str">
        <f>Lookup!T19</f>
        <v>Actual</v>
      </c>
      <c r="M9" s="37" t="str">
        <f>Lookup!U19</f>
        <v>Base Year</v>
      </c>
      <c r="N9" s="37" t="str">
        <f>Lookup!V19</f>
        <v>Estimate</v>
      </c>
      <c r="O9" s="37" t="str">
        <f>Lookup!W19</f>
        <v>Estimate</v>
      </c>
      <c r="P9" s="37" t="str">
        <f>Lookup!X19</f>
        <v>Forecast</v>
      </c>
      <c r="Q9" s="37" t="str">
        <f>Lookup!Y19</f>
        <v>Forecast</v>
      </c>
      <c r="R9" s="37" t="str">
        <f>Lookup!Z19</f>
        <v>Forecast</v>
      </c>
      <c r="S9" s="37" t="str">
        <f>Lookup!AA19</f>
        <v>Forecast</v>
      </c>
      <c r="T9" s="37" t="str">
        <f>Lookup!AB19</f>
        <v>Forecast</v>
      </c>
    </row>
    <row r="10" spans="1:20" ht="12.3" collapsed="1" x14ac:dyDescent="0.35">
      <c r="B10" s="5" t="str">
        <f>Lookup!B20</f>
        <v>Regulatory year</v>
      </c>
      <c r="E10" s="34" t="str">
        <f>Lookup!E20</f>
        <v>Source</v>
      </c>
      <c r="F10" s="34" t="str">
        <f>Lookup!F20</f>
        <v>Unit</v>
      </c>
      <c r="G10" s="34" t="str">
        <f>Lookup!G20</f>
        <v>Basis</v>
      </c>
      <c r="H10" s="34" t="str">
        <f>Lookup!H20</f>
        <v>Timing</v>
      </c>
      <c r="I10" s="34"/>
      <c r="J10" s="34" t="str">
        <f>Lookup!R20</f>
        <v>RY19</v>
      </c>
      <c r="K10" s="34" t="str">
        <f>Lookup!S20</f>
        <v>RY20</v>
      </c>
      <c r="L10" s="34" t="str">
        <f>Lookup!T20</f>
        <v>RY21</v>
      </c>
      <c r="M10" s="34" t="str">
        <f>Lookup!U20</f>
        <v>RY22</v>
      </c>
      <c r="N10" s="34" t="str">
        <f>Lookup!V20</f>
        <v>RY23</v>
      </c>
      <c r="O10" s="34" t="str">
        <f>Lookup!W20</f>
        <v>RY24</v>
      </c>
      <c r="P10" s="34" t="str">
        <f>Lookup!X20</f>
        <v>RY25</v>
      </c>
      <c r="Q10" s="34" t="str">
        <f>Lookup!Y20</f>
        <v>RY26</v>
      </c>
      <c r="R10" s="34" t="str">
        <f>Lookup!Z20</f>
        <v>RY27</v>
      </c>
      <c r="S10" s="34" t="str">
        <f>Lookup!AA20</f>
        <v>RY28</v>
      </c>
      <c r="T10" s="34" t="str">
        <f>Lookup!AB20</f>
        <v>RY29</v>
      </c>
    </row>
    <row r="12" spans="1:20" s="2" customFormat="1" ht="15" x14ac:dyDescent="0.35">
      <c r="B12" s="2" t="s">
        <v>446</v>
      </c>
    </row>
    <row r="14" spans="1:20" ht="12.3" x14ac:dyDescent="0.35">
      <c r="D14" s="43" t="s">
        <v>399</v>
      </c>
      <c r="E14" s="38" t="str">
        <f>Lookup!E$20</f>
        <v>Source</v>
      </c>
      <c r="F14" s="38" t="str">
        <f>Lookup!F$20</f>
        <v>Unit</v>
      </c>
      <c r="G14" s="38" t="str">
        <f>Lookup!G$20</f>
        <v>Basis</v>
      </c>
      <c r="H14" s="38" t="str">
        <f>Lookup!H$20</f>
        <v>Timing</v>
      </c>
      <c r="J14" s="47" t="str">
        <f t="shared" ref="J14:T14" si="0">J$10</f>
        <v>RY19</v>
      </c>
      <c r="K14" s="46" t="str">
        <f t="shared" si="0"/>
        <v>RY20</v>
      </c>
      <c r="L14" s="38" t="str">
        <f>L$10</f>
        <v>RY21</v>
      </c>
      <c r="M14" s="38" t="str">
        <f t="shared" si="0"/>
        <v>RY22</v>
      </c>
      <c r="N14" s="38" t="str">
        <f t="shared" si="0"/>
        <v>RY23</v>
      </c>
      <c r="O14" s="47" t="str">
        <f t="shared" si="0"/>
        <v>RY24</v>
      </c>
      <c r="P14" s="46" t="str">
        <f t="shared" si="0"/>
        <v>RY25</v>
      </c>
      <c r="Q14" s="38" t="str">
        <f>Q$10</f>
        <v>RY26</v>
      </c>
      <c r="R14" s="38" t="str">
        <f t="shared" si="0"/>
        <v>RY27</v>
      </c>
      <c r="S14" s="38" t="str">
        <f t="shared" si="0"/>
        <v>RY28</v>
      </c>
      <c r="T14" s="47" t="str">
        <f t="shared" si="0"/>
        <v>RY29</v>
      </c>
    </row>
    <row r="15" spans="1:20" x14ac:dyDescent="0.35">
      <c r="J15" s="49"/>
      <c r="K15" s="48"/>
      <c r="O15" s="49"/>
      <c r="P15" s="48"/>
      <c r="T15" s="49"/>
    </row>
    <row r="16" spans="1:20" ht="12.3" x14ac:dyDescent="0.35">
      <c r="D16" s="10" t="str">
        <f>Calc_EB_ACS!$C$14</f>
        <v>Opening balance</v>
      </c>
      <c r="E16" s="45" t="s">
        <v>91</v>
      </c>
      <c r="F16" s="45" t="str">
        <f>Dollars</f>
        <v>Dollars</v>
      </c>
      <c r="G16" s="45" t="str">
        <f>Nominal</f>
        <v>Nominal</v>
      </c>
      <c r="H16" s="45" t="str">
        <f>Start_year</f>
        <v>Start year</v>
      </c>
      <c r="J16" s="58">
        <f t="shared" ref="J16:T16" si="1">J32+J46+J60+J74+J88+J102+J116+J130+J144+J158</f>
        <v>849.90223285764455</v>
      </c>
      <c r="K16" s="56">
        <f t="shared" si="1"/>
        <v>864.38607337076292</v>
      </c>
      <c r="L16" s="57">
        <f t="shared" si="1"/>
        <v>903.76415364830234</v>
      </c>
      <c r="M16" s="57">
        <f t="shared" si="1"/>
        <v>906.78614629204537</v>
      </c>
      <c r="N16" s="57">
        <f t="shared" si="1"/>
        <v>957.43920038940121</v>
      </c>
      <c r="O16" s="58">
        <f t="shared" si="1"/>
        <v>1070.8785146366583</v>
      </c>
      <c r="P16" s="56">
        <f t="shared" si="1"/>
        <v>1170.0106490815524</v>
      </c>
      <c r="Q16" s="57">
        <f t="shared" si="1"/>
        <v>1239.2838617950492</v>
      </c>
      <c r="R16" s="57">
        <f t="shared" si="1"/>
        <v>1311.9944233932204</v>
      </c>
      <c r="S16" s="57">
        <f t="shared" si="1"/>
        <v>1372.1869422329876</v>
      </c>
      <c r="T16" s="58">
        <f t="shared" si="1"/>
        <v>1462.9316811198094</v>
      </c>
    </row>
    <row r="17" spans="1:20" ht="12.3" x14ac:dyDescent="0.35">
      <c r="D17" s="10" t="str">
        <f>Calc_EB_ACS!$C$33</f>
        <v>Inflation</v>
      </c>
      <c r="E17" s="45" t="s">
        <v>91</v>
      </c>
      <c r="F17" s="45" t="str">
        <f>Dollars</f>
        <v>Dollars</v>
      </c>
      <c r="G17" s="45" t="str">
        <f>Nominal</f>
        <v>Nominal</v>
      </c>
      <c r="H17" s="45" t="str">
        <f>End_year</f>
        <v>End year</v>
      </c>
      <c r="J17" s="58">
        <f t="shared" ref="J17:T17" si="2">J33+J47+J61+J75+J89+J103+J117+J131+J145+J159</f>
        <v>15.163286937692231</v>
      </c>
      <c r="K17" s="56">
        <f t="shared" si="2"/>
        <v>17.236871661530213</v>
      </c>
      <c r="L17" s="57">
        <f t="shared" si="2"/>
        <v>8.1134729605792071</v>
      </c>
      <c r="M17" s="57">
        <f t="shared" si="2"/>
        <v>33.929044859479298</v>
      </c>
      <c r="N17" s="57">
        <f t="shared" si="2"/>
        <v>81.670585182198423</v>
      </c>
      <c r="O17" s="58">
        <f t="shared" si="2"/>
        <v>53.313116564162677</v>
      </c>
      <c r="P17" s="56">
        <f t="shared" si="2"/>
        <v>36.012410074866203</v>
      </c>
      <c r="Q17" s="57">
        <f t="shared" si="2"/>
        <v>38.034938537079881</v>
      </c>
      <c r="R17" s="57">
        <f t="shared" si="2"/>
        <v>40.157825213984168</v>
      </c>
      <c r="S17" s="57">
        <f t="shared" si="2"/>
        <v>41.915230101054497</v>
      </c>
      <c r="T17" s="58">
        <f t="shared" si="2"/>
        <v>44.564649840742504</v>
      </c>
    </row>
    <row r="18" spans="1:20" ht="12.3" x14ac:dyDescent="0.35">
      <c r="D18" s="10" t="str">
        <f>Calc_EB_ACS!$C$52</f>
        <v>Straight line depreciation</v>
      </c>
      <c r="E18" s="45" t="s">
        <v>91</v>
      </c>
      <c r="F18" s="45" t="str">
        <f>Dollars</f>
        <v>Dollars</v>
      </c>
      <c r="G18" s="45" t="str">
        <f>Nominal</f>
        <v>Nominal</v>
      </c>
      <c r="H18" s="45" t="str">
        <f>End_year</f>
        <v>End year</v>
      </c>
      <c r="J18" s="58">
        <f t="shared" ref="J18:T18" si="3">J34+J48+J62+J76+J90+J104+J118+J132+J146+J160</f>
        <v>-49.140705877849342</v>
      </c>
      <c r="K18" s="56">
        <f t="shared" si="3"/>
        <v>-40.621924173764924</v>
      </c>
      <c r="L18" s="57">
        <f t="shared" si="3"/>
        <v>-45.815157063215679</v>
      </c>
      <c r="M18" s="57">
        <f t="shared" si="3"/>
        <v>-50.095361814684821</v>
      </c>
      <c r="N18" s="57">
        <f t="shared" si="3"/>
        <v>-56.250808046078838</v>
      </c>
      <c r="O18" s="58">
        <f t="shared" si="3"/>
        <v>-63.24716934034852</v>
      </c>
      <c r="P18" s="56">
        <f t="shared" si="3"/>
        <v>-70.261052476971628</v>
      </c>
      <c r="Q18" s="57">
        <f t="shared" si="3"/>
        <v>-73.581868434870472</v>
      </c>
      <c r="R18" s="57">
        <f t="shared" si="3"/>
        <v>-78.669999154146709</v>
      </c>
      <c r="S18" s="57">
        <f t="shared" si="3"/>
        <v>-86.85047879173392</v>
      </c>
      <c r="T18" s="58">
        <f t="shared" si="3"/>
        <v>-93.949007460019587</v>
      </c>
    </row>
    <row r="19" spans="1:20" ht="12.3" x14ac:dyDescent="0.35">
      <c r="D19" s="10" t="str">
        <f>Calc_EB_ACS!$C$71</f>
        <v>RAB additions</v>
      </c>
      <c r="E19" s="45" t="s">
        <v>91</v>
      </c>
      <c r="F19" s="45" t="str">
        <f>Dollars</f>
        <v>Dollars</v>
      </c>
      <c r="G19" s="45" t="str">
        <f>Nominal</f>
        <v>Nominal</v>
      </c>
      <c r="H19" s="45" t="str">
        <f>End_year</f>
        <v>End year</v>
      </c>
      <c r="J19" s="58">
        <f t="shared" ref="J19:T19" si="4">J35+J49+J63+J77+J91+J105+J119+J133+J147+J161</f>
        <v>48.558758580558532</v>
      </c>
      <c r="K19" s="56">
        <f t="shared" si="4"/>
        <v>62.853118792620229</v>
      </c>
      <c r="L19" s="57">
        <f t="shared" si="4"/>
        <v>40.848035380099574</v>
      </c>
      <c r="M19" s="57">
        <f t="shared" si="4"/>
        <v>66.968133714277471</v>
      </c>
      <c r="N19" s="57">
        <f t="shared" si="4"/>
        <v>88.175340866594908</v>
      </c>
      <c r="O19" s="58">
        <f t="shared" si="4"/>
        <v>109.22719899430915</v>
      </c>
      <c r="P19" s="56">
        <f t="shared" si="4"/>
        <v>103.68215500631372</v>
      </c>
      <c r="Q19" s="57">
        <f t="shared" si="4"/>
        <v>108.41791456217935</v>
      </c>
      <c r="R19" s="57">
        <f t="shared" si="4"/>
        <v>98.86523892715104</v>
      </c>
      <c r="S19" s="57">
        <f t="shared" si="4"/>
        <v>135.84065671143932</v>
      </c>
      <c r="T19" s="58">
        <f t="shared" si="4"/>
        <v>169.86208085514784</v>
      </c>
    </row>
    <row r="20" spans="1:20" ht="12.3" x14ac:dyDescent="0.35">
      <c r="D20" s="10" t="str">
        <f>Calc_EB_ACS!$C$90</f>
        <v>Disposals</v>
      </c>
      <c r="E20" s="45" t="s">
        <v>91</v>
      </c>
      <c r="F20" s="45" t="str">
        <f>Dollars</f>
        <v>Dollars</v>
      </c>
      <c r="G20" s="45" t="str">
        <f>Nominal</f>
        <v>Nominal</v>
      </c>
      <c r="H20" s="45" t="str">
        <f>End_year</f>
        <v>End year</v>
      </c>
      <c r="J20" s="58">
        <f t="shared" ref="J20:T20" si="5">J36+J50+J64+J78+J92+J106+J120+J134+J148+J162</f>
        <v>-9.7499127283210724E-2</v>
      </c>
      <c r="K20" s="56">
        <f t="shared" si="5"/>
        <v>-8.9986002845936316E-2</v>
      </c>
      <c r="L20" s="57">
        <f t="shared" si="5"/>
        <v>-0.12435863372032047</v>
      </c>
      <c r="M20" s="57">
        <f t="shared" si="5"/>
        <v>-0.14876266171605509</v>
      </c>
      <c r="N20" s="57">
        <f t="shared" si="5"/>
        <v>-0.15580375545729908</v>
      </c>
      <c r="O20" s="58">
        <f t="shared" si="5"/>
        <v>-0.16101177322957019</v>
      </c>
      <c r="P20" s="56">
        <f t="shared" si="5"/>
        <v>-0.16029989071105596</v>
      </c>
      <c r="Q20" s="57">
        <f t="shared" si="5"/>
        <v>-0.16042306621793079</v>
      </c>
      <c r="R20" s="57">
        <f t="shared" si="5"/>
        <v>-0.16054614722112998</v>
      </c>
      <c r="S20" s="57">
        <f t="shared" si="5"/>
        <v>-0.1606691339378378</v>
      </c>
      <c r="T20" s="58">
        <f t="shared" si="5"/>
        <v>-0.16079202658440808</v>
      </c>
    </row>
    <row r="21" spans="1:20" x14ac:dyDescent="0.35">
      <c r="J21" s="49"/>
      <c r="K21" s="48"/>
      <c r="O21" s="49"/>
      <c r="P21" s="48"/>
      <c r="T21" s="49"/>
    </row>
    <row r="22" spans="1:20" ht="12.3" x14ac:dyDescent="0.35">
      <c r="D22" s="44" t="s">
        <v>439</v>
      </c>
      <c r="E22" s="40" t="s">
        <v>91</v>
      </c>
      <c r="F22" s="40" t="str">
        <f>F16</f>
        <v>Dollars</v>
      </c>
      <c r="G22" s="40" t="str">
        <f>G16</f>
        <v>Nominal</v>
      </c>
      <c r="H22" s="40" t="str">
        <f>End_year</f>
        <v>End year</v>
      </c>
      <c r="J22" s="54">
        <f t="shared" ref="J22:T22" si="6">J38+J52+J66+J80+J94+J108+J122+J136+J150+J164</f>
        <v>864.38607337076292</v>
      </c>
      <c r="K22" s="53">
        <f t="shared" si="6"/>
        <v>903.76415364830234</v>
      </c>
      <c r="L22" s="39">
        <f t="shared" si="6"/>
        <v>906.78614629204537</v>
      </c>
      <c r="M22" s="39">
        <f t="shared" si="6"/>
        <v>957.43920038940121</v>
      </c>
      <c r="N22" s="39">
        <f t="shared" si="6"/>
        <v>1070.8785146366583</v>
      </c>
      <c r="O22" s="54">
        <f t="shared" si="6"/>
        <v>1170.0106490815524</v>
      </c>
      <c r="P22" s="53">
        <f t="shared" si="6"/>
        <v>1239.2838617950492</v>
      </c>
      <c r="Q22" s="39">
        <f t="shared" si="6"/>
        <v>1311.9944233932204</v>
      </c>
      <c r="R22" s="39">
        <f t="shared" si="6"/>
        <v>1372.1869422329876</v>
      </c>
      <c r="S22" s="39">
        <f t="shared" si="6"/>
        <v>1462.9316811198094</v>
      </c>
      <c r="T22" s="54">
        <f t="shared" si="6"/>
        <v>1583.2486123290955</v>
      </c>
    </row>
    <row r="23" spans="1:20" ht="11.25" customHeight="1" x14ac:dyDescent="0.35"/>
    <row r="24" spans="1:20" ht="11.25" customHeight="1" x14ac:dyDescent="0.35">
      <c r="A24" s="42">
        <f>IF(SUM($J24:$T24)&lt;&gt;0,1,0)</f>
        <v>0</v>
      </c>
      <c r="D24" s="10" t="s">
        <v>94</v>
      </c>
      <c r="J24" s="42">
        <f>IF(J22&lt;&gt;Calc_EB_NS!J$162,1,0)</f>
        <v>0</v>
      </c>
      <c r="K24" s="42">
        <f>IF(K22&lt;&gt;Calc_EB_NS!K$162,1,0)</f>
        <v>0</v>
      </c>
      <c r="L24" s="42">
        <f>IF(L22&lt;&gt;Calc_EB_NS!L$162,1,0)</f>
        <v>0</v>
      </c>
      <c r="M24" s="42">
        <f>IF(M22&lt;&gt;Calc_EB_NS!M$162,1,0)</f>
        <v>0</v>
      </c>
      <c r="N24" s="42">
        <f>IF(N22&lt;&gt;Calc_EB_NS!N$162,1,0)</f>
        <v>0</v>
      </c>
      <c r="O24" s="42">
        <f>IF(O22&lt;&gt;Calc_EB_NS!O$162,1,0)</f>
        <v>0</v>
      </c>
      <c r="P24" s="42">
        <f>IF(P22&lt;&gt;Calc_EB_NS!P$162,1,0)</f>
        <v>0</v>
      </c>
      <c r="Q24" s="42">
        <f>IF(Q22&lt;&gt;Calc_EB_NS!Q$162,1,0)</f>
        <v>0</v>
      </c>
      <c r="R24" s="42">
        <f>IF(R22&lt;&gt;Calc_EB_NS!R$162,1,0)</f>
        <v>0</v>
      </c>
      <c r="S24" s="42">
        <f>IF(S22&lt;&gt;Calc_EB_NS!S$162,1,0)</f>
        <v>0</v>
      </c>
      <c r="T24" s="42">
        <f>IF(T22&lt;&gt;Calc_EB_NS!T$162,1,0)</f>
        <v>0</v>
      </c>
    </row>
    <row r="26" spans="1:20" s="2" customFormat="1" ht="15" x14ac:dyDescent="0.35">
      <c r="B26" s="2" t="s">
        <v>442</v>
      </c>
    </row>
    <row r="27" spans="1:20" ht="4.5" customHeight="1" x14ac:dyDescent="0.35"/>
    <row r="28" spans="1:20" s="8" customFormat="1" ht="14.1" x14ac:dyDescent="0.35">
      <c r="C28" s="8" t="str">
        <f>Lookup!$D$106</f>
        <v>Overhead network assets less than 33kV</v>
      </c>
    </row>
    <row r="29" spans="1:20" ht="11.25" customHeight="1" x14ac:dyDescent="0.35"/>
    <row r="30" spans="1:20" ht="12.3" x14ac:dyDescent="0.35">
      <c r="D30" s="43" t="str">
        <f>D$14</f>
        <v>Category heading</v>
      </c>
      <c r="E30" s="38" t="str">
        <f>Lookup!E$20</f>
        <v>Source</v>
      </c>
      <c r="F30" s="38" t="str">
        <f>Lookup!F$20</f>
        <v>Unit</v>
      </c>
      <c r="G30" s="38" t="str">
        <f>Lookup!G$20</f>
        <v>Basis</v>
      </c>
      <c r="H30" s="38" t="str">
        <f>Lookup!H$20</f>
        <v>Timing</v>
      </c>
      <c r="J30" s="47" t="str">
        <f t="shared" ref="J30:T30" si="7">J$10</f>
        <v>RY19</v>
      </c>
      <c r="K30" s="46" t="str">
        <f t="shared" si="7"/>
        <v>RY20</v>
      </c>
      <c r="L30" s="38" t="str">
        <f>L$10</f>
        <v>RY21</v>
      </c>
      <c r="M30" s="38" t="str">
        <f t="shared" si="7"/>
        <v>RY22</v>
      </c>
      <c r="N30" s="38" t="str">
        <f t="shared" si="7"/>
        <v>RY23</v>
      </c>
      <c r="O30" s="47" t="str">
        <f t="shared" si="7"/>
        <v>RY24</v>
      </c>
      <c r="P30" s="46" t="str">
        <f t="shared" si="7"/>
        <v>RY25</v>
      </c>
      <c r="Q30" s="38" t="str">
        <f>Q$10</f>
        <v>RY26</v>
      </c>
      <c r="R30" s="38" t="str">
        <f t="shared" si="7"/>
        <v>RY27</v>
      </c>
      <c r="S30" s="38" t="str">
        <f t="shared" si="7"/>
        <v>RY28</v>
      </c>
      <c r="T30" s="47" t="str">
        <f t="shared" si="7"/>
        <v>RY29</v>
      </c>
    </row>
    <row r="31" spans="1:20" x14ac:dyDescent="0.35">
      <c r="J31" s="49"/>
      <c r="K31" s="48"/>
      <c r="O31" s="49"/>
      <c r="P31" s="48"/>
      <c r="T31" s="49"/>
    </row>
    <row r="32" spans="1:20" ht="12.3" x14ac:dyDescent="0.35">
      <c r="D32" s="10" t="str">
        <f>Calc_EB_ACS!$C$14</f>
        <v>Opening balance</v>
      </c>
      <c r="E32" s="45" t="s">
        <v>147</v>
      </c>
      <c r="F32" s="45" t="str">
        <f>Millions</f>
        <v>$Millions</v>
      </c>
      <c r="G32" s="45" t="str">
        <f>Nominal</f>
        <v>Nominal</v>
      </c>
      <c r="H32" s="45" t="str">
        <f>Start_year</f>
        <v>Start year</v>
      </c>
      <c r="J32" s="58">
        <f>Calc_EB_NS!J$18</f>
        <v>60.997265702808299</v>
      </c>
      <c r="K32" s="56">
        <f>Calc_EB_NS!K$18</f>
        <v>61.20623533761254</v>
      </c>
      <c r="L32" s="57">
        <f>Calc_EB_NS!L$18</f>
        <v>62.838927055301163</v>
      </c>
      <c r="M32" s="57">
        <f>Calc_EB_NS!M$18</f>
        <v>64.038705539799537</v>
      </c>
      <c r="N32" s="57">
        <f>Calc_EB_NS!N$18</f>
        <v>70.106702618089344</v>
      </c>
      <c r="O32" s="58">
        <f>Calc_EB_NS!O$18</f>
        <v>82.465397781562217</v>
      </c>
      <c r="P32" s="56">
        <f>Calc_EB_NS!P$18</f>
        <v>91.274560842660946</v>
      </c>
      <c r="Q32" s="57">
        <f>Calc_EB_NS!Q$18</f>
        <v>97.923936415954429</v>
      </c>
      <c r="R32" s="57">
        <f>Calc_EB_NS!R$18</f>
        <v>105.38333749212411</v>
      </c>
      <c r="S32" s="57">
        <f>Calc_EB_NS!S$18</f>
        <v>113.07706790162077</v>
      </c>
      <c r="T32" s="58">
        <f>Calc_EB_NS!T$18</f>
        <v>119.99303537483786</v>
      </c>
    </row>
    <row r="33" spans="1:20" ht="12.3" x14ac:dyDescent="0.35">
      <c r="D33" s="10" t="str">
        <f>Calc_EB_ACS!$C$33</f>
        <v>Inflation</v>
      </c>
      <c r="E33" s="45" t="s">
        <v>147</v>
      </c>
      <c r="F33" s="45" t="str">
        <f>Millions</f>
        <v>$Millions</v>
      </c>
      <c r="G33" s="45" t="str">
        <f>Nominal</f>
        <v>Nominal</v>
      </c>
      <c r="H33" s="45" t="str">
        <f>End_year</f>
        <v>End year</v>
      </c>
      <c r="J33" s="58">
        <f>Calc_EB_NS!J$37</f>
        <v>1.0882652221732143</v>
      </c>
      <c r="K33" s="56">
        <f>Calc_EB_NS!K$37</f>
        <v>1.4024590875092284</v>
      </c>
      <c r="L33" s="57">
        <f>Calc_EB_NS!L$37</f>
        <v>0.61055534241544973</v>
      </c>
      <c r="M33" s="57">
        <f>Calc_EB_NS!M$37</f>
        <v>2.6989271277548506</v>
      </c>
      <c r="N33" s="57">
        <f>Calc_EB_NS!N$37</f>
        <v>6.6633933855084839</v>
      </c>
      <c r="O33" s="58">
        <f>Calc_EB_NS!O$37</f>
        <v>4.4956022866694605</v>
      </c>
      <c r="P33" s="56">
        <f>Calc_EB_NS!P$37</f>
        <v>3.0498640409686129</v>
      </c>
      <c r="Q33" s="57">
        <f>Calc_EB_NS!Q$37</f>
        <v>3.2440018732726443</v>
      </c>
      <c r="R33" s="57">
        <f>Calc_EB_NS!R$37</f>
        <v>3.4617895345727958</v>
      </c>
      <c r="S33" s="57">
        <f>Calc_EB_NS!S$37</f>
        <v>3.6864187689373504</v>
      </c>
      <c r="T33" s="58">
        <f>Calc_EB_NS!T$37</f>
        <v>3.8883401251212573</v>
      </c>
    </row>
    <row r="34" spans="1:20" ht="12.3" x14ac:dyDescent="0.35">
      <c r="D34" s="10" t="str">
        <f>Calc_EB_ACS!$C$52</f>
        <v>Straight line depreciation</v>
      </c>
      <c r="E34" s="45" t="s">
        <v>147</v>
      </c>
      <c r="F34" s="45" t="str">
        <f>Millions</f>
        <v>$Millions</v>
      </c>
      <c r="G34" s="45" t="str">
        <f>Nominal</f>
        <v>Nominal</v>
      </c>
      <c r="H34" s="45" t="str">
        <f>End_year</f>
        <v>End year</v>
      </c>
      <c r="J34" s="58">
        <f>Calc_EB_NS!J$56</f>
        <v>-2.8591068941352322</v>
      </c>
      <c r="K34" s="56">
        <f>Calc_EB_NS!K$56</f>
        <v>-2.5342612507147138</v>
      </c>
      <c r="L34" s="57">
        <f>Calc_EB_NS!L$56</f>
        <v>-2.4519023974306573</v>
      </c>
      <c r="M34" s="57">
        <f>Calc_EB_NS!M$56</f>
        <v>-2.7705630538490005</v>
      </c>
      <c r="N34" s="57">
        <f>Calc_EB_NS!N$56</f>
        <v>-2.9716585782731668</v>
      </c>
      <c r="O34" s="58">
        <f>Calc_EB_NS!O$56</f>
        <v>-3.3041995270363951</v>
      </c>
      <c r="P34" s="56">
        <f>Calc_EB_NS!P$56</f>
        <v>-3.6091251054444582</v>
      </c>
      <c r="Q34" s="57">
        <f>Calc_EB_NS!Q$56</f>
        <v>-3.8481370966364499</v>
      </c>
      <c r="R34" s="57">
        <f>Calc_EB_NS!R$56</f>
        <v>-4.1099855839136508</v>
      </c>
      <c r="S34" s="57">
        <f>Calc_EB_NS!S$56</f>
        <v>-4.384638969820978</v>
      </c>
      <c r="T34" s="58">
        <f>Calc_EB_NS!T$56</f>
        <v>-4.6537994454789873</v>
      </c>
    </row>
    <row r="35" spans="1:20" ht="12.3" x14ac:dyDescent="0.35">
      <c r="D35" s="10" t="str">
        <f>Calc_EB_ACS!$C$71</f>
        <v>RAB additions</v>
      </c>
      <c r="E35" s="45" t="s">
        <v>147</v>
      </c>
      <c r="F35" s="45" t="str">
        <f>Millions</f>
        <v>$Millions</v>
      </c>
      <c r="G35" s="45" t="str">
        <f>Nominal</f>
        <v>Nominal</v>
      </c>
      <c r="H35" s="45" t="str">
        <f>End_year</f>
        <v>End year</v>
      </c>
      <c r="J35" s="58">
        <f>Calc_EB_NS!J$75+Calc_EB_NS!J$132</f>
        <v>1.9943349382905273</v>
      </c>
      <c r="K35" s="56">
        <f>Calc_EB_NS!K$75+Calc_EB_NS!K$132</f>
        <v>2.7754994381795477</v>
      </c>
      <c r="L35" s="57">
        <f>Calc_EB_NS!L$75+Calc_EB_NS!L$132</f>
        <v>3.067292490758684</v>
      </c>
      <c r="M35" s="57">
        <f>Calc_EB_NS!M$75+Calc_EB_NS!M$132</f>
        <v>6.1676075658409131</v>
      </c>
      <c r="N35" s="57">
        <f>Calc_EB_NS!N$75+Calc_EB_NS!N$132</f>
        <v>8.6947845238922117</v>
      </c>
      <c r="O35" s="58">
        <f>Calc_EB_NS!O$75+Calc_EB_NS!O$132</f>
        <v>7.6465145414360771</v>
      </c>
      <c r="P35" s="56">
        <f>Calc_EB_NS!P$75+Calc_EB_NS!P$132</f>
        <v>7.2372637464104326</v>
      </c>
      <c r="Q35" s="57">
        <f>Calc_EB_NS!Q$75+Calc_EB_NS!Q$132</f>
        <v>8.0921854054361173</v>
      </c>
      <c r="R35" s="57">
        <f>Calc_EB_NS!R$75+Calc_EB_NS!R$132</f>
        <v>8.3705975451247365</v>
      </c>
      <c r="S35" s="57">
        <f>Calc_EB_NS!S$75+Calc_EB_NS!S$132</f>
        <v>7.6428807239344456</v>
      </c>
      <c r="T35" s="58">
        <f>Calc_EB_NS!T$75+Calc_EB_NS!T$132</f>
        <v>7.9638532348298519</v>
      </c>
    </row>
    <row r="36" spans="1:20" ht="12.3" x14ac:dyDescent="0.35">
      <c r="D36" s="10" t="str">
        <f>Calc_EB_ACS!$C$90</f>
        <v>Disposals</v>
      </c>
      <c r="E36" s="45" t="s">
        <v>147</v>
      </c>
      <c r="F36" s="45" t="str">
        <f>Millions</f>
        <v>$Millions</v>
      </c>
      <c r="G36" s="45" t="str">
        <f>Nominal</f>
        <v>Nominal</v>
      </c>
      <c r="H36" s="45" t="str">
        <f>End_year</f>
        <v>End year</v>
      </c>
      <c r="J36" s="58">
        <f>Calc_EB_NS!J$94</f>
        <v>-1.4523631524272787E-2</v>
      </c>
      <c r="K36" s="56">
        <f>Calc_EB_NS!K$94</f>
        <v>-1.1005557285437038E-2</v>
      </c>
      <c r="L36" s="57">
        <f>Calc_EB_NS!L$94</f>
        <v>-2.6166951245101919E-2</v>
      </c>
      <c r="M36" s="57">
        <f>Calc_EB_NS!M$94</f>
        <v>-2.7974561456962293E-2</v>
      </c>
      <c r="N36" s="57">
        <f>Calc_EB_NS!N$94</f>
        <v>-2.7824167654657481E-2</v>
      </c>
      <c r="O36" s="58">
        <f>Calc_EB_NS!O$94</f>
        <v>-2.8754239970429245E-2</v>
      </c>
      <c r="P36" s="56">
        <f>Calc_EB_NS!P$94</f>
        <v>-2.8627108641101379E-2</v>
      </c>
      <c r="Q36" s="57">
        <f>Calc_EB_NS!Q$94</f>
        <v>-2.8649105902619071E-2</v>
      </c>
      <c r="R36" s="57">
        <f>Calc_EB_NS!R$94</f>
        <v>-2.8671086287225759E-2</v>
      </c>
      <c r="S36" s="57">
        <f>Calc_EB_NS!S$94</f>
        <v>-2.8693049833707233E-2</v>
      </c>
      <c r="T36" s="58">
        <f>Calc_EB_NS!T$94</f>
        <v>-2.871499658070097E-2</v>
      </c>
    </row>
    <row r="37" spans="1:20" x14ac:dyDescent="0.35">
      <c r="J37" s="49"/>
      <c r="K37" s="48"/>
      <c r="O37" s="49"/>
      <c r="P37" s="48"/>
      <c r="T37" s="49"/>
    </row>
    <row r="38" spans="1:20" ht="12.3" x14ac:dyDescent="0.35">
      <c r="D38" s="44" t="str">
        <f>$D$22</f>
        <v>Closing balance</v>
      </c>
      <c r="E38" s="40" t="s">
        <v>91</v>
      </c>
      <c r="F38" s="40" t="str">
        <f>F32</f>
        <v>$Millions</v>
      </c>
      <c r="G38" s="40" t="str">
        <f>G32</f>
        <v>Nominal</v>
      </c>
      <c r="H38" s="40" t="str">
        <f>End_year</f>
        <v>End year</v>
      </c>
      <c r="J38" s="54">
        <f t="shared" ref="J38:T38" si="8">SUM(J32:J36)</f>
        <v>61.20623533761254</v>
      </c>
      <c r="K38" s="53">
        <f t="shared" si="8"/>
        <v>62.838927055301163</v>
      </c>
      <c r="L38" s="39">
        <f t="shared" si="8"/>
        <v>64.038705539799537</v>
      </c>
      <c r="M38" s="39">
        <f t="shared" si="8"/>
        <v>70.106702618089344</v>
      </c>
      <c r="N38" s="39">
        <f t="shared" si="8"/>
        <v>82.465397781562217</v>
      </c>
      <c r="O38" s="54">
        <f t="shared" si="8"/>
        <v>91.274560842660946</v>
      </c>
      <c r="P38" s="53">
        <f t="shared" si="8"/>
        <v>97.923936415954429</v>
      </c>
      <c r="Q38" s="39">
        <f t="shared" si="8"/>
        <v>105.38333749212411</v>
      </c>
      <c r="R38" s="39">
        <f t="shared" si="8"/>
        <v>113.07706790162077</v>
      </c>
      <c r="S38" s="39">
        <f t="shared" si="8"/>
        <v>119.99303537483786</v>
      </c>
      <c r="T38" s="54">
        <f t="shared" si="8"/>
        <v>127.16271429272929</v>
      </c>
    </row>
    <row r="39" spans="1:20" ht="11.25" customHeight="1" x14ac:dyDescent="0.35"/>
    <row r="40" spans="1:20" ht="11.25" customHeight="1" x14ac:dyDescent="0.35">
      <c r="A40" s="42">
        <f>IF(SUM($J40:$T40)&lt;&gt;0,1,0)</f>
        <v>0</v>
      </c>
      <c r="D40" s="10" t="s">
        <v>94</v>
      </c>
      <c r="J40" s="42">
        <f>IF(J38&lt;&gt;Calc_EB_NS!J$151,1,0)</f>
        <v>0</v>
      </c>
      <c r="K40" s="42">
        <f>IF(K38&lt;&gt;Calc_EB_NS!K$151,1,0)</f>
        <v>0</v>
      </c>
      <c r="L40" s="42">
        <f>IF(L38&lt;&gt;Calc_EB_NS!L$151,1,0)</f>
        <v>0</v>
      </c>
      <c r="M40" s="42">
        <f>IF(M38&lt;&gt;Calc_EB_NS!M$151,1,0)</f>
        <v>0</v>
      </c>
      <c r="N40" s="42">
        <f>IF(N38&lt;&gt;Calc_EB_NS!N$151,1,0)</f>
        <v>0</v>
      </c>
      <c r="O40" s="42">
        <f>IF(O38&lt;&gt;Calc_EB_NS!O$151,1,0)</f>
        <v>0</v>
      </c>
      <c r="P40" s="42">
        <f>IF(P38&lt;&gt;Calc_EB_NS!P$151,1,0)</f>
        <v>0</v>
      </c>
      <c r="Q40" s="42">
        <f>IF(Q38&lt;&gt;Calc_EB_NS!Q$151,1,0)</f>
        <v>0</v>
      </c>
      <c r="R40" s="42">
        <f>IF(R38&lt;&gt;Calc_EB_NS!R$151,1,0)</f>
        <v>0</v>
      </c>
      <c r="S40" s="42">
        <f>IF(S38&lt;&gt;Calc_EB_NS!S$151,1,0)</f>
        <v>0</v>
      </c>
      <c r="T40" s="42">
        <f>IF(T38&lt;&gt;Calc_EB_NS!T$151,1,0)</f>
        <v>0</v>
      </c>
    </row>
    <row r="41" spans="1:20" ht="11.25" customHeight="1" x14ac:dyDescent="0.35">
      <c r="N41" s="5"/>
      <c r="S41" s="5"/>
    </row>
    <row r="42" spans="1:20" s="8" customFormat="1" ht="14.1" x14ac:dyDescent="0.35">
      <c r="C42" s="8" t="str">
        <f>Lookup!$D$107</f>
        <v>Underground network assets less than 33kV</v>
      </c>
    </row>
    <row r="43" spans="1:20" ht="11.25" customHeight="1" x14ac:dyDescent="0.35"/>
    <row r="44" spans="1:20" ht="12.3" x14ac:dyDescent="0.35">
      <c r="D44" s="43" t="str">
        <f>D$14</f>
        <v>Category heading</v>
      </c>
      <c r="E44" s="38" t="str">
        <f>Lookup!E$20</f>
        <v>Source</v>
      </c>
      <c r="F44" s="38" t="str">
        <f>Lookup!F$20</f>
        <v>Unit</v>
      </c>
      <c r="G44" s="38" t="str">
        <f>Lookup!G$20</f>
        <v>Basis</v>
      </c>
      <c r="H44" s="38" t="str">
        <f>Lookup!H$20</f>
        <v>Timing</v>
      </c>
      <c r="J44" s="47" t="str">
        <f t="shared" ref="J44:T44" si="9">J$10</f>
        <v>RY19</v>
      </c>
      <c r="K44" s="46" t="str">
        <f t="shared" si="9"/>
        <v>RY20</v>
      </c>
      <c r="L44" s="38" t="str">
        <f>L$10</f>
        <v>RY21</v>
      </c>
      <c r="M44" s="38" t="str">
        <f t="shared" si="9"/>
        <v>RY22</v>
      </c>
      <c r="N44" s="38" t="str">
        <f t="shared" si="9"/>
        <v>RY23</v>
      </c>
      <c r="O44" s="47" t="str">
        <f t="shared" si="9"/>
        <v>RY24</v>
      </c>
      <c r="P44" s="46" t="str">
        <f t="shared" si="9"/>
        <v>RY25</v>
      </c>
      <c r="Q44" s="38" t="str">
        <f>Q$10</f>
        <v>RY26</v>
      </c>
      <c r="R44" s="38" t="str">
        <f t="shared" si="9"/>
        <v>RY27</v>
      </c>
      <c r="S44" s="38" t="str">
        <f t="shared" si="9"/>
        <v>RY28</v>
      </c>
      <c r="T44" s="47" t="str">
        <f t="shared" si="9"/>
        <v>RY29</v>
      </c>
    </row>
    <row r="45" spans="1:20" x14ac:dyDescent="0.35">
      <c r="J45" s="49"/>
      <c r="K45" s="48"/>
      <c r="O45" s="49"/>
      <c r="P45" s="48"/>
      <c r="T45" s="49"/>
    </row>
    <row r="46" spans="1:20" ht="12.3" x14ac:dyDescent="0.35">
      <c r="D46" s="10" t="str">
        <f>Calc_EB_ACS!$C$14</f>
        <v>Opening balance</v>
      </c>
      <c r="E46" s="45" t="str">
        <f>$E$32</f>
        <v>Calc_EB_NS</v>
      </c>
      <c r="F46" s="45" t="str">
        <f>Millions</f>
        <v>$Millions</v>
      </c>
      <c r="G46" s="45" t="str">
        <f>Nominal</f>
        <v>Nominal</v>
      </c>
      <c r="H46" s="45" t="str">
        <f>Start_year</f>
        <v>Start year</v>
      </c>
      <c r="J46" s="58">
        <f>Calc_EB_NS!J$19</f>
        <v>126.35361493849278</v>
      </c>
      <c r="K46" s="56">
        <f>Calc_EB_NS!K$19</f>
        <v>126.78648792821889</v>
      </c>
      <c r="L46" s="57">
        <f>Calc_EB_NS!L$19</f>
        <v>130.16854937364855</v>
      </c>
      <c r="M46" s="57">
        <f>Calc_EB_NS!M$19</f>
        <v>132.65384681928171</v>
      </c>
      <c r="N46" s="57">
        <f>Calc_EB_NS!N$19</f>
        <v>145.2234818257707</v>
      </c>
      <c r="O46" s="58">
        <f>Calc_EB_NS!O$19</f>
        <v>170.8240688657857</v>
      </c>
      <c r="P46" s="56">
        <f>Calc_EB_NS!P$19</f>
        <v>189.07192939736385</v>
      </c>
      <c r="Q46" s="57">
        <f>Calc_EB_NS!Q$19</f>
        <v>202.84586878774317</v>
      </c>
      <c r="R46" s="57">
        <f>Calc_EB_NS!R$19</f>
        <v>218.29774651357917</v>
      </c>
      <c r="S46" s="57">
        <f>Calc_EB_NS!S$19</f>
        <v>234.23502892126183</v>
      </c>
      <c r="T46" s="58">
        <f>Calc_EB_NS!T$19</f>
        <v>248.56120372548395</v>
      </c>
    </row>
    <row r="47" spans="1:20" ht="12.3" x14ac:dyDescent="0.35">
      <c r="D47" s="10" t="str">
        <f>Calc_EB_ACS!$C$33</f>
        <v>Inflation</v>
      </c>
      <c r="E47" s="45" t="str">
        <f>$E$33</f>
        <v>Calc_EB_NS</v>
      </c>
      <c r="F47" s="45" t="str">
        <f>Millions</f>
        <v>$Millions</v>
      </c>
      <c r="G47" s="45" t="str">
        <f>Nominal</f>
        <v>Nominal</v>
      </c>
      <c r="H47" s="45" t="str">
        <f>End_year</f>
        <v>End year</v>
      </c>
      <c r="J47" s="58">
        <f>Calc_EB_NS!J$38</f>
        <v>2.25430178302397</v>
      </c>
      <c r="K47" s="56">
        <f>Calc_EB_NS!K$38</f>
        <v>2.9051429349885187</v>
      </c>
      <c r="L47" s="57">
        <f>Calc_EB_NS!L$38</f>
        <v>1.2647431609487629</v>
      </c>
      <c r="M47" s="57">
        <f>Calc_EB_NS!M$38</f>
        <v>5.590729274799088</v>
      </c>
      <c r="N47" s="57">
        <f>Calc_EB_NS!N$38</f>
        <v>13.802976777981639</v>
      </c>
      <c r="O47" s="58">
        <f>Calc_EB_NS!O$38</f>
        <v>9.3124764479449169</v>
      </c>
      <c r="P47" s="56">
        <f>Calc_EB_NS!P$38</f>
        <v>6.3176823125952302</v>
      </c>
      <c r="Q47" s="57">
        <f>Calc_EB_NS!Q$38</f>
        <v>6.7198317634813201</v>
      </c>
      <c r="R47" s="57">
        <f>Calc_EB_NS!R$38</f>
        <v>7.170970974021496</v>
      </c>
      <c r="S47" s="57">
        <f>Calc_EB_NS!S$38</f>
        <v>7.6362822540568018</v>
      </c>
      <c r="T47" s="58">
        <f>Calc_EB_NS!T$38</f>
        <v>8.054554991255003</v>
      </c>
    </row>
    <row r="48" spans="1:20" ht="12.3" x14ac:dyDescent="0.35">
      <c r="D48" s="10" t="str">
        <f>Calc_EB_ACS!$C$52</f>
        <v>Straight line depreciation</v>
      </c>
      <c r="E48" s="45" t="str">
        <f>$E$34</f>
        <v>Calc_EB_NS</v>
      </c>
      <c r="F48" s="45" t="str">
        <f>Millions</f>
        <v>$Millions</v>
      </c>
      <c r="G48" s="45" t="str">
        <f>Nominal</f>
        <v>Nominal</v>
      </c>
      <c r="H48" s="45" t="str">
        <f>End_year</f>
        <v>End year</v>
      </c>
      <c r="J48" s="58">
        <f>Calc_EB_NS!J$57</f>
        <v>-5.9225358285678196</v>
      </c>
      <c r="K48" s="56">
        <f>Calc_EB_NS!K$57</f>
        <v>-5.2496299061419647</v>
      </c>
      <c r="L48" s="57">
        <f>Calc_EB_NS!L$57</f>
        <v>-5.0790265403233832</v>
      </c>
      <c r="M48" s="57">
        <f>Calc_EB_NS!M$57</f>
        <v>-5.7391204873751267</v>
      </c>
      <c r="N48" s="57">
        <f>Calc_EB_NS!N$57</f>
        <v>-6.1556825441522971</v>
      </c>
      <c r="O48" s="58">
        <f>Calc_EB_NS!O$57</f>
        <v>-6.8445290114026394</v>
      </c>
      <c r="P48" s="56">
        <f>Calc_EB_NS!P$57</f>
        <v>-7.4761712444625354</v>
      </c>
      <c r="Q48" s="57">
        <f>Calc_EB_NS!Q$57</f>
        <v>-7.971275881576867</v>
      </c>
      <c r="R48" s="57">
        <f>Calc_EB_NS!R$57</f>
        <v>-8.5136854888345077</v>
      </c>
      <c r="S48" s="57">
        <f>Calc_EB_NS!S$57</f>
        <v>-9.0826199773666705</v>
      </c>
      <c r="T48" s="58">
        <f>Calc_EB_NS!T$57</f>
        <v>-9.6401761023191366</v>
      </c>
    </row>
    <row r="49" spans="1:20" ht="12.3" x14ac:dyDescent="0.35">
      <c r="D49" s="10" t="str">
        <f>Calc_EB_ACS!$C$71</f>
        <v>RAB additions</v>
      </c>
      <c r="E49" s="45" t="str">
        <f>$E$35</f>
        <v>Calc_EB_NS</v>
      </c>
      <c r="F49" s="45" t="str">
        <f>Millions</f>
        <v>$Millions</v>
      </c>
      <c r="G49" s="45" t="str">
        <f>Nominal</f>
        <v>Nominal</v>
      </c>
      <c r="H49" s="45" t="str">
        <f>End_year</f>
        <v>End year</v>
      </c>
      <c r="J49" s="58">
        <f>Calc_EB_NS!J$76+Calc_EB_NS!J$133</f>
        <v>4.1311922091540971</v>
      </c>
      <c r="K49" s="56">
        <f>Calc_EB_NS!K$76+Calc_EB_NS!K$133</f>
        <v>5.7493460277776967</v>
      </c>
      <c r="L49" s="57">
        <f>Calc_EB_NS!L$76+Calc_EB_NS!L$133</f>
        <v>6.3537847117499542</v>
      </c>
      <c r="M49" s="57">
        <f>Calc_EB_NS!M$76+Calc_EB_NS!M$133</f>
        <v>12.775974504544369</v>
      </c>
      <c r="N49" s="57">
        <f>Calc_EB_NS!N$76+Calc_EB_NS!N$133</f>
        <v>18.010929556379491</v>
      </c>
      <c r="O49" s="58">
        <f>Calc_EB_NS!O$76+Calc_EB_NS!O$133</f>
        <v>15.839476456167079</v>
      </c>
      <c r="P49" s="56">
        <f>Calc_EB_NS!P$76+Calc_EB_NS!P$133</f>
        <v>14.991728335458095</v>
      </c>
      <c r="Q49" s="57">
        <f>Calc_EB_NS!Q$76+Calc_EB_NS!Q$133</f>
        <v>16.762667423669313</v>
      </c>
      <c r="R49" s="57">
        <f>Calc_EB_NS!R$76+Calc_EB_NS!R$133</f>
        <v>17.339388033799846</v>
      </c>
      <c r="S49" s="57">
        <f>Calc_EB_NS!S$76+Calc_EB_NS!S$133</f>
        <v>15.83194913552299</v>
      </c>
      <c r="T49" s="58">
        <f>Calc_EB_NS!T$76+Calc_EB_NS!T$133</f>
        <v>16.496832004947283</v>
      </c>
    </row>
    <row r="50" spans="1:20" ht="12.3" x14ac:dyDescent="0.35">
      <c r="D50" s="10" t="str">
        <f>Calc_EB_ACS!$C$90</f>
        <v>Disposals</v>
      </c>
      <c r="E50" s="45" t="str">
        <f>$E$36</f>
        <v>Calc_EB_NS</v>
      </c>
      <c r="F50" s="45" t="str">
        <f>Millions</f>
        <v>$Millions</v>
      </c>
      <c r="G50" s="45" t="str">
        <f>Nominal</f>
        <v>Nominal</v>
      </c>
      <c r="H50" s="45" t="str">
        <f>End_year</f>
        <v>End year</v>
      </c>
      <c r="J50" s="58">
        <f>Calc_EB_NS!J$95</f>
        <v>-3.0085173884147245E-2</v>
      </c>
      <c r="K50" s="56">
        <f>Calc_EB_NS!K$95</f>
        <v>-2.2797611194621349E-2</v>
      </c>
      <c r="L50" s="57">
        <f>Calc_EB_NS!L$95</f>
        <v>-5.4203886742183939E-2</v>
      </c>
      <c r="M50" s="57">
        <f>Calc_EB_NS!M$95</f>
        <v>-5.7948285479351894E-2</v>
      </c>
      <c r="N50" s="57">
        <f>Calc_EB_NS!N$95</f>
        <v>-5.7636750193850013E-2</v>
      </c>
      <c r="O50" s="58">
        <f>Calc_EB_NS!O$95</f>
        <v>-5.9563361131208262E-2</v>
      </c>
      <c r="P50" s="56">
        <f>Calc_EB_NS!P$95</f>
        <v>-5.9300013211470735E-2</v>
      </c>
      <c r="Q50" s="57">
        <f>Calc_EB_NS!Q$95</f>
        <v>-5.9345579737764713E-2</v>
      </c>
      <c r="R50" s="57">
        <f>Calc_EB_NS!R$95</f>
        <v>-5.9391111304152054E-2</v>
      </c>
      <c r="S50" s="57">
        <f>Calc_EB_NS!S$95</f>
        <v>-5.9436607990976095E-2</v>
      </c>
      <c r="T50" s="58">
        <f>Calc_EB_NS!T$95</f>
        <v>-5.9482069878272988E-2</v>
      </c>
    </row>
    <row r="51" spans="1:20" x14ac:dyDescent="0.35">
      <c r="J51" s="49"/>
      <c r="K51" s="48"/>
      <c r="O51" s="49"/>
      <c r="P51" s="48"/>
      <c r="T51" s="49"/>
    </row>
    <row r="52" spans="1:20" ht="12.3" x14ac:dyDescent="0.35">
      <c r="D52" s="44" t="str">
        <f>$D$22</f>
        <v>Closing balance</v>
      </c>
      <c r="E52" s="40" t="s">
        <v>91</v>
      </c>
      <c r="F52" s="40" t="str">
        <f>F46</f>
        <v>$Millions</v>
      </c>
      <c r="G52" s="40" t="str">
        <f>G46</f>
        <v>Nominal</v>
      </c>
      <c r="H52" s="40" t="str">
        <f>End_year</f>
        <v>End year</v>
      </c>
      <c r="J52" s="54">
        <f t="shared" ref="J52:T52" si="10">SUM(J46:J50)</f>
        <v>126.78648792821888</v>
      </c>
      <c r="K52" s="53">
        <f t="shared" si="10"/>
        <v>130.16854937364855</v>
      </c>
      <c r="L52" s="39">
        <f t="shared" si="10"/>
        <v>132.65384681928171</v>
      </c>
      <c r="M52" s="39">
        <f t="shared" si="10"/>
        <v>145.2234818257707</v>
      </c>
      <c r="N52" s="39">
        <f t="shared" si="10"/>
        <v>170.8240688657857</v>
      </c>
      <c r="O52" s="54">
        <f t="shared" si="10"/>
        <v>189.07192939736385</v>
      </c>
      <c r="P52" s="53">
        <f t="shared" si="10"/>
        <v>202.84586878774317</v>
      </c>
      <c r="Q52" s="39">
        <f t="shared" si="10"/>
        <v>218.29774651357917</v>
      </c>
      <c r="R52" s="39">
        <f t="shared" si="10"/>
        <v>234.23502892126183</v>
      </c>
      <c r="S52" s="39">
        <f t="shared" si="10"/>
        <v>248.56120372548395</v>
      </c>
      <c r="T52" s="54">
        <f t="shared" si="10"/>
        <v>263.41293254948874</v>
      </c>
    </row>
    <row r="53" spans="1:20" ht="11.25" customHeight="1" x14ac:dyDescent="0.35"/>
    <row r="54" spans="1:20" ht="11.25" customHeight="1" x14ac:dyDescent="0.35">
      <c r="A54" s="42">
        <f>IF(SUM($J54:$T54)&lt;&gt;0,1,0)</f>
        <v>0</v>
      </c>
      <c r="D54" s="10" t="s">
        <v>94</v>
      </c>
      <c r="J54" s="42">
        <f>IF(J52&lt;&gt;Calc_EB_NS!J$152,1,0)</f>
        <v>0</v>
      </c>
      <c r="K54" s="42">
        <f>IF(K52&lt;&gt;Calc_EB_NS!K$152,1,0)</f>
        <v>0</v>
      </c>
      <c r="L54" s="42">
        <f>IF(L52&lt;&gt;Calc_EB_NS!L$152,1,0)</f>
        <v>0</v>
      </c>
      <c r="M54" s="42">
        <f>IF(M52&lt;&gt;Calc_EB_NS!M$152,1,0)</f>
        <v>0</v>
      </c>
      <c r="N54" s="42">
        <f>IF(N52&lt;&gt;Calc_EB_NS!N$152,1,0)</f>
        <v>0</v>
      </c>
      <c r="O54" s="42">
        <f>IF(O52&lt;&gt;Calc_EB_NS!O$152,1,0)</f>
        <v>0</v>
      </c>
      <c r="P54" s="42">
        <f>IF(P52&lt;&gt;Calc_EB_NS!P$152,1,0)</f>
        <v>0</v>
      </c>
      <c r="Q54" s="42">
        <f>IF(Q52&lt;&gt;Calc_EB_NS!Q$152,1,0)</f>
        <v>0</v>
      </c>
      <c r="R54" s="42">
        <f>IF(R52&lt;&gt;Calc_EB_NS!R$152,1,0)</f>
        <v>0</v>
      </c>
      <c r="S54" s="42">
        <f>IF(S52&lt;&gt;Calc_EB_NS!S$152,1,0)</f>
        <v>0</v>
      </c>
      <c r="T54" s="42">
        <f>IF(T52&lt;&gt;Calc_EB_NS!T$152,1,0)</f>
        <v>0</v>
      </c>
    </row>
    <row r="55" spans="1:20" ht="11.25" customHeight="1" x14ac:dyDescent="0.35">
      <c r="N55" s="5"/>
      <c r="S55" s="5"/>
    </row>
    <row r="56" spans="1:20" s="8" customFormat="1" ht="14.1" x14ac:dyDescent="0.35">
      <c r="C56" s="8" t="str">
        <f>Lookup!$D$108</f>
        <v>Distribution substations and transformers</v>
      </c>
    </row>
    <row r="57" spans="1:20" ht="11.25" customHeight="1" x14ac:dyDescent="0.35"/>
    <row r="58" spans="1:20" ht="12.3" x14ac:dyDescent="0.35">
      <c r="D58" s="43" t="str">
        <f>D$14</f>
        <v>Category heading</v>
      </c>
      <c r="E58" s="38" t="str">
        <f>Lookup!E$20</f>
        <v>Source</v>
      </c>
      <c r="F58" s="38" t="str">
        <f>Lookup!F$20</f>
        <v>Unit</v>
      </c>
      <c r="G58" s="38" t="str">
        <f>Lookup!G$20</f>
        <v>Basis</v>
      </c>
      <c r="H58" s="38" t="str">
        <f>Lookup!H$20</f>
        <v>Timing</v>
      </c>
      <c r="J58" s="47" t="str">
        <f t="shared" ref="J58:T58" si="11">J$10</f>
        <v>RY19</v>
      </c>
      <c r="K58" s="46" t="str">
        <f t="shared" si="11"/>
        <v>RY20</v>
      </c>
      <c r="L58" s="38" t="str">
        <f>L$10</f>
        <v>RY21</v>
      </c>
      <c r="M58" s="38" t="str">
        <f t="shared" si="11"/>
        <v>RY22</v>
      </c>
      <c r="N58" s="38" t="str">
        <f t="shared" si="11"/>
        <v>RY23</v>
      </c>
      <c r="O58" s="47" t="str">
        <f t="shared" si="11"/>
        <v>RY24</v>
      </c>
      <c r="P58" s="46" t="str">
        <f t="shared" si="11"/>
        <v>RY25</v>
      </c>
      <c r="Q58" s="38" t="str">
        <f>Q$10</f>
        <v>RY26</v>
      </c>
      <c r="R58" s="38" t="str">
        <f t="shared" si="11"/>
        <v>RY27</v>
      </c>
      <c r="S58" s="38" t="str">
        <f t="shared" si="11"/>
        <v>RY28</v>
      </c>
      <c r="T58" s="47" t="str">
        <f t="shared" si="11"/>
        <v>RY29</v>
      </c>
    </row>
    <row r="59" spans="1:20" x14ac:dyDescent="0.35">
      <c r="J59" s="49"/>
      <c r="K59" s="48"/>
      <c r="O59" s="49"/>
      <c r="P59" s="48"/>
      <c r="T59" s="49"/>
    </row>
    <row r="60" spans="1:20" ht="12.3" x14ac:dyDescent="0.35">
      <c r="D60" s="10" t="str">
        <f>Calc_EB_ACS!$C$14</f>
        <v>Opening balance</v>
      </c>
      <c r="E60" s="45" t="str">
        <f>$E$32</f>
        <v>Calc_EB_NS</v>
      </c>
      <c r="F60" s="45" t="str">
        <f>Millions</f>
        <v>$Millions</v>
      </c>
      <c r="G60" s="45" t="str">
        <f>Nominal</f>
        <v>Nominal</v>
      </c>
      <c r="H60" s="45" t="str">
        <f>Start_year</f>
        <v>Start year</v>
      </c>
      <c r="J60" s="58">
        <f>Calc_EB_NS!J$20</f>
        <v>96.973391439179736</v>
      </c>
      <c r="K60" s="56">
        <f>Calc_EB_NS!K$20</f>
        <v>106.5287883866858</v>
      </c>
      <c r="L60" s="57">
        <f>Calc_EB_NS!L$20</f>
        <v>109.28006989112745</v>
      </c>
      <c r="M60" s="57">
        <f>Calc_EB_NS!M$20</f>
        <v>111.30584286162387</v>
      </c>
      <c r="N60" s="57">
        <f>Calc_EB_NS!N$20</f>
        <v>117.69873218959219</v>
      </c>
      <c r="O60" s="58">
        <f>Calc_EB_NS!O$20</f>
        <v>129.58708150323471</v>
      </c>
      <c r="P60" s="56">
        <f>Calc_EB_NS!P$20</f>
        <v>135.91593766418211</v>
      </c>
      <c r="Q60" s="57">
        <f>Calc_EB_NS!Q$20</f>
        <v>143.04897471338003</v>
      </c>
      <c r="R60" s="57">
        <f>Calc_EB_NS!R$20</f>
        <v>150.60380559924835</v>
      </c>
      <c r="S60" s="57">
        <f>Calc_EB_NS!S$20</f>
        <v>158.55202043921298</v>
      </c>
      <c r="T60" s="58">
        <f>Calc_EB_NS!T$20</f>
        <v>166.89187459025916</v>
      </c>
    </row>
    <row r="61" spans="1:20" ht="12.3" x14ac:dyDescent="0.35">
      <c r="D61" s="10" t="str">
        <f>Calc_EB_ACS!$C$33</f>
        <v>Inflation</v>
      </c>
      <c r="E61" s="45" t="str">
        <f>$E$33</f>
        <v>Calc_EB_NS</v>
      </c>
      <c r="F61" s="45" t="str">
        <f>Millions</f>
        <v>$Millions</v>
      </c>
      <c r="G61" s="45" t="str">
        <f>Nominal</f>
        <v>Nominal</v>
      </c>
      <c r="H61" s="45" t="str">
        <f>End_year</f>
        <v>End year</v>
      </c>
      <c r="J61" s="58">
        <f>Calc_EB_NS!J$39</f>
        <v>1.7301229516356877</v>
      </c>
      <c r="K61" s="56">
        <f>Calc_EB_NS!K$39</f>
        <v>2.4409648221321696</v>
      </c>
      <c r="L61" s="57">
        <f>Calc_EB_NS!L$39</f>
        <v>1.0619558055091087</v>
      </c>
      <c r="M61" s="57">
        <f>Calc_EB_NS!M$39</f>
        <v>4.6920353904365548</v>
      </c>
      <c r="N61" s="57">
        <f>Calc_EB_NS!N$39</f>
        <v>11.251392318232385</v>
      </c>
      <c r="O61" s="58">
        <f>Calc_EB_NS!O$39</f>
        <v>7.1689454047027237</v>
      </c>
      <c r="P61" s="56">
        <f>Calc_EB_NS!P$39</f>
        <v>4.6381287806392795</v>
      </c>
      <c r="Q61" s="57">
        <f>Calc_EB_NS!Q$39</f>
        <v>4.8463877870995997</v>
      </c>
      <c r="R61" s="57">
        <f>Calc_EB_NS!R$39</f>
        <v>5.066961655343226</v>
      </c>
      <c r="S61" s="57">
        <f>Calc_EB_NS!S$39</f>
        <v>5.2990209190604034</v>
      </c>
      <c r="T61" s="58">
        <f>Calc_EB_NS!T$39</f>
        <v>5.5425146409549457</v>
      </c>
    </row>
    <row r="62" spans="1:20" ht="12.3" x14ac:dyDescent="0.35">
      <c r="D62" s="10" t="str">
        <f>Calc_EB_ACS!$C$52</f>
        <v>Straight line depreciation</v>
      </c>
      <c r="E62" s="45" t="str">
        <f>$E$34</f>
        <v>Calc_EB_NS</v>
      </c>
      <c r="F62" s="45" t="str">
        <f>Millions</f>
        <v>$Millions</v>
      </c>
      <c r="G62" s="45" t="str">
        <f>Nominal</f>
        <v>Nominal</v>
      </c>
      <c r="H62" s="45" t="str">
        <f>End_year</f>
        <v>End year</v>
      </c>
      <c r="J62" s="58">
        <f>Calc_EB_NS!J$58</f>
        <v>-4.1622679929595581</v>
      </c>
      <c r="K62" s="56">
        <f>Calc_EB_NS!K$58</f>
        <v>-5.2317935057883469</v>
      </c>
      <c r="L62" s="57">
        <f>Calc_EB_NS!L$58</f>
        <v>-5.0189932535582233</v>
      </c>
      <c r="M62" s="57">
        <f>Calc_EB_NS!M$58</f>
        <v>-5.6055546221280839</v>
      </c>
      <c r="N62" s="57">
        <f>Calc_EB_NS!N$58</f>
        <v>-6.005813765227149</v>
      </c>
      <c r="O62" s="58">
        <f>Calc_EB_NS!O$58</f>
        <v>-6.7313337127300201</v>
      </c>
      <c r="P62" s="56">
        <f>Calc_EB_NS!P$58</f>
        <v>-6.9910052920851768</v>
      </c>
      <c r="Q62" s="57">
        <f>Calc_EB_NS!Q$58</f>
        <v>-7.3967700857716974</v>
      </c>
      <c r="R62" s="57">
        <f>Calc_EB_NS!R$58</f>
        <v>-7.827627634061872</v>
      </c>
      <c r="S62" s="57">
        <f>Calc_EB_NS!S$58</f>
        <v>-8.2839868396591427</v>
      </c>
      <c r="T62" s="58">
        <f>Calc_EB_NS!T$58</f>
        <v>-8.7668607250370005</v>
      </c>
    </row>
    <row r="63" spans="1:20" ht="12.3" x14ac:dyDescent="0.35">
      <c r="D63" s="10" t="str">
        <f>Calc_EB_ACS!$C$71</f>
        <v>RAB additions</v>
      </c>
      <c r="E63" s="45" t="str">
        <f>$E$35</f>
        <v>Calc_EB_NS</v>
      </c>
      <c r="F63" s="45" t="str">
        <f>Millions</f>
        <v>$Millions</v>
      </c>
      <c r="G63" s="45" t="str">
        <f>Nominal</f>
        <v>Nominal</v>
      </c>
      <c r="H63" s="45" t="str">
        <f>End_year</f>
        <v>End year</v>
      </c>
      <c r="J63" s="58">
        <f>Calc_EB_NS!J$77+Calc_EB_NS!J$134</f>
        <v>12.010888898865677</v>
      </c>
      <c r="K63" s="56">
        <f>Calc_EB_NS!K$77+Calc_EB_NS!K$134</f>
        <v>5.5771436520715181</v>
      </c>
      <c r="L63" s="57">
        <f>Calc_EB_NS!L$77+Calc_EB_NS!L$134</f>
        <v>5.9879631630885291</v>
      </c>
      <c r="M63" s="57">
        <f>Calc_EB_NS!M$77+Calc_EB_NS!M$134</f>
        <v>7.3064085596598396</v>
      </c>
      <c r="N63" s="57">
        <f>Calc_EB_NS!N$77+Calc_EB_NS!N$134</f>
        <v>6.6586040434488005</v>
      </c>
      <c r="O63" s="58">
        <f>Calc_EB_NS!O$77+Calc_EB_NS!O$134</f>
        <v>5.9076070074388278</v>
      </c>
      <c r="P63" s="56">
        <f>Calc_EB_NS!P$77+Calc_EB_NS!P$134</f>
        <v>9.5022037552981722</v>
      </c>
      <c r="Q63" s="57">
        <f>Calc_EB_NS!Q$77+Calc_EB_NS!Q$134</f>
        <v>10.121515896689205</v>
      </c>
      <c r="R63" s="57">
        <f>Calc_EB_NS!R$77+Calc_EB_NS!R$134</f>
        <v>10.725196038722727</v>
      </c>
      <c r="S63" s="57">
        <f>Calc_EB_NS!S$77+Calc_EB_NS!S$134</f>
        <v>11.341147789993245</v>
      </c>
      <c r="T63" s="58">
        <f>Calc_EB_NS!T$77+Calc_EB_NS!T$134</f>
        <v>12.015434432672706</v>
      </c>
    </row>
    <row r="64" spans="1:20" ht="12.3" x14ac:dyDescent="0.35">
      <c r="D64" s="10" t="str">
        <f>Calc_EB_ACS!$C$90</f>
        <v>Disposals</v>
      </c>
      <c r="E64" s="45" t="str">
        <f>$E$36</f>
        <v>Calc_EB_NS</v>
      </c>
      <c r="F64" s="45" t="str">
        <f>Millions</f>
        <v>$Millions</v>
      </c>
      <c r="G64" s="45" t="str">
        <f>Nominal</f>
        <v>Nominal</v>
      </c>
      <c r="H64" s="45" t="str">
        <f>End_year</f>
        <v>End year</v>
      </c>
      <c r="J64" s="58">
        <f>Calc_EB_NS!J$96</f>
        <v>-2.3346910035736357E-2</v>
      </c>
      <c r="K64" s="56">
        <f>Calc_EB_NS!K$96</f>
        <v>-3.5033463973696791E-2</v>
      </c>
      <c r="L64" s="57">
        <f>Calc_EB_NS!L$96</f>
        <v>-5.1527445430013001E-3</v>
      </c>
      <c r="M64" s="57">
        <f>Calc_EB_NS!M$96</f>
        <v>0</v>
      </c>
      <c r="N64" s="57">
        <f>Calc_EB_NS!N$96</f>
        <v>-1.5833282811516251E-2</v>
      </c>
      <c r="O64" s="58">
        <f>Calc_EB_NS!O$96</f>
        <v>-1.6362538464139917E-2</v>
      </c>
      <c r="P64" s="56">
        <f>Calc_EB_NS!P$96</f>
        <v>-1.6290194654383038E-2</v>
      </c>
      <c r="Q64" s="57">
        <f>Calc_EB_NS!Q$96</f>
        <v>-1.6302712148778962E-2</v>
      </c>
      <c r="R64" s="57">
        <f>Calc_EB_NS!R$96</f>
        <v>-1.6315220039404953E-2</v>
      </c>
      <c r="S64" s="57">
        <f>Calc_EB_NS!S$96</f>
        <v>-1.6327718348331972E-2</v>
      </c>
      <c r="T64" s="58">
        <f>Calc_EB_NS!T$96</f>
        <v>-1.6340207097546591E-2</v>
      </c>
    </row>
    <row r="65" spans="1:20" x14ac:dyDescent="0.35">
      <c r="J65" s="49"/>
      <c r="K65" s="48"/>
      <c r="O65" s="49"/>
      <c r="P65" s="48"/>
      <c r="T65" s="49"/>
    </row>
    <row r="66" spans="1:20" ht="12.3" x14ac:dyDescent="0.35">
      <c r="D66" s="44" t="str">
        <f>$D$22</f>
        <v>Closing balance</v>
      </c>
      <c r="E66" s="40" t="s">
        <v>91</v>
      </c>
      <c r="F66" s="40" t="str">
        <f>F60</f>
        <v>$Millions</v>
      </c>
      <c r="G66" s="40" t="str">
        <f>G60</f>
        <v>Nominal</v>
      </c>
      <c r="H66" s="40" t="str">
        <f>End_year</f>
        <v>End year</v>
      </c>
      <c r="J66" s="54">
        <f t="shared" ref="J66:T66" si="12">SUM(J60:J64)</f>
        <v>106.5287883866858</v>
      </c>
      <c r="K66" s="53">
        <f t="shared" si="12"/>
        <v>109.28006989112745</v>
      </c>
      <c r="L66" s="39">
        <f t="shared" si="12"/>
        <v>111.30584286162387</v>
      </c>
      <c r="M66" s="39">
        <f t="shared" si="12"/>
        <v>117.69873218959219</v>
      </c>
      <c r="N66" s="39">
        <f t="shared" si="12"/>
        <v>129.58708150323471</v>
      </c>
      <c r="O66" s="54">
        <f t="shared" si="12"/>
        <v>135.91593766418211</v>
      </c>
      <c r="P66" s="53">
        <f t="shared" si="12"/>
        <v>143.04897471338003</v>
      </c>
      <c r="Q66" s="39">
        <f t="shared" si="12"/>
        <v>150.60380559924835</v>
      </c>
      <c r="R66" s="39">
        <f t="shared" si="12"/>
        <v>158.55202043921298</v>
      </c>
      <c r="S66" s="39">
        <f t="shared" si="12"/>
        <v>166.89187459025916</v>
      </c>
      <c r="T66" s="54">
        <f t="shared" si="12"/>
        <v>175.66662273175226</v>
      </c>
    </row>
    <row r="67" spans="1:20" ht="11.25" customHeight="1" x14ac:dyDescent="0.35"/>
    <row r="68" spans="1:20" ht="11.25" customHeight="1" x14ac:dyDescent="0.35">
      <c r="A68" s="42">
        <f>IF(SUM($J68:$T68)&lt;&gt;0,1,0)</f>
        <v>0</v>
      </c>
      <c r="D68" s="10" t="s">
        <v>94</v>
      </c>
      <c r="J68" s="42">
        <f>IF(J66&lt;&gt;Calc_EB_NS!J$153,1,0)</f>
        <v>0</v>
      </c>
      <c r="K68" s="42">
        <f>IF(K66&lt;&gt;Calc_EB_NS!K$153,1,0)</f>
        <v>0</v>
      </c>
      <c r="L68" s="42">
        <f>IF(L66&lt;&gt;Calc_EB_NS!L$153,1,0)</f>
        <v>0</v>
      </c>
      <c r="M68" s="42">
        <f>IF(M66&lt;&gt;Calc_EB_NS!M$153,1,0)</f>
        <v>0</v>
      </c>
      <c r="N68" s="42">
        <f>IF(N66&lt;&gt;Calc_EB_NS!N$153,1,0)</f>
        <v>0</v>
      </c>
      <c r="O68" s="42">
        <f>IF(O66&lt;&gt;Calc_EB_NS!O$153,1,0)</f>
        <v>0</v>
      </c>
      <c r="P68" s="42">
        <f>IF(P66&lt;&gt;Calc_EB_NS!P$153,1,0)</f>
        <v>0</v>
      </c>
      <c r="Q68" s="42">
        <f>IF(Q66&lt;&gt;Calc_EB_NS!Q$153,1,0)</f>
        <v>0</v>
      </c>
      <c r="R68" s="42">
        <f>IF(R66&lt;&gt;Calc_EB_NS!R$153,1,0)</f>
        <v>0</v>
      </c>
      <c r="S68" s="42">
        <f>IF(S66&lt;&gt;Calc_EB_NS!S$153,1,0)</f>
        <v>0</v>
      </c>
      <c r="T68" s="42">
        <f>IF(T66&lt;&gt;Calc_EB_NS!T$153,1,0)</f>
        <v>0</v>
      </c>
    </row>
    <row r="69" spans="1:20" ht="11.25" customHeight="1" x14ac:dyDescent="0.35">
      <c r="N69" s="5"/>
      <c r="S69" s="5"/>
    </row>
    <row r="70" spans="1:20" s="8" customFormat="1" ht="14.1" x14ac:dyDescent="0.35">
      <c r="C70" s="8" t="str">
        <f>Lookup!$D$109</f>
        <v>Overhead network assets 33kV and above</v>
      </c>
    </row>
    <row r="71" spans="1:20" ht="11.25" customHeight="1" x14ac:dyDescent="0.35"/>
    <row r="72" spans="1:20" ht="12.3" x14ac:dyDescent="0.35">
      <c r="D72" s="43" t="str">
        <f>D$14</f>
        <v>Category heading</v>
      </c>
      <c r="E72" s="38" t="str">
        <f>Lookup!E$20</f>
        <v>Source</v>
      </c>
      <c r="F72" s="38" t="str">
        <f>Lookup!F$20</f>
        <v>Unit</v>
      </c>
      <c r="G72" s="38" t="str">
        <f>Lookup!G$20</f>
        <v>Basis</v>
      </c>
      <c r="H72" s="38" t="str">
        <f>Lookup!H$20</f>
        <v>Timing</v>
      </c>
      <c r="J72" s="47" t="str">
        <f t="shared" ref="J72:T72" si="13">J$10</f>
        <v>RY19</v>
      </c>
      <c r="K72" s="46" t="str">
        <f t="shared" si="13"/>
        <v>RY20</v>
      </c>
      <c r="L72" s="38" t="str">
        <f>L$10</f>
        <v>RY21</v>
      </c>
      <c r="M72" s="38" t="str">
        <f t="shared" si="13"/>
        <v>RY22</v>
      </c>
      <c r="N72" s="38" t="str">
        <f t="shared" si="13"/>
        <v>RY23</v>
      </c>
      <c r="O72" s="47" t="str">
        <f t="shared" si="13"/>
        <v>RY24</v>
      </c>
      <c r="P72" s="46" t="str">
        <f t="shared" si="13"/>
        <v>RY25</v>
      </c>
      <c r="Q72" s="38" t="str">
        <f>Q$10</f>
        <v>RY26</v>
      </c>
      <c r="R72" s="38" t="str">
        <f t="shared" si="13"/>
        <v>RY27</v>
      </c>
      <c r="S72" s="38" t="str">
        <f t="shared" si="13"/>
        <v>RY28</v>
      </c>
      <c r="T72" s="47" t="str">
        <f t="shared" si="13"/>
        <v>RY29</v>
      </c>
    </row>
    <row r="73" spans="1:20" x14ac:dyDescent="0.35">
      <c r="J73" s="49"/>
      <c r="K73" s="48"/>
      <c r="O73" s="49"/>
      <c r="P73" s="48"/>
      <c r="T73" s="49"/>
    </row>
    <row r="74" spans="1:20" ht="12.3" x14ac:dyDescent="0.35">
      <c r="D74" s="10" t="str">
        <f>Calc_EB_ACS!$C$14</f>
        <v>Opening balance</v>
      </c>
      <c r="E74" s="45" t="str">
        <f>$E$32</f>
        <v>Calc_EB_NS</v>
      </c>
      <c r="F74" s="45" t="str">
        <f>Millions</f>
        <v>$Millions</v>
      </c>
      <c r="G74" s="45" t="str">
        <f>Nominal</f>
        <v>Nominal</v>
      </c>
      <c r="H74" s="45" t="str">
        <f>Start_year</f>
        <v>Start year</v>
      </c>
      <c r="J74" s="58">
        <f>Calc_EB_NS!J$21</f>
        <v>119.51922575092475</v>
      </c>
      <c r="K74" s="56">
        <f>Calc_EB_NS!K$21</f>
        <v>118.46667024464533</v>
      </c>
      <c r="L74" s="57">
        <f>Calc_EB_NS!L$21</f>
        <v>116.92662676154043</v>
      </c>
      <c r="M74" s="57">
        <f>Calc_EB_NS!M$21</f>
        <v>114.5637827333488</v>
      </c>
      <c r="N74" s="57">
        <f>Calc_EB_NS!N$21</f>
        <v>115.64687455245625</v>
      </c>
      <c r="O74" s="58">
        <f>Calc_EB_NS!O$21</f>
        <v>122.17080133819033</v>
      </c>
      <c r="P74" s="56">
        <f>Calc_EB_NS!P$21</f>
        <v>129.27579651119797</v>
      </c>
      <c r="Q74" s="57">
        <f>Calc_EB_NS!Q$21</f>
        <v>129.94276586502178</v>
      </c>
      <c r="R74" s="57">
        <f>Calc_EB_NS!R$21</f>
        <v>133.09131475498137</v>
      </c>
      <c r="S74" s="57">
        <f>Calc_EB_NS!S$21</f>
        <v>133.15610417171649</v>
      </c>
      <c r="T74" s="58">
        <f>Calc_EB_NS!T$21</f>
        <v>132.33488678273261</v>
      </c>
    </row>
    <row r="75" spans="1:20" ht="12.3" x14ac:dyDescent="0.35">
      <c r="D75" s="10" t="str">
        <f>Calc_EB_ACS!$C$33</f>
        <v>Inflation</v>
      </c>
      <c r="E75" s="45" t="str">
        <f>$E$33</f>
        <v>Calc_EB_NS</v>
      </c>
      <c r="F75" s="45" t="str">
        <f>Millions</f>
        <v>$Millions</v>
      </c>
      <c r="G75" s="45" t="str">
        <f>Nominal</f>
        <v>Nominal</v>
      </c>
      <c r="H75" s="45" t="str">
        <f>End_year</f>
        <v>End year</v>
      </c>
      <c r="J75" s="58">
        <f>Calc_EB_NS!J$40</f>
        <v>2.1323679884197224</v>
      </c>
      <c r="K75" s="56">
        <f>Calc_EB_NS!K$40</f>
        <v>2.1803681640118913</v>
      </c>
      <c r="L75" s="57">
        <f>Calc_EB_NS!L$40</f>
        <v>1.0062532423540462</v>
      </c>
      <c r="M75" s="57">
        <f>Calc_EB_NS!M$40</f>
        <v>4.0077773823099729</v>
      </c>
      <c r="N75" s="57">
        <f>Calc_EB_NS!N$40</f>
        <v>9.2517499641964989</v>
      </c>
      <c r="O75" s="58">
        <f>Calc_EB_NS!O$40</f>
        <v>5.7420276628949463</v>
      </c>
      <c r="P75" s="56">
        <f>Calc_EB_NS!P$40</f>
        <v>3.774387929727081</v>
      </c>
      <c r="Q75" s="57">
        <f>Calc_EB_NS!Q$40</f>
        <v>3.7938610341016692</v>
      </c>
      <c r="R75" s="57">
        <f>Calc_EB_NS!R$40</f>
        <v>3.8857873284826097</v>
      </c>
      <c r="S75" s="57">
        <f>Calc_EB_NS!S$40</f>
        <v>3.8876789462416843</v>
      </c>
      <c r="T75" s="58">
        <f>Calc_EB_NS!T$40</f>
        <v>3.8637023544564286</v>
      </c>
    </row>
    <row r="76" spans="1:20" ht="12.3" x14ac:dyDescent="0.35">
      <c r="D76" s="10" t="str">
        <f>Calc_EB_ACS!$C$52</f>
        <v>Straight line depreciation</v>
      </c>
      <c r="E76" s="45" t="str">
        <f>$E$34</f>
        <v>Calc_EB_NS</v>
      </c>
      <c r="F76" s="45" t="str">
        <f>Millions</f>
        <v>$Millions</v>
      </c>
      <c r="G76" s="45" t="str">
        <f>Nominal</f>
        <v>Nominal</v>
      </c>
      <c r="H76" s="45" t="str">
        <f>End_year</f>
        <v>End year</v>
      </c>
      <c r="J76" s="58">
        <f>Calc_EB_NS!J$59</f>
        <v>-4.3651329613817333</v>
      </c>
      <c r="K76" s="56">
        <f>Calc_EB_NS!K$59</f>
        <v>-4.3527149112480537</v>
      </c>
      <c r="L76" s="57">
        <f>Calc_EB_NS!L$59</f>
        <v>-4.4683421903256884</v>
      </c>
      <c r="M76" s="57">
        <f>Calc_EB_NS!M$59</f>
        <v>-4.541306979397012</v>
      </c>
      <c r="N76" s="57">
        <f>Calc_EB_NS!N$59</f>
        <v>-4.7353287081580113</v>
      </c>
      <c r="O76" s="58">
        <f>Calc_EB_NS!O$59</f>
        <v>-5.155321663172626</v>
      </c>
      <c r="P76" s="56">
        <f>Calc_EB_NS!P$59</f>
        <v>-5.541219286970728</v>
      </c>
      <c r="Q76" s="57">
        <f>Calc_EB_NS!Q$59</f>
        <v>-5.747319940495129</v>
      </c>
      <c r="R76" s="57">
        <f>Calc_EB_NS!R$59</f>
        <v>-6.0080232850636097</v>
      </c>
      <c r="S76" s="57">
        <f>Calc_EB_NS!S$59</f>
        <v>-6.2232594111765325</v>
      </c>
      <c r="T76" s="58">
        <f>Calc_EB_NS!T$59</f>
        <v>-6.4325311720924487</v>
      </c>
    </row>
    <row r="77" spans="1:20" ht="12.3" x14ac:dyDescent="0.35">
      <c r="D77" s="10" t="str">
        <f>Calc_EB_ACS!$C$71</f>
        <v>RAB additions</v>
      </c>
      <c r="E77" s="45" t="str">
        <f>$E$35</f>
        <v>Calc_EB_NS</v>
      </c>
      <c r="F77" s="45" t="str">
        <f>Millions</f>
        <v>$Millions</v>
      </c>
      <c r="G77" s="45" t="str">
        <f>Nominal</f>
        <v>Nominal</v>
      </c>
      <c r="H77" s="45" t="str">
        <f>End_year</f>
        <v>End year</v>
      </c>
      <c r="J77" s="58">
        <f>Calc_EB_NS!J$78+Calc_EB_NS!J$135</f>
        <v>1.1802094666826037</v>
      </c>
      <c r="K77" s="56">
        <f>Calc_EB_NS!K$78+Calc_EB_NS!K$135</f>
        <v>0.6358272541840313</v>
      </c>
      <c r="L77" s="57">
        <f>Calc_EB_NS!L$78+Calc_EB_NS!L$135</f>
        <v>1.1057157616857085</v>
      </c>
      <c r="M77" s="57">
        <f>Calc_EB_NS!M$78+Calc_EB_NS!M$135</f>
        <v>1.6270920263082307</v>
      </c>
      <c r="N77" s="57">
        <f>Calc_EB_NS!N$78+Calc_EB_NS!N$135</f>
        <v>2.0155104142446509</v>
      </c>
      <c r="O77" s="58">
        <f>Calc_EB_NS!O$78+Calc_EB_NS!O$135</f>
        <v>6.5265616353447768</v>
      </c>
      <c r="P77" s="56">
        <f>Calc_EB_NS!P$78+Calc_EB_NS!P$135</f>
        <v>2.442036598030525</v>
      </c>
      <c r="Q77" s="57">
        <f>Calc_EB_NS!Q$78+Calc_EB_NS!Q$135</f>
        <v>5.1102500118266541</v>
      </c>
      <c r="R77" s="57">
        <f>Calc_EB_NS!R$78+Calc_EB_NS!R$135</f>
        <v>2.1952739124448803</v>
      </c>
      <c r="S77" s="57">
        <f>Calc_EB_NS!S$78+Calc_EB_NS!S$135</f>
        <v>1.5226179338906405</v>
      </c>
      <c r="T77" s="58">
        <f>Calc_EB_NS!T$78+Calc_EB_NS!T$135</f>
        <v>1.5775496314157453</v>
      </c>
    </row>
    <row r="78" spans="1:20" ht="12.3" x14ac:dyDescent="0.35">
      <c r="D78" s="10" t="str">
        <f>Calc_EB_ACS!$C$90</f>
        <v>Disposals</v>
      </c>
      <c r="E78" s="45" t="str">
        <f>$E$36</f>
        <v>Calc_EB_NS</v>
      </c>
      <c r="F78" s="45" t="str">
        <f>Millions</f>
        <v>$Millions</v>
      </c>
      <c r="G78" s="45" t="str">
        <f>Nominal</f>
        <v>Nominal</v>
      </c>
      <c r="H78" s="45" t="str">
        <f>End_year</f>
        <v>End year</v>
      </c>
      <c r="J78" s="58">
        <f>Calc_EB_NS!J$97</f>
        <v>0</v>
      </c>
      <c r="K78" s="56">
        <f>Calc_EB_NS!K$97</f>
        <v>-3.5239900527672652E-3</v>
      </c>
      <c r="L78" s="57">
        <f>Calc_EB_NS!L$97</f>
        <v>-6.4708419057097647E-3</v>
      </c>
      <c r="M78" s="57">
        <f>Calc_EB_NS!M$97</f>
        <v>-1.0470610113738751E-2</v>
      </c>
      <c r="N78" s="57">
        <f>Calc_EB_NS!N$97</f>
        <v>-8.0048845490471084E-3</v>
      </c>
      <c r="O78" s="58">
        <f>Calc_EB_NS!O$97</f>
        <v>-8.2724620594482722E-3</v>
      </c>
      <c r="P78" s="56">
        <f>Calc_EB_NS!P$97</f>
        <v>-8.2358869630620168E-3</v>
      </c>
      <c r="Q78" s="57">
        <f>Calc_EB_NS!Q$97</f>
        <v>-8.2422154736226851E-3</v>
      </c>
      <c r="R78" s="57">
        <f>Calc_EB_NS!R$97</f>
        <v>-8.2485391287739906E-3</v>
      </c>
      <c r="S78" s="57">
        <f>Calc_EB_NS!S$97</f>
        <v>-8.2548579396744277E-3</v>
      </c>
      <c r="T78" s="58">
        <f>Calc_EB_NS!T$97</f>
        <v>-8.2611719174398197E-3</v>
      </c>
    </row>
    <row r="79" spans="1:20" x14ac:dyDescent="0.35">
      <c r="J79" s="49"/>
      <c r="K79" s="48"/>
      <c r="O79" s="49"/>
      <c r="P79" s="48"/>
      <c r="T79" s="49"/>
    </row>
    <row r="80" spans="1:20" ht="12.3" x14ac:dyDescent="0.35">
      <c r="D80" s="44" t="str">
        <f>$D$22</f>
        <v>Closing balance</v>
      </c>
      <c r="E80" s="40" t="s">
        <v>91</v>
      </c>
      <c r="F80" s="40" t="str">
        <f>F74</f>
        <v>$Millions</v>
      </c>
      <c r="G80" s="40" t="str">
        <f>G74</f>
        <v>Nominal</v>
      </c>
      <c r="H80" s="40" t="str">
        <f>End_year</f>
        <v>End year</v>
      </c>
      <c r="J80" s="54">
        <f t="shared" ref="J80:T80" si="14">SUM(J74:J78)</f>
        <v>118.46667024464533</v>
      </c>
      <c r="K80" s="53">
        <f t="shared" si="14"/>
        <v>116.92662676154043</v>
      </c>
      <c r="L80" s="39">
        <f t="shared" si="14"/>
        <v>114.5637827333488</v>
      </c>
      <c r="M80" s="39">
        <f t="shared" si="14"/>
        <v>115.64687455245625</v>
      </c>
      <c r="N80" s="39">
        <f t="shared" si="14"/>
        <v>122.17080133819033</v>
      </c>
      <c r="O80" s="54">
        <f t="shared" si="14"/>
        <v>129.275796511198</v>
      </c>
      <c r="P80" s="53">
        <f t="shared" si="14"/>
        <v>129.94276586502178</v>
      </c>
      <c r="Q80" s="39">
        <f t="shared" si="14"/>
        <v>133.09131475498137</v>
      </c>
      <c r="R80" s="39">
        <f t="shared" si="14"/>
        <v>133.15610417171649</v>
      </c>
      <c r="S80" s="39">
        <f t="shared" si="14"/>
        <v>132.33488678273261</v>
      </c>
      <c r="T80" s="54">
        <f t="shared" si="14"/>
        <v>131.33534642459489</v>
      </c>
    </row>
    <row r="81" spans="1:20" ht="11.25" customHeight="1" x14ac:dyDescent="0.35"/>
    <row r="82" spans="1:20" ht="11.25" customHeight="1" x14ac:dyDescent="0.35">
      <c r="A82" s="42">
        <f>IF(SUM($J82:$T82)&lt;&gt;0,1,0)</f>
        <v>0</v>
      </c>
      <c r="D82" s="10" t="s">
        <v>94</v>
      </c>
      <c r="J82" s="42">
        <f>IF(J80&lt;&gt;Calc_EB_NS!J$154,1,0)</f>
        <v>0</v>
      </c>
      <c r="K82" s="42">
        <f>IF(K80&lt;&gt;Calc_EB_NS!K$154,1,0)</f>
        <v>0</v>
      </c>
      <c r="L82" s="42">
        <f>IF(L80&lt;&gt;Calc_EB_NS!L$154,1,0)</f>
        <v>0</v>
      </c>
      <c r="M82" s="42">
        <f>IF(M80&lt;&gt;Calc_EB_NS!M$154,1,0)</f>
        <v>0</v>
      </c>
      <c r="N82" s="42">
        <f>IF(N80&lt;&gt;Calc_EB_NS!N$154,1,0)</f>
        <v>0</v>
      </c>
      <c r="O82" s="42">
        <f>IF(O80&lt;&gt;Calc_EB_NS!O$154,1,0)</f>
        <v>0</v>
      </c>
      <c r="P82" s="42">
        <f>IF(P80&lt;&gt;Calc_EB_NS!P$154,1,0)</f>
        <v>0</v>
      </c>
      <c r="Q82" s="42">
        <f>IF(Q80&lt;&gt;Calc_EB_NS!Q$154,1,0)</f>
        <v>0</v>
      </c>
      <c r="R82" s="42">
        <f>IF(R80&lt;&gt;Calc_EB_NS!R$154,1,0)</f>
        <v>0</v>
      </c>
      <c r="S82" s="42">
        <f>IF(S80&lt;&gt;Calc_EB_NS!S$154,1,0)</f>
        <v>0</v>
      </c>
      <c r="T82" s="42">
        <f>IF(T80&lt;&gt;Calc_EB_NS!T$154,1,0)</f>
        <v>0</v>
      </c>
    </row>
    <row r="83" spans="1:20" ht="11.25" customHeight="1" x14ac:dyDescent="0.35">
      <c r="N83" s="5"/>
      <c r="S83" s="5"/>
    </row>
    <row r="84" spans="1:20" s="8" customFormat="1" ht="14.1" x14ac:dyDescent="0.35">
      <c r="C84" s="8" t="str">
        <f>Lookup!$D$110</f>
        <v>Underground network assets 33kV and above</v>
      </c>
    </row>
    <row r="85" spans="1:20" ht="11.25" customHeight="1" x14ac:dyDescent="0.35"/>
    <row r="86" spans="1:20" ht="12.3" x14ac:dyDescent="0.35">
      <c r="D86" s="43" t="str">
        <f>D$14</f>
        <v>Category heading</v>
      </c>
      <c r="E86" s="38" t="str">
        <f>Lookup!E$20</f>
        <v>Source</v>
      </c>
      <c r="F86" s="38" t="str">
        <f>Lookup!F$20</f>
        <v>Unit</v>
      </c>
      <c r="G86" s="38" t="str">
        <f>Lookup!G$20</f>
        <v>Basis</v>
      </c>
      <c r="H86" s="38" t="str">
        <f>Lookup!H$20</f>
        <v>Timing</v>
      </c>
      <c r="J86" s="47" t="str">
        <f t="shared" ref="J86:T86" si="15">J$10</f>
        <v>RY19</v>
      </c>
      <c r="K86" s="46" t="str">
        <f t="shared" si="15"/>
        <v>RY20</v>
      </c>
      <c r="L86" s="38" t="str">
        <f>L$10</f>
        <v>RY21</v>
      </c>
      <c r="M86" s="38" t="str">
        <f t="shared" si="15"/>
        <v>RY22</v>
      </c>
      <c r="N86" s="38" t="str">
        <f t="shared" si="15"/>
        <v>RY23</v>
      </c>
      <c r="O86" s="47" t="str">
        <f t="shared" si="15"/>
        <v>RY24</v>
      </c>
      <c r="P86" s="46" t="str">
        <f t="shared" si="15"/>
        <v>RY25</v>
      </c>
      <c r="Q86" s="38" t="str">
        <f>Q$10</f>
        <v>RY26</v>
      </c>
      <c r="R86" s="38" t="str">
        <f t="shared" si="15"/>
        <v>RY27</v>
      </c>
      <c r="S86" s="38" t="str">
        <f t="shared" si="15"/>
        <v>RY28</v>
      </c>
      <c r="T86" s="47" t="str">
        <f t="shared" si="15"/>
        <v>RY29</v>
      </c>
    </row>
    <row r="87" spans="1:20" x14ac:dyDescent="0.35">
      <c r="J87" s="49"/>
      <c r="K87" s="48"/>
      <c r="O87" s="49"/>
      <c r="P87" s="48"/>
      <c r="T87" s="49"/>
    </row>
    <row r="88" spans="1:20" ht="12.3" x14ac:dyDescent="0.35">
      <c r="D88" s="10" t="str">
        <f>Calc_EB_ACS!$C$14</f>
        <v>Opening balance</v>
      </c>
      <c r="E88" s="45" t="str">
        <f>$E$32</f>
        <v>Calc_EB_NS</v>
      </c>
      <c r="F88" s="45" t="str">
        <f>Millions</f>
        <v>$Millions</v>
      </c>
      <c r="G88" s="45" t="str">
        <f>Nominal</f>
        <v>Nominal</v>
      </c>
      <c r="H88" s="45" t="str">
        <f>Start_year</f>
        <v>Start year</v>
      </c>
      <c r="J88" s="58">
        <f>Calc_EB_NS!J$22</f>
        <v>59.80574090889462</v>
      </c>
      <c r="K88" s="56">
        <f>Calc_EB_NS!K$22</f>
        <v>59.27905692558334</v>
      </c>
      <c r="L88" s="57">
        <f>Calc_EB_NS!L$22</f>
        <v>58.508440809554067</v>
      </c>
      <c r="M88" s="57">
        <f>Calc_EB_NS!M$22</f>
        <v>57.326106863945611</v>
      </c>
      <c r="N88" s="57">
        <f>Calc_EB_NS!N$22</f>
        <v>57.86807078905565</v>
      </c>
      <c r="O88" s="58">
        <f>Calc_EB_NS!O$22</f>
        <v>61.132552068990577</v>
      </c>
      <c r="P88" s="56">
        <f>Calc_EB_NS!P$22</f>
        <v>64.687791803904574</v>
      </c>
      <c r="Q88" s="57">
        <f>Calc_EB_NS!Q$22</f>
        <v>65.021533895340852</v>
      </c>
      <c r="R88" s="57">
        <f>Calc_EB_NS!R$22</f>
        <v>66.597023511917897</v>
      </c>
      <c r="S88" s="57">
        <f>Calc_EB_NS!S$22</f>
        <v>66.629443225537642</v>
      </c>
      <c r="T88" s="58">
        <f>Calc_EB_NS!T$22</f>
        <v>66.218517585023534</v>
      </c>
    </row>
    <row r="89" spans="1:20" ht="12.3" x14ac:dyDescent="0.35">
      <c r="D89" s="10" t="str">
        <f>Calc_EB_ACS!$C$33</f>
        <v>Inflation</v>
      </c>
      <c r="E89" s="45" t="str">
        <f>$E$33</f>
        <v>Calc_EB_NS</v>
      </c>
      <c r="F89" s="45" t="str">
        <f>Millions</f>
        <v>$Millions</v>
      </c>
      <c r="G89" s="45" t="str">
        <f>Nominal</f>
        <v>Nominal</v>
      </c>
      <c r="H89" s="45" t="str">
        <f>End_year</f>
        <v>End year</v>
      </c>
      <c r="J89" s="58">
        <f>Calc_EB_NS!J$41</f>
        <v>1.0670069742889379</v>
      </c>
      <c r="K89" s="56">
        <f>Calc_EB_NS!K$41</f>
        <v>1.0910255875874304</v>
      </c>
      <c r="L89" s="57">
        <f>Calc_EB_NS!L$41</f>
        <v>0.50351498114934534</v>
      </c>
      <c r="M89" s="57">
        <f>Calc_EB_NS!M$41</f>
        <v>2.0054354790288094</v>
      </c>
      <c r="N89" s="57">
        <f>Calc_EB_NS!N$41</f>
        <v>4.6294456631244527</v>
      </c>
      <c r="O89" s="58">
        <f>Calc_EB_NS!O$41</f>
        <v>2.8732299472425575</v>
      </c>
      <c r="P89" s="56">
        <f>Calc_EB_NS!P$41</f>
        <v>1.8886506768821705</v>
      </c>
      <c r="Q89" s="57">
        <f>Calc_EB_NS!Q$41</f>
        <v>1.8983947446470126</v>
      </c>
      <c r="R89" s="57">
        <f>Calc_EB_NS!R$41</f>
        <v>1.9443933704741112</v>
      </c>
      <c r="S89" s="57">
        <f>Calc_EB_NS!S$41</f>
        <v>1.9453399094170061</v>
      </c>
      <c r="T89" s="58">
        <f>Calc_EB_NS!T$41</f>
        <v>1.9333423598413784</v>
      </c>
    </row>
    <row r="90" spans="1:20" ht="12.3" x14ac:dyDescent="0.35">
      <c r="D90" s="10" t="str">
        <f>Calc_EB_ACS!$C$52</f>
        <v>Straight line depreciation</v>
      </c>
      <c r="E90" s="45" t="str">
        <f>$E$34</f>
        <v>Calc_EB_NS</v>
      </c>
      <c r="F90" s="45" t="str">
        <f>Millions</f>
        <v>$Millions</v>
      </c>
      <c r="G90" s="45" t="str">
        <f>Nominal</f>
        <v>Nominal</v>
      </c>
      <c r="H90" s="45" t="str">
        <f>End_year</f>
        <v>End year</v>
      </c>
      <c r="J90" s="58">
        <f>Calc_EB_NS!J$60</f>
        <v>-2.1842511887193341</v>
      </c>
      <c r="K90" s="56">
        <f>Calc_EB_NS!K$60</f>
        <v>-2.1780373709488261</v>
      </c>
      <c r="L90" s="57">
        <f>Calc_EB_NS!L$60</f>
        <v>-2.2358956364376645</v>
      </c>
      <c r="M90" s="57">
        <f>Calc_EB_NS!M$60</f>
        <v>-2.2724061914823031</v>
      </c>
      <c r="N90" s="57">
        <f>Calc_EB_NS!N$60</f>
        <v>-2.3694919378806092</v>
      </c>
      <c r="O90" s="58">
        <f>Calc_EB_NS!O$60</f>
        <v>-2.5796505102220197</v>
      </c>
      <c r="P90" s="56">
        <f>Calc_EB_NS!P$60</f>
        <v>-2.7727482579795497</v>
      </c>
      <c r="Q90" s="57">
        <f>Calc_EB_NS!Q$60</f>
        <v>-2.875878128578957</v>
      </c>
      <c r="R90" s="57">
        <f>Calc_EB_NS!R$60</f>
        <v>-3.0063304184209048</v>
      </c>
      <c r="S90" s="57">
        <f>Calc_EB_NS!S$60</f>
        <v>-3.1140315511187464</v>
      </c>
      <c r="T90" s="58">
        <f>Calc_EB_NS!T$60</f>
        <v>-3.218748199291884</v>
      </c>
    </row>
    <row r="91" spans="1:20" ht="12.3" x14ac:dyDescent="0.35">
      <c r="D91" s="10" t="str">
        <f>Calc_EB_ACS!$C$71</f>
        <v>RAB additions</v>
      </c>
      <c r="E91" s="45" t="str">
        <f>$E$35</f>
        <v>Calc_EB_NS</v>
      </c>
      <c r="F91" s="45" t="str">
        <f>Millions</f>
        <v>$Millions</v>
      </c>
      <c r="G91" s="45" t="str">
        <f>Nominal</f>
        <v>Nominal</v>
      </c>
      <c r="H91" s="45" t="str">
        <f>End_year</f>
        <v>End year</v>
      </c>
      <c r="J91" s="58">
        <f>Calc_EB_NS!J$79+Calc_EB_NS!J$136</f>
        <v>0.59056023111912093</v>
      </c>
      <c r="K91" s="56">
        <f>Calc_EB_NS!K$79+Calc_EB_NS!K$136</f>
        <v>0.31815902243032934</v>
      </c>
      <c r="L91" s="57">
        <f>Calc_EB_NS!L$79+Calc_EB_NS!L$136</f>
        <v>0.55328462803186207</v>
      </c>
      <c r="M91" s="57">
        <f>Calc_EB_NS!M$79+Calc_EB_NS!M$136</f>
        <v>0.81417398371630167</v>
      </c>
      <c r="N91" s="57">
        <f>Calc_EB_NS!N$79+Calc_EB_NS!N$136</f>
        <v>1.0085330864232263</v>
      </c>
      <c r="O91" s="58">
        <f>Calc_EB_NS!O$79+Calc_EB_NS!O$136</f>
        <v>3.2657997216514039</v>
      </c>
      <c r="P91" s="56">
        <f>Calc_EB_NS!P$79+Calc_EB_NS!P$136</f>
        <v>1.2219607946274034</v>
      </c>
      <c r="Q91" s="57">
        <f>Calc_EB_NS!Q$79+Calc_EB_NS!Q$136</f>
        <v>2.5570972893004695</v>
      </c>
      <c r="R91" s="57">
        <f>Calc_EB_NS!R$79+Calc_EB_NS!R$136</f>
        <v>1.0984842146261822</v>
      </c>
      <c r="S91" s="57">
        <f>Calc_EB_NS!S$79+Calc_EB_NS!S$136</f>
        <v>0.76189661609145354</v>
      </c>
      <c r="T91" s="58">
        <f>Calc_EB_NS!T$79+Calc_EB_NS!T$136</f>
        <v>0.78938366555342498</v>
      </c>
    </row>
    <row r="92" spans="1:20" ht="12.3" x14ac:dyDescent="0.35">
      <c r="D92" s="10" t="str">
        <f>Calc_EB_ACS!$C$90</f>
        <v>Disposals</v>
      </c>
      <c r="E92" s="45" t="str">
        <f>$E$36</f>
        <v>Calc_EB_NS</v>
      </c>
      <c r="F92" s="45" t="str">
        <f>Millions</f>
        <v>$Millions</v>
      </c>
      <c r="G92" s="45" t="str">
        <f>Nominal</f>
        <v>Nominal</v>
      </c>
      <c r="H92" s="45" t="str">
        <f>End_year</f>
        <v>End year</v>
      </c>
      <c r="J92" s="58">
        <f>Calc_EB_NS!J$98</f>
        <v>0</v>
      </c>
      <c r="K92" s="56">
        <f>Calc_EB_NS!K$98</f>
        <v>-1.763355098204276E-3</v>
      </c>
      <c r="L92" s="57">
        <f>Calc_EB_NS!L$98</f>
        <v>-3.2379183519962006E-3</v>
      </c>
      <c r="M92" s="57">
        <f>Calc_EB_NS!M$98</f>
        <v>-5.2393461527712945E-3</v>
      </c>
      <c r="N92" s="57">
        <f>Calc_EB_NS!N$98</f>
        <v>-4.0055317321382585E-3</v>
      </c>
      <c r="O92" s="58">
        <f>Calc_EB_NS!O$98</f>
        <v>-4.139423757957169E-3</v>
      </c>
      <c r="P92" s="56">
        <f>Calc_EB_NS!P$98</f>
        <v>-4.1211220937315933E-3</v>
      </c>
      <c r="Q92" s="57">
        <f>Calc_EB_NS!Q$98</f>
        <v>-4.1242887914787769E-3</v>
      </c>
      <c r="R92" s="57">
        <f>Calc_EB_NS!R$98</f>
        <v>-4.1274530596473501E-3</v>
      </c>
      <c r="S92" s="57">
        <f>Calc_EB_NS!S$98</f>
        <v>-4.1306149038208674E-3</v>
      </c>
      <c r="T92" s="58">
        <f>Calc_EB_NS!T$98</f>
        <v>-4.1337743295615289E-3</v>
      </c>
    </row>
    <row r="93" spans="1:20" x14ac:dyDescent="0.35">
      <c r="J93" s="49"/>
      <c r="K93" s="48"/>
      <c r="O93" s="49"/>
      <c r="P93" s="48"/>
      <c r="T93" s="49"/>
    </row>
    <row r="94" spans="1:20" ht="12.3" x14ac:dyDescent="0.35">
      <c r="D94" s="44" t="str">
        <f>$D$22</f>
        <v>Closing balance</v>
      </c>
      <c r="E94" s="40" t="s">
        <v>91</v>
      </c>
      <c r="F94" s="40" t="str">
        <f>F88</f>
        <v>$Millions</v>
      </c>
      <c r="G94" s="40" t="str">
        <f>G88</f>
        <v>Nominal</v>
      </c>
      <c r="H94" s="40" t="str">
        <f>End_year</f>
        <v>End year</v>
      </c>
      <c r="J94" s="54">
        <f t="shared" ref="J94:T94" si="16">SUM(J88:J92)</f>
        <v>59.27905692558334</v>
      </c>
      <c r="K94" s="53">
        <f t="shared" si="16"/>
        <v>58.508440809554067</v>
      </c>
      <c r="L94" s="39">
        <f t="shared" si="16"/>
        <v>57.326106863945611</v>
      </c>
      <c r="M94" s="39">
        <f t="shared" si="16"/>
        <v>57.86807078905565</v>
      </c>
      <c r="N94" s="39">
        <f t="shared" si="16"/>
        <v>61.132552068990577</v>
      </c>
      <c r="O94" s="54">
        <f t="shared" si="16"/>
        <v>64.68779180390456</v>
      </c>
      <c r="P94" s="53">
        <f t="shared" si="16"/>
        <v>65.021533895340852</v>
      </c>
      <c r="Q94" s="39">
        <f t="shared" si="16"/>
        <v>66.597023511917897</v>
      </c>
      <c r="R94" s="39">
        <f t="shared" si="16"/>
        <v>66.629443225537642</v>
      </c>
      <c r="S94" s="39">
        <f t="shared" si="16"/>
        <v>66.218517585023534</v>
      </c>
      <c r="T94" s="54">
        <f t="shared" si="16"/>
        <v>65.718361636796899</v>
      </c>
    </row>
    <row r="95" spans="1:20" ht="11.25" customHeight="1" x14ac:dyDescent="0.35"/>
    <row r="96" spans="1:20" ht="11.25" customHeight="1" x14ac:dyDescent="0.35">
      <c r="A96" s="42">
        <f>IF(SUM($J96:$T96)&lt;&gt;0,1,0)</f>
        <v>0</v>
      </c>
      <c r="D96" s="10" t="s">
        <v>94</v>
      </c>
      <c r="J96" s="42">
        <f>IF(J94&lt;&gt;Calc_EB_NS!J$155,1,0)</f>
        <v>0</v>
      </c>
      <c r="K96" s="42">
        <f>IF(K94&lt;&gt;Calc_EB_NS!K$155,1,0)</f>
        <v>0</v>
      </c>
      <c r="L96" s="42">
        <f>IF(L94&lt;&gt;Calc_EB_NS!L$155,1,0)</f>
        <v>0</v>
      </c>
      <c r="M96" s="42">
        <f>IF(M94&lt;&gt;Calc_EB_NS!M$155,1,0)</f>
        <v>0</v>
      </c>
      <c r="N96" s="42">
        <f>IF(N94&lt;&gt;Calc_EB_NS!N$155,1,0)</f>
        <v>0</v>
      </c>
      <c r="O96" s="42">
        <f>IF(O94&lt;&gt;Calc_EB_NS!O$155,1,0)</f>
        <v>0</v>
      </c>
      <c r="P96" s="42">
        <f>IF(P94&lt;&gt;Calc_EB_NS!P$155,1,0)</f>
        <v>0</v>
      </c>
      <c r="Q96" s="42">
        <f>IF(Q94&lt;&gt;Calc_EB_NS!Q$155,1,0)</f>
        <v>0</v>
      </c>
      <c r="R96" s="42">
        <f>IF(R94&lt;&gt;Calc_EB_NS!R$155,1,0)</f>
        <v>0</v>
      </c>
      <c r="S96" s="42">
        <f>IF(S94&lt;&gt;Calc_EB_NS!S$155,1,0)</f>
        <v>0</v>
      </c>
      <c r="T96" s="42">
        <f>IF(T94&lt;&gt;Calc_EB_NS!T$155,1,0)</f>
        <v>0</v>
      </c>
    </row>
    <row r="97" spans="1:20" ht="11.25" customHeight="1" x14ac:dyDescent="0.35">
      <c r="N97" s="5"/>
      <c r="S97" s="5"/>
    </row>
    <row r="98" spans="1:20" s="8" customFormat="1" ht="14.1" x14ac:dyDescent="0.35">
      <c r="C98" s="8" t="str">
        <f>Lookup!$D$111</f>
        <v>Zone substations and transformers</v>
      </c>
    </row>
    <row r="99" spans="1:20" ht="11.25" customHeight="1" x14ac:dyDescent="0.35"/>
    <row r="100" spans="1:20" ht="12.3" x14ac:dyDescent="0.35">
      <c r="D100" s="43" t="str">
        <f>D$14</f>
        <v>Category heading</v>
      </c>
      <c r="E100" s="38" t="str">
        <f>Lookup!E$20</f>
        <v>Source</v>
      </c>
      <c r="F100" s="38" t="str">
        <f>Lookup!F$20</f>
        <v>Unit</v>
      </c>
      <c r="G100" s="38" t="str">
        <f>Lookup!G$20</f>
        <v>Basis</v>
      </c>
      <c r="H100" s="38" t="str">
        <f>Lookup!H$20</f>
        <v>Timing</v>
      </c>
      <c r="J100" s="47" t="str">
        <f t="shared" ref="J100:T100" si="17">J$10</f>
        <v>RY19</v>
      </c>
      <c r="K100" s="46" t="str">
        <f t="shared" si="17"/>
        <v>RY20</v>
      </c>
      <c r="L100" s="38" t="str">
        <f>L$10</f>
        <v>RY21</v>
      </c>
      <c r="M100" s="38" t="str">
        <f t="shared" si="17"/>
        <v>RY22</v>
      </c>
      <c r="N100" s="38" t="str">
        <f t="shared" si="17"/>
        <v>RY23</v>
      </c>
      <c r="O100" s="47" t="str">
        <f t="shared" si="17"/>
        <v>RY24</v>
      </c>
      <c r="P100" s="46" t="str">
        <f t="shared" si="17"/>
        <v>RY25</v>
      </c>
      <c r="Q100" s="38" t="str">
        <f>Q$10</f>
        <v>RY26</v>
      </c>
      <c r="R100" s="38" t="str">
        <f t="shared" si="17"/>
        <v>RY27</v>
      </c>
      <c r="S100" s="38" t="str">
        <f t="shared" si="17"/>
        <v>RY28</v>
      </c>
      <c r="T100" s="47" t="str">
        <f t="shared" si="17"/>
        <v>RY29</v>
      </c>
    </row>
    <row r="101" spans="1:20" x14ac:dyDescent="0.35">
      <c r="J101" s="49"/>
      <c r="K101" s="48"/>
      <c r="O101" s="49"/>
      <c r="P101" s="48"/>
      <c r="T101" s="49"/>
    </row>
    <row r="102" spans="1:20" ht="12.3" x14ac:dyDescent="0.35">
      <c r="D102" s="10" t="str">
        <f>Calc_EB_ACS!$C$14</f>
        <v>Opening balance</v>
      </c>
      <c r="E102" s="45" t="str">
        <f>$E$32</f>
        <v>Calc_EB_NS</v>
      </c>
      <c r="F102" s="45" t="str">
        <f>Millions</f>
        <v>$Millions</v>
      </c>
      <c r="G102" s="45" t="str">
        <f>Nominal</f>
        <v>Nominal</v>
      </c>
      <c r="H102" s="45" t="str">
        <f>Start_year</f>
        <v>Start year</v>
      </c>
      <c r="J102" s="58">
        <f>Calc_EB_NS!J$23</f>
        <v>335.44314403487158</v>
      </c>
      <c r="K102" s="56">
        <f>Calc_EB_NS!K$23</f>
        <v>318.17126366848231</v>
      </c>
      <c r="L102" s="57">
        <f>Calc_EB_NS!L$23</f>
        <v>327.41798681760213</v>
      </c>
      <c r="M102" s="57">
        <f>Calc_EB_NS!M$23</f>
        <v>325.66292475029201</v>
      </c>
      <c r="N102" s="57">
        <f>Calc_EB_NS!N$23</f>
        <v>332.37283187466795</v>
      </c>
      <c r="O102" s="58">
        <f>Calc_EB_NS!O$23</f>
        <v>358.67792636580361</v>
      </c>
      <c r="P102" s="56">
        <f>Calc_EB_NS!P$23</f>
        <v>381.06791850757656</v>
      </c>
      <c r="Q102" s="57">
        <f>Calc_EB_NS!Q$23</f>
        <v>402.96189082118678</v>
      </c>
      <c r="R102" s="57">
        <f>Calc_EB_NS!R$23</f>
        <v>413.17934920905304</v>
      </c>
      <c r="S102" s="57">
        <f>Calc_EB_NS!S$23</f>
        <v>408.64255862968884</v>
      </c>
      <c r="T102" s="58">
        <f>Calc_EB_NS!T$23</f>
        <v>399.5778523758562</v>
      </c>
    </row>
    <row r="103" spans="1:20" ht="12.3" x14ac:dyDescent="0.35">
      <c r="D103" s="10" t="str">
        <f>Calc_EB_ACS!$C$33</f>
        <v>Inflation</v>
      </c>
      <c r="E103" s="45" t="str">
        <f>$E$33</f>
        <v>Calc_EB_NS</v>
      </c>
      <c r="F103" s="45" t="str">
        <f>Millions</f>
        <v>$Millions</v>
      </c>
      <c r="G103" s="45" t="str">
        <f>Nominal</f>
        <v>Nominal</v>
      </c>
      <c r="H103" s="45" t="str">
        <f>End_year</f>
        <v>End year</v>
      </c>
      <c r="J103" s="58">
        <f>Calc_EB_NS!J$42</f>
        <v>5.9847126500423462</v>
      </c>
      <c r="K103" s="56">
        <f>Calc_EB_NS!K$42</f>
        <v>5.8559128282543131</v>
      </c>
      <c r="L103" s="57">
        <f>Calc_EB_NS!L$42</f>
        <v>2.8177107299277231</v>
      </c>
      <c r="M103" s="57">
        <f>Calc_EB_NS!M$42</f>
        <v>11.392644978465821</v>
      </c>
      <c r="N103" s="57">
        <f>Calc_EB_NS!N$42</f>
        <v>26.589826549973449</v>
      </c>
      <c r="O103" s="58">
        <f>Calc_EB_NS!O$42</f>
        <v>16.85786253919278</v>
      </c>
      <c r="P103" s="56">
        <f>Calc_EB_NS!P$42</f>
        <v>11.125811565946409</v>
      </c>
      <c r="Q103" s="57">
        <f>Calc_EB_NS!Q$42</f>
        <v>11.765036750121634</v>
      </c>
      <c r="R103" s="57">
        <f>Calc_EB_NS!R$42</f>
        <v>12.063349757292396</v>
      </c>
      <c r="S103" s="57">
        <f>Calc_EB_NS!S$42</f>
        <v>11.930891802558632</v>
      </c>
      <c r="T103" s="58">
        <f>Calc_EB_NS!T$42</f>
        <v>11.666235008368824</v>
      </c>
    </row>
    <row r="104" spans="1:20" ht="12.3" x14ac:dyDescent="0.35">
      <c r="D104" s="10" t="str">
        <f>Calc_EB_ACS!$C$52</f>
        <v>Straight line depreciation</v>
      </c>
      <c r="E104" s="45" t="str">
        <f>$E$34</f>
        <v>Calc_EB_NS</v>
      </c>
      <c r="F104" s="45" t="str">
        <f>Millions</f>
        <v>$Millions</v>
      </c>
      <c r="G104" s="45" t="str">
        <f>Nominal</f>
        <v>Nominal</v>
      </c>
      <c r="H104" s="45" t="str">
        <f>End_year</f>
        <v>End year</v>
      </c>
      <c r="J104" s="58">
        <f>Calc_EB_NS!J$61</f>
        <v>-27.636870123401234</v>
      </c>
      <c r="K104" s="56">
        <f>Calc_EB_NS!K$61</f>
        <v>-18.265664708697326</v>
      </c>
      <c r="L104" s="57">
        <f>Calc_EB_NS!L$61</f>
        <v>-19.367170512687057</v>
      </c>
      <c r="M104" s="57">
        <f>Calc_EB_NS!M$61</f>
        <v>-20.204055028152251</v>
      </c>
      <c r="N104" s="57">
        <f>Calc_EB_NS!N$61</f>
        <v>-21.345067368942679</v>
      </c>
      <c r="O104" s="58">
        <f>Calc_EB_NS!O$61</f>
        <v>-23.427732582046076</v>
      </c>
      <c r="P104" s="56">
        <f>Calc_EB_NS!P$61</f>
        <v>-27.388174460282201</v>
      </c>
      <c r="Q104" s="57">
        <f>Calc_EB_NS!Q$61</f>
        <v>-29.501296427512994</v>
      </c>
      <c r="R104" s="57">
        <f>Calc_EB_NS!R$61</f>
        <v>-31.173728566540383</v>
      </c>
      <c r="S104" s="57">
        <f>Calc_EB_NS!S$61</f>
        <v>-32.645756647477981</v>
      </c>
      <c r="T104" s="58">
        <f>Calc_EB_NS!T$61</f>
        <v>-33.939552340212678</v>
      </c>
    </row>
    <row r="105" spans="1:20" ht="12.3" x14ac:dyDescent="0.35">
      <c r="D105" s="10" t="str">
        <f>Calc_EB_ACS!$C$71</f>
        <v>RAB additions</v>
      </c>
      <c r="E105" s="45" t="str">
        <f>$E$35</f>
        <v>Calc_EB_NS</v>
      </c>
      <c r="F105" s="45" t="str">
        <f>Millions</f>
        <v>$Millions</v>
      </c>
      <c r="G105" s="45" t="str">
        <f>Nominal</f>
        <v>Nominal</v>
      </c>
      <c r="H105" s="45" t="str">
        <f>End_year</f>
        <v>End year</v>
      </c>
      <c r="J105" s="58">
        <f>Calc_EB_NS!J$80+Calc_EB_NS!J$137</f>
        <v>4.4098205188086403</v>
      </c>
      <c r="K105" s="56">
        <f>Calc_EB_NS!K$80+Calc_EB_NS!K$137</f>
        <v>21.672337054804082</v>
      </c>
      <c r="L105" s="57">
        <f>Calc_EB_NS!L$80+Calc_EB_NS!L$137</f>
        <v>14.823524006381485</v>
      </c>
      <c r="M105" s="57">
        <f>Calc_EB_NS!M$80+Calc_EB_NS!M$137</f>
        <v>15.56844703257566</v>
      </c>
      <c r="N105" s="57">
        <f>Calc_EB_NS!N$80+Calc_EB_NS!N$137</f>
        <v>21.102834448620996</v>
      </c>
      <c r="O105" s="58">
        <f>Calc_EB_NS!O$80+Calc_EB_NS!O$137</f>
        <v>29.003781932472613</v>
      </c>
      <c r="P105" s="56">
        <f>Calc_EB_NS!P$80+Calc_EB_NS!P$137</f>
        <v>38.200060773093277</v>
      </c>
      <c r="Q105" s="57">
        <f>Calc_EB_NS!Q$80+Calc_EB_NS!Q$137</f>
        <v>27.99747722942131</v>
      </c>
      <c r="R105" s="57">
        <f>Calc_EB_NS!R$80+Calc_EB_NS!R$137</f>
        <v>14.617380967285705</v>
      </c>
      <c r="S105" s="57">
        <f>Calc_EB_NS!S$80+Calc_EB_NS!S$137</f>
        <v>11.693984876008054</v>
      </c>
      <c r="T105" s="58">
        <f>Calc_EB_NS!T$80+Calc_EB_NS!T$137</f>
        <v>10.320020085222426</v>
      </c>
    </row>
    <row r="106" spans="1:20" ht="12.3" x14ac:dyDescent="0.35">
      <c r="D106" s="10" t="str">
        <f>Calc_EB_ACS!$C$90</f>
        <v>Disposals</v>
      </c>
      <c r="E106" s="45" t="str">
        <f>$E$36</f>
        <v>Calc_EB_NS</v>
      </c>
      <c r="F106" s="45" t="str">
        <f>Millions</f>
        <v>$Millions</v>
      </c>
      <c r="G106" s="45" t="str">
        <f>Nominal</f>
        <v>Nominal</v>
      </c>
      <c r="H106" s="45" t="str">
        <f>End_year</f>
        <v>End year</v>
      </c>
      <c r="J106" s="58">
        <f>Calc_EB_NS!J$99</f>
        <v>-2.9543411839054325E-2</v>
      </c>
      <c r="K106" s="56">
        <f>Calc_EB_NS!K$99</f>
        <v>-1.5862025241209592E-2</v>
      </c>
      <c r="L106" s="57">
        <f>Calc_EB_NS!L$99</f>
        <v>-2.9126290932327339E-2</v>
      </c>
      <c r="M106" s="57">
        <f>Calc_EB_NS!M$99</f>
        <v>-4.7129858513230871E-2</v>
      </c>
      <c r="N106" s="57">
        <f>Calc_EB_NS!N$99</f>
        <v>-4.2499138516089968E-2</v>
      </c>
      <c r="O106" s="58">
        <f>Calc_EB_NS!O$99</f>
        <v>-4.391974784638733E-2</v>
      </c>
      <c r="P106" s="56">
        <f>Calc_EB_NS!P$99</f>
        <v>-4.3725565147307195E-2</v>
      </c>
      <c r="Q106" s="57">
        <f>Calc_EB_NS!Q$99</f>
        <v>-4.3759164163666577E-2</v>
      </c>
      <c r="R106" s="57">
        <f>Calc_EB_NS!R$99</f>
        <v>-4.379273740192588E-2</v>
      </c>
      <c r="S106" s="57">
        <f>Calc_EB_NS!S$99</f>
        <v>-4.3826284921327223E-2</v>
      </c>
      <c r="T106" s="58">
        <f>Calc_EB_NS!T$99</f>
        <v>-4.3859806780886183E-2</v>
      </c>
    </row>
    <row r="107" spans="1:20" x14ac:dyDescent="0.35">
      <c r="J107" s="49"/>
      <c r="K107" s="48"/>
      <c r="O107" s="49"/>
      <c r="P107" s="48"/>
      <c r="T107" s="49"/>
    </row>
    <row r="108" spans="1:20" ht="12.3" x14ac:dyDescent="0.35">
      <c r="D108" s="44" t="str">
        <f>$D$22</f>
        <v>Closing balance</v>
      </c>
      <c r="E108" s="40" t="s">
        <v>91</v>
      </c>
      <c r="F108" s="40" t="str">
        <f>F102</f>
        <v>$Millions</v>
      </c>
      <c r="G108" s="40" t="str">
        <f>G102</f>
        <v>Nominal</v>
      </c>
      <c r="H108" s="40" t="str">
        <f>End_year</f>
        <v>End year</v>
      </c>
      <c r="J108" s="54">
        <f t="shared" ref="J108:T108" si="18">SUM(J102:J106)</f>
        <v>318.17126366848231</v>
      </c>
      <c r="K108" s="53">
        <f t="shared" si="18"/>
        <v>327.41798681760213</v>
      </c>
      <c r="L108" s="39">
        <f t="shared" si="18"/>
        <v>325.66292475029201</v>
      </c>
      <c r="M108" s="39">
        <f t="shared" si="18"/>
        <v>332.37283187466795</v>
      </c>
      <c r="N108" s="39">
        <f t="shared" si="18"/>
        <v>358.67792636580361</v>
      </c>
      <c r="O108" s="54">
        <f t="shared" si="18"/>
        <v>381.06791850757656</v>
      </c>
      <c r="P108" s="53">
        <f t="shared" si="18"/>
        <v>402.96189082118678</v>
      </c>
      <c r="Q108" s="39">
        <f t="shared" si="18"/>
        <v>413.17934920905304</v>
      </c>
      <c r="R108" s="39">
        <f t="shared" si="18"/>
        <v>408.64255862968884</v>
      </c>
      <c r="S108" s="39">
        <f t="shared" si="18"/>
        <v>399.5778523758562</v>
      </c>
      <c r="T108" s="54">
        <f t="shared" si="18"/>
        <v>387.58069532245389</v>
      </c>
    </row>
    <row r="109" spans="1:20" ht="11.25" customHeight="1" x14ac:dyDescent="0.35"/>
    <row r="110" spans="1:20" ht="11.25" customHeight="1" x14ac:dyDescent="0.35">
      <c r="A110" s="42">
        <f>IF(SUM($J110:$T110)&lt;&gt;0,1,0)</f>
        <v>0</v>
      </c>
      <c r="D110" s="10" t="s">
        <v>94</v>
      </c>
      <c r="J110" s="42">
        <f>IF(J108&lt;&gt;Calc_EB_NS!J$156,1,0)</f>
        <v>0</v>
      </c>
      <c r="K110" s="42">
        <f>IF(K108&lt;&gt;Calc_EB_NS!K$156,1,0)</f>
        <v>0</v>
      </c>
      <c r="L110" s="42">
        <f>IF(L108&lt;&gt;Calc_EB_NS!L$156,1,0)</f>
        <v>0</v>
      </c>
      <c r="M110" s="42">
        <f>IF(M108&lt;&gt;Calc_EB_NS!M$156,1,0)</f>
        <v>0</v>
      </c>
      <c r="N110" s="42">
        <f>IF(N108&lt;&gt;Calc_EB_NS!N$156,1,0)</f>
        <v>0</v>
      </c>
      <c r="O110" s="42">
        <f>IF(O108&lt;&gt;Calc_EB_NS!O$156,1,0)</f>
        <v>0</v>
      </c>
      <c r="P110" s="42">
        <f>IF(P108&lt;&gt;Calc_EB_NS!P$156,1,0)</f>
        <v>0</v>
      </c>
      <c r="Q110" s="42">
        <f>IF(Q108&lt;&gt;Calc_EB_NS!Q$156,1,0)</f>
        <v>0</v>
      </c>
      <c r="R110" s="42">
        <f>IF(R108&lt;&gt;Calc_EB_NS!R$156,1,0)</f>
        <v>0</v>
      </c>
      <c r="S110" s="42">
        <f>IF(S108&lt;&gt;Calc_EB_NS!S$156,1,0)</f>
        <v>0</v>
      </c>
      <c r="T110" s="42">
        <f>IF(T108&lt;&gt;Calc_EB_NS!T$156,1,0)</f>
        <v>0</v>
      </c>
    </row>
    <row r="111" spans="1:20" ht="11.25" customHeight="1" x14ac:dyDescent="0.35">
      <c r="N111" s="5"/>
      <c r="S111" s="5"/>
    </row>
    <row r="112" spans="1:20" s="8" customFormat="1" ht="14.1" x14ac:dyDescent="0.35">
      <c r="C112" s="8" t="str">
        <f>Lookup!$D$112</f>
        <v>Easements</v>
      </c>
    </row>
    <row r="113" spans="1:20" ht="11.25" customHeight="1" x14ac:dyDescent="0.35"/>
    <row r="114" spans="1:20" ht="12.3" x14ac:dyDescent="0.35">
      <c r="D114" s="43" t="str">
        <f>D$14</f>
        <v>Category heading</v>
      </c>
      <c r="E114" s="38" t="str">
        <f>Lookup!E$20</f>
        <v>Source</v>
      </c>
      <c r="F114" s="38" t="str">
        <f>Lookup!F$20</f>
        <v>Unit</v>
      </c>
      <c r="G114" s="38" t="str">
        <f>Lookup!G$20</f>
        <v>Basis</v>
      </c>
      <c r="H114" s="38" t="str">
        <f>Lookup!H$20</f>
        <v>Timing</v>
      </c>
      <c r="J114" s="47" t="str">
        <f t="shared" ref="J114:T114" si="19">J$10</f>
        <v>RY19</v>
      </c>
      <c r="K114" s="46" t="str">
        <f t="shared" si="19"/>
        <v>RY20</v>
      </c>
      <c r="L114" s="38" t="str">
        <f>L$10</f>
        <v>RY21</v>
      </c>
      <c r="M114" s="38" t="str">
        <f t="shared" si="19"/>
        <v>RY22</v>
      </c>
      <c r="N114" s="38" t="str">
        <f t="shared" si="19"/>
        <v>RY23</v>
      </c>
      <c r="O114" s="47" t="str">
        <f t="shared" si="19"/>
        <v>RY24</v>
      </c>
      <c r="P114" s="46" t="str">
        <f t="shared" si="19"/>
        <v>RY25</v>
      </c>
      <c r="Q114" s="38" t="str">
        <f>Q$10</f>
        <v>RY26</v>
      </c>
      <c r="R114" s="38" t="str">
        <f t="shared" si="19"/>
        <v>RY27</v>
      </c>
      <c r="S114" s="38" t="str">
        <f t="shared" si="19"/>
        <v>RY28</v>
      </c>
      <c r="T114" s="47" t="str">
        <f t="shared" si="19"/>
        <v>RY29</v>
      </c>
    </row>
    <row r="115" spans="1:20" x14ac:dyDescent="0.35">
      <c r="J115" s="49"/>
      <c r="K115" s="48"/>
      <c r="O115" s="49"/>
      <c r="P115" s="48"/>
      <c r="T115" s="49"/>
    </row>
    <row r="116" spans="1:20" ht="12.3" x14ac:dyDescent="0.35">
      <c r="D116" s="10" t="str">
        <f>Calc_EB_ACS!$C$14</f>
        <v>Opening balance</v>
      </c>
      <c r="E116" s="45" t="str">
        <f>$E$32</f>
        <v>Calc_EB_NS</v>
      </c>
      <c r="F116" s="45" t="str">
        <f>Millions</f>
        <v>$Millions</v>
      </c>
      <c r="G116" s="45" t="str">
        <f>Nominal</f>
        <v>Nominal</v>
      </c>
      <c r="H116" s="45" t="str">
        <f>Start_year</f>
        <v>Start year</v>
      </c>
      <c r="J116" s="58">
        <f>Calc_EB_NS!J$24</f>
        <v>37.011647544048387</v>
      </c>
      <c r="K116" s="56">
        <f>Calc_EB_NS!K$24</f>
        <v>45.815760921706001</v>
      </c>
      <c r="L116" s="57">
        <f>Calc_EB_NS!L$24</f>
        <v>46.658995785295687</v>
      </c>
      <c r="M116" s="57">
        <f>Calc_EB_NS!M$24</f>
        <v>47.060536196528865</v>
      </c>
      <c r="N116" s="57">
        <f>Calc_EB_NS!N$24</f>
        <v>48.706851882584907</v>
      </c>
      <c r="O116" s="58">
        <f>Calc_EB_NS!O$24</f>
        <v>52.603400033191697</v>
      </c>
      <c r="P116" s="56">
        <f>Calc_EB_NS!P$24</f>
        <v>55.251388665969486</v>
      </c>
      <c r="Q116" s="57">
        <f>Calc_EB_NS!Q$24</f>
        <v>56.864530337569484</v>
      </c>
      <c r="R116" s="57">
        <f>Calc_EB_NS!R$24</f>
        <v>58.524769939474631</v>
      </c>
      <c r="S116" s="57">
        <f>Calc_EB_NS!S$24</f>
        <v>60.23348256172077</v>
      </c>
      <c r="T116" s="58">
        <f>Calc_EB_NS!T$24</f>
        <v>61.992083442023159</v>
      </c>
    </row>
    <row r="117" spans="1:20" ht="12.3" x14ac:dyDescent="0.35">
      <c r="D117" s="10" t="str">
        <f>Calc_EB_ACS!$C$33</f>
        <v>Inflation</v>
      </c>
      <c r="E117" s="45" t="str">
        <f>$E$33</f>
        <v>Calc_EB_NS</v>
      </c>
      <c r="F117" s="45" t="str">
        <f>Millions</f>
        <v>$Millions</v>
      </c>
      <c r="G117" s="45" t="str">
        <f>Nominal</f>
        <v>Nominal</v>
      </c>
      <c r="H117" s="45" t="str">
        <f>End_year</f>
        <v>End year</v>
      </c>
      <c r="J117" s="58">
        <f>Calc_EB_NS!J$43</f>
        <v>0.66033269480907408</v>
      </c>
      <c r="K117" s="56">
        <f>Calc_EB_NS!K$43</f>
        <v>0.84323486358968636</v>
      </c>
      <c r="L117" s="57">
        <f>Calc_EB_NS!L$43</f>
        <v>0.40154041123318057</v>
      </c>
      <c r="M117" s="57">
        <f>Calc_EB_NS!M$43</f>
        <v>1.6463156860560397</v>
      </c>
      <c r="N117" s="57">
        <f>Calc_EB_NS!N$43</f>
        <v>3.8965481506067925</v>
      </c>
      <c r="O117" s="58">
        <f>Calc_EB_NS!O$43</f>
        <v>2.4723598015600099</v>
      </c>
      <c r="P117" s="56">
        <f>Calc_EB_NS!P$43</f>
        <v>1.6131416715999964</v>
      </c>
      <c r="Q117" s="57">
        <f>Calc_EB_NS!Q$43</f>
        <v>1.6602396019051437</v>
      </c>
      <c r="R117" s="57">
        <f>Calc_EB_NS!R$43</f>
        <v>1.7087126222461391</v>
      </c>
      <c r="S117" s="57">
        <f>Calc_EB_NS!S$43</f>
        <v>1.7586008803023909</v>
      </c>
      <c r="T117" s="58">
        <f>Calc_EB_NS!T$43</f>
        <v>1.8099456959210347</v>
      </c>
    </row>
    <row r="118" spans="1:20" ht="12.3" x14ac:dyDescent="0.35">
      <c r="D118" s="10" t="str">
        <f>Calc_EB_ACS!$C$52</f>
        <v>Straight line depreciation</v>
      </c>
      <c r="E118" s="45" t="str">
        <f>$E$34</f>
        <v>Calc_EB_NS</v>
      </c>
      <c r="F118" s="45" t="str">
        <f>Millions</f>
        <v>$Millions</v>
      </c>
      <c r="G118" s="45" t="str">
        <f>Nominal</f>
        <v>Nominal</v>
      </c>
      <c r="H118" s="45" t="str">
        <f>End_year</f>
        <v>End year</v>
      </c>
      <c r="J118" s="58">
        <f>Calc_EB_NS!J$62</f>
        <v>0</v>
      </c>
      <c r="K118" s="56">
        <f>Calc_EB_NS!K$62</f>
        <v>0</v>
      </c>
      <c r="L118" s="57">
        <f>Calc_EB_NS!L$62</f>
        <v>0</v>
      </c>
      <c r="M118" s="57">
        <f>Calc_EB_NS!M$62</f>
        <v>0</v>
      </c>
      <c r="N118" s="57">
        <f>Calc_EB_NS!N$62</f>
        <v>0</v>
      </c>
      <c r="O118" s="58">
        <f>Calc_EB_NS!O$62</f>
        <v>0</v>
      </c>
      <c r="P118" s="56">
        <f>Calc_EB_NS!P$62</f>
        <v>0</v>
      </c>
      <c r="Q118" s="57">
        <f>Calc_EB_NS!Q$62</f>
        <v>0</v>
      </c>
      <c r="R118" s="57">
        <f>Calc_EB_NS!R$62</f>
        <v>0</v>
      </c>
      <c r="S118" s="57">
        <f>Calc_EB_NS!S$62</f>
        <v>0</v>
      </c>
      <c r="T118" s="58">
        <f>Calc_EB_NS!T$62</f>
        <v>0</v>
      </c>
    </row>
    <row r="119" spans="1:20" ht="12.3" x14ac:dyDescent="0.35">
      <c r="D119" s="10" t="str">
        <f>Calc_EB_ACS!$C$71</f>
        <v>RAB additions</v>
      </c>
      <c r="E119" s="45" t="str">
        <f>$E$35</f>
        <v>Calc_EB_NS</v>
      </c>
      <c r="F119" s="45" t="str">
        <f>Millions</f>
        <v>$Millions</v>
      </c>
      <c r="G119" s="45" t="str">
        <f>Nominal</f>
        <v>Nominal</v>
      </c>
      <c r="H119" s="45" t="str">
        <f>End_year</f>
        <v>End year</v>
      </c>
      <c r="J119" s="58">
        <f>Calc_EB_NS!J$81+Calc_EB_NS!J$138</f>
        <v>8.14378068284854</v>
      </c>
      <c r="K119" s="56">
        <f>Calc_EB_NS!K$81+Calc_EB_NS!K$138</f>
        <v>0</v>
      </c>
      <c r="L119" s="57">
        <f>Calc_EB_NS!L$81+Calc_EB_NS!L$138</f>
        <v>0</v>
      </c>
      <c r="M119" s="57">
        <f>Calc_EB_NS!M$81+Calc_EB_NS!M$138</f>
        <v>0</v>
      </c>
      <c r="N119" s="57">
        <f>Calc_EB_NS!N$81+Calc_EB_NS!N$138</f>
        <v>0</v>
      </c>
      <c r="O119" s="58">
        <f>Calc_EB_NS!O$81+Calc_EB_NS!O$138</f>
        <v>0.17562883121777981</v>
      </c>
      <c r="P119" s="56">
        <f>Calc_EB_NS!P$81+Calc_EB_NS!P$138</f>
        <v>0</v>
      </c>
      <c r="Q119" s="57">
        <f>Calc_EB_NS!Q$81+Calc_EB_NS!Q$138</f>
        <v>0</v>
      </c>
      <c r="R119" s="57">
        <f>Calc_EB_NS!R$81+Calc_EB_NS!R$138</f>
        <v>0</v>
      </c>
      <c r="S119" s="57">
        <f>Calc_EB_NS!S$81+Calc_EB_NS!S$138</f>
        <v>0</v>
      </c>
      <c r="T119" s="58">
        <f>Calc_EB_NS!T$81+Calc_EB_NS!T$138</f>
        <v>0</v>
      </c>
    </row>
    <row r="120" spans="1:20" ht="12.3" x14ac:dyDescent="0.35">
      <c r="D120" s="10" t="str">
        <f>Calc_EB_ACS!$C$90</f>
        <v>Disposals</v>
      </c>
      <c r="E120" s="45" t="str">
        <f>$E$36</f>
        <v>Calc_EB_NS</v>
      </c>
      <c r="F120" s="45" t="str">
        <f>Millions</f>
        <v>$Millions</v>
      </c>
      <c r="G120" s="45" t="str">
        <f>Nominal</f>
        <v>Nominal</v>
      </c>
      <c r="H120" s="45" t="str">
        <f>End_year</f>
        <v>End year</v>
      </c>
      <c r="J120" s="58">
        <f>Calc_EB_NS!J$100</f>
        <v>0</v>
      </c>
      <c r="K120" s="56">
        <f>Calc_EB_NS!K$100</f>
        <v>0</v>
      </c>
      <c r="L120" s="57">
        <f>Calc_EB_NS!L$100</f>
        <v>0</v>
      </c>
      <c r="M120" s="57">
        <f>Calc_EB_NS!M$100</f>
        <v>0</v>
      </c>
      <c r="N120" s="57">
        <f>Calc_EB_NS!N$100</f>
        <v>0</v>
      </c>
      <c r="O120" s="58">
        <f>Calc_EB_NS!O$100</f>
        <v>0</v>
      </c>
      <c r="P120" s="56">
        <f>Calc_EB_NS!P$100</f>
        <v>0</v>
      </c>
      <c r="Q120" s="57">
        <f>Calc_EB_NS!Q$100</f>
        <v>0</v>
      </c>
      <c r="R120" s="57">
        <f>Calc_EB_NS!R$100</f>
        <v>0</v>
      </c>
      <c r="S120" s="57">
        <f>Calc_EB_NS!S$100</f>
        <v>0</v>
      </c>
      <c r="T120" s="58">
        <f>Calc_EB_NS!T$100</f>
        <v>0</v>
      </c>
    </row>
    <row r="121" spans="1:20" x14ac:dyDescent="0.35">
      <c r="J121" s="49"/>
      <c r="K121" s="48"/>
      <c r="O121" s="49"/>
      <c r="P121" s="48"/>
      <c r="T121" s="49"/>
    </row>
    <row r="122" spans="1:20" ht="12.3" x14ac:dyDescent="0.35">
      <c r="D122" s="44" t="str">
        <f>$D$22</f>
        <v>Closing balance</v>
      </c>
      <c r="E122" s="40" t="s">
        <v>91</v>
      </c>
      <c r="F122" s="40" t="str">
        <f>F116</f>
        <v>$Millions</v>
      </c>
      <c r="G122" s="40" t="str">
        <f>G116</f>
        <v>Nominal</v>
      </c>
      <c r="H122" s="40" t="str">
        <f>End_year</f>
        <v>End year</v>
      </c>
      <c r="J122" s="54">
        <f t="shared" ref="J122:T122" si="20">SUM(J116:J120)</f>
        <v>45.815760921706001</v>
      </c>
      <c r="K122" s="53">
        <f t="shared" si="20"/>
        <v>46.658995785295687</v>
      </c>
      <c r="L122" s="39">
        <f t="shared" si="20"/>
        <v>47.060536196528865</v>
      </c>
      <c r="M122" s="39">
        <f t="shared" si="20"/>
        <v>48.706851882584907</v>
      </c>
      <c r="N122" s="39">
        <f t="shared" si="20"/>
        <v>52.603400033191697</v>
      </c>
      <c r="O122" s="54">
        <f t="shared" si="20"/>
        <v>55.251388665969486</v>
      </c>
      <c r="P122" s="53">
        <f t="shared" si="20"/>
        <v>56.864530337569484</v>
      </c>
      <c r="Q122" s="39">
        <f t="shared" si="20"/>
        <v>58.524769939474631</v>
      </c>
      <c r="R122" s="39">
        <f t="shared" si="20"/>
        <v>60.23348256172077</v>
      </c>
      <c r="S122" s="39">
        <f t="shared" si="20"/>
        <v>61.992083442023159</v>
      </c>
      <c r="T122" s="54">
        <f t="shared" si="20"/>
        <v>63.802029137944196</v>
      </c>
    </row>
    <row r="123" spans="1:20" ht="11.25" customHeight="1" x14ac:dyDescent="0.35"/>
    <row r="124" spans="1:20" ht="11.25" customHeight="1" x14ac:dyDescent="0.35">
      <c r="A124" s="42">
        <f>IF(SUM($J124:$T124)&lt;&gt;0,1,0)</f>
        <v>0</v>
      </c>
      <c r="D124" s="10" t="s">
        <v>94</v>
      </c>
      <c r="J124" s="42">
        <f>IF(J122&lt;&gt;Calc_EB_NS!J$157,1,0)</f>
        <v>0</v>
      </c>
      <c r="K124" s="42">
        <f>IF(K122&lt;&gt;Calc_EB_NS!K$157,1,0)</f>
        <v>0</v>
      </c>
      <c r="L124" s="42">
        <f>IF(L122&lt;&gt;Calc_EB_NS!L$157,1,0)</f>
        <v>0</v>
      </c>
      <c r="M124" s="42">
        <f>IF(M122&lt;&gt;Calc_EB_NS!M$157,1,0)</f>
        <v>0</v>
      </c>
      <c r="N124" s="42">
        <f>IF(N122&lt;&gt;Calc_EB_NS!N$157,1,0)</f>
        <v>0</v>
      </c>
      <c r="O124" s="42">
        <f>IF(O122&lt;&gt;Calc_EB_NS!O$157,1,0)</f>
        <v>0</v>
      </c>
      <c r="P124" s="42">
        <f>IF(P122&lt;&gt;Calc_EB_NS!P$157,1,0)</f>
        <v>0</v>
      </c>
      <c r="Q124" s="42">
        <f>IF(Q122&lt;&gt;Calc_EB_NS!Q$157,1,0)</f>
        <v>0</v>
      </c>
      <c r="R124" s="42">
        <f>IF(R122&lt;&gt;Calc_EB_NS!R$157,1,0)</f>
        <v>0</v>
      </c>
      <c r="S124" s="42">
        <f>IF(S122&lt;&gt;Calc_EB_NS!S$157,1,0)</f>
        <v>0</v>
      </c>
      <c r="T124" s="42">
        <f>IF(T122&lt;&gt;Calc_EB_NS!T$157,1,0)</f>
        <v>0</v>
      </c>
    </row>
    <row r="125" spans="1:20" ht="11.25" customHeight="1" x14ac:dyDescent="0.35">
      <c r="N125" s="5"/>
      <c r="S125" s="5"/>
    </row>
    <row r="126" spans="1:20" s="8" customFormat="1" ht="14.1" x14ac:dyDescent="0.35">
      <c r="C126" s="8" t="str">
        <f>Lookup!$D$113</f>
        <v>Meters</v>
      </c>
    </row>
    <row r="127" spans="1:20" ht="11.25" customHeight="1" x14ac:dyDescent="0.35"/>
    <row r="128" spans="1:20" ht="12.3" x14ac:dyDescent="0.35">
      <c r="D128" s="43" t="str">
        <f>D$14</f>
        <v>Category heading</v>
      </c>
      <c r="E128" s="38" t="str">
        <f>Lookup!E$20</f>
        <v>Source</v>
      </c>
      <c r="F128" s="38" t="str">
        <f>Lookup!F$20</f>
        <v>Unit</v>
      </c>
      <c r="G128" s="38" t="str">
        <f>Lookup!G$20</f>
        <v>Basis</v>
      </c>
      <c r="H128" s="38" t="str">
        <f>Lookup!H$20</f>
        <v>Timing</v>
      </c>
      <c r="J128" s="47" t="str">
        <f t="shared" ref="J128:T128" si="21">J$10</f>
        <v>RY19</v>
      </c>
      <c r="K128" s="46" t="str">
        <f t="shared" si="21"/>
        <v>RY20</v>
      </c>
      <c r="L128" s="38" t="str">
        <f>L$10</f>
        <v>RY21</v>
      </c>
      <c r="M128" s="38" t="str">
        <f t="shared" si="21"/>
        <v>RY22</v>
      </c>
      <c r="N128" s="38" t="str">
        <f t="shared" si="21"/>
        <v>RY23</v>
      </c>
      <c r="O128" s="47" t="str">
        <f t="shared" si="21"/>
        <v>RY24</v>
      </c>
      <c r="P128" s="46" t="str">
        <f t="shared" si="21"/>
        <v>RY25</v>
      </c>
      <c r="Q128" s="38" t="str">
        <f>Q$10</f>
        <v>RY26</v>
      </c>
      <c r="R128" s="38" t="str">
        <f t="shared" si="21"/>
        <v>RY27</v>
      </c>
      <c r="S128" s="38" t="str">
        <f t="shared" si="21"/>
        <v>RY28</v>
      </c>
      <c r="T128" s="47" t="str">
        <f t="shared" si="21"/>
        <v>RY29</v>
      </c>
    </row>
    <row r="129" spans="1:20" x14ac:dyDescent="0.35">
      <c r="J129" s="49"/>
      <c r="K129" s="48"/>
      <c r="O129" s="49"/>
      <c r="P129" s="48"/>
      <c r="T129" s="49"/>
    </row>
    <row r="130" spans="1:20" ht="12.3" x14ac:dyDescent="0.35">
      <c r="D130" s="10" t="str">
        <f>Calc_EB_ACS!$C$14</f>
        <v>Opening balance</v>
      </c>
      <c r="E130" s="45" t="str">
        <f>$E$32</f>
        <v>Calc_EB_NS</v>
      </c>
      <c r="F130" s="45" t="str">
        <f>Millions</f>
        <v>$Millions</v>
      </c>
      <c r="G130" s="45" t="str">
        <f>Nominal</f>
        <v>Nominal</v>
      </c>
      <c r="H130" s="45" t="str">
        <f>Start_year</f>
        <v>Start year</v>
      </c>
      <c r="J130" s="58">
        <f>Calc_EB_NS!J$25</f>
        <v>0</v>
      </c>
      <c r="K130" s="56">
        <f>Calc_EB_NS!K$25</f>
        <v>0</v>
      </c>
      <c r="L130" s="57">
        <f>Calc_EB_NS!L$25</f>
        <v>0</v>
      </c>
      <c r="M130" s="57">
        <f>Calc_EB_NS!M$25</f>
        <v>0</v>
      </c>
      <c r="N130" s="57">
        <f>Calc_EB_NS!N$25</f>
        <v>0</v>
      </c>
      <c r="O130" s="58">
        <f>Calc_EB_NS!O$25</f>
        <v>0</v>
      </c>
      <c r="P130" s="56">
        <f>Calc_EB_NS!P$25</f>
        <v>0</v>
      </c>
      <c r="Q130" s="57">
        <f>Calc_EB_NS!Q$25</f>
        <v>0</v>
      </c>
      <c r="R130" s="57">
        <f>Calc_EB_NS!R$25</f>
        <v>0</v>
      </c>
      <c r="S130" s="57">
        <f>Calc_EB_NS!S$25</f>
        <v>0</v>
      </c>
      <c r="T130" s="58">
        <f>Calc_EB_NS!T$25</f>
        <v>0</v>
      </c>
    </row>
    <row r="131" spans="1:20" ht="12.3" x14ac:dyDescent="0.35">
      <c r="D131" s="10" t="str">
        <f>Calc_EB_ACS!$C$33</f>
        <v>Inflation</v>
      </c>
      <c r="E131" s="45" t="str">
        <f>$E$33</f>
        <v>Calc_EB_NS</v>
      </c>
      <c r="F131" s="45" t="str">
        <f>Millions</f>
        <v>$Millions</v>
      </c>
      <c r="G131" s="45" t="str">
        <f>Nominal</f>
        <v>Nominal</v>
      </c>
      <c r="H131" s="45" t="str">
        <f>End_year</f>
        <v>End year</v>
      </c>
      <c r="J131" s="58">
        <f>Calc_EB_NS!J$44</f>
        <v>0</v>
      </c>
      <c r="K131" s="56">
        <f>Calc_EB_NS!K$44</f>
        <v>0</v>
      </c>
      <c r="L131" s="57">
        <f>Calc_EB_NS!L$44</f>
        <v>0</v>
      </c>
      <c r="M131" s="57">
        <f>Calc_EB_NS!M$44</f>
        <v>0</v>
      </c>
      <c r="N131" s="57">
        <f>Calc_EB_NS!N$44</f>
        <v>0</v>
      </c>
      <c r="O131" s="58">
        <f>Calc_EB_NS!O$44</f>
        <v>0</v>
      </c>
      <c r="P131" s="56">
        <f>Calc_EB_NS!P$44</f>
        <v>0</v>
      </c>
      <c r="Q131" s="57">
        <f>Calc_EB_NS!Q$44</f>
        <v>0</v>
      </c>
      <c r="R131" s="57">
        <f>Calc_EB_NS!R$44</f>
        <v>0</v>
      </c>
      <c r="S131" s="57">
        <f>Calc_EB_NS!S$44</f>
        <v>0</v>
      </c>
      <c r="T131" s="58">
        <f>Calc_EB_NS!T$44</f>
        <v>0</v>
      </c>
    </row>
    <row r="132" spans="1:20" ht="12.3" x14ac:dyDescent="0.35">
      <c r="D132" s="10" t="str">
        <f>Calc_EB_ACS!$C$52</f>
        <v>Straight line depreciation</v>
      </c>
      <c r="E132" s="45" t="str">
        <f>$E$34</f>
        <v>Calc_EB_NS</v>
      </c>
      <c r="F132" s="45" t="str">
        <f>Millions</f>
        <v>$Millions</v>
      </c>
      <c r="G132" s="45" t="str">
        <f>Nominal</f>
        <v>Nominal</v>
      </c>
      <c r="H132" s="45" t="str">
        <f>End_year</f>
        <v>End year</v>
      </c>
      <c r="J132" s="58">
        <f>Calc_EB_NS!J$63</f>
        <v>0</v>
      </c>
      <c r="K132" s="56">
        <f>Calc_EB_NS!K$63</f>
        <v>0</v>
      </c>
      <c r="L132" s="57">
        <f>Calc_EB_NS!L$63</f>
        <v>0</v>
      </c>
      <c r="M132" s="57">
        <f>Calc_EB_NS!M$63</f>
        <v>0</v>
      </c>
      <c r="N132" s="57">
        <f>Calc_EB_NS!N$63</f>
        <v>0</v>
      </c>
      <c r="O132" s="58">
        <f>Calc_EB_NS!O$63</f>
        <v>0</v>
      </c>
      <c r="P132" s="56">
        <f>Calc_EB_NS!P$63</f>
        <v>0</v>
      </c>
      <c r="Q132" s="57">
        <f>Calc_EB_NS!Q$63</f>
        <v>0</v>
      </c>
      <c r="R132" s="57">
        <f>Calc_EB_NS!R$63</f>
        <v>0</v>
      </c>
      <c r="S132" s="57">
        <f>Calc_EB_NS!S$63</f>
        <v>0</v>
      </c>
      <c r="T132" s="58">
        <f>Calc_EB_NS!T$63</f>
        <v>0</v>
      </c>
    </row>
    <row r="133" spans="1:20" ht="12.3" x14ac:dyDescent="0.35">
      <c r="D133" s="10" t="str">
        <f>Calc_EB_ACS!$C$71</f>
        <v>RAB additions</v>
      </c>
      <c r="E133" s="45" t="str">
        <f>$E$35</f>
        <v>Calc_EB_NS</v>
      </c>
      <c r="F133" s="45" t="str">
        <f>Millions</f>
        <v>$Millions</v>
      </c>
      <c r="G133" s="45" t="str">
        <f>Nominal</f>
        <v>Nominal</v>
      </c>
      <c r="H133" s="45" t="str">
        <f>End_year</f>
        <v>End year</v>
      </c>
      <c r="J133" s="58">
        <f>Calc_EB_NS!J$82+Calc_EB_NS!J$139</f>
        <v>0</v>
      </c>
      <c r="K133" s="56">
        <f>Calc_EB_NS!K$82+Calc_EB_NS!K$139</f>
        <v>0</v>
      </c>
      <c r="L133" s="57">
        <f>Calc_EB_NS!L$82+Calc_EB_NS!L$139</f>
        <v>0</v>
      </c>
      <c r="M133" s="57">
        <f>Calc_EB_NS!M$82+Calc_EB_NS!M$139</f>
        <v>0</v>
      </c>
      <c r="N133" s="57">
        <f>Calc_EB_NS!N$82+Calc_EB_NS!N$139</f>
        <v>0</v>
      </c>
      <c r="O133" s="58">
        <f>Calc_EB_NS!O$82+Calc_EB_NS!O$139</f>
        <v>0</v>
      </c>
      <c r="P133" s="56">
        <f>Calc_EB_NS!P$82+Calc_EB_NS!P$139</f>
        <v>0</v>
      </c>
      <c r="Q133" s="57">
        <f>Calc_EB_NS!Q$82+Calc_EB_NS!Q$139</f>
        <v>0</v>
      </c>
      <c r="R133" s="57">
        <f>Calc_EB_NS!R$82+Calc_EB_NS!R$139</f>
        <v>0</v>
      </c>
      <c r="S133" s="57">
        <f>Calc_EB_NS!S$82+Calc_EB_NS!S$139</f>
        <v>0</v>
      </c>
      <c r="T133" s="58">
        <f>Calc_EB_NS!T$82+Calc_EB_NS!T$139</f>
        <v>0</v>
      </c>
    </row>
    <row r="134" spans="1:20" ht="12.3" x14ac:dyDescent="0.35">
      <c r="D134" s="10" t="str">
        <f>Calc_EB_ACS!$C$90</f>
        <v>Disposals</v>
      </c>
      <c r="E134" s="45" t="str">
        <f>$E$36</f>
        <v>Calc_EB_NS</v>
      </c>
      <c r="F134" s="45" t="str">
        <f>Millions</f>
        <v>$Millions</v>
      </c>
      <c r="G134" s="45" t="str">
        <f>Nominal</f>
        <v>Nominal</v>
      </c>
      <c r="H134" s="45" t="str">
        <f>End_year</f>
        <v>End year</v>
      </c>
      <c r="J134" s="58">
        <f>Calc_EB_NS!J$101</f>
        <v>0</v>
      </c>
      <c r="K134" s="56">
        <f>Calc_EB_NS!K$101</f>
        <v>0</v>
      </c>
      <c r="L134" s="57">
        <f>Calc_EB_NS!L$101</f>
        <v>0</v>
      </c>
      <c r="M134" s="57">
        <f>Calc_EB_NS!M$101</f>
        <v>0</v>
      </c>
      <c r="N134" s="57">
        <f>Calc_EB_NS!N$101</f>
        <v>0</v>
      </c>
      <c r="O134" s="58">
        <f>Calc_EB_NS!O$101</f>
        <v>0</v>
      </c>
      <c r="P134" s="56">
        <f>Calc_EB_NS!P$101</f>
        <v>0</v>
      </c>
      <c r="Q134" s="57">
        <f>Calc_EB_NS!Q$101</f>
        <v>0</v>
      </c>
      <c r="R134" s="57">
        <f>Calc_EB_NS!R$101</f>
        <v>0</v>
      </c>
      <c r="S134" s="57">
        <f>Calc_EB_NS!S$101</f>
        <v>0</v>
      </c>
      <c r="T134" s="58">
        <f>Calc_EB_NS!T$101</f>
        <v>0</v>
      </c>
    </row>
    <row r="135" spans="1:20" x14ac:dyDescent="0.35">
      <c r="J135" s="49"/>
      <c r="K135" s="48"/>
      <c r="O135" s="49"/>
      <c r="P135" s="48"/>
      <c r="T135" s="49"/>
    </row>
    <row r="136" spans="1:20" ht="12.3" x14ac:dyDescent="0.35">
      <c r="D136" s="44" t="str">
        <f>$D$22</f>
        <v>Closing balance</v>
      </c>
      <c r="E136" s="40" t="s">
        <v>91</v>
      </c>
      <c r="F136" s="40" t="str">
        <f>F130</f>
        <v>$Millions</v>
      </c>
      <c r="G136" s="40" t="str">
        <f>G130</f>
        <v>Nominal</v>
      </c>
      <c r="H136" s="40" t="str">
        <f>End_year</f>
        <v>End year</v>
      </c>
      <c r="J136" s="54">
        <f t="shared" ref="J136:T136" si="22">SUM(J130:J134)</f>
        <v>0</v>
      </c>
      <c r="K136" s="53">
        <f t="shared" si="22"/>
        <v>0</v>
      </c>
      <c r="L136" s="39">
        <f t="shared" si="22"/>
        <v>0</v>
      </c>
      <c r="M136" s="39">
        <f t="shared" si="22"/>
        <v>0</v>
      </c>
      <c r="N136" s="39">
        <f t="shared" si="22"/>
        <v>0</v>
      </c>
      <c r="O136" s="54">
        <f t="shared" si="22"/>
        <v>0</v>
      </c>
      <c r="P136" s="53">
        <f t="shared" si="22"/>
        <v>0</v>
      </c>
      <c r="Q136" s="39">
        <f t="shared" si="22"/>
        <v>0</v>
      </c>
      <c r="R136" s="39">
        <f t="shared" si="22"/>
        <v>0</v>
      </c>
      <c r="S136" s="39">
        <f t="shared" si="22"/>
        <v>0</v>
      </c>
      <c r="T136" s="54">
        <f t="shared" si="22"/>
        <v>0</v>
      </c>
    </row>
    <row r="137" spans="1:20" ht="11.25" customHeight="1" x14ac:dyDescent="0.35"/>
    <row r="138" spans="1:20" ht="11.25" customHeight="1" x14ac:dyDescent="0.35">
      <c r="A138" s="42">
        <f>IF(SUM($J138:$T138)&lt;&gt;0,1,0)</f>
        <v>0</v>
      </c>
      <c r="D138" s="10" t="s">
        <v>94</v>
      </c>
      <c r="J138" s="42">
        <f>IF(J136&lt;&gt;Calc_EB_NS!J$158,1,0)</f>
        <v>0</v>
      </c>
      <c r="K138" s="42">
        <f>IF(K136&lt;&gt;Calc_EB_NS!K$158,1,0)</f>
        <v>0</v>
      </c>
      <c r="L138" s="42">
        <f>IF(L136&lt;&gt;Calc_EB_NS!L$158,1,0)</f>
        <v>0</v>
      </c>
      <c r="M138" s="42">
        <f>IF(M136&lt;&gt;Calc_EB_NS!M$158,1,0)</f>
        <v>0</v>
      </c>
      <c r="N138" s="42">
        <f>IF(N136&lt;&gt;Calc_EB_NS!N$158,1,0)</f>
        <v>0</v>
      </c>
      <c r="O138" s="42">
        <f>IF(O136&lt;&gt;Calc_EB_NS!O$158,1,0)</f>
        <v>0</v>
      </c>
      <c r="P138" s="42">
        <f>IF(P136&lt;&gt;Calc_EB_NS!P$158,1,0)</f>
        <v>0</v>
      </c>
      <c r="Q138" s="42">
        <f>IF(Q136&lt;&gt;Calc_EB_NS!Q$158,1,0)</f>
        <v>0</v>
      </c>
      <c r="R138" s="42">
        <f>IF(R136&lt;&gt;Calc_EB_NS!R$158,1,0)</f>
        <v>0</v>
      </c>
      <c r="S138" s="42">
        <f>IF(S136&lt;&gt;Calc_EB_NS!S$158,1,0)</f>
        <v>0</v>
      </c>
      <c r="T138" s="42">
        <f>IF(T136&lt;&gt;Calc_EB_NS!T$158,1,0)</f>
        <v>0</v>
      </c>
    </row>
    <row r="140" spans="1:20" s="8" customFormat="1" ht="14.1" x14ac:dyDescent="0.35">
      <c r="C140" s="8" t="str">
        <f>Lookup!$D$114</f>
        <v>“Other” asset items with long lives</v>
      </c>
    </row>
    <row r="141" spans="1:20" ht="11.25" customHeight="1" x14ac:dyDescent="0.35"/>
    <row r="142" spans="1:20" ht="12.3" x14ac:dyDescent="0.35">
      <c r="D142" s="43" t="str">
        <f>D$14</f>
        <v>Category heading</v>
      </c>
      <c r="E142" s="38" t="str">
        <f>Lookup!E$20</f>
        <v>Source</v>
      </c>
      <c r="F142" s="38" t="str">
        <f>Lookup!F$20</f>
        <v>Unit</v>
      </c>
      <c r="G142" s="38" t="str">
        <f>Lookup!G$20</f>
        <v>Basis</v>
      </c>
      <c r="H142" s="38" t="str">
        <f>Lookup!H$20</f>
        <v>Timing</v>
      </c>
      <c r="J142" s="47" t="str">
        <f t="shared" ref="J142:T142" si="23">J$10</f>
        <v>RY19</v>
      </c>
      <c r="K142" s="46" t="str">
        <f t="shared" si="23"/>
        <v>RY20</v>
      </c>
      <c r="L142" s="38" t="str">
        <f>L$10</f>
        <v>RY21</v>
      </c>
      <c r="M142" s="38" t="str">
        <f t="shared" si="23"/>
        <v>RY22</v>
      </c>
      <c r="N142" s="38" t="str">
        <f t="shared" si="23"/>
        <v>RY23</v>
      </c>
      <c r="O142" s="47" t="str">
        <f t="shared" si="23"/>
        <v>RY24</v>
      </c>
      <c r="P142" s="46" t="str">
        <f t="shared" si="23"/>
        <v>RY25</v>
      </c>
      <c r="Q142" s="38" t="str">
        <f>Q$10</f>
        <v>RY26</v>
      </c>
      <c r="R142" s="38" t="str">
        <f t="shared" si="23"/>
        <v>RY27</v>
      </c>
      <c r="S142" s="38" t="str">
        <f t="shared" si="23"/>
        <v>RY28</v>
      </c>
      <c r="T142" s="47" t="str">
        <f t="shared" si="23"/>
        <v>RY29</v>
      </c>
    </row>
    <row r="143" spans="1:20" x14ac:dyDescent="0.35">
      <c r="J143" s="49"/>
      <c r="K143" s="48"/>
      <c r="O143" s="49"/>
      <c r="P143" s="48"/>
      <c r="T143" s="49"/>
    </row>
    <row r="144" spans="1:20" ht="12.3" x14ac:dyDescent="0.35">
      <c r="D144" s="10" t="str">
        <f>Calc_EB_ACS!$C$14</f>
        <v>Opening balance</v>
      </c>
      <c r="E144" s="45" t="str">
        <f>$E$32</f>
        <v>Calc_EB_NS</v>
      </c>
      <c r="F144" s="45" t="str">
        <f>Millions</f>
        <v>$Millions</v>
      </c>
      <c r="G144" s="45" t="str">
        <f>Nominal</f>
        <v>Nominal</v>
      </c>
      <c r="H144" s="45" t="str">
        <f>Start_year</f>
        <v>Start year</v>
      </c>
      <c r="J144" s="58">
        <f>Calc_EB_NS!J$26</f>
        <v>7.8469175236856543</v>
      </c>
      <c r="K144" s="56">
        <f>Calc_EB_NS!K$26</f>
        <v>23.043887610569833</v>
      </c>
      <c r="L144" s="57">
        <f>Calc_EB_NS!L$26</f>
        <v>28.757416893035817</v>
      </c>
      <c r="M144" s="57">
        <f>Calc_EB_NS!M$26</f>
        <v>29.262117856539479</v>
      </c>
      <c r="N144" s="57">
        <f>Calc_EB_NS!N$26</f>
        <v>34.69846069099178</v>
      </c>
      <c r="O144" s="58">
        <f>Calc_EB_NS!O$26</f>
        <v>57.958728795606547</v>
      </c>
      <c r="P144" s="56">
        <f>Calc_EB_NS!P$26</f>
        <v>85.471804488943135</v>
      </c>
      <c r="Q144" s="57">
        <f>Calc_EB_NS!Q$26</f>
        <v>102.13855280738885</v>
      </c>
      <c r="R144" s="57">
        <f>Calc_EB_NS!R$26</f>
        <v>125.31481789154545</v>
      </c>
      <c r="S144" s="57">
        <f>Calc_EB_NS!S$26</f>
        <v>145.26010822362272</v>
      </c>
      <c r="T144" s="58">
        <f>Calc_EB_NS!T$26</f>
        <v>214.72422111062605</v>
      </c>
    </row>
    <row r="145" spans="1:20" ht="12.3" x14ac:dyDescent="0.35">
      <c r="D145" s="10" t="str">
        <f>Calc_EB_ACS!$C$33</f>
        <v>Inflation</v>
      </c>
      <c r="E145" s="45" t="str">
        <f>$E$33</f>
        <v>Calc_EB_NS</v>
      </c>
      <c r="F145" s="45" t="str">
        <f>Millions</f>
        <v>$Millions</v>
      </c>
      <c r="G145" s="45" t="str">
        <f>Nominal</f>
        <v>Nominal</v>
      </c>
      <c r="H145" s="45" t="str">
        <f>End_year</f>
        <v>End year</v>
      </c>
      <c r="J145" s="58">
        <f>Calc_EB_NS!J$45</f>
        <v>0.13999852852249242</v>
      </c>
      <c r="K145" s="56">
        <f>Calc_EB_NS!K$45</f>
        <v>0.42412063086938606</v>
      </c>
      <c r="L145" s="57">
        <f>Calc_EB_NS!L$45</f>
        <v>0.24748207308980852</v>
      </c>
      <c r="M145" s="57">
        <f>Calc_EB_NS!M$45</f>
        <v>1.023674771431839</v>
      </c>
      <c r="N145" s="57">
        <f>Calc_EB_NS!N$45</f>
        <v>2.7758768552793422</v>
      </c>
      <c r="O145" s="58">
        <f>Calc_EB_NS!O$45</f>
        <v>2.7240602533935072</v>
      </c>
      <c r="P145" s="56">
        <f>Calc_EB_NS!P$45</f>
        <v>2.4954690352042475</v>
      </c>
      <c r="Q145" s="57">
        <f>Calc_EB_NS!Q$45</f>
        <v>2.9820780941203267</v>
      </c>
      <c r="R145" s="57">
        <f>Calc_EB_NS!R$45</f>
        <v>3.6587416115809881</v>
      </c>
      <c r="S145" s="57">
        <f>Calc_EB_NS!S$45</f>
        <v>4.2410722961788112</v>
      </c>
      <c r="T145" s="58">
        <f>Calc_EB_NS!T$45</f>
        <v>6.2691743563134334</v>
      </c>
    </row>
    <row r="146" spans="1:20" ht="12.3" x14ac:dyDescent="0.35">
      <c r="D146" s="10" t="str">
        <f>Calc_EB_ACS!$C$52</f>
        <v>Straight line depreciation</v>
      </c>
      <c r="E146" s="45" t="str">
        <f>$E$34</f>
        <v>Calc_EB_NS</v>
      </c>
      <c r="F146" s="45" t="str">
        <f>Millions</f>
        <v>$Millions</v>
      </c>
      <c r="G146" s="45" t="str">
        <f>Nominal</f>
        <v>Nominal</v>
      </c>
      <c r="H146" s="45" t="str">
        <f>End_year</f>
        <v>End year</v>
      </c>
      <c r="J146" s="58">
        <f>Calc_EB_NS!J$64</f>
        <v>-0.85565541991766558</v>
      </c>
      <c r="K146" s="56">
        <f>Calc_EB_NS!K$64</f>
        <v>-1.9473300137465259</v>
      </c>
      <c r="L146" s="57">
        <f>Calc_EB_NS!L$64</f>
        <v>-2.6226874054975546</v>
      </c>
      <c r="M146" s="57">
        <f>Calc_EB_NS!M$64</f>
        <v>-3.307313452898935</v>
      </c>
      <c r="N146" s="57">
        <f>Calc_EB_NS!N$64</f>
        <v>-4.7428880658905852</v>
      </c>
      <c r="O146" s="58">
        <f>Calc_EB_NS!O$64</f>
        <v>-5.9657351271392853</v>
      </c>
      <c r="P146" s="56">
        <f>Calc_EB_NS!P$64</f>
        <v>-11.041492305958224</v>
      </c>
      <c r="Q146" s="57">
        <f>Calc_EB_NS!Q$64</f>
        <v>-9.6420154088915968</v>
      </c>
      <c r="R146" s="57">
        <f>Calc_EB_NS!R$64</f>
        <v>-12.268474576292975</v>
      </c>
      <c r="S146" s="57">
        <f>Calc_EB_NS!S$64</f>
        <v>-14.773391601471953</v>
      </c>
      <c r="T146" s="58">
        <f>Calc_EB_NS!T$64</f>
        <v>-18.428451554014423</v>
      </c>
    </row>
    <row r="147" spans="1:20" ht="12.3" x14ac:dyDescent="0.35">
      <c r="D147" s="10" t="str">
        <f>Calc_EB_ACS!$C$71</f>
        <v>RAB additions</v>
      </c>
      <c r="E147" s="45" t="str">
        <f>$E$35</f>
        <v>Calc_EB_NS</v>
      </c>
      <c r="F147" s="45" t="str">
        <f>Millions</f>
        <v>$Millions</v>
      </c>
      <c r="G147" s="45" t="str">
        <f>Nominal</f>
        <v>Nominal</v>
      </c>
      <c r="H147" s="45" t="str">
        <f>End_year</f>
        <v>End year</v>
      </c>
      <c r="J147" s="58">
        <f>Calc_EB_NS!J$83+Calc_EB_NS!J$140</f>
        <v>15.912626978279349</v>
      </c>
      <c r="K147" s="56">
        <f>Calc_EB_NS!K$83+Calc_EB_NS!K$140</f>
        <v>7.2367386653431245</v>
      </c>
      <c r="L147" s="57">
        <f>Calc_EB_NS!L$83+Calc_EB_NS!L$140</f>
        <v>2.8799062959114066</v>
      </c>
      <c r="M147" s="57">
        <f>Calc_EB_NS!M$83+Calc_EB_NS!M$140</f>
        <v>7.7199815159193967</v>
      </c>
      <c r="N147" s="57">
        <f>Calc_EB_NS!N$83+Calc_EB_NS!N$140</f>
        <v>25.227279315226006</v>
      </c>
      <c r="O147" s="58">
        <f>Calc_EB_NS!O$83+Calc_EB_NS!O$140</f>
        <v>30.754750567082361</v>
      </c>
      <c r="P147" s="56">
        <f>Calc_EB_NS!P$83+Calc_EB_NS!P$140</f>
        <v>25.212771589199694</v>
      </c>
      <c r="Q147" s="57">
        <f>Calc_EB_NS!Q$83+Calc_EB_NS!Q$140</f>
        <v>29.836202398927867</v>
      </c>
      <c r="R147" s="57">
        <f>Calc_EB_NS!R$83+Calc_EB_NS!R$140</f>
        <v>28.555023296789265</v>
      </c>
      <c r="S147" s="57">
        <f>Calc_EB_NS!S$83+Calc_EB_NS!S$140</f>
        <v>79.996432192296467</v>
      </c>
      <c r="T147" s="58">
        <f>Calc_EB_NS!T$83+Calc_EB_NS!T$140</f>
        <v>113.21685080809939</v>
      </c>
    </row>
    <row r="148" spans="1:20" ht="12.3" x14ac:dyDescent="0.35">
      <c r="D148" s="10" t="str">
        <f>Calc_EB_ACS!$C$90</f>
        <v>Disposals</v>
      </c>
      <c r="E148" s="45" t="str">
        <f>$E$36</f>
        <v>Calc_EB_NS</v>
      </c>
      <c r="F148" s="45" t="str">
        <f>Millions</f>
        <v>$Millions</v>
      </c>
      <c r="G148" s="45" t="str">
        <f>Nominal</f>
        <v>Nominal</v>
      </c>
      <c r="H148" s="45" t="str">
        <f>End_year</f>
        <v>End year</v>
      </c>
      <c r="J148" s="58">
        <f>Calc_EB_NS!J$102</f>
        <v>0</v>
      </c>
      <c r="K148" s="56">
        <f>Calc_EB_NS!K$102</f>
        <v>0</v>
      </c>
      <c r="L148" s="57">
        <f>Calc_EB_NS!L$102</f>
        <v>0</v>
      </c>
      <c r="M148" s="57">
        <f>Calc_EB_NS!M$102</f>
        <v>0</v>
      </c>
      <c r="N148" s="57">
        <f>Calc_EB_NS!N$102</f>
        <v>0</v>
      </c>
      <c r="O148" s="58">
        <f>Calc_EB_NS!O$102</f>
        <v>0</v>
      </c>
      <c r="P148" s="56">
        <f>Calc_EB_NS!P$102</f>
        <v>0</v>
      </c>
      <c r="Q148" s="57">
        <f>Calc_EB_NS!Q$102</f>
        <v>0</v>
      </c>
      <c r="R148" s="57">
        <f>Calc_EB_NS!R$102</f>
        <v>0</v>
      </c>
      <c r="S148" s="57">
        <f>Calc_EB_NS!S$102</f>
        <v>0</v>
      </c>
      <c r="T148" s="58">
        <f>Calc_EB_NS!T$102</f>
        <v>0</v>
      </c>
    </row>
    <row r="149" spans="1:20" x14ac:dyDescent="0.35">
      <c r="J149" s="49"/>
      <c r="K149" s="48"/>
      <c r="O149" s="49"/>
      <c r="P149" s="48"/>
      <c r="T149" s="49"/>
    </row>
    <row r="150" spans="1:20" ht="12.3" x14ac:dyDescent="0.35">
      <c r="D150" s="44" t="str">
        <f>$D$22</f>
        <v>Closing balance</v>
      </c>
      <c r="E150" s="40" t="s">
        <v>91</v>
      </c>
      <c r="F150" s="40" t="str">
        <f>F144</f>
        <v>$Millions</v>
      </c>
      <c r="G150" s="40" t="str">
        <f>G144</f>
        <v>Nominal</v>
      </c>
      <c r="H150" s="40" t="str">
        <f>End_year</f>
        <v>End year</v>
      </c>
      <c r="J150" s="54">
        <f t="shared" ref="J150:T150" si="24">SUM(J144:J148)</f>
        <v>23.043887610569829</v>
      </c>
      <c r="K150" s="53">
        <f t="shared" si="24"/>
        <v>28.757416893035817</v>
      </c>
      <c r="L150" s="39">
        <f t="shared" si="24"/>
        <v>29.262117856539479</v>
      </c>
      <c r="M150" s="39">
        <f t="shared" si="24"/>
        <v>34.69846069099178</v>
      </c>
      <c r="N150" s="39">
        <f t="shared" si="24"/>
        <v>57.958728795606547</v>
      </c>
      <c r="O150" s="54">
        <f t="shared" si="24"/>
        <v>85.471804488943135</v>
      </c>
      <c r="P150" s="53">
        <f t="shared" si="24"/>
        <v>102.13855280738885</v>
      </c>
      <c r="Q150" s="39">
        <f t="shared" si="24"/>
        <v>125.31481789154545</v>
      </c>
      <c r="R150" s="39">
        <f t="shared" si="24"/>
        <v>145.26010822362272</v>
      </c>
      <c r="S150" s="39">
        <f t="shared" si="24"/>
        <v>214.72422111062605</v>
      </c>
      <c r="T150" s="54">
        <f t="shared" si="24"/>
        <v>315.78179472102443</v>
      </c>
    </row>
    <row r="151" spans="1:20" ht="11.25" customHeight="1" x14ac:dyDescent="0.35"/>
    <row r="152" spans="1:20" ht="11.25" customHeight="1" x14ac:dyDescent="0.35">
      <c r="A152" s="42">
        <f>IF(SUM($J152:$T152)&lt;&gt;0,1,0)</f>
        <v>0</v>
      </c>
      <c r="D152" s="10" t="s">
        <v>94</v>
      </c>
      <c r="J152" s="42">
        <f>IF(ROUND(J150-Calc_EB_NS!J$159,3)&lt;&gt;0,1,0)</f>
        <v>0</v>
      </c>
      <c r="K152" s="42">
        <f>IF(ROUND(K150-Calc_EB_NS!K$159,3)&lt;&gt;0,1,0)</f>
        <v>0</v>
      </c>
      <c r="L152" s="42">
        <f>IF(ROUND(L150-Calc_EB_NS!L$159,3)&lt;&gt;0,1,0)</f>
        <v>0</v>
      </c>
      <c r="M152" s="42">
        <f>IF(ROUND(M150-Calc_EB_NS!M$159,3)&lt;&gt;0,1,0)</f>
        <v>0</v>
      </c>
      <c r="N152" s="42">
        <f>IF(ROUND(N150-Calc_EB_NS!N$159,3)&lt;&gt;0,1,0)</f>
        <v>0</v>
      </c>
      <c r="O152" s="42">
        <f>IF(ROUND(O150-Calc_EB_NS!O$159,3)&lt;&gt;0,1,0)</f>
        <v>0</v>
      </c>
      <c r="P152" s="42">
        <f>IF(ROUND(P150-Calc_EB_NS!P$159,3)&lt;&gt;0,1,0)</f>
        <v>0</v>
      </c>
      <c r="Q152" s="42">
        <f>IF(ROUND(Q150-Calc_EB_NS!Q$159,3)&lt;&gt;0,1,0)</f>
        <v>0</v>
      </c>
      <c r="R152" s="42">
        <f>IF(ROUND(R150-Calc_EB_NS!R$159,3)&lt;&gt;0,1,0)</f>
        <v>0</v>
      </c>
      <c r="S152" s="42">
        <f>IF(ROUND(S150-Calc_EB_NS!S$159,3)&lt;&gt;0,1,0)</f>
        <v>0</v>
      </c>
      <c r="T152" s="42">
        <f>IF(ROUND(T150-Calc_EB_NS!T$159,3)&lt;&gt;0,1,0)</f>
        <v>0</v>
      </c>
    </row>
    <row r="154" spans="1:20" s="8" customFormat="1" ht="14.1" x14ac:dyDescent="0.35">
      <c r="C154" s="8" t="str">
        <f>Lookup!$D$115</f>
        <v>“Other” asset items with short lives</v>
      </c>
    </row>
    <row r="155" spans="1:20" ht="11.25" customHeight="1" x14ac:dyDescent="0.35"/>
    <row r="156" spans="1:20" ht="12.3" x14ac:dyDescent="0.35">
      <c r="D156" s="43" t="str">
        <f>D$14</f>
        <v>Category heading</v>
      </c>
      <c r="E156" s="38" t="str">
        <f>Lookup!E$20</f>
        <v>Source</v>
      </c>
      <c r="F156" s="38" t="str">
        <f>Lookup!F$20</f>
        <v>Unit</v>
      </c>
      <c r="G156" s="38" t="str">
        <f>Lookup!G$20</f>
        <v>Basis</v>
      </c>
      <c r="H156" s="38" t="str">
        <f>Lookup!H$20</f>
        <v>Timing</v>
      </c>
      <c r="J156" s="47" t="str">
        <f t="shared" ref="J156:T156" si="25">J$10</f>
        <v>RY19</v>
      </c>
      <c r="K156" s="46" t="str">
        <f t="shared" si="25"/>
        <v>RY20</v>
      </c>
      <c r="L156" s="38" t="str">
        <f>L$10</f>
        <v>RY21</v>
      </c>
      <c r="M156" s="38" t="str">
        <f t="shared" si="25"/>
        <v>RY22</v>
      </c>
      <c r="N156" s="38" t="str">
        <f t="shared" si="25"/>
        <v>RY23</v>
      </c>
      <c r="O156" s="47" t="str">
        <f t="shared" si="25"/>
        <v>RY24</v>
      </c>
      <c r="P156" s="46" t="str">
        <f t="shared" si="25"/>
        <v>RY25</v>
      </c>
      <c r="Q156" s="38" t="str">
        <f>Q$10</f>
        <v>RY26</v>
      </c>
      <c r="R156" s="38" t="str">
        <f t="shared" si="25"/>
        <v>RY27</v>
      </c>
      <c r="S156" s="38" t="str">
        <f t="shared" si="25"/>
        <v>RY28</v>
      </c>
      <c r="T156" s="47" t="str">
        <f t="shared" si="25"/>
        <v>RY29</v>
      </c>
    </row>
    <row r="157" spans="1:20" x14ac:dyDescent="0.35">
      <c r="J157" s="49"/>
      <c r="K157" s="48"/>
      <c r="O157" s="49"/>
      <c r="P157" s="48"/>
      <c r="T157" s="49"/>
    </row>
    <row r="158" spans="1:20" ht="12.3" x14ac:dyDescent="0.35">
      <c r="D158" s="10" t="str">
        <f>Calc_EB_ACS!$C$14</f>
        <v>Opening balance</v>
      </c>
      <c r="E158" s="45" t="str">
        <f>$E$32</f>
        <v>Calc_EB_NS</v>
      </c>
      <c r="F158" s="45" t="str">
        <f>Millions</f>
        <v>$Millions</v>
      </c>
      <c r="G158" s="45" t="str">
        <f>Nominal</f>
        <v>Nominal</v>
      </c>
      <c r="H158" s="45" t="str">
        <f>Start_year</f>
        <v>Start year</v>
      </c>
      <c r="J158" s="58">
        <f>Calc_EB_NS!J$27</f>
        <v>5.9512850147387919</v>
      </c>
      <c r="K158" s="56">
        <f>Calc_EB_NS!K$27</f>
        <v>5.0879223472587896</v>
      </c>
      <c r="L158" s="57">
        <f>Calc_EB_NS!L$27</f>
        <v>23.207140261197104</v>
      </c>
      <c r="M158" s="57">
        <f>Calc_EB_NS!M$27</f>
        <v>24.912282670685393</v>
      </c>
      <c r="N158" s="57">
        <f>Calc_EB_NS!N$27</f>
        <v>35.117193966192374</v>
      </c>
      <c r="O158" s="58">
        <f>Calc_EB_NS!O$27</f>
        <v>35.458557884292944</v>
      </c>
      <c r="P158" s="56">
        <f>Calc_EB_NS!P$27</f>
        <v>37.993521199753474</v>
      </c>
      <c r="Q158" s="57">
        <f>Calc_EB_NS!Q$27</f>
        <v>38.535808151464018</v>
      </c>
      <c r="R158" s="57">
        <f>Calc_EB_NS!R$27</f>
        <v>41.002258481296167</v>
      </c>
      <c r="S158" s="57">
        <f>Calc_EB_NS!S$27</f>
        <v>52.401128158605459</v>
      </c>
      <c r="T158" s="58">
        <f>Calc_EB_NS!T$27</f>
        <v>52.638006132966993</v>
      </c>
    </row>
    <row r="159" spans="1:20" ht="12.3" x14ac:dyDescent="0.35">
      <c r="D159" s="10" t="str">
        <f>Calc_EB_ACS!$C$33</f>
        <v>Inflation</v>
      </c>
      <c r="E159" s="45" t="str">
        <f>$E$33</f>
        <v>Calc_EB_NS</v>
      </c>
      <c r="F159" s="45" t="str">
        <f>Millions</f>
        <v>$Millions</v>
      </c>
      <c r="G159" s="45" t="str">
        <f>Nominal</f>
        <v>Nominal</v>
      </c>
      <c r="H159" s="45" t="str">
        <f>End_year</f>
        <v>End year</v>
      </c>
      <c r="J159" s="58">
        <f>Calc_EB_NS!J$46</f>
        <v>0.1061781447767855</v>
      </c>
      <c r="K159" s="56">
        <f>Calc_EB_NS!K$46</f>
        <v>9.3642742587585689E-2</v>
      </c>
      <c r="L159" s="57">
        <f>Calc_EB_NS!L$46</f>
        <v>0.19971721395178188</v>
      </c>
      <c r="M159" s="57">
        <f>Calc_EB_NS!M$46</f>
        <v>0.87150476919632991</v>
      </c>
      <c r="N159" s="57">
        <f>Calc_EB_NS!N$46</f>
        <v>2.8093755172953907</v>
      </c>
      <c r="O159" s="58">
        <f>Calc_EB_NS!O$46</f>
        <v>1.6665522205617684</v>
      </c>
      <c r="P159" s="56">
        <f>Calc_EB_NS!P$46</f>
        <v>1.109274061303176</v>
      </c>
      <c r="Q159" s="57">
        <f>Calc_EB_NS!Q$46</f>
        <v>1.1251068883305266</v>
      </c>
      <c r="R159" s="57">
        <f>Calc_EB_NS!R$46</f>
        <v>1.1971183599704129</v>
      </c>
      <c r="S159" s="57">
        <f>Calc_EB_NS!S$46</f>
        <v>1.5299243243014198</v>
      </c>
      <c r="T159" s="58">
        <f>Calc_EB_NS!T$46</f>
        <v>1.5368403085101958</v>
      </c>
    </row>
    <row r="160" spans="1:20" ht="12.3" x14ac:dyDescent="0.35">
      <c r="D160" s="10" t="str">
        <f>Calc_EB_ACS!$C$52</f>
        <v>Straight line depreciation</v>
      </c>
      <c r="E160" s="45" t="str">
        <f>$E$34</f>
        <v>Calc_EB_NS</v>
      </c>
      <c r="F160" s="45" t="str">
        <f>Millions</f>
        <v>$Millions</v>
      </c>
      <c r="G160" s="45" t="str">
        <f>Nominal</f>
        <v>Nominal</v>
      </c>
      <c r="H160" s="45" t="str">
        <f>End_year</f>
        <v>End year</v>
      </c>
      <c r="J160" s="58">
        <f>Calc_EB_NS!J$65</f>
        <v>-1.1548854687667607</v>
      </c>
      <c r="K160" s="56">
        <f>Calc_EB_NS!K$65</f>
        <v>-0.86249250647917408</v>
      </c>
      <c r="L160" s="57">
        <f>Calc_EB_NS!L$65</f>
        <v>-4.5711391269554431</v>
      </c>
      <c r="M160" s="57">
        <f>Calc_EB_NS!M$65</f>
        <v>-5.6550419994021004</v>
      </c>
      <c r="N160" s="57">
        <f>Calc_EB_NS!N$65</f>
        <v>-7.9248770775543447</v>
      </c>
      <c r="O160" s="58">
        <f>Calc_EB_NS!O$65</f>
        <v>-9.2386672065994553</v>
      </c>
      <c r="P160" s="56">
        <f>Calc_EB_NS!P$65</f>
        <v>-5.4411165237887573</v>
      </c>
      <c r="Q160" s="57">
        <f>Calc_EB_NS!Q$65</f>
        <v>-6.5991754654067929</v>
      </c>
      <c r="R160" s="57">
        <f>Calc_EB_NS!R$65</f>
        <v>-5.7621436010188107</v>
      </c>
      <c r="S160" s="57">
        <f>Calc_EB_NS!S$65</f>
        <v>-8.3427937936419134</v>
      </c>
      <c r="T160" s="58">
        <f>Calc_EB_NS!T$65</f>
        <v>-8.8688879215730303</v>
      </c>
    </row>
    <row r="161" spans="1:20" ht="12.3" x14ac:dyDescent="0.35">
      <c r="D161" s="10" t="str">
        <f>Calc_EB_ACS!$C$71</f>
        <v>RAB additions</v>
      </c>
      <c r="E161" s="45" t="str">
        <f>$E$35</f>
        <v>Calc_EB_NS</v>
      </c>
      <c r="F161" s="45" t="str">
        <f>Millions</f>
        <v>$Millions</v>
      </c>
      <c r="G161" s="45" t="str">
        <f>Nominal</f>
        <v>Nominal</v>
      </c>
      <c r="H161" s="45" t="str">
        <f>End_year</f>
        <v>End year</v>
      </c>
      <c r="J161" s="58">
        <f>Calc_EB_NS!J$84+Calc_EB_NS!J$141</f>
        <v>0.18534465650997367</v>
      </c>
      <c r="K161" s="56">
        <f>Calc_EB_NS!K$84+Calc_EB_NS!K$141</f>
        <v>18.888067677829902</v>
      </c>
      <c r="L161" s="57">
        <f>Calc_EB_NS!L$84+Calc_EB_NS!L$141</f>
        <v>6.0765643224919508</v>
      </c>
      <c r="M161" s="57">
        <f>Calc_EB_NS!M$84+Calc_EB_NS!M$141</f>
        <v>14.988448525712755</v>
      </c>
      <c r="N161" s="57">
        <f>Calc_EB_NS!N$84+Calc_EB_NS!N$141</f>
        <v>5.4568654783595223</v>
      </c>
      <c r="O161" s="58">
        <f>Calc_EB_NS!O$84+Calc_EB_NS!O$141</f>
        <v>10.107078301498223</v>
      </c>
      <c r="P161" s="56">
        <f>Calc_EB_NS!P$84+Calc_EB_NS!P$141</f>
        <v>4.874129414196128</v>
      </c>
      <c r="Q161" s="57">
        <f>Calc_EB_NS!Q$84+Calc_EB_NS!Q$141</f>
        <v>7.9405189069084132</v>
      </c>
      <c r="R161" s="57">
        <f>Calc_EB_NS!R$84+Calc_EB_NS!R$141</f>
        <v>15.963894918357697</v>
      </c>
      <c r="S161" s="57">
        <f>Calc_EB_NS!S$84+Calc_EB_NS!S$141</f>
        <v>7.049747443702028</v>
      </c>
      <c r="T161" s="58">
        <f>Calc_EB_NS!T$84+Calc_EB_NS!T$141</f>
        <v>7.4821569924069973</v>
      </c>
    </row>
    <row r="162" spans="1:20" ht="12.3" x14ac:dyDescent="0.35">
      <c r="D162" s="10" t="str">
        <f>Calc_EB_ACS!$C$90</f>
        <v>Disposals</v>
      </c>
      <c r="E162" s="45" t="str">
        <f>$E$36</f>
        <v>Calc_EB_NS</v>
      </c>
      <c r="F162" s="45" t="str">
        <f>Millions</f>
        <v>$Millions</v>
      </c>
      <c r="G162" s="45" t="str">
        <f>Nominal</f>
        <v>Nominal</v>
      </c>
      <c r="H162" s="45" t="str">
        <f>End_year</f>
        <v>End year</v>
      </c>
      <c r="J162" s="58">
        <f>Calc_EB_NS!J$103</f>
        <v>0</v>
      </c>
      <c r="K162" s="56">
        <f>Calc_EB_NS!K$103</f>
        <v>0</v>
      </c>
      <c r="L162" s="57">
        <f>Calc_EB_NS!L$103</f>
        <v>0</v>
      </c>
      <c r="M162" s="57">
        <f>Calc_EB_NS!M$103</f>
        <v>0</v>
      </c>
      <c r="N162" s="57">
        <f>Calc_EB_NS!N$103</f>
        <v>0</v>
      </c>
      <c r="O162" s="58">
        <f>Calc_EB_NS!O$103</f>
        <v>0</v>
      </c>
      <c r="P162" s="56">
        <f>Calc_EB_NS!P$103</f>
        <v>0</v>
      </c>
      <c r="Q162" s="57">
        <f>Calc_EB_NS!Q$103</f>
        <v>0</v>
      </c>
      <c r="R162" s="57">
        <f>Calc_EB_NS!R$103</f>
        <v>0</v>
      </c>
      <c r="S162" s="57">
        <f>Calc_EB_NS!S$103</f>
        <v>0</v>
      </c>
      <c r="T162" s="58">
        <f>Calc_EB_NS!T$103</f>
        <v>0</v>
      </c>
    </row>
    <row r="163" spans="1:20" x14ac:dyDescent="0.35">
      <c r="J163" s="49"/>
      <c r="K163" s="48"/>
      <c r="O163" s="49"/>
      <c r="P163" s="48"/>
      <c r="T163" s="49"/>
    </row>
    <row r="164" spans="1:20" ht="12.3" x14ac:dyDescent="0.35">
      <c r="D164" s="44" t="str">
        <f>$D$22</f>
        <v>Closing balance</v>
      </c>
      <c r="E164" s="40" t="s">
        <v>91</v>
      </c>
      <c r="F164" s="40" t="str">
        <f>F158</f>
        <v>$Millions</v>
      </c>
      <c r="G164" s="40" t="str">
        <f>G158</f>
        <v>Nominal</v>
      </c>
      <c r="H164" s="40" t="str">
        <f>End_year</f>
        <v>End year</v>
      </c>
      <c r="J164" s="54">
        <f t="shared" ref="J164:T164" si="26">SUM(J158:J162)</f>
        <v>5.0879223472587896</v>
      </c>
      <c r="K164" s="53">
        <f t="shared" si="26"/>
        <v>23.207140261197104</v>
      </c>
      <c r="L164" s="39">
        <f t="shared" si="26"/>
        <v>24.912282670685393</v>
      </c>
      <c r="M164" s="39">
        <f t="shared" si="26"/>
        <v>35.117193966192374</v>
      </c>
      <c r="N164" s="39">
        <f t="shared" si="26"/>
        <v>35.458557884292944</v>
      </c>
      <c r="O164" s="54">
        <f t="shared" si="26"/>
        <v>37.993521199753481</v>
      </c>
      <c r="P164" s="53">
        <f t="shared" si="26"/>
        <v>38.535808151464018</v>
      </c>
      <c r="Q164" s="39">
        <f t="shared" si="26"/>
        <v>41.002258481296167</v>
      </c>
      <c r="R164" s="39">
        <f t="shared" si="26"/>
        <v>52.401128158605459</v>
      </c>
      <c r="S164" s="39">
        <f t="shared" si="26"/>
        <v>52.638006132966993</v>
      </c>
      <c r="T164" s="54">
        <f t="shared" si="26"/>
        <v>52.788115512311151</v>
      </c>
    </row>
    <row r="165" spans="1:20" ht="11.25" customHeight="1" x14ac:dyDescent="0.35"/>
    <row r="166" spans="1:20" ht="11.25" customHeight="1" x14ac:dyDescent="0.35">
      <c r="A166" s="42">
        <f>IF(SUM($J166:$T166)&lt;&gt;0,1,0)</f>
        <v>0</v>
      </c>
      <c r="D166" s="10" t="s">
        <v>94</v>
      </c>
      <c r="J166" s="42">
        <f>IF(ROUND(J164-Calc_EB_NS!J$160,3)&lt;&gt;0,1,0)</f>
        <v>0</v>
      </c>
      <c r="K166" s="42">
        <f>IF(ROUND(K164-Calc_EB_NS!K$160,3)&lt;&gt;0,1,0)</f>
        <v>0</v>
      </c>
      <c r="L166" s="42">
        <f>IF(ROUND(L164-Calc_EB_NS!L$160,3)&lt;&gt;0,1,0)</f>
        <v>0</v>
      </c>
      <c r="M166" s="42">
        <f>IF(ROUND(M164-Calc_EB_NS!M$160,3)&lt;&gt;0,1,0)</f>
        <v>0</v>
      </c>
      <c r="N166" s="42">
        <f>IF(ROUND(N164-Calc_EB_NS!N$160,3)&lt;&gt;0,1,0)</f>
        <v>0</v>
      </c>
      <c r="O166" s="42">
        <f>IF(ROUND(O164-Calc_EB_NS!O$160,3)&lt;&gt;0,1,0)</f>
        <v>0</v>
      </c>
      <c r="P166" s="42">
        <f>IF(ROUND(P164-Calc_EB_NS!P$160,3)&lt;&gt;0,1,0)</f>
        <v>0</v>
      </c>
      <c r="Q166" s="42">
        <f>IF(ROUND(Q164-Calc_EB_NS!Q$160,3)&lt;&gt;0,1,0)</f>
        <v>0</v>
      </c>
      <c r="R166" s="42">
        <f>IF(ROUND(R164-Calc_EB_NS!R$160,3)&lt;&gt;0,1,0)</f>
        <v>0</v>
      </c>
      <c r="S166" s="42">
        <f>IF(ROUND(S164-Calc_EB_NS!S$160,3)&lt;&gt;0,1,0)</f>
        <v>0</v>
      </c>
      <c r="T166" s="42">
        <f>IF(ROUND(T164-Calc_EB_NS!T$160,3)&lt;&gt;0,1,0)</f>
        <v>0</v>
      </c>
    </row>
    <row r="168" spans="1:20" s="2" customFormat="1" ht="15" x14ac:dyDescent="0.35">
      <c r="B168" s="2" t="s">
        <v>26</v>
      </c>
    </row>
  </sheetData>
  <conditionalFormatting sqref="B2">
    <cfRule type="cellIs" dxfId="8" priority="1" operator="notEqual">
      <formula>"No Errors Found"</formula>
    </cfRule>
  </conditionalFormatting>
  <hyperlinks>
    <hyperlink ref="B3:E3" location="TOC!A1" display="TOC!A1" xr:uid="{00000000-0004-0000-0F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249977111117893"/>
  </sheetPr>
  <dimension ref="A1:T168"/>
  <sheetViews>
    <sheetView showGridLines="0" zoomScaleNormal="100" workbookViewId="0">
      <pane xSplit="1" ySplit="10" topLeftCell="B11" activePane="bottomRight" state="frozen"/>
      <selection activeCell="D44" sqref="D44"/>
      <selection pane="topRight" activeCell="D44" sqref="D44"/>
      <selection pane="bottomLeft" activeCell="D44" sqref="D44"/>
      <selection pane="bottomRight" activeCell="B11" sqref="B11"/>
    </sheetView>
  </sheetViews>
  <sheetFormatPr defaultColWidth="9.33203125" defaultRowHeight="10.199999999999999" outlineLevelRow="1" x14ac:dyDescent="0.35"/>
  <cols>
    <col min="1" max="1" width="3.33203125" customWidth="1"/>
    <col min="2" max="3" width="2.796875" customWidth="1"/>
    <col min="4" max="4" width="47.46484375" customWidth="1"/>
    <col min="5" max="5" width="15.3984375" customWidth="1"/>
    <col min="6" max="8" width="12.1328125" customWidth="1"/>
    <col min="9" max="9" width="4.46484375" customWidth="1"/>
    <col min="10" max="20" width="12.796875" customWidth="1"/>
    <col min="21" max="21" width="4.33203125" customWidth="1"/>
    <col min="22" max="23" width="10.796875" customWidth="1"/>
  </cols>
  <sheetData>
    <row r="1" spans="1:20" ht="18.899999999999999" x14ac:dyDescent="0.35">
      <c r="A1" s="42">
        <f>IF(SUM($A11:$A168)&gt;0,1,0)</f>
        <v>0</v>
      </c>
      <c r="B1" s="3" t="s">
        <v>132</v>
      </c>
    </row>
    <row r="2" spans="1:20" x14ac:dyDescent="0.35">
      <c r="B2" s="13" t="str">
        <f>Title_Msg</f>
        <v>No Errors Found</v>
      </c>
    </row>
    <row r="3" spans="1:20" x14ac:dyDescent="0.35">
      <c r="B3" s="30" t="str">
        <f>TOC!B1</f>
        <v>Table of Contents</v>
      </c>
      <c r="C3" s="28"/>
      <c r="D3" s="28"/>
      <c r="E3" s="28"/>
    </row>
    <row r="4" spans="1:20" ht="12.3" x14ac:dyDescent="0.35">
      <c r="B4" s="27" t="str">
        <f>Model_Name</f>
        <v>Power and Water Corporation (PWC) - RAB Allocation - EB RIN</v>
      </c>
    </row>
    <row r="5" spans="1:20" ht="12.3" hidden="1" outlineLevel="1" x14ac:dyDescent="0.35">
      <c r="B5" s="10" t="str">
        <f>Lookup!B15</f>
        <v>Period start date</v>
      </c>
      <c r="J5" s="35">
        <f>Lookup!R15</f>
        <v>43282</v>
      </c>
      <c r="K5" s="35">
        <f>Lookup!S15</f>
        <v>43647</v>
      </c>
      <c r="L5" s="35">
        <f>Lookup!T15</f>
        <v>44013</v>
      </c>
      <c r="M5" s="35">
        <f>Lookup!U15</f>
        <v>44378</v>
      </c>
      <c r="N5" s="35">
        <f>Lookup!V15</f>
        <v>44743</v>
      </c>
      <c r="O5" s="35">
        <f>Lookup!W15</f>
        <v>45108</v>
      </c>
      <c r="P5" s="35">
        <f>Lookup!X15</f>
        <v>45474</v>
      </c>
      <c r="Q5" s="35">
        <f>Lookup!Y15</f>
        <v>45839</v>
      </c>
      <c r="R5" s="35">
        <f>Lookup!Z15</f>
        <v>46204</v>
      </c>
      <c r="S5" s="35">
        <f>Lookup!AA15</f>
        <v>46569</v>
      </c>
      <c r="T5" s="35">
        <f>Lookup!AB15</f>
        <v>46935</v>
      </c>
    </row>
    <row r="6" spans="1:20" ht="12.3" hidden="1" outlineLevel="1" x14ac:dyDescent="0.35">
      <c r="B6" s="10" t="str">
        <f>Lookup!B16</f>
        <v>Period end date</v>
      </c>
      <c r="J6" s="35">
        <f>Lookup!R16</f>
        <v>43646</v>
      </c>
      <c r="K6" s="35">
        <f>Lookup!S16</f>
        <v>44012</v>
      </c>
      <c r="L6" s="35">
        <f>Lookup!T16</f>
        <v>44377</v>
      </c>
      <c r="M6" s="35">
        <f>Lookup!U16</f>
        <v>44742</v>
      </c>
      <c r="N6" s="35">
        <f>Lookup!V16</f>
        <v>45107</v>
      </c>
      <c r="O6" s="35">
        <f>Lookup!W16</f>
        <v>45473</v>
      </c>
      <c r="P6" s="35">
        <f>Lookup!X16</f>
        <v>45838</v>
      </c>
      <c r="Q6" s="35">
        <f>Lookup!Y16</f>
        <v>46203</v>
      </c>
      <c r="R6" s="35">
        <f>Lookup!Z16</f>
        <v>46568</v>
      </c>
      <c r="S6" s="35">
        <f>Lookup!AA16</f>
        <v>46934</v>
      </c>
      <c r="T6" s="35">
        <f>Lookup!AB16</f>
        <v>47299</v>
      </c>
    </row>
    <row r="7" spans="1:20" ht="12.3" hidden="1" outlineLevel="1" x14ac:dyDescent="0.35">
      <c r="B7" s="10" t="str">
        <f>Lookup!B17</f>
        <v>Period counter</v>
      </c>
      <c r="J7" s="36">
        <f>Lookup!R17</f>
        <v>9</v>
      </c>
      <c r="K7" s="36">
        <f>Lookup!S17</f>
        <v>10</v>
      </c>
      <c r="L7" s="36">
        <f>Lookup!T17</f>
        <v>11</v>
      </c>
      <c r="M7" s="36">
        <f>Lookup!U17</f>
        <v>12</v>
      </c>
      <c r="N7" s="36">
        <f>Lookup!V17</f>
        <v>13</v>
      </c>
      <c r="O7" s="36">
        <f>Lookup!W17</f>
        <v>14</v>
      </c>
      <c r="P7" s="36">
        <f>Lookup!X17</f>
        <v>15</v>
      </c>
      <c r="Q7" s="36">
        <f>Lookup!Y17</f>
        <v>16</v>
      </c>
      <c r="R7" s="36">
        <f>Lookup!Z17</f>
        <v>17</v>
      </c>
      <c r="S7" s="36">
        <f>Lookup!AA17</f>
        <v>18</v>
      </c>
      <c r="T7" s="36">
        <f>Lookup!AB17</f>
        <v>19</v>
      </c>
    </row>
    <row r="8" spans="1:20" ht="12.3" hidden="1" outlineLevel="1" x14ac:dyDescent="0.35">
      <c r="B8" s="10" t="str">
        <f>Lookup!B18</f>
        <v>Year</v>
      </c>
      <c r="J8" s="37">
        <f>Lookup!R18</f>
        <v>2019</v>
      </c>
      <c r="K8" s="37">
        <f>Lookup!S18</f>
        <v>2020</v>
      </c>
      <c r="L8" s="37">
        <f>Lookup!T18</f>
        <v>2021</v>
      </c>
      <c r="M8" s="37">
        <f>Lookup!U18</f>
        <v>2022</v>
      </c>
      <c r="N8" s="37">
        <f>Lookup!V18</f>
        <v>2023</v>
      </c>
      <c r="O8" s="37">
        <f>Lookup!W18</f>
        <v>2024</v>
      </c>
      <c r="P8" s="37">
        <f>Lookup!X18</f>
        <v>2025</v>
      </c>
      <c r="Q8" s="37">
        <f>Lookup!Y18</f>
        <v>2026</v>
      </c>
      <c r="R8" s="37">
        <f>Lookup!Z18</f>
        <v>2027</v>
      </c>
      <c r="S8" s="37">
        <f>Lookup!AA18</f>
        <v>2028</v>
      </c>
      <c r="T8" s="37">
        <f>Lookup!AB18</f>
        <v>2029</v>
      </c>
    </row>
    <row r="9" spans="1:20" ht="12.3" hidden="1" outlineLevel="1" x14ac:dyDescent="0.35">
      <c r="B9" s="10" t="str">
        <f>Lookup!B19</f>
        <v>Period type</v>
      </c>
      <c r="J9" s="37" t="str">
        <f>Lookup!R19</f>
        <v>Actual</v>
      </c>
      <c r="K9" s="37" t="str">
        <f>Lookup!S19</f>
        <v>Actual</v>
      </c>
      <c r="L9" s="37" t="str">
        <f>Lookup!T19</f>
        <v>Actual</v>
      </c>
      <c r="M9" s="37" t="str">
        <f>Lookup!U19</f>
        <v>Base Year</v>
      </c>
      <c r="N9" s="37" t="str">
        <f>Lookup!V19</f>
        <v>Estimate</v>
      </c>
      <c r="O9" s="37" t="str">
        <f>Lookup!W19</f>
        <v>Estimate</v>
      </c>
      <c r="P9" s="37" t="str">
        <f>Lookup!X19</f>
        <v>Forecast</v>
      </c>
      <c r="Q9" s="37" t="str">
        <f>Lookup!Y19</f>
        <v>Forecast</v>
      </c>
      <c r="R9" s="37" t="str">
        <f>Lookup!Z19</f>
        <v>Forecast</v>
      </c>
      <c r="S9" s="37" t="str">
        <f>Lookup!AA19</f>
        <v>Forecast</v>
      </c>
      <c r="T9" s="37" t="str">
        <f>Lookup!AB19</f>
        <v>Forecast</v>
      </c>
    </row>
    <row r="10" spans="1:20" ht="12.3" collapsed="1" x14ac:dyDescent="0.35">
      <c r="B10" s="5" t="str">
        <f>Lookup!B20</f>
        <v>Regulatory year</v>
      </c>
      <c r="E10" s="34" t="str">
        <f>Lookup!E20</f>
        <v>Source</v>
      </c>
      <c r="F10" s="34" t="str">
        <f>Lookup!F20</f>
        <v>Unit</v>
      </c>
      <c r="G10" s="34" t="str">
        <f>Lookup!G20</f>
        <v>Basis</v>
      </c>
      <c r="H10" s="34" t="str">
        <f>Lookup!H20</f>
        <v>Timing</v>
      </c>
      <c r="I10" s="34"/>
      <c r="J10" s="34" t="str">
        <f>Lookup!R20</f>
        <v>RY19</v>
      </c>
      <c r="K10" s="34" t="str">
        <f>Lookup!S20</f>
        <v>RY20</v>
      </c>
      <c r="L10" s="34" t="str">
        <f>Lookup!T20</f>
        <v>RY21</v>
      </c>
      <c r="M10" s="34" t="str">
        <f>Lookup!U20</f>
        <v>RY22</v>
      </c>
      <c r="N10" s="34" t="str">
        <f>Lookup!V20</f>
        <v>RY23</v>
      </c>
      <c r="O10" s="34" t="str">
        <f>Lookup!W20</f>
        <v>RY24</v>
      </c>
      <c r="P10" s="34" t="str">
        <f>Lookup!X20</f>
        <v>RY25</v>
      </c>
      <c r="Q10" s="34" t="str">
        <f>Lookup!Y20</f>
        <v>RY26</v>
      </c>
      <c r="R10" s="34" t="str">
        <f>Lookup!Z20</f>
        <v>RY27</v>
      </c>
      <c r="S10" s="34" t="str">
        <f>Lookup!AA20</f>
        <v>RY28</v>
      </c>
      <c r="T10" s="34" t="str">
        <f>Lookup!AB20</f>
        <v>RY29</v>
      </c>
    </row>
    <row r="12" spans="1:20" s="2" customFormat="1" ht="15" x14ac:dyDescent="0.35">
      <c r="B12" s="2" t="s">
        <v>446</v>
      </c>
    </row>
    <row r="14" spans="1:20" ht="12.3" x14ac:dyDescent="0.35">
      <c r="D14" s="43" t="s">
        <v>399</v>
      </c>
      <c r="E14" s="38" t="str">
        <f>Lookup!E$20</f>
        <v>Source</v>
      </c>
      <c r="F14" s="38" t="str">
        <f>Lookup!F$20</f>
        <v>Unit</v>
      </c>
      <c r="G14" s="38" t="str">
        <f>Lookup!G$20</f>
        <v>Basis</v>
      </c>
      <c r="H14" s="38" t="str">
        <f>Lookup!H$20</f>
        <v>Timing</v>
      </c>
      <c r="J14" s="47" t="str">
        <f t="shared" ref="J14:T14" si="0">J$10</f>
        <v>RY19</v>
      </c>
      <c r="K14" s="46" t="str">
        <f t="shared" si="0"/>
        <v>RY20</v>
      </c>
      <c r="L14" s="38" t="str">
        <f>L$10</f>
        <v>RY21</v>
      </c>
      <c r="M14" s="38" t="str">
        <f t="shared" si="0"/>
        <v>RY22</v>
      </c>
      <c r="N14" s="38" t="str">
        <f t="shared" si="0"/>
        <v>RY23</v>
      </c>
      <c r="O14" s="47" t="str">
        <f t="shared" si="0"/>
        <v>RY24</v>
      </c>
      <c r="P14" s="46" t="str">
        <f t="shared" si="0"/>
        <v>RY25</v>
      </c>
      <c r="Q14" s="38" t="str">
        <f>Q$10</f>
        <v>RY26</v>
      </c>
      <c r="R14" s="38" t="str">
        <f t="shared" si="0"/>
        <v>RY27</v>
      </c>
      <c r="S14" s="38" t="str">
        <f t="shared" si="0"/>
        <v>RY28</v>
      </c>
      <c r="T14" s="47" t="str">
        <f t="shared" si="0"/>
        <v>RY29</v>
      </c>
    </row>
    <row r="15" spans="1:20" x14ac:dyDescent="0.35">
      <c r="J15" s="49"/>
      <c r="K15" s="48"/>
      <c r="O15" s="49"/>
      <c r="P15" s="48"/>
      <c r="T15" s="49"/>
    </row>
    <row r="16" spans="1:20" ht="12.3" x14ac:dyDescent="0.35">
      <c r="D16" s="10" t="str">
        <f>Calc_EB_ACS!$C$14</f>
        <v>Opening balance</v>
      </c>
      <c r="E16" s="45" t="s">
        <v>91</v>
      </c>
      <c r="F16" s="45" t="str">
        <f>Millions</f>
        <v>$Millions</v>
      </c>
      <c r="G16" s="45" t="str">
        <f>Nominal</f>
        <v>Nominal</v>
      </c>
      <c r="H16" s="45" t="str">
        <f>Start_year</f>
        <v>Start year</v>
      </c>
      <c r="J16" s="58">
        <f t="shared" ref="J16:T16" si="1">J32+J46+J60+J74+J88+J102+J116+J130+J144+J158</f>
        <v>944.09083357203633</v>
      </c>
      <c r="K16" s="56">
        <f t="shared" si="1"/>
        <v>961.95273153839821</v>
      </c>
      <c r="L16" s="57">
        <f t="shared" si="1"/>
        <v>1001.8691178787608</v>
      </c>
      <c r="M16" s="57">
        <f t="shared" si="1"/>
        <v>1005.8797083374317</v>
      </c>
      <c r="N16" s="57">
        <f t="shared" si="1"/>
        <v>1058.961408746535</v>
      </c>
      <c r="O16" s="58">
        <f t="shared" si="1"/>
        <v>1177.1883309362363</v>
      </c>
      <c r="P16" s="56">
        <f t="shared" si="1"/>
        <v>1279.527006960122</v>
      </c>
      <c r="Q16" s="57">
        <f t="shared" si="1"/>
        <v>1351.446865176049</v>
      </c>
      <c r="R16" s="57">
        <f t="shared" si="1"/>
        <v>1427.0835394956823</v>
      </c>
      <c r="S16" s="57">
        <f t="shared" si="1"/>
        <v>1490.3090802974987</v>
      </c>
      <c r="T16" s="58">
        <f t="shared" si="1"/>
        <v>1583.8950173866003</v>
      </c>
    </row>
    <row r="17" spans="1:20" ht="12.3" x14ac:dyDescent="0.35">
      <c r="D17" s="10" t="str">
        <f>Calc_EB_ACS!$C$33</f>
        <v>Inflation</v>
      </c>
      <c r="E17" s="45" t="s">
        <v>91</v>
      </c>
      <c r="F17" s="45" t="str">
        <f>Millions</f>
        <v>$Millions</v>
      </c>
      <c r="G17" s="45" t="str">
        <f>Nominal</f>
        <v>Nominal</v>
      </c>
      <c r="H17" s="45" t="str">
        <f>End_year</f>
        <v>End year</v>
      </c>
      <c r="J17" s="58">
        <f t="shared" ref="J17:T20" si="2">J33+J47+J61+J75+J89+J103+J117+J131+J145+J159</f>
        <v>16.843725844282638</v>
      </c>
      <c r="K17" s="56">
        <f t="shared" si="2"/>
        <v>17.704651500706831</v>
      </c>
      <c r="L17" s="57">
        <f t="shared" si="2"/>
        <v>8.6219373311424992</v>
      </c>
      <c r="M17" s="57">
        <f t="shared" si="2"/>
        <v>35.188624609073891</v>
      </c>
      <c r="N17" s="57">
        <f t="shared" si="2"/>
        <v>84.716912699722812</v>
      </c>
      <c r="O17" s="58">
        <f t="shared" si="2"/>
        <v>55.327851554003118</v>
      </c>
      <c r="P17" s="56">
        <f t="shared" si="2"/>
        <v>37.357582944087866</v>
      </c>
      <c r="Q17" s="57">
        <f t="shared" si="2"/>
        <v>39.457383928368536</v>
      </c>
      <c r="R17" s="57">
        <f t="shared" si="2"/>
        <v>41.665702564192927</v>
      </c>
      <c r="S17" s="57">
        <f t="shared" si="2"/>
        <v>43.511660775188538</v>
      </c>
      <c r="T17" s="58">
        <f t="shared" si="2"/>
        <v>46.244033275486437</v>
      </c>
    </row>
    <row r="18" spans="1:20" ht="12.3" x14ac:dyDescent="0.35">
      <c r="D18" s="10" t="str">
        <f>Calc_EB_ACS!$C$52</f>
        <v>Straight line depreciation</v>
      </c>
      <c r="E18" s="45" t="s">
        <v>91</v>
      </c>
      <c r="F18" s="45" t="str">
        <f>Millions</f>
        <v>$Millions</v>
      </c>
      <c r="G18" s="45" t="str">
        <f>Nominal</f>
        <v>Nominal</v>
      </c>
      <c r="H18" s="45" t="str">
        <f>End_year</f>
        <v>End year</v>
      </c>
      <c r="J18" s="58">
        <f t="shared" si="2"/>
        <v>-53.428657902343346</v>
      </c>
      <c r="K18" s="56">
        <f t="shared" si="2"/>
        <v>-41.524112003927783</v>
      </c>
      <c r="L18" s="57">
        <f t="shared" si="2"/>
        <v>-47.987658187257466</v>
      </c>
      <c r="M18" s="57">
        <f t="shared" si="2"/>
        <v>-51.464926616775031</v>
      </c>
      <c r="N18" s="57">
        <f t="shared" si="2"/>
        <v>-57.704269531194015</v>
      </c>
      <c r="O18" s="58">
        <f t="shared" si="2"/>
        <v>-64.868412268909225</v>
      </c>
      <c r="P18" s="56">
        <f t="shared" si="2"/>
        <v>-71.997188030001382</v>
      </c>
      <c r="Q18" s="57">
        <f t="shared" si="2"/>
        <v>-75.42748372010179</v>
      </c>
      <c r="R18" s="57">
        <f t="shared" si="2"/>
        <v>-80.634240927366605</v>
      </c>
      <c r="S18" s="57">
        <f t="shared" si="2"/>
        <v>-88.939573778150177</v>
      </c>
      <c r="T18" s="58">
        <f t="shared" si="2"/>
        <v>-96.163881859042689</v>
      </c>
    </row>
    <row r="19" spans="1:20" ht="12.3" x14ac:dyDescent="0.35">
      <c r="D19" s="10" t="str">
        <f>Calc_EB_ACS!$C$71</f>
        <v>RAB additions</v>
      </c>
      <c r="E19" s="45" t="s">
        <v>91</v>
      </c>
      <c r="F19" s="45" t="str">
        <f>Millions</f>
        <v>$Millions</v>
      </c>
      <c r="G19" s="45" t="str">
        <f>Nominal</f>
        <v>Nominal</v>
      </c>
      <c r="H19" s="45" t="str">
        <f>End_year</f>
        <v>End year</v>
      </c>
      <c r="J19" s="58">
        <f t="shared" si="2"/>
        <v>54.566840960850257</v>
      </c>
      <c r="K19" s="56">
        <f t="shared" si="2"/>
        <v>63.830604287477719</v>
      </c>
      <c r="L19" s="57">
        <f t="shared" si="2"/>
        <v>43.515474827480318</v>
      </c>
      <c r="M19" s="57">
        <f t="shared" si="2"/>
        <v>69.515101948610791</v>
      </c>
      <c r="N19" s="57">
        <f t="shared" si="2"/>
        <v>91.379811562227886</v>
      </c>
      <c r="O19" s="58">
        <f t="shared" si="2"/>
        <v>112.05030249958976</v>
      </c>
      <c r="P19" s="56">
        <f t="shared" si="2"/>
        <v>106.72977272835256</v>
      </c>
      <c r="Q19" s="57">
        <f t="shared" si="2"/>
        <v>111.77721440477912</v>
      </c>
      <c r="R19" s="57">
        <f t="shared" si="2"/>
        <v>102.36465022489936</v>
      </c>
      <c r="S19" s="57">
        <f t="shared" si="2"/>
        <v>139.18455181829478</v>
      </c>
      <c r="T19" s="58">
        <f t="shared" si="2"/>
        <v>173.36542404194194</v>
      </c>
    </row>
    <row r="20" spans="1:20" ht="12.3" x14ac:dyDescent="0.35">
      <c r="D20" s="10" t="str">
        <f>Calc_EB_ACS!$C$90</f>
        <v>Disposals</v>
      </c>
      <c r="E20" s="45" t="s">
        <v>91</v>
      </c>
      <c r="F20" s="45" t="str">
        <f>Millions</f>
        <v>$Millions</v>
      </c>
      <c r="G20" s="45" t="str">
        <f>Nominal</f>
        <v>Nominal</v>
      </c>
      <c r="H20" s="45" t="str">
        <f>End_year</f>
        <v>End year</v>
      </c>
      <c r="J20" s="58">
        <f t="shared" si="2"/>
        <v>-0.12001093642773109</v>
      </c>
      <c r="K20" s="56">
        <f t="shared" si="2"/>
        <v>-9.4757443894090201E-2</v>
      </c>
      <c r="L20" s="57">
        <f t="shared" si="2"/>
        <v>-0.13916351269461014</v>
      </c>
      <c r="M20" s="57">
        <f t="shared" si="2"/>
        <v>-0.15709953180620265</v>
      </c>
      <c r="N20" s="57">
        <f t="shared" si="2"/>
        <v>-0.1655325410554031</v>
      </c>
      <c r="O20" s="58">
        <f t="shared" si="2"/>
        <v>-0.17106576079824823</v>
      </c>
      <c r="P20" s="56">
        <f t="shared" si="2"/>
        <v>-0.17030942651171763</v>
      </c>
      <c r="Q20" s="57">
        <f t="shared" si="2"/>
        <v>-0.17044029341276848</v>
      </c>
      <c r="R20" s="57">
        <f t="shared" si="2"/>
        <v>-0.17057105990909208</v>
      </c>
      <c r="S20" s="57">
        <f t="shared" si="2"/>
        <v>-0.17070172623143426</v>
      </c>
      <c r="T20" s="58">
        <f t="shared" si="2"/>
        <v>-0.17083229260965857</v>
      </c>
    </row>
    <row r="21" spans="1:20" x14ac:dyDescent="0.35">
      <c r="J21" s="49"/>
      <c r="K21" s="48"/>
      <c r="O21" s="49"/>
      <c r="P21" s="48"/>
      <c r="T21" s="49"/>
    </row>
    <row r="22" spans="1:20" ht="12.3" x14ac:dyDescent="0.35">
      <c r="D22" s="44" t="s">
        <v>439</v>
      </c>
      <c r="E22" s="40" t="s">
        <v>91</v>
      </c>
      <c r="F22" s="40" t="str">
        <f>F16</f>
        <v>$Millions</v>
      </c>
      <c r="G22" s="40" t="str">
        <f>G16</f>
        <v>Nominal</v>
      </c>
      <c r="H22" s="40" t="str">
        <f>End_year</f>
        <v>End year</v>
      </c>
      <c r="J22" s="54">
        <f t="shared" ref="J22:T22" si="3">J38+J52+J66+J80+J94+J108+J122+J136+J150+J164</f>
        <v>961.95273153839821</v>
      </c>
      <c r="K22" s="53">
        <f t="shared" si="3"/>
        <v>1001.8691178787608</v>
      </c>
      <c r="L22" s="39">
        <f t="shared" si="3"/>
        <v>1005.8797083374317</v>
      </c>
      <c r="M22" s="39">
        <f t="shared" si="3"/>
        <v>1058.961408746535</v>
      </c>
      <c r="N22" s="39">
        <f t="shared" si="3"/>
        <v>1177.1883309362363</v>
      </c>
      <c r="O22" s="54">
        <f t="shared" si="3"/>
        <v>1279.527006960122</v>
      </c>
      <c r="P22" s="53">
        <f t="shared" si="3"/>
        <v>1351.446865176049</v>
      </c>
      <c r="Q22" s="39">
        <f t="shared" si="3"/>
        <v>1427.0835394956823</v>
      </c>
      <c r="R22" s="39">
        <f t="shared" si="3"/>
        <v>1490.3090802974987</v>
      </c>
      <c r="S22" s="39">
        <f t="shared" si="3"/>
        <v>1583.8950173866003</v>
      </c>
      <c r="T22" s="54">
        <f t="shared" si="3"/>
        <v>1707.1697605523764</v>
      </c>
    </row>
    <row r="23" spans="1:20" ht="11.25" customHeight="1" x14ac:dyDescent="0.35"/>
    <row r="24" spans="1:20" ht="11.25" customHeight="1" x14ac:dyDescent="0.35">
      <c r="A24" s="42">
        <f>IF(SUM($J24:$T24)&lt;&gt;0,1,0)</f>
        <v>0</v>
      </c>
      <c r="D24" s="10" t="s">
        <v>94</v>
      </c>
      <c r="J24" s="42">
        <f>IF(J22&lt;&gt;Calc_EB_SCS!J$162,1,0)</f>
        <v>0</v>
      </c>
      <c r="K24" s="42">
        <f>IF(K22&lt;&gt;Calc_EB_SCS!K$162,1,0)</f>
        <v>0</v>
      </c>
      <c r="L24" s="42">
        <f>IF(L22&lt;&gt;Calc_EB_SCS!L$162,1,0)</f>
        <v>0</v>
      </c>
      <c r="M24" s="42">
        <f>IF(M22&lt;&gt;Calc_EB_SCS!M$162,1,0)</f>
        <v>0</v>
      </c>
      <c r="N24" s="42">
        <f>IF(N22&lt;&gt;Calc_EB_SCS!N$162,1,0)</f>
        <v>0</v>
      </c>
      <c r="O24" s="42">
        <f>IF(O22&lt;&gt;Calc_EB_SCS!O$162,1,0)</f>
        <v>0</v>
      </c>
      <c r="P24" s="42">
        <f>IF(P22&lt;&gt;Calc_EB_SCS!P$162,1,0)</f>
        <v>0</v>
      </c>
      <c r="Q24" s="42">
        <f>IF(Q22&lt;&gt;Calc_EB_SCS!Q$162,1,0)</f>
        <v>0</v>
      </c>
      <c r="R24" s="42">
        <f>IF(R22&lt;&gt;Calc_EB_SCS!R$162,1,0)</f>
        <v>0</v>
      </c>
      <c r="S24" s="42">
        <f>IF(S22&lt;&gt;Calc_EB_SCS!S$162,1,0)</f>
        <v>0</v>
      </c>
      <c r="T24" s="42">
        <f>IF(T22&lt;&gt;Calc_EB_SCS!T$162,1,0)</f>
        <v>0</v>
      </c>
    </row>
    <row r="26" spans="1:20" s="2" customFormat="1" ht="15" x14ac:dyDescent="0.35">
      <c r="B26" s="2" t="s">
        <v>442</v>
      </c>
    </row>
    <row r="27" spans="1:20" ht="4.5" customHeight="1" x14ac:dyDescent="0.35"/>
    <row r="28" spans="1:20" s="8" customFormat="1" ht="14.1" x14ac:dyDescent="0.35">
      <c r="C28" s="8" t="str">
        <f>Lookup!$D$106</f>
        <v>Overhead network assets less than 33kV</v>
      </c>
    </row>
    <row r="29" spans="1:20" ht="11.25" customHeight="1" x14ac:dyDescent="0.35"/>
    <row r="30" spans="1:20" ht="12.3" x14ac:dyDescent="0.35">
      <c r="D30" s="43" t="str">
        <f>D$14</f>
        <v>Category heading</v>
      </c>
      <c r="E30" s="38" t="str">
        <f>Lookup!E$20</f>
        <v>Source</v>
      </c>
      <c r="F30" s="38" t="str">
        <f>Lookup!F$20</f>
        <v>Unit</v>
      </c>
      <c r="G30" s="38" t="str">
        <f>Lookup!G$20</f>
        <v>Basis</v>
      </c>
      <c r="H30" s="38" t="str">
        <f>Lookup!H$20</f>
        <v>Timing</v>
      </c>
      <c r="J30" s="47" t="str">
        <f t="shared" ref="J30:T30" si="4">J$10</f>
        <v>RY19</v>
      </c>
      <c r="K30" s="46" t="str">
        <f t="shared" si="4"/>
        <v>RY20</v>
      </c>
      <c r="L30" s="38" t="str">
        <f>L$10</f>
        <v>RY21</v>
      </c>
      <c r="M30" s="38" t="str">
        <f t="shared" si="4"/>
        <v>RY22</v>
      </c>
      <c r="N30" s="38" t="str">
        <f t="shared" si="4"/>
        <v>RY23</v>
      </c>
      <c r="O30" s="47" t="str">
        <f t="shared" si="4"/>
        <v>RY24</v>
      </c>
      <c r="P30" s="46" t="str">
        <f t="shared" si="4"/>
        <v>RY25</v>
      </c>
      <c r="Q30" s="38" t="str">
        <f>Q$10</f>
        <v>RY26</v>
      </c>
      <c r="R30" s="38" t="str">
        <f t="shared" si="4"/>
        <v>RY27</v>
      </c>
      <c r="S30" s="38" t="str">
        <f t="shared" si="4"/>
        <v>RY28</v>
      </c>
      <c r="T30" s="47" t="str">
        <f t="shared" si="4"/>
        <v>RY29</v>
      </c>
    </row>
    <row r="31" spans="1:20" x14ac:dyDescent="0.35">
      <c r="J31" s="49"/>
      <c r="K31" s="48"/>
      <c r="O31" s="49"/>
      <c r="P31" s="48"/>
      <c r="T31" s="49"/>
    </row>
    <row r="32" spans="1:20" ht="12.3" x14ac:dyDescent="0.35">
      <c r="D32" s="10" t="str">
        <f>Calc_EB_SCS!$C$14</f>
        <v>Opening balance</v>
      </c>
      <c r="E32" s="45" t="s">
        <v>133</v>
      </c>
      <c r="F32" s="45" t="str">
        <f>Millions</f>
        <v>$Millions</v>
      </c>
      <c r="G32" s="45" t="str">
        <f>Nominal</f>
        <v>Nominal</v>
      </c>
      <c r="H32" s="45" t="str">
        <f>Start_year</f>
        <v>Start year</v>
      </c>
      <c r="J32" s="58">
        <f>Calc_EB_SCS!J$18</f>
        <v>81.203936986662754</v>
      </c>
      <c r="K32" s="56">
        <f>Calc_EB_SCS!K$18</f>
        <v>81.482132359213509</v>
      </c>
      <c r="L32" s="57">
        <f>Calc_EB_SCS!L$18</f>
        <v>83.227994811772021</v>
      </c>
      <c r="M32" s="57">
        <f>Calc_EB_SCS!M$18</f>
        <v>84.635465429053355</v>
      </c>
      <c r="N32" s="57">
        <f>Calc_EB_SCS!N$18</f>
        <v>91.292224462432841</v>
      </c>
      <c r="O32" s="58">
        <f>Calc_EB_SCS!O$18</f>
        <v>104.83790856243229</v>
      </c>
      <c r="P32" s="56">
        <f>Calc_EB_SCS!P$18</f>
        <v>114.49314630660011</v>
      </c>
      <c r="Q32" s="57">
        <f>Calc_EB_SCS!Q$18</f>
        <v>121.78116011280649</v>
      </c>
      <c r="R32" s="57">
        <f>Calc_EB_SCS!R$18</f>
        <v>129.95699819413005</v>
      </c>
      <c r="S32" s="57">
        <f>Calc_EB_SCS!S$18</f>
        <v>138.3896717328077</v>
      </c>
      <c r="T32" s="58">
        <f>Calc_EB_SCS!T$18</f>
        <v>145.96988221610806</v>
      </c>
    </row>
    <row r="33" spans="1:20" ht="12.3" x14ac:dyDescent="0.35">
      <c r="D33" s="10" t="str">
        <f>Calc_EB_SCS!$C$33</f>
        <v>Inflation</v>
      </c>
      <c r="E33" s="45" t="s">
        <v>133</v>
      </c>
      <c r="F33" s="45" t="str">
        <f>Millions</f>
        <v>$Millions</v>
      </c>
      <c r="G33" s="45" t="str">
        <f>Nominal</f>
        <v>Nominal</v>
      </c>
      <c r="H33" s="45" t="str">
        <f>End_year</f>
        <v>End year</v>
      </c>
      <c r="J33" s="58">
        <f>Calc_EB_SCS!J$37</f>
        <v>1.4487767526612532</v>
      </c>
      <c r="K33" s="56">
        <f>Calc_EB_SCS!K$37</f>
        <v>1.4996711477155953</v>
      </c>
      <c r="L33" s="57">
        <f>Calc_EB_SCS!L$37</f>
        <v>0.71624780388788145</v>
      </c>
      <c r="M33" s="57">
        <f>Calc_EB_SCS!M$37</f>
        <v>2.9607969987979343</v>
      </c>
      <c r="N33" s="57">
        <f>Calc_EB_SCS!N$37</f>
        <v>7.3033779569946278</v>
      </c>
      <c r="O33" s="58">
        <f>Calc_EB_SCS!O$37</f>
        <v>4.9273817024343183</v>
      </c>
      <c r="P33" s="56">
        <f>Calc_EB_SCS!P$37</f>
        <v>3.3427877539217161</v>
      </c>
      <c r="Q33" s="57">
        <f>Calc_EB_SCS!Q$37</f>
        <v>3.5555715238476431</v>
      </c>
      <c r="R33" s="57">
        <f>Calc_EB_SCS!R$37</f>
        <v>3.7942765668823437</v>
      </c>
      <c r="S33" s="57">
        <f>Calc_EB_SCS!S$37</f>
        <v>4.0404802807922158</v>
      </c>
      <c r="T33" s="58">
        <f>Calc_EB_SCS!T$37</f>
        <v>4.2617951419269637</v>
      </c>
    </row>
    <row r="34" spans="1:20" ht="12.3" x14ac:dyDescent="0.35">
      <c r="D34" s="10" t="str">
        <f>Calc_EB_SCS!$C$52</f>
        <v>Straight line depreciation</v>
      </c>
      <c r="E34" s="45" t="s">
        <v>133</v>
      </c>
      <c r="F34" s="45" t="str">
        <f>Millions</f>
        <v>$Millions</v>
      </c>
      <c r="G34" s="45" t="str">
        <f>Nominal</f>
        <v>Nominal</v>
      </c>
      <c r="H34" s="45" t="str">
        <f>End_year</f>
        <v>End year</v>
      </c>
      <c r="J34" s="58">
        <f>Calc_EB_SCS!J$56</f>
        <v>-3.8062482538262588</v>
      </c>
      <c r="K34" s="56">
        <f>Calc_EB_SCS!K$56</f>
        <v>-2.7099246689757615</v>
      </c>
      <c r="L34" s="57">
        <f>Calc_EB_SCS!L$56</f>
        <v>-2.876348113767158</v>
      </c>
      <c r="M34" s="57">
        <f>Calc_EB_SCS!M$56</f>
        <v>-3.039383572256888</v>
      </c>
      <c r="N34" s="57">
        <f>Calc_EB_SCS!N$56</f>
        <v>-3.2570710598407913</v>
      </c>
      <c r="O34" s="58">
        <f>Calc_EB_SCS!O$56</f>
        <v>-3.6215508518154489</v>
      </c>
      <c r="P34" s="56">
        <f>Calc_EB_SCS!P$56</f>
        <v>-3.9557629595250918</v>
      </c>
      <c r="Q34" s="57">
        <f>Calc_EB_SCS!Q$56</f>
        <v>-4.2177308198836441</v>
      </c>
      <c r="R34" s="57">
        <f>Calc_EB_SCS!R$56</f>
        <v>-4.504728504008332</v>
      </c>
      <c r="S34" s="57">
        <f>Calc_EB_SCS!S$56</f>
        <v>-4.8057609312415686</v>
      </c>
      <c r="T34" s="58">
        <f>Calc_EB_SCS!T$56</f>
        <v>-5.1007728825230378</v>
      </c>
    </row>
    <row r="35" spans="1:20" ht="12.3" x14ac:dyDescent="0.35">
      <c r="D35" s="10" t="str">
        <f>Calc_EB_SCS!$C$71</f>
        <v>RAB additions</v>
      </c>
      <c r="E35" s="45" t="s">
        <v>133</v>
      </c>
      <c r="F35" s="45" t="str">
        <f>Millions</f>
        <v>$Millions</v>
      </c>
      <c r="G35" s="45" t="str">
        <f>Nominal</f>
        <v>Nominal</v>
      </c>
      <c r="H35" s="45" t="str">
        <f>End_year</f>
        <v>End year</v>
      </c>
      <c r="J35" s="58">
        <f>Calc_EB_SCS!J$75+Calc_EB_SCS!J$132</f>
        <v>2.6550017741498189</v>
      </c>
      <c r="K35" s="56">
        <f>Calc_EB_SCS!K$75+Calc_EB_SCS!K$132</f>
        <v>2.9678843860829009</v>
      </c>
      <c r="L35" s="57">
        <f>Calc_EB_SCS!L$75+Calc_EB_SCS!L$132</f>
        <v>3.5982676061702503</v>
      </c>
      <c r="M35" s="57">
        <f>Calc_EB_SCS!M$75+Calc_EB_SCS!M$132</f>
        <v>6.7660344671461985</v>
      </c>
      <c r="N35" s="57">
        <f>Calc_EB_SCS!N$75+Calc_EB_SCS!N$132</f>
        <v>9.5298737383139844</v>
      </c>
      <c r="O35" s="58">
        <f>Calc_EB_SCS!O$75+Calc_EB_SCS!O$132</f>
        <v>8.3809228299826035</v>
      </c>
      <c r="P35" s="56">
        <f>Calc_EB_SCS!P$75+Calc_EB_SCS!P$132</f>
        <v>7.9323656066055328</v>
      </c>
      <c r="Q35" s="57">
        <f>Calc_EB_SCS!Q$75+Calc_EB_SCS!Q$132</f>
        <v>8.8693980821403695</v>
      </c>
      <c r="R35" s="57">
        <f>Calc_EB_SCS!R$75+Calc_EB_SCS!R$132</f>
        <v>9.1745502720716559</v>
      </c>
      <c r="S35" s="57">
        <f>Calc_EB_SCS!S$75+Calc_EB_SCS!S$132</f>
        <v>8.376940003049576</v>
      </c>
      <c r="T35" s="58">
        <f>Calc_EB_SCS!T$75+Calc_EB_SCS!T$132</f>
        <v>8.7287402683577664</v>
      </c>
    </row>
    <row r="36" spans="1:20" ht="12.3" x14ac:dyDescent="0.35">
      <c r="D36" s="10" t="str">
        <f>Calc_EB_SCS!$C$90</f>
        <v>Disposals</v>
      </c>
      <c r="E36" s="45" t="s">
        <v>133</v>
      </c>
      <c r="F36" s="45" t="str">
        <f>Millions</f>
        <v>$Millions</v>
      </c>
      <c r="G36" s="45" t="str">
        <f>Nominal</f>
        <v>Nominal</v>
      </c>
      <c r="H36" s="45" t="str">
        <f>End_year</f>
        <v>End year</v>
      </c>
      <c r="J36" s="58">
        <f>Calc_EB_SCS!J$94</f>
        <v>-1.9334900434074015E-2</v>
      </c>
      <c r="K36" s="56">
        <f>Calc_EB_SCS!K$94</f>
        <v>-1.1768412264213369E-2</v>
      </c>
      <c r="L36" s="57">
        <f>Calc_EB_SCS!L$94</f>
        <v>-3.0696679009636098E-2</v>
      </c>
      <c r="M36" s="57">
        <f>Calc_EB_SCS!M$94</f>
        <v>-3.0688860307748811E-2</v>
      </c>
      <c r="N36" s="57">
        <f>Calc_EB_SCS!N$94</f>
        <v>-3.0496535468353011E-2</v>
      </c>
      <c r="O36" s="58">
        <f>Calc_EB_SCS!O$94</f>
        <v>-3.1515936433661636E-2</v>
      </c>
      <c r="P36" s="56">
        <f>Calc_EB_SCS!P$94</f>
        <v>-3.1376594795769472E-2</v>
      </c>
      <c r="Q36" s="57">
        <f>Calc_EB_SCS!Q$94</f>
        <v>-3.1400704780815823E-2</v>
      </c>
      <c r="R36" s="57">
        <f>Calc_EB_SCS!R$94</f>
        <v>-3.1424796268010903E-2</v>
      </c>
      <c r="S36" s="57">
        <f>Calc_EB_SCS!S$94</f>
        <v>-3.1448869299865671E-2</v>
      </c>
      <c r="T36" s="58">
        <f>Calc_EB_SCS!T$94</f>
        <v>-3.1472923918728551E-2</v>
      </c>
    </row>
    <row r="37" spans="1:20" x14ac:dyDescent="0.35">
      <c r="J37" s="49"/>
      <c r="K37" s="48"/>
      <c r="O37" s="49"/>
      <c r="P37" s="48"/>
      <c r="T37" s="49"/>
    </row>
    <row r="38" spans="1:20" ht="12.3" x14ac:dyDescent="0.35">
      <c r="D38" s="44" t="str">
        <f>D$22</f>
        <v>Closing balance</v>
      </c>
      <c r="E38" s="40" t="s">
        <v>91</v>
      </c>
      <c r="F38" s="40" t="str">
        <f>F32</f>
        <v>$Millions</v>
      </c>
      <c r="G38" s="40" t="str">
        <f>G32</f>
        <v>Nominal</v>
      </c>
      <c r="H38" s="40" t="str">
        <f>End_year</f>
        <v>End year</v>
      </c>
      <c r="J38" s="54">
        <f t="shared" ref="J38:T38" si="5">SUM(J32:J36)</f>
        <v>81.482132359213509</v>
      </c>
      <c r="K38" s="53">
        <f t="shared" si="5"/>
        <v>83.227994811772021</v>
      </c>
      <c r="L38" s="39">
        <f t="shared" si="5"/>
        <v>84.635465429053355</v>
      </c>
      <c r="M38" s="39">
        <f t="shared" si="5"/>
        <v>91.292224462432841</v>
      </c>
      <c r="N38" s="39">
        <f t="shared" si="5"/>
        <v>104.83790856243229</v>
      </c>
      <c r="O38" s="54">
        <f t="shared" si="5"/>
        <v>114.49314630660011</v>
      </c>
      <c r="P38" s="53">
        <f t="shared" si="5"/>
        <v>121.78116011280649</v>
      </c>
      <c r="Q38" s="39">
        <f t="shared" si="5"/>
        <v>129.95699819413005</v>
      </c>
      <c r="R38" s="39">
        <f t="shared" si="5"/>
        <v>138.3896717328077</v>
      </c>
      <c r="S38" s="39">
        <f t="shared" si="5"/>
        <v>145.96988221610806</v>
      </c>
      <c r="T38" s="54">
        <f t="shared" si="5"/>
        <v>153.82817181995102</v>
      </c>
    </row>
    <row r="39" spans="1:20" ht="11.25" customHeight="1" x14ac:dyDescent="0.35"/>
    <row r="40" spans="1:20" ht="11.25" customHeight="1" x14ac:dyDescent="0.35">
      <c r="A40" s="42">
        <f>IF(SUM($J40:$T40)&lt;&gt;0,1,0)</f>
        <v>0</v>
      </c>
      <c r="D40" s="10" t="s">
        <v>94</v>
      </c>
      <c r="J40" s="42">
        <f>IF(J38&lt;&gt;Calc_EB_SCS!J$151,1,0)</f>
        <v>0</v>
      </c>
      <c r="K40" s="42">
        <f>IF(K38&lt;&gt;Calc_EB_SCS!K$151,1,0)</f>
        <v>0</v>
      </c>
      <c r="L40" s="42">
        <f>IF(L38&lt;&gt;Calc_EB_SCS!L$151,1,0)</f>
        <v>0</v>
      </c>
      <c r="M40" s="42">
        <f>IF(M38&lt;&gt;Calc_EB_SCS!M$151,1,0)</f>
        <v>0</v>
      </c>
      <c r="N40" s="42">
        <f>IF(N38&lt;&gt;Calc_EB_SCS!N$151,1,0)</f>
        <v>0</v>
      </c>
      <c r="O40" s="42">
        <f>IF(O38&lt;&gt;Calc_EB_SCS!O$151,1,0)</f>
        <v>0</v>
      </c>
      <c r="P40" s="42">
        <f>IF(P38&lt;&gt;Calc_EB_SCS!P$151,1,0)</f>
        <v>0</v>
      </c>
      <c r="Q40" s="42">
        <f>IF(Q38&lt;&gt;Calc_EB_SCS!Q$151,1,0)</f>
        <v>0</v>
      </c>
      <c r="R40" s="42">
        <f>IF(R38&lt;&gt;Calc_EB_SCS!R$151,1,0)</f>
        <v>0</v>
      </c>
      <c r="S40" s="42">
        <f>IF(S38&lt;&gt;Calc_EB_SCS!S$151,1,0)</f>
        <v>0</v>
      </c>
      <c r="T40" s="42">
        <f>IF(T38&lt;&gt;Calc_EB_SCS!T$151,1,0)</f>
        <v>0</v>
      </c>
    </row>
    <row r="41" spans="1:20" ht="11.25" customHeight="1" x14ac:dyDescent="0.35">
      <c r="N41" s="5"/>
      <c r="S41" s="5"/>
    </row>
    <row r="42" spans="1:20" s="8" customFormat="1" ht="14.1" x14ac:dyDescent="0.35">
      <c r="C42" s="8" t="str">
        <f>Lookup!$D$107</f>
        <v>Underground network assets less than 33kV</v>
      </c>
    </row>
    <row r="43" spans="1:20" ht="11.25" customHeight="1" x14ac:dyDescent="0.35"/>
    <row r="44" spans="1:20" ht="12.3" x14ac:dyDescent="0.35">
      <c r="D44" s="43" t="str">
        <f>D$14</f>
        <v>Category heading</v>
      </c>
      <c r="E44" s="38" t="str">
        <f>Lookup!E$20</f>
        <v>Source</v>
      </c>
      <c r="F44" s="38" t="str">
        <f>Lookup!F$20</f>
        <v>Unit</v>
      </c>
      <c r="G44" s="38" t="str">
        <f>Lookup!G$20</f>
        <v>Basis</v>
      </c>
      <c r="H44" s="38" t="str">
        <f>Lookup!H$20</f>
        <v>Timing</v>
      </c>
      <c r="J44" s="47" t="str">
        <f t="shared" ref="J44:T44" si="6">J$10</f>
        <v>RY19</v>
      </c>
      <c r="K44" s="46" t="str">
        <f t="shared" si="6"/>
        <v>RY20</v>
      </c>
      <c r="L44" s="38" t="str">
        <f>L$10</f>
        <v>RY21</v>
      </c>
      <c r="M44" s="38" t="str">
        <f t="shared" si="6"/>
        <v>RY22</v>
      </c>
      <c r="N44" s="38" t="str">
        <f t="shared" si="6"/>
        <v>RY23</v>
      </c>
      <c r="O44" s="47" t="str">
        <f t="shared" si="6"/>
        <v>RY24</v>
      </c>
      <c r="P44" s="46" t="str">
        <f t="shared" si="6"/>
        <v>RY25</v>
      </c>
      <c r="Q44" s="38" t="str">
        <f>Q$10</f>
        <v>RY26</v>
      </c>
      <c r="R44" s="38" t="str">
        <f t="shared" si="6"/>
        <v>RY27</v>
      </c>
      <c r="S44" s="38" t="str">
        <f t="shared" si="6"/>
        <v>RY28</v>
      </c>
      <c r="T44" s="47" t="str">
        <f t="shared" si="6"/>
        <v>RY29</v>
      </c>
    </row>
    <row r="45" spans="1:20" x14ac:dyDescent="0.35">
      <c r="J45" s="49"/>
      <c r="K45" s="48"/>
      <c r="O45" s="49"/>
      <c r="P45" s="48"/>
      <c r="T45" s="49"/>
    </row>
    <row r="46" spans="1:20" ht="12.3" x14ac:dyDescent="0.35">
      <c r="D46" s="10" t="str">
        <f>Calc_EB_SCS!$C$14</f>
        <v>Opening balance</v>
      </c>
      <c r="E46" s="45" t="str">
        <f>$E$32</f>
        <v>Calc_EB_SCS</v>
      </c>
      <c r="F46" s="45" t="str">
        <f>Millions</f>
        <v>$Millions</v>
      </c>
      <c r="G46" s="45" t="str">
        <f>Nominal</f>
        <v>Nominal</v>
      </c>
      <c r="H46" s="45" t="str">
        <f>Start_year</f>
        <v>Start year</v>
      </c>
      <c r="J46" s="58">
        <f>Calc_EB_SCS!J$19</f>
        <v>168.2109987600646</v>
      </c>
      <c r="K46" s="56">
        <f>Calc_EB_SCS!K$19</f>
        <v>168.78727034496171</v>
      </c>
      <c r="L46" s="57">
        <f>Calc_EB_SCS!L$19</f>
        <v>172.40376084702689</v>
      </c>
      <c r="M46" s="57">
        <f>Calc_EB_SCS!M$19</f>
        <v>175.31928498346406</v>
      </c>
      <c r="N46" s="57">
        <f>Calc_EB_SCS!N$19</f>
        <v>189.10851894257317</v>
      </c>
      <c r="O46" s="58">
        <f>Calc_EB_SCS!O$19</f>
        <v>217.1679103452766</v>
      </c>
      <c r="P46" s="56">
        <f>Calc_EB_SCS!P$19</f>
        <v>237.16838377649822</v>
      </c>
      <c r="Q46" s="57">
        <f>Calc_EB_SCS!Q$19</f>
        <v>252.26523901296866</v>
      </c>
      <c r="R46" s="57">
        <f>Calc_EB_SCS!R$19</f>
        <v>269.20118990887022</v>
      </c>
      <c r="S46" s="57">
        <f>Calc_EB_SCS!S$19</f>
        <v>286.66916610307266</v>
      </c>
      <c r="T46" s="58">
        <f>Calc_EB_SCS!T$19</f>
        <v>302.37129611700146</v>
      </c>
    </row>
    <row r="47" spans="1:20" ht="12.3" x14ac:dyDescent="0.35">
      <c r="D47" s="10" t="str">
        <f>Calc_EB_SCS!$C$33</f>
        <v>Inflation</v>
      </c>
      <c r="E47" s="45" t="str">
        <f>$E$33</f>
        <v>Calc_EB_SCS</v>
      </c>
      <c r="F47" s="45" t="str">
        <f>Millions</f>
        <v>$Millions</v>
      </c>
      <c r="G47" s="45" t="str">
        <f>Nominal</f>
        <v>Nominal</v>
      </c>
      <c r="H47" s="45" t="str">
        <f>End_year</f>
        <v>End year</v>
      </c>
      <c r="J47" s="58">
        <f>Calc_EB_SCS!J$38</f>
        <v>3.0010882918834185</v>
      </c>
      <c r="K47" s="56">
        <f>Calc_EB_SCS!K$38</f>
        <v>3.1065141781281489</v>
      </c>
      <c r="L47" s="57">
        <f>Calc_EB_SCS!L$38</f>
        <v>1.4836812465320697</v>
      </c>
      <c r="M47" s="57">
        <f>Calc_EB_SCS!M$38</f>
        <v>6.1331831777491539</v>
      </c>
      <c r="N47" s="57">
        <f>Calc_EB_SCS!N$38</f>
        <v>15.128681515405852</v>
      </c>
      <c r="O47" s="58">
        <f>Calc_EB_SCS!O$38</f>
        <v>10.206891786228001</v>
      </c>
      <c r="P47" s="56">
        <f>Calc_EB_SCS!P$38</f>
        <v>6.9244631183638079</v>
      </c>
      <c r="Q47" s="57">
        <f>Calc_EB_SCS!Q$38</f>
        <v>7.3652369501184261</v>
      </c>
      <c r="R47" s="57">
        <f>Calc_EB_SCS!R$38</f>
        <v>7.859705755301186</v>
      </c>
      <c r="S47" s="57">
        <f>Calc_EB_SCS!S$38</f>
        <v>8.3697077841685648</v>
      </c>
      <c r="T47" s="58">
        <f>Calc_EB_SCS!T$38</f>
        <v>8.8281534607376138</v>
      </c>
    </row>
    <row r="48" spans="1:20" ht="12.3" x14ac:dyDescent="0.35">
      <c r="D48" s="10" t="str">
        <f>Calc_EB_SCS!$C$52</f>
        <v>Straight line depreciation</v>
      </c>
      <c r="E48" s="45" t="str">
        <f>$E$34</f>
        <v>Calc_EB_SCS</v>
      </c>
      <c r="F48" s="45" t="str">
        <f>Millions</f>
        <v>$Millions</v>
      </c>
      <c r="G48" s="45" t="str">
        <f>Nominal</f>
        <v>Nominal</v>
      </c>
      <c r="H48" s="45" t="str">
        <f>End_year</f>
        <v>End year</v>
      </c>
      <c r="J48" s="58">
        <f>Calc_EB_SCS!J$57</f>
        <v>-7.8845046689057012</v>
      </c>
      <c r="K48" s="56">
        <f>Calc_EB_SCS!K$57</f>
        <v>-5.6135102810079154</v>
      </c>
      <c r="L48" s="57">
        <f>Calc_EB_SCS!L$57</f>
        <v>-5.9582503872671619</v>
      </c>
      <c r="M48" s="57">
        <f>Calc_EB_SCS!M$57</f>
        <v>-6.2959724032621116</v>
      </c>
      <c r="N48" s="57">
        <f>Calc_EB_SCS!N$57</f>
        <v>-6.7469041075964924</v>
      </c>
      <c r="O48" s="58">
        <f>Calc_EB_SCS!O$57</f>
        <v>-7.5019107256375284</v>
      </c>
      <c r="P48" s="56">
        <f>Calc_EB_SCS!P$57</f>
        <v>-8.1942189377969825</v>
      </c>
      <c r="Q48" s="57">
        <f>Calc_EB_SCS!Q$57</f>
        <v>-8.7368758220461622</v>
      </c>
      <c r="R48" s="57">
        <f>Calc_EB_SCS!R$57</f>
        <v>-9.3313810748686752</v>
      </c>
      <c r="S48" s="57">
        <f>Calc_EB_SCS!S$57</f>
        <v>-9.9549587870230241</v>
      </c>
      <c r="T48" s="58">
        <f>Calc_EB_SCS!T$57</f>
        <v>-10.56606530245419</v>
      </c>
    </row>
    <row r="49" spans="1:20" ht="12.3" x14ac:dyDescent="0.35">
      <c r="D49" s="10" t="str">
        <f>Calc_EB_SCS!$C$71</f>
        <v>RAB additions</v>
      </c>
      <c r="E49" s="45" t="str">
        <f>$E$35</f>
        <v>Calc_EB_SCS</v>
      </c>
      <c r="F49" s="45" t="str">
        <f>Millions</f>
        <v>$Millions</v>
      </c>
      <c r="G49" s="45" t="str">
        <f>Nominal</f>
        <v>Nominal</v>
      </c>
      <c r="H49" s="45" t="str">
        <f>End_year</f>
        <v>End year</v>
      </c>
      <c r="J49" s="58">
        <f>Calc_EB_SCS!J$76+Calc_EB_SCS!J$133</f>
        <v>5.4997395041675858</v>
      </c>
      <c r="K49" s="56">
        <f>Calc_EB_SCS!K$76+Calc_EB_SCS!K$133</f>
        <v>6.1478644424518665</v>
      </c>
      <c r="L49" s="57">
        <f>Calc_EB_SCS!L$76+Calc_EB_SCS!L$133</f>
        <v>7.4536803300472512</v>
      </c>
      <c r="M49" s="57">
        <f>Calc_EB_SCS!M$76+Calc_EB_SCS!M$133</f>
        <v>14.01559404134079</v>
      </c>
      <c r="N49" s="57">
        <f>Calc_EB_SCS!N$76+Calc_EB_SCS!N$133</f>
        <v>19.740786457710705</v>
      </c>
      <c r="O49" s="58">
        <f>Calc_EB_SCS!O$76+Calc_EB_SCS!O$133</f>
        <v>17.36077648543008</v>
      </c>
      <c r="P49" s="56">
        <f>Calc_EB_SCS!P$76+Calc_EB_SCS!P$133</f>
        <v>16.431606529573248</v>
      </c>
      <c r="Q49" s="57">
        <f>Calc_EB_SCS!Q$76+Calc_EB_SCS!Q$133</f>
        <v>18.372635184455074</v>
      </c>
      <c r="R49" s="57">
        <f>Calc_EB_SCS!R$76+Calc_EB_SCS!R$133</f>
        <v>19.004746835034201</v>
      </c>
      <c r="S49" s="57">
        <f>Calc_EB_SCS!S$76+Calc_EB_SCS!S$133</f>
        <v>17.352526204456598</v>
      </c>
      <c r="T49" s="58">
        <f>Calc_EB_SCS!T$76+Calc_EB_SCS!T$133</f>
        <v>18.081267644680928</v>
      </c>
    </row>
    <row r="50" spans="1:20" ht="12.3" x14ac:dyDescent="0.35">
      <c r="D50" s="10" t="str">
        <f>Calc_EB_SCS!$C$90</f>
        <v>Disposals</v>
      </c>
      <c r="E50" s="45" t="str">
        <f>$E$36</f>
        <v>Calc_EB_SCS</v>
      </c>
      <c r="F50" s="45" t="str">
        <f>Millions</f>
        <v>$Millions</v>
      </c>
      <c r="G50" s="45" t="str">
        <f>Nominal</f>
        <v>Nominal</v>
      </c>
      <c r="H50" s="45" t="str">
        <f>End_year</f>
        <v>End year</v>
      </c>
      <c r="J50" s="58">
        <f>Calc_EB_SCS!J$95</f>
        <v>-4.0051542248206187E-2</v>
      </c>
      <c r="K50" s="56">
        <f>Calc_EB_SCS!K$95</f>
        <v>-2.4377837506926014E-2</v>
      </c>
      <c r="L50" s="57">
        <f>Calc_EB_SCS!L$95</f>
        <v>-6.3587052874986533E-2</v>
      </c>
      <c r="M50" s="57">
        <f>Calc_EB_SCS!M$95</f>
        <v>-6.3570856718712931E-2</v>
      </c>
      <c r="N50" s="57">
        <f>Calc_EB_SCS!N$95</f>
        <v>-6.3172462816623545E-2</v>
      </c>
      <c r="O50" s="58">
        <f>Calc_EB_SCS!O$95</f>
        <v>-6.5284114798961554E-2</v>
      </c>
      <c r="P50" s="56">
        <f>Calc_EB_SCS!P$95</f>
        <v>-6.4995473669621329E-2</v>
      </c>
      <c r="Q50" s="57">
        <f>Calc_EB_SCS!Q$95</f>
        <v>-6.5045416625778757E-2</v>
      </c>
      <c r="R50" s="57">
        <f>Calc_EB_SCS!R$95</f>
        <v>-6.5095321264310821E-2</v>
      </c>
      <c r="S50" s="57">
        <f>Calc_EB_SCS!S$95</f>
        <v>-6.5145187673277413E-2</v>
      </c>
      <c r="T50" s="58">
        <f>Calc_EB_SCS!T$95</f>
        <v>-6.5195015940401724E-2</v>
      </c>
    </row>
    <row r="51" spans="1:20" x14ac:dyDescent="0.35">
      <c r="J51" s="49"/>
      <c r="K51" s="48"/>
      <c r="O51" s="49"/>
      <c r="P51" s="48"/>
      <c r="T51" s="49"/>
    </row>
    <row r="52" spans="1:20" ht="12.3" x14ac:dyDescent="0.35">
      <c r="D52" s="44" t="str">
        <f>D$22</f>
        <v>Closing balance</v>
      </c>
      <c r="E52" s="40" t="s">
        <v>91</v>
      </c>
      <c r="F52" s="40" t="str">
        <f>F46</f>
        <v>$Millions</v>
      </c>
      <c r="G52" s="40" t="str">
        <f>G46</f>
        <v>Nominal</v>
      </c>
      <c r="H52" s="40" t="str">
        <f>End_year</f>
        <v>End year</v>
      </c>
      <c r="J52" s="54">
        <f t="shared" ref="J52:T52" si="7">SUM(J46:J50)</f>
        <v>168.78727034496171</v>
      </c>
      <c r="K52" s="53">
        <f t="shared" si="7"/>
        <v>172.40376084702689</v>
      </c>
      <c r="L52" s="39">
        <f t="shared" si="7"/>
        <v>175.31928498346406</v>
      </c>
      <c r="M52" s="39">
        <f t="shared" si="7"/>
        <v>189.10851894257317</v>
      </c>
      <c r="N52" s="39">
        <f t="shared" si="7"/>
        <v>217.1679103452766</v>
      </c>
      <c r="O52" s="54">
        <f t="shared" si="7"/>
        <v>237.16838377649819</v>
      </c>
      <c r="P52" s="53">
        <f t="shared" si="7"/>
        <v>252.26523901296866</v>
      </c>
      <c r="Q52" s="39">
        <f t="shared" si="7"/>
        <v>269.20118990887022</v>
      </c>
      <c r="R52" s="39">
        <f t="shared" si="7"/>
        <v>286.66916610307266</v>
      </c>
      <c r="S52" s="39">
        <f t="shared" si="7"/>
        <v>302.37129611700146</v>
      </c>
      <c r="T52" s="54">
        <f t="shared" si="7"/>
        <v>318.64945690402539</v>
      </c>
    </row>
    <row r="53" spans="1:20" ht="11.25" customHeight="1" x14ac:dyDescent="0.35"/>
    <row r="54" spans="1:20" ht="11.25" customHeight="1" x14ac:dyDescent="0.35">
      <c r="A54" s="42">
        <f>IF(SUM($J54:$T54)&lt;&gt;0,1,0)</f>
        <v>0</v>
      </c>
      <c r="D54" s="10" t="s">
        <v>94</v>
      </c>
      <c r="J54" s="42">
        <f>IF(J52&lt;&gt;Calc_EB_SCS!J$152,1,0)</f>
        <v>0</v>
      </c>
      <c r="K54" s="42">
        <f>IF(K52&lt;&gt;Calc_EB_SCS!K$152,1,0)</f>
        <v>0</v>
      </c>
      <c r="L54" s="42">
        <f>IF(L52&lt;&gt;Calc_EB_SCS!L$152,1,0)</f>
        <v>0</v>
      </c>
      <c r="M54" s="42">
        <f>IF(M52&lt;&gt;Calc_EB_SCS!M$152,1,0)</f>
        <v>0</v>
      </c>
      <c r="N54" s="42">
        <f>IF(N52&lt;&gt;Calc_EB_SCS!N$152,1,0)</f>
        <v>0</v>
      </c>
      <c r="O54" s="42">
        <f>IF(O52&lt;&gt;Calc_EB_SCS!O$152,1,0)</f>
        <v>0</v>
      </c>
      <c r="P54" s="42">
        <f>IF(P52&lt;&gt;Calc_EB_SCS!P$152,1,0)</f>
        <v>0</v>
      </c>
      <c r="Q54" s="42">
        <f>IF(Q52&lt;&gt;Calc_EB_SCS!Q$152,1,0)</f>
        <v>0</v>
      </c>
      <c r="R54" s="42">
        <f>IF(R52&lt;&gt;Calc_EB_SCS!R$152,1,0)</f>
        <v>0</v>
      </c>
      <c r="S54" s="42">
        <f>IF(S52&lt;&gt;Calc_EB_SCS!S$152,1,0)</f>
        <v>0</v>
      </c>
      <c r="T54" s="42">
        <f>IF(T52&lt;&gt;Calc_EB_SCS!T$152,1,0)</f>
        <v>0</v>
      </c>
    </row>
    <row r="55" spans="1:20" ht="11.25" customHeight="1" x14ac:dyDescent="0.35">
      <c r="N55" s="5"/>
      <c r="S55" s="5"/>
    </row>
    <row r="56" spans="1:20" s="8" customFormat="1" ht="14.1" x14ac:dyDescent="0.35">
      <c r="C56" s="8" t="str">
        <f>Lookup!$D$108</f>
        <v>Distribution substations and transformers</v>
      </c>
    </row>
    <row r="57" spans="1:20" ht="11.25" customHeight="1" x14ac:dyDescent="0.35"/>
    <row r="58" spans="1:20" ht="12.3" x14ac:dyDescent="0.35">
      <c r="D58" s="43" t="str">
        <f>D$14</f>
        <v>Category heading</v>
      </c>
      <c r="E58" s="38" t="str">
        <f>Lookup!E$20</f>
        <v>Source</v>
      </c>
      <c r="F58" s="38" t="str">
        <f>Lookup!F$20</f>
        <v>Unit</v>
      </c>
      <c r="G58" s="38" t="str">
        <f>Lookup!G$20</f>
        <v>Basis</v>
      </c>
      <c r="H58" s="38" t="str">
        <f>Lookup!H$20</f>
        <v>Timing</v>
      </c>
      <c r="J58" s="47" t="str">
        <f t="shared" ref="J58:T58" si="8">J$10</f>
        <v>RY19</v>
      </c>
      <c r="K58" s="46" t="str">
        <f t="shared" si="8"/>
        <v>RY20</v>
      </c>
      <c r="L58" s="38" t="str">
        <f>L$10</f>
        <v>RY21</v>
      </c>
      <c r="M58" s="38" t="str">
        <f t="shared" si="8"/>
        <v>RY22</v>
      </c>
      <c r="N58" s="38" t="str">
        <f t="shared" si="8"/>
        <v>RY23</v>
      </c>
      <c r="O58" s="47" t="str">
        <f t="shared" si="8"/>
        <v>RY24</v>
      </c>
      <c r="P58" s="46" t="str">
        <f t="shared" si="8"/>
        <v>RY25</v>
      </c>
      <c r="Q58" s="38" t="str">
        <f>Q$10</f>
        <v>RY26</v>
      </c>
      <c r="R58" s="38" t="str">
        <f t="shared" si="8"/>
        <v>RY27</v>
      </c>
      <c r="S58" s="38" t="str">
        <f t="shared" si="8"/>
        <v>RY28</v>
      </c>
      <c r="T58" s="47" t="str">
        <f t="shared" si="8"/>
        <v>RY29</v>
      </c>
    </row>
    <row r="59" spans="1:20" x14ac:dyDescent="0.35">
      <c r="J59" s="49"/>
      <c r="K59" s="48"/>
      <c r="O59" s="49"/>
      <c r="P59" s="48"/>
      <c r="T59" s="49"/>
    </row>
    <row r="60" spans="1:20" ht="12.3" x14ac:dyDescent="0.35">
      <c r="D60" s="10" t="str">
        <f>Calc_EB_SCS!$C$14</f>
        <v>Opening balance</v>
      </c>
      <c r="E60" s="45" t="str">
        <f>$E$32</f>
        <v>Calc_EB_SCS</v>
      </c>
      <c r="F60" s="45" t="str">
        <f>Millions</f>
        <v>$Millions</v>
      </c>
      <c r="G60" s="45" t="str">
        <f>Nominal</f>
        <v>Nominal</v>
      </c>
      <c r="H60" s="45" t="str">
        <f>Start_year</f>
        <v>Start year</v>
      </c>
      <c r="J60" s="58">
        <f>Calc_EB_SCS!J$20</f>
        <v>129.09793704814521</v>
      </c>
      <c r="K60" s="56">
        <f>Calc_EB_SCS!K$20</f>
        <v>141.81876711597741</v>
      </c>
      <c r="L60" s="57">
        <f>Calc_EB_SCS!L$20</f>
        <v>144.7607548917367</v>
      </c>
      <c r="M60" s="57">
        <f>Calc_EB_SCS!M$20</f>
        <v>147.13720685357404</v>
      </c>
      <c r="N60" s="57">
        <f>Calc_EB_SCS!N$20</f>
        <v>154.15038158558008</v>
      </c>
      <c r="O60" s="58">
        <f>Calc_EB_SCS!O$20</f>
        <v>167.18054554245165</v>
      </c>
      <c r="P60" s="56">
        <f>Calc_EB_SCS!P$20</f>
        <v>174.11725569967822</v>
      </c>
      <c r="Q60" s="57">
        <f>Calc_EB_SCS!Q$20</f>
        <v>181.93538417230215</v>
      </c>
      <c r="R60" s="57">
        <f>Calc_EB_SCS!R$20</f>
        <v>190.21581760441333</v>
      </c>
      <c r="S60" s="57">
        <f>Calc_EB_SCS!S$20</f>
        <v>198.92741749072647</v>
      </c>
      <c r="T60" s="58">
        <f>Calc_EB_SCS!T$20</f>
        <v>208.06827162426234</v>
      </c>
    </row>
    <row r="61" spans="1:20" ht="12.3" x14ac:dyDescent="0.35">
      <c r="D61" s="10" t="str">
        <f>Calc_EB_SCS!$C$33</f>
        <v>Inflation</v>
      </c>
      <c r="E61" s="45" t="str">
        <f>$E$33</f>
        <v>Calc_EB_SCS</v>
      </c>
      <c r="F61" s="45" t="str">
        <f>Millions</f>
        <v>$Millions</v>
      </c>
      <c r="G61" s="45" t="str">
        <f>Nominal</f>
        <v>Nominal</v>
      </c>
      <c r="H61" s="45" t="str">
        <f>End_year</f>
        <v>End year</v>
      </c>
      <c r="J61" s="58">
        <f>Calc_EB_SCS!J$39</f>
        <v>2.3032638188786079</v>
      </c>
      <c r="K61" s="56">
        <f>Calc_EB_SCS!K$39</f>
        <v>2.6101613579627907</v>
      </c>
      <c r="L61" s="57">
        <f>Calc_EB_SCS!L$39</f>
        <v>1.2457896290166641</v>
      </c>
      <c r="M61" s="57">
        <f>Calc_EB_SCS!M$39</f>
        <v>5.1472913660379884</v>
      </c>
      <c r="N61" s="57">
        <f>Calc_EB_SCS!N$39</f>
        <v>12.33203052684641</v>
      </c>
      <c r="O61" s="58">
        <f>Calc_EB_SCS!O$39</f>
        <v>7.857485640495228</v>
      </c>
      <c r="P61" s="56">
        <f>Calc_EB_SCS!P$39</f>
        <v>5.083597131139264</v>
      </c>
      <c r="Q61" s="57">
        <f>Calc_EB_SCS!Q$39</f>
        <v>5.3118583411761442</v>
      </c>
      <c r="R61" s="57">
        <f>Calc_EB_SCS!R$39</f>
        <v>5.55361719196274</v>
      </c>
      <c r="S61" s="57">
        <f>Calc_EB_SCS!S$39</f>
        <v>5.8079645512278137</v>
      </c>
      <c r="T61" s="58">
        <f>Calc_EB_SCS!T$39</f>
        <v>6.0748445894105618</v>
      </c>
    </row>
    <row r="62" spans="1:20" ht="12.3" x14ac:dyDescent="0.35">
      <c r="D62" s="10" t="str">
        <f>Calc_EB_SCS!$C$52</f>
        <v>Straight line depreciation</v>
      </c>
      <c r="E62" s="45" t="str">
        <f>$E$34</f>
        <v>Calc_EB_SCS</v>
      </c>
      <c r="F62" s="45" t="str">
        <f>Millions</f>
        <v>$Millions</v>
      </c>
      <c r="G62" s="45" t="str">
        <f>Nominal</f>
        <v>Nominal</v>
      </c>
      <c r="H62" s="45" t="str">
        <f>End_year</f>
        <v>End year</v>
      </c>
      <c r="J62" s="58">
        <f>Calc_EB_SCS!J$58</f>
        <v>-5.5411098174246547</v>
      </c>
      <c r="K62" s="56">
        <f>Calc_EB_SCS!K$58</f>
        <v>-5.594437542824207</v>
      </c>
      <c r="L62" s="57">
        <f>Calc_EB_SCS!L$58</f>
        <v>-5.8878248143197407</v>
      </c>
      <c r="M62" s="57">
        <f>Calc_EB_SCS!M$58</f>
        <v>-6.1494469899234181</v>
      </c>
      <c r="N62" s="57">
        <f>Calc_EB_SCS!N$58</f>
        <v>-6.5826412053305026</v>
      </c>
      <c r="O62" s="58">
        <f>Calc_EB_SCS!O$58</f>
        <v>-7.377843602276787</v>
      </c>
      <c r="P62" s="56">
        <f>Calc_EB_SCS!P$58</f>
        <v>-7.6624552976998554</v>
      </c>
      <c r="Q62" s="57">
        <f>Calc_EB_SCS!Q$58</f>
        <v>-8.1071917072865247</v>
      </c>
      <c r="R62" s="57">
        <f>Calc_EB_SCS!R$58</f>
        <v>-8.5794309011529233</v>
      </c>
      <c r="S62" s="57">
        <f>Calc_EB_SCS!S$58</f>
        <v>-9.0796210549984409</v>
      </c>
      <c r="T62" s="58">
        <f>Calc_EB_SCS!T$58</f>
        <v>-9.6088724868809763</v>
      </c>
    </row>
    <row r="63" spans="1:20" ht="12.3" x14ac:dyDescent="0.35">
      <c r="D63" s="10" t="str">
        <f>Calc_EB_SCS!$C$71</f>
        <v>RAB additions</v>
      </c>
      <c r="E63" s="45" t="str">
        <f>$E$35</f>
        <v>Calc_EB_SCS</v>
      </c>
      <c r="F63" s="45" t="str">
        <f>Millions</f>
        <v>$Millions</v>
      </c>
      <c r="G63" s="45" t="str">
        <f>Nominal</f>
        <v>Nominal</v>
      </c>
      <c r="H63" s="45" t="str">
        <f>End_year</f>
        <v>End year</v>
      </c>
      <c r="J63" s="58">
        <f>Calc_EB_SCS!J$77+Calc_EB_SCS!J$134</f>
        <v>15.989757148284625</v>
      </c>
      <c r="K63" s="56">
        <f>Calc_EB_SCS!K$77+Calc_EB_SCS!K$134</f>
        <v>5.9637257843514844</v>
      </c>
      <c r="L63" s="57">
        <f>Calc_EB_SCS!L$77+Calc_EB_SCS!L$134</f>
        <v>7.0245318767604061</v>
      </c>
      <c r="M63" s="57">
        <f>Calc_EB_SCS!M$77+Calc_EB_SCS!M$134</f>
        <v>8.0153303558914573</v>
      </c>
      <c r="N63" s="57">
        <f>Calc_EB_SCS!N$77+Calc_EB_SCS!N$134</f>
        <v>7.2981286233287985</v>
      </c>
      <c r="O63" s="58">
        <f>Calc_EB_SCS!O$77+Calc_EB_SCS!O$134</f>
        <v>6.4750021949099272</v>
      </c>
      <c r="P63" s="56">
        <f>Calc_EB_SCS!P$77+Calc_EB_SCS!P$134</f>
        <v>10.414841423026754</v>
      </c>
      <c r="Q63" s="57">
        <f>Calc_EB_SCS!Q$77+Calc_EB_SCS!Q$134</f>
        <v>11.093635301798965</v>
      </c>
      <c r="R63" s="57">
        <f>Calc_EB_SCS!R$77+Calc_EB_SCS!R$134</f>
        <v>11.75529580828977</v>
      </c>
      <c r="S63" s="57">
        <f>Calc_EB_SCS!S$77+Calc_EB_SCS!S$134</f>
        <v>12.43040654879996</v>
      </c>
      <c r="T63" s="58">
        <f>Calc_EB_SCS!T$77+Calc_EB_SCS!T$134</f>
        <v>13.169454946205253</v>
      </c>
    </row>
    <row r="64" spans="1:20" ht="12.3" x14ac:dyDescent="0.35">
      <c r="D64" s="10" t="str">
        <f>Calc_EB_SCS!$C$90</f>
        <v>Disposals</v>
      </c>
      <c r="E64" s="45" t="str">
        <f>$E$36</f>
        <v>Calc_EB_SCS</v>
      </c>
      <c r="F64" s="45" t="str">
        <f>Millions</f>
        <v>$Millions</v>
      </c>
      <c r="G64" s="45" t="str">
        <f>Nominal</f>
        <v>Nominal</v>
      </c>
      <c r="H64" s="45" t="str">
        <f>End_year</f>
        <v>End year</v>
      </c>
      <c r="J64" s="58">
        <f>Calc_EB_SCS!J$96</f>
        <v>-3.1081081906396572E-2</v>
      </c>
      <c r="K64" s="56">
        <f>Calc_EB_SCS!K$96</f>
        <v>-3.7461823730769693E-2</v>
      </c>
      <c r="L64" s="57">
        <f>Calc_EB_SCS!L$96</f>
        <v>-6.0447296199541986E-3</v>
      </c>
      <c r="M64" s="57">
        <f>Calc_EB_SCS!M$96</f>
        <v>0</v>
      </c>
      <c r="N64" s="57">
        <f>Calc_EB_SCS!N$96</f>
        <v>-1.7353987973151231E-2</v>
      </c>
      <c r="O64" s="58">
        <f>Calc_EB_SCS!O$96</f>
        <v>-1.7934075901832262E-2</v>
      </c>
      <c r="P64" s="56">
        <f>Calc_EB_SCS!P$96</f>
        <v>-1.7854783842226045E-2</v>
      </c>
      <c r="Q64" s="57">
        <f>Calc_EB_SCS!Q$96</f>
        <v>-1.7868503577405846E-2</v>
      </c>
      <c r="R64" s="57">
        <f>Calc_EB_SCS!R$96</f>
        <v>-1.7882212786423133E-2</v>
      </c>
      <c r="S64" s="57">
        <f>Calc_EB_SCS!S$96</f>
        <v>-1.7895911493468676E-2</v>
      </c>
      <c r="T64" s="58">
        <f>Calc_EB_SCS!T$96</f>
        <v>-1.7909599722640748E-2</v>
      </c>
    </row>
    <row r="65" spans="1:20" x14ac:dyDescent="0.35">
      <c r="J65" s="49"/>
      <c r="K65" s="48"/>
      <c r="O65" s="49"/>
      <c r="P65" s="48"/>
      <c r="T65" s="49"/>
    </row>
    <row r="66" spans="1:20" ht="12.3" x14ac:dyDescent="0.35">
      <c r="D66" s="44" t="str">
        <f>D$22</f>
        <v>Closing balance</v>
      </c>
      <c r="E66" s="40" t="s">
        <v>91</v>
      </c>
      <c r="F66" s="40" t="str">
        <f>F60</f>
        <v>$Millions</v>
      </c>
      <c r="G66" s="40" t="str">
        <f>G60</f>
        <v>Nominal</v>
      </c>
      <c r="H66" s="40" t="str">
        <f>End_year</f>
        <v>End year</v>
      </c>
      <c r="J66" s="54">
        <f t="shared" ref="J66:T66" si="9">SUM(J60:J64)</f>
        <v>141.81876711597738</v>
      </c>
      <c r="K66" s="53">
        <f t="shared" si="9"/>
        <v>144.7607548917367</v>
      </c>
      <c r="L66" s="39">
        <f t="shared" si="9"/>
        <v>147.13720685357404</v>
      </c>
      <c r="M66" s="39">
        <f t="shared" si="9"/>
        <v>154.15038158558008</v>
      </c>
      <c r="N66" s="39">
        <f t="shared" si="9"/>
        <v>167.18054554245165</v>
      </c>
      <c r="O66" s="54">
        <f t="shared" si="9"/>
        <v>174.11725569967822</v>
      </c>
      <c r="P66" s="53">
        <f t="shared" si="9"/>
        <v>181.93538417230215</v>
      </c>
      <c r="Q66" s="39">
        <f t="shared" si="9"/>
        <v>190.21581760441333</v>
      </c>
      <c r="R66" s="39">
        <f t="shared" si="9"/>
        <v>198.92741749072647</v>
      </c>
      <c r="S66" s="39">
        <f t="shared" si="9"/>
        <v>208.06827162426234</v>
      </c>
      <c r="T66" s="54">
        <f t="shared" si="9"/>
        <v>217.68578907327455</v>
      </c>
    </row>
    <row r="67" spans="1:20" ht="11.25" customHeight="1" x14ac:dyDescent="0.35"/>
    <row r="68" spans="1:20" ht="11.25" customHeight="1" x14ac:dyDescent="0.35">
      <c r="A68" s="42">
        <f>IF(SUM($J68:$T68)&lt;&gt;0,1,0)</f>
        <v>0</v>
      </c>
      <c r="D68" s="10" t="s">
        <v>94</v>
      </c>
      <c r="J68" s="42">
        <f>IF(J66&lt;&gt;Calc_EB_SCS!J$153,1,0)</f>
        <v>0</v>
      </c>
      <c r="K68" s="42">
        <f>IF(K66&lt;&gt;Calc_EB_SCS!K$153,1,0)</f>
        <v>0</v>
      </c>
      <c r="L68" s="42">
        <f>IF(L66&lt;&gt;Calc_EB_SCS!L$153,1,0)</f>
        <v>0</v>
      </c>
      <c r="M68" s="42">
        <f>IF(M66&lt;&gt;Calc_EB_SCS!M$153,1,0)</f>
        <v>0</v>
      </c>
      <c r="N68" s="42">
        <f>IF(N66&lt;&gt;Calc_EB_SCS!N$153,1,0)</f>
        <v>0</v>
      </c>
      <c r="O68" s="42">
        <f>IF(O66&lt;&gt;Calc_EB_SCS!O$153,1,0)</f>
        <v>0</v>
      </c>
      <c r="P68" s="42">
        <f>IF(P66&lt;&gt;Calc_EB_SCS!P$153,1,0)</f>
        <v>0</v>
      </c>
      <c r="Q68" s="42">
        <f>IF(Q66&lt;&gt;Calc_EB_SCS!Q$153,1,0)</f>
        <v>0</v>
      </c>
      <c r="R68" s="42">
        <f>IF(R66&lt;&gt;Calc_EB_SCS!R$153,1,0)</f>
        <v>0</v>
      </c>
      <c r="S68" s="42">
        <f>IF(S66&lt;&gt;Calc_EB_SCS!S$153,1,0)</f>
        <v>0</v>
      </c>
      <c r="T68" s="42">
        <f>IF(T66&lt;&gt;Calc_EB_SCS!T$153,1,0)</f>
        <v>0</v>
      </c>
    </row>
    <row r="69" spans="1:20" ht="11.25" customHeight="1" x14ac:dyDescent="0.35">
      <c r="N69" s="5"/>
      <c r="S69" s="5"/>
    </row>
    <row r="70" spans="1:20" s="8" customFormat="1" ht="14.1" x14ac:dyDescent="0.35">
      <c r="C70" s="8" t="str">
        <f>Lookup!$D$109</f>
        <v>Overhead network assets 33kV and above</v>
      </c>
    </row>
    <row r="71" spans="1:20" ht="11.25" customHeight="1" x14ac:dyDescent="0.35"/>
    <row r="72" spans="1:20" ht="12.3" x14ac:dyDescent="0.35">
      <c r="D72" s="43" t="str">
        <f>D$14</f>
        <v>Category heading</v>
      </c>
      <c r="E72" s="38" t="str">
        <f>Lookup!E$20</f>
        <v>Source</v>
      </c>
      <c r="F72" s="38" t="str">
        <f>Lookup!F$20</f>
        <v>Unit</v>
      </c>
      <c r="G72" s="38" t="str">
        <f>Lookup!G$20</f>
        <v>Basis</v>
      </c>
      <c r="H72" s="38" t="str">
        <f>Lookup!H$20</f>
        <v>Timing</v>
      </c>
      <c r="J72" s="47" t="str">
        <f t="shared" ref="J72:T72" si="10">J$10</f>
        <v>RY19</v>
      </c>
      <c r="K72" s="46" t="str">
        <f t="shared" si="10"/>
        <v>RY20</v>
      </c>
      <c r="L72" s="38" t="str">
        <f>L$10</f>
        <v>RY21</v>
      </c>
      <c r="M72" s="38" t="str">
        <f t="shared" si="10"/>
        <v>RY22</v>
      </c>
      <c r="N72" s="38" t="str">
        <f t="shared" si="10"/>
        <v>RY23</v>
      </c>
      <c r="O72" s="47" t="str">
        <f t="shared" si="10"/>
        <v>RY24</v>
      </c>
      <c r="P72" s="46" t="str">
        <f t="shared" si="10"/>
        <v>RY25</v>
      </c>
      <c r="Q72" s="38" t="str">
        <f>Q$10</f>
        <v>RY26</v>
      </c>
      <c r="R72" s="38" t="str">
        <f t="shared" si="10"/>
        <v>RY27</v>
      </c>
      <c r="S72" s="38" t="str">
        <f t="shared" si="10"/>
        <v>RY28</v>
      </c>
      <c r="T72" s="47" t="str">
        <f t="shared" si="10"/>
        <v>RY29</v>
      </c>
    </row>
    <row r="73" spans="1:20" x14ac:dyDescent="0.35">
      <c r="J73" s="49"/>
      <c r="K73" s="48"/>
      <c r="O73" s="49"/>
      <c r="P73" s="48"/>
      <c r="T73" s="49"/>
    </row>
    <row r="74" spans="1:20" ht="12.3" x14ac:dyDescent="0.35">
      <c r="D74" s="10" t="str">
        <f>Calc_EB_SCS!$C$14</f>
        <v>Opening balance</v>
      </c>
      <c r="E74" s="45" t="str">
        <f>$E$32</f>
        <v>Calc_EB_SCS</v>
      </c>
      <c r="F74" s="45" t="str">
        <f>Millions</f>
        <v>$Millions</v>
      </c>
      <c r="G74" s="45" t="str">
        <f>Nominal</f>
        <v>Nominal</v>
      </c>
      <c r="H74" s="45" t="str">
        <f>Start_year</f>
        <v>Start year</v>
      </c>
      <c r="J74" s="58">
        <f>Calc_EB_SCS!J$21</f>
        <v>119.51922575092475</v>
      </c>
      <c r="K74" s="56">
        <f>Calc_EB_SCS!K$21</f>
        <v>118.46667024464533</v>
      </c>
      <c r="L74" s="57">
        <f>Calc_EB_SCS!L$21</f>
        <v>116.92662676154043</v>
      </c>
      <c r="M74" s="57">
        <f>Calc_EB_SCS!M$21</f>
        <v>114.5637827333488</v>
      </c>
      <c r="N74" s="57">
        <f>Calc_EB_SCS!N$21</f>
        <v>115.64687455245625</v>
      </c>
      <c r="O74" s="58">
        <f>Calc_EB_SCS!O$21</f>
        <v>122.17080133819033</v>
      </c>
      <c r="P74" s="56">
        <f>Calc_EB_SCS!P$21</f>
        <v>129.27579651119797</v>
      </c>
      <c r="Q74" s="57">
        <f>Calc_EB_SCS!Q$21</f>
        <v>129.94276586502178</v>
      </c>
      <c r="R74" s="57">
        <f>Calc_EB_SCS!R$21</f>
        <v>133.09131475498137</v>
      </c>
      <c r="S74" s="57">
        <f>Calc_EB_SCS!S$21</f>
        <v>133.15610417171649</v>
      </c>
      <c r="T74" s="58">
        <f>Calc_EB_SCS!T$21</f>
        <v>132.33488678273261</v>
      </c>
    </row>
    <row r="75" spans="1:20" ht="12.3" x14ac:dyDescent="0.35">
      <c r="D75" s="10" t="str">
        <f>Calc_EB_SCS!$C$33</f>
        <v>Inflation</v>
      </c>
      <c r="E75" s="45" t="str">
        <f>$E$33</f>
        <v>Calc_EB_SCS</v>
      </c>
      <c r="F75" s="45" t="str">
        <f>Millions</f>
        <v>$Millions</v>
      </c>
      <c r="G75" s="45" t="str">
        <f>Nominal</f>
        <v>Nominal</v>
      </c>
      <c r="H75" s="45" t="str">
        <f>End_year</f>
        <v>End year</v>
      </c>
      <c r="J75" s="58">
        <f>Calc_EB_SCS!J$40</f>
        <v>2.1323679884197224</v>
      </c>
      <c r="K75" s="56">
        <f>Calc_EB_SCS!K$40</f>
        <v>2.1803681640118913</v>
      </c>
      <c r="L75" s="57">
        <f>Calc_EB_SCS!L$40</f>
        <v>1.0062532423540462</v>
      </c>
      <c r="M75" s="57">
        <f>Calc_EB_SCS!M$40</f>
        <v>4.0077773823099729</v>
      </c>
      <c r="N75" s="57">
        <f>Calc_EB_SCS!N$40</f>
        <v>9.2517499641964989</v>
      </c>
      <c r="O75" s="58">
        <f>Calc_EB_SCS!O$40</f>
        <v>5.7420276628949463</v>
      </c>
      <c r="P75" s="56">
        <f>Calc_EB_SCS!P$40</f>
        <v>3.774387929727081</v>
      </c>
      <c r="Q75" s="57">
        <f>Calc_EB_SCS!Q$40</f>
        <v>3.7938610341016692</v>
      </c>
      <c r="R75" s="57">
        <f>Calc_EB_SCS!R$40</f>
        <v>3.8857873284826097</v>
      </c>
      <c r="S75" s="57">
        <f>Calc_EB_SCS!S$40</f>
        <v>3.8876789462416843</v>
      </c>
      <c r="T75" s="58">
        <f>Calc_EB_SCS!T$40</f>
        <v>3.8637023544564286</v>
      </c>
    </row>
    <row r="76" spans="1:20" ht="12.3" x14ac:dyDescent="0.35">
      <c r="D76" s="10" t="str">
        <f>Calc_EB_SCS!$C$52</f>
        <v>Straight line depreciation</v>
      </c>
      <c r="E76" s="45" t="str">
        <f>$E$34</f>
        <v>Calc_EB_SCS</v>
      </c>
      <c r="F76" s="45" t="str">
        <f>Millions</f>
        <v>$Millions</v>
      </c>
      <c r="G76" s="45" t="str">
        <f>Nominal</f>
        <v>Nominal</v>
      </c>
      <c r="H76" s="45" t="str">
        <f>End_year</f>
        <v>End year</v>
      </c>
      <c r="J76" s="58">
        <f>Calc_EB_SCS!J$59</f>
        <v>-4.3651329613817333</v>
      </c>
      <c r="K76" s="56">
        <f>Calc_EB_SCS!K$59</f>
        <v>-4.3527149112480537</v>
      </c>
      <c r="L76" s="57">
        <f>Calc_EB_SCS!L$59</f>
        <v>-4.4683421903256884</v>
      </c>
      <c r="M76" s="57">
        <f>Calc_EB_SCS!M$59</f>
        <v>-4.541306979397012</v>
      </c>
      <c r="N76" s="57">
        <f>Calc_EB_SCS!N$59</f>
        <v>-4.7353287081580113</v>
      </c>
      <c r="O76" s="58">
        <f>Calc_EB_SCS!O$59</f>
        <v>-5.155321663172626</v>
      </c>
      <c r="P76" s="56">
        <f>Calc_EB_SCS!P$59</f>
        <v>-5.541219286970728</v>
      </c>
      <c r="Q76" s="57">
        <f>Calc_EB_SCS!Q$59</f>
        <v>-5.747319940495129</v>
      </c>
      <c r="R76" s="57">
        <f>Calc_EB_SCS!R$59</f>
        <v>-6.0080232850636097</v>
      </c>
      <c r="S76" s="57">
        <f>Calc_EB_SCS!S$59</f>
        <v>-6.2232594111765325</v>
      </c>
      <c r="T76" s="58">
        <f>Calc_EB_SCS!T$59</f>
        <v>-6.4325311720924487</v>
      </c>
    </row>
    <row r="77" spans="1:20" ht="12.3" x14ac:dyDescent="0.35">
      <c r="D77" s="10" t="str">
        <f>Calc_EB_SCS!$C$71</f>
        <v>RAB additions</v>
      </c>
      <c r="E77" s="45" t="str">
        <f>$E$35</f>
        <v>Calc_EB_SCS</v>
      </c>
      <c r="F77" s="45" t="str">
        <f>Millions</f>
        <v>$Millions</v>
      </c>
      <c r="G77" s="45" t="str">
        <f>Nominal</f>
        <v>Nominal</v>
      </c>
      <c r="H77" s="45" t="str">
        <f>End_year</f>
        <v>End year</v>
      </c>
      <c r="J77" s="58">
        <f>Calc_EB_SCS!J$78+Calc_EB_SCS!J$135</f>
        <v>1.1802094666826037</v>
      </c>
      <c r="K77" s="56">
        <f>Calc_EB_SCS!K$78+Calc_EB_SCS!K$135</f>
        <v>0.6358272541840313</v>
      </c>
      <c r="L77" s="57">
        <f>Calc_EB_SCS!L$78+Calc_EB_SCS!L$135</f>
        <v>1.1057157616857085</v>
      </c>
      <c r="M77" s="57">
        <f>Calc_EB_SCS!M$78+Calc_EB_SCS!M$135</f>
        <v>1.6270920263082307</v>
      </c>
      <c r="N77" s="57">
        <f>Calc_EB_SCS!N$78+Calc_EB_SCS!N$135</f>
        <v>2.0155104142446509</v>
      </c>
      <c r="O77" s="58">
        <f>Calc_EB_SCS!O$78+Calc_EB_SCS!O$135</f>
        <v>6.5265616353447768</v>
      </c>
      <c r="P77" s="56">
        <f>Calc_EB_SCS!P$78+Calc_EB_SCS!P$135</f>
        <v>2.442036598030525</v>
      </c>
      <c r="Q77" s="57">
        <f>Calc_EB_SCS!Q$78+Calc_EB_SCS!Q$135</f>
        <v>5.1102500118266541</v>
      </c>
      <c r="R77" s="57">
        <f>Calc_EB_SCS!R$78+Calc_EB_SCS!R$135</f>
        <v>2.1952739124448803</v>
      </c>
      <c r="S77" s="57">
        <f>Calc_EB_SCS!S$78+Calc_EB_SCS!S$135</f>
        <v>1.5226179338906405</v>
      </c>
      <c r="T77" s="58">
        <f>Calc_EB_SCS!T$78+Calc_EB_SCS!T$135</f>
        <v>1.5775496314157453</v>
      </c>
    </row>
    <row r="78" spans="1:20" ht="12.3" x14ac:dyDescent="0.35">
      <c r="D78" s="10" t="str">
        <f>Calc_EB_SCS!$C$90</f>
        <v>Disposals</v>
      </c>
      <c r="E78" s="45" t="str">
        <f>$E$36</f>
        <v>Calc_EB_SCS</v>
      </c>
      <c r="F78" s="45" t="str">
        <f>Millions</f>
        <v>$Millions</v>
      </c>
      <c r="G78" s="45" t="str">
        <f>Nominal</f>
        <v>Nominal</v>
      </c>
      <c r="H78" s="45" t="str">
        <f>End_year</f>
        <v>End year</v>
      </c>
      <c r="J78" s="58">
        <f>Calc_EB_SCS!J$97</f>
        <v>0</v>
      </c>
      <c r="K78" s="56">
        <f>Calc_EB_SCS!K$97</f>
        <v>-3.5239900527672652E-3</v>
      </c>
      <c r="L78" s="57">
        <f>Calc_EB_SCS!L$97</f>
        <v>-6.4708419057097647E-3</v>
      </c>
      <c r="M78" s="57">
        <f>Calc_EB_SCS!M$97</f>
        <v>-1.0470610113738751E-2</v>
      </c>
      <c r="N78" s="57">
        <f>Calc_EB_SCS!N$97</f>
        <v>-8.0048845490471084E-3</v>
      </c>
      <c r="O78" s="58">
        <f>Calc_EB_SCS!O$97</f>
        <v>-8.2724620594482722E-3</v>
      </c>
      <c r="P78" s="56">
        <f>Calc_EB_SCS!P$97</f>
        <v>-8.2358869630620168E-3</v>
      </c>
      <c r="Q78" s="57">
        <f>Calc_EB_SCS!Q$97</f>
        <v>-8.2422154736226851E-3</v>
      </c>
      <c r="R78" s="57">
        <f>Calc_EB_SCS!R$97</f>
        <v>-8.2485391287739906E-3</v>
      </c>
      <c r="S78" s="57">
        <f>Calc_EB_SCS!S$97</f>
        <v>-8.2548579396744277E-3</v>
      </c>
      <c r="T78" s="58">
        <f>Calc_EB_SCS!T$97</f>
        <v>-8.2611719174398197E-3</v>
      </c>
    </row>
    <row r="79" spans="1:20" x14ac:dyDescent="0.35">
      <c r="J79" s="49"/>
      <c r="K79" s="48"/>
      <c r="O79" s="49"/>
      <c r="P79" s="48"/>
      <c r="T79" s="49"/>
    </row>
    <row r="80" spans="1:20" ht="12.3" x14ac:dyDescent="0.35">
      <c r="D80" s="44" t="str">
        <f>D$22</f>
        <v>Closing balance</v>
      </c>
      <c r="E80" s="40" t="s">
        <v>91</v>
      </c>
      <c r="F80" s="40" t="str">
        <f>F74</f>
        <v>$Millions</v>
      </c>
      <c r="G80" s="40" t="str">
        <f>G74</f>
        <v>Nominal</v>
      </c>
      <c r="H80" s="40" t="str">
        <f>End_year</f>
        <v>End year</v>
      </c>
      <c r="J80" s="54">
        <f t="shared" ref="J80:T80" si="11">SUM(J74:J78)</f>
        <v>118.46667024464533</v>
      </c>
      <c r="K80" s="53">
        <f t="shared" si="11"/>
        <v>116.92662676154043</v>
      </c>
      <c r="L80" s="39">
        <f t="shared" si="11"/>
        <v>114.5637827333488</v>
      </c>
      <c r="M80" s="39">
        <f t="shared" si="11"/>
        <v>115.64687455245625</v>
      </c>
      <c r="N80" s="39">
        <f t="shared" si="11"/>
        <v>122.17080133819033</v>
      </c>
      <c r="O80" s="54">
        <f t="shared" si="11"/>
        <v>129.275796511198</v>
      </c>
      <c r="P80" s="53">
        <f t="shared" si="11"/>
        <v>129.94276586502178</v>
      </c>
      <c r="Q80" s="39">
        <f t="shared" si="11"/>
        <v>133.09131475498137</v>
      </c>
      <c r="R80" s="39">
        <f t="shared" si="11"/>
        <v>133.15610417171649</v>
      </c>
      <c r="S80" s="39">
        <f t="shared" si="11"/>
        <v>132.33488678273261</v>
      </c>
      <c r="T80" s="54">
        <f t="shared" si="11"/>
        <v>131.33534642459489</v>
      </c>
    </row>
    <row r="81" spans="1:20" ht="11.25" customHeight="1" x14ac:dyDescent="0.35"/>
    <row r="82" spans="1:20" ht="11.25" customHeight="1" x14ac:dyDescent="0.35">
      <c r="A82" s="42">
        <f>IF(SUM($J82:$T82)&lt;&gt;0,1,0)</f>
        <v>0</v>
      </c>
      <c r="D82" s="10" t="s">
        <v>94</v>
      </c>
      <c r="J82" s="42">
        <f>IF(J80&lt;&gt;Calc_EB_SCS!J$154,1,0)</f>
        <v>0</v>
      </c>
      <c r="K82" s="42">
        <f>IF(K80&lt;&gt;Calc_EB_SCS!K$154,1,0)</f>
        <v>0</v>
      </c>
      <c r="L82" s="42">
        <f>IF(L80&lt;&gt;Calc_EB_SCS!L$154,1,0)</f>
        <v>0</v>
      </c>
      <c r="M82" s="42">
        <f>IF(M80&lt;&gt;Calc_EB_SCS!M$154,1,0)</f>
        <v>0</v>
      </c>
      <c r="N82" s="42">
        <f>IF(N80&lt;&gt;Calc_EB_SCS!N$154,1,0)</f>
        <v>0</v>
      </c>
      <c r="O82" s="42">
        <f>IF(O80&lt;&gt;Calc_EB_SCS!O$154,1,0)</f>
        <v>0</v>
      </c>
      <c r="P82" s="42">
        <f>IF(P80&lt;&gt;Calc_EB_SCS!P$154,1,0)</f>
        <v>0</v>
      </c>
      <c r="Q82" s="42">
        <f>IF(Q80&lt;&gt;Calc_EB_SCS!Q$154,1,0)</f>
        <v>0</v>
      </c>
      <c r="R82" s="42">
        <f>IF(R80&lt;&gt;Calc_EB_SCS!R$154,1,0)</f>
        <v>0</v>
      </c>
      <c r="S82" s="42">
        <f>IF(S80&lt;&gt;Calc_EB_SCS!S$154,1,0)</f>
        <v>0</v>
      </c>
      <c r="T82" s="42">
        <f>IF(T80&lt;&gt;Calc_EB_SCS!T$154,1,0)</f>
        <v>0</v>
      </c>
    </row>
    <row r="83" spans="1:20" ht="11.25" customHeight="1" x14ac:dyDescent="0.35">
      <c r="N83" s="5"/>
      <c r="S83" s="5"/>
    </row>
    <row r="84" spans="1:20" s="8" customFormat="1" ht="14.1" x14ac:dyDescent="0.35">
      <c r="C84" s="8" t="str">
        <f>Lookup!$D$110</f>
        <v>Underground network assets 33kV and above</v>
      </c>
    </row>
    <row r="85" spans="1:20" ht="11.25" customHeight="1" x14ac:dyDescent="0.35"/>
    <row r="86" spans="1:20" ht="12.3" x14ac:dyDescent="0.35">
      <c r="D86" s="43" t="str">
        <f>D$14</f>
        <v>Category heading</v>
      </c>
      <c r="E86" s="38" t="str">
        <f>Lookup!E$20</f>
        <v>Source</v>
      </c>
      <c r="F86" s="38" t="str">
        <f>Lookup!F$20</f>
        <v>Unit</v>
      </c>
      <c r="G86" s="38" t="str">
        <f>Lookup!G$20</f>
        <v>Basis</v>
      </c>
      <c r="H86" s="38" t="str">
        <f>Lookup!H$20</f>
        <v>Timing</v>
      </c>
      <c r="J86" s="47" t="str">
        <f t="shared" ref="J86:T86" si="12">J$10</f>
        <v>RY19</v>
      </c>
      <c r="K86" s="46" t="str">
        <f t="shared" si="12"/>
        <v>RY20</v>
      </c>
      <c r="L86" s="38" t="str">
        <f>L$10</f>
        <v>RY21</v>
      </c>
      <c r="M86" s="38" t="str">
        <f t="shared" si="12"/>
        <v>RY22</v>
      </c>
      <c r="N86" s="38" t="str">
        <f t="shared" si="12"/>
        <v>RY23</v>
      </c>
      <c r="O86" s="47" t="str">
        <f t="shared" si="12"/>
        <v>RY24</v>
      </c>
      <c r="P86" s="46" t="str">
        <f t="shared" si="12"/>
        <v>RY25</v>
      </c>
      <c r="Q86" s="38" t="str">
        <f>Q$10</f>
        <v>RY26</v>
      </c>
      <c r="R86" s="38" t="str">
        <f t="shared" si="12"/>
        <v>RY27</v>
      </c>
      <c r="S86" s="38" t="str">
        <f t="shared" si="12"/>
        <v>RY28</v>
      </c>
      <c r="T86" s="47" t="str">
        <f t="shared" si="12"/>
        <v>RY29</v>
      </c>
    </row>
    <row r="87" spans="1:20" x14ac:dyDescent="0.35">
      <c r="J87" s="49"/>
      <c r="K87" s="48"/>
      <c r="O87" s="49"/>
      <c r="P87" s="48"/>
      <c r="T87" s="49"/>
    </row>
    <row r="88" spans="1:20" ht="12.3" x14ac:dyDescent="0.35">
      <c r="D88" s="10" t="str">
        <f>Calc_EB_SCS!$C$14</f>
        <v>Opening balance</v>
      </c>
      <c r="E88" s="45" t="str">
        <f>$E$32</f>
        <v>Calc_EB_SCS</v>
      </c>
      <c r="F88" s="45" t="str">
        <f>Millions</f>
        <v>$Millions</v>
      </c>
      <c r="G88" s="45" t="str">
        <f>Nominal</f>
        <v>Nominal</v>
      </c>
      <c r="H88" s="45" t="str">
        <f>Start_year</f>
        <v>Start year</v>
      </c>
      <c r="J88" s="58">
        <f>Calc_EB_SCS!J$22</f>
        <v>59.80574090889462</v>
      </c>
      <c r="K88" s="56">
        <f>Calc_EB_SCS!K$22</f>
        <v>59.27905692558334</v>
      </c>
      <c r="L88" s="57">
        <f>Calc_EB_SCS!L$22</f>
        <v>58.508440809554067</v>
      </c>
      <c r="M88" s="57">
        <f>Calc_EB_SCS!M$22</f>
        <v>57.326106863945611</v>
      </c>
      <c r="N88" s="57">
        <f>Calc_EB_SCS!N$22</f>
        <v>57.86807078905565</v>
      </c>
      <c r="O88" s="58">
        <f>Calc_EB_SCS!O$22</f>
        <v>61.132552068990577</v>
      </c>
      <c r="P88" s="56">
        <f>Calc_EB_SCS!P$22</f>
        <v>64.687791803904574</v>
      </c>
      <c r="Q88" s="57">
        <f>Calc_EB_SCS!Q$22</f>
        <v>65.021533895340852</v>
      </c>
      <c r="R88" s="57">
        <f>Calc_EB_SCS!R$22</f>
        <v>66.597023511917897</v>
      </c>
      <c r="S88" s="57">
        <f>Calc_EB_SCS!S$22</f>
        <v>66.629443225537642</v>
      </c>
      <c r="T88" s="58">
        <f>Calc_EB_SCS!T$22</f>
        <v>66.218517585023534</v>
      </c>
    </row>
    <row r="89" spans="1:20" ht="12.3" x14ac:dyDescent="0.35">
      <c r="D89" s="10" t="str">
        <f>Calc_EB_SCS!$C$33</f>
        <v>Inflation</v>
      </c>
      <c r="E89" s="45" t="str">
        <f>$E$33</f>
        <v>Calc_EB_SCS</v>
      </c>
      <c r="F89" s="45" t="str">
        <f>Millions</f>
        <v>$Millions</v>
      </c>
      <c r="G89" s="45" t="str">
        <f>Nominal</f>
        <v>Nominal</v>
      </c>
      <c r="H89" s="45" t="str">
        <f>End_year</f>
        <v>End year</v>
      </c>
      <c r="J89" s="58">
        <f>Calc_EB_SCS!J$41</f>
        <v>1.0670069742889379</v>
      </c>
      <c r="K89" s="56">
        <f>Calc_EB_SCS!K$41</f>
        <v>1.0910255875874304</v>
      </c>
      <c r="L89" s="57">
        <f>Calc_EB_SCS!L$41</f>
        <v>0.50351498114934534</v>
      </c>
      <c r="M89" s="57">
        <f>Calc_EB_SCS!M$41</f>
        <v>2.0054354790288094</v>
      </c>
      <c r="N89" s="57">
        <f>Calc_EB_SCS!N$41</f>
        <v>4.6294456631244527</v>
      </c>
      <c r="O89" s="58">
        <f>Calc_EB_SCS!O$41</f>
        <v>2.8732299472425575</v>
      </c>
      <c r="P89" s="56">
        <f>Calc_EB_SCS!P$41</f>
        <v>1.8886506768821705</v>
      </c>
      <c r="Q89" s="57">
        <f>Calc_EB_SCS!Q$41</f>
        <v>1.8983947446470126</v>
      </c>
      <c r="R89" s="57">
        <f>Calc_EB_SCS!R$41</f>
        <v>1.9443933704741112</v>
      </c>
      <c r="S89" s="57">
        <f>Calc_EB_SCS!S$41</f>
        <v>1.9453399094170061</v>
      </c>
      <c r="T89" s="58">
        <f>Calc_EB_SCS!T$41</f>
        <v>1.9333423598413784</v>
      </c>
    </row>
    <row r="90" spans="1:20" ht="12.3" x14ac:dyDescent="0.35">
      <c r="D90" s="10" t="str">
        <f>Calc_EB_SCS!$C$52</f>
        <v>Straight line depreciation</v>
      </c>
      <c r="E90" s="45" t="str">
        <f>$E$34</f>
        <v>Calc_EB_SCS</v>
      </c>
      <c r="F90" s="45" t="str">
        <f>Millions</f>
        <v>$Millions</v>
      </c>
      <c r="G90" s="45" t="str">
        <f>Nominal</f>
        <v>Nominal</v>
      </c>
      <c r="H90" s="45" t="str">
        <f>End_year</f>
        <v>End year</v>
      </c>
      <c r="J90" s="58">
        <f>Calc_EB_SCS!J$60</f>
        <v>-2.1842511887193341</v>
      </c>
      <c r="K90" s="56">
        <f>Calc_EB_SCS!K$60</f>
        <v>-2.1780373709488261</v>
      </c>
      <c r="L90" s="57">
        <f>Calc_EB_SCS!L$60</f>
        <v>-2.2358956364376645</v>
      </c>
      <c r="M90" s="57">
        <f>Calc_EB_SCS!M$60</f>
        <v>-2.2724061914823031</v>
      </c>
      <c r="N90" s="57">
        <f>Calc_EB_SCS!N$60</f>
        <v>-2.3694919378806092</v>
      </c>
      <c r="O90" s="58">
        <f>Calc_EB_SCS!O$60</f>
        <v>-2.5796505102220197</v>
      </c>
      <c r="P90" s="56">
        <f>Calc_EB_SCS!P$60</f>
        <v>-2.7727482579795497</v>
      </c>
      <c r="Q90" s="57">
        <f>Calc_EB_SCS!Q$60</f>
        <v>-2.875878128578957</v>
      </c>
      <c r="R90" s="57">
        <f>Calc_EB_SCS!R$60</f>
        <v>-3.0063304184209048</v>
      </c>
      <c r="S90" s="57">
        <f>Calc_EB_SCS!S$60</f>
        <v>-3.1140315511187464</v>
      </c>
      <c r="T90" s="58">
        <f>Calc_EB_SCS!T$60</f>
        <v>-3.218748199291884</v>
      </c>
    </row>
    <row r="91" spans="1:20" ht="12.3" x14ac:dyDescent="0.35">
      <c r="D91" s="10" t="str">
        <f>Calc_EB_SCS!$C$71</f>
        <v>RAB additions</v>
      </c>
      <c r="E91" s="45" t="str">
        <f>$E$35</f>
        <v>Calc_EB_SCS</v>
      </c>
      <c r="F91" s="45" t="str">
        <f>Millions</f>
        <v>$Millions</v>
      </c>
      <c r="G91" s="45" t="str">
        <f>Nominal</f>
        <v>Nominal</v>
      </c>
      <c r="H91" s="45" t="str">
        <f>End_year</f>
        <v>End year</v>
      </c>
      <c r="J91" s="58">
        <f>Calc_EB_SCS!J$79+Calc_EB_SCS!J$136</f>
        <v>0.59056023111912093</v>
      </c>
      <c r="K91" s="56">
        <f>Calc_EB_SCS!K$79+Calc_EB_SCS!K$136</f>
        <v>0.31815902243032934</v>
      </c>
      <c r="L91" s="57">
        <f>Calc_EB_SCS!L$79+Calc_EB_SCS!L$136</f>
        <v>0.55328462803186207</v>
      </c>
      <c r="M91" s="57">
        <f>Calc_EB_SCS!M$79+Calc_EB_SCS!M$136</f>
        <v>0.81417398371630167</v>
      </c>
      <c r="N91" s="57">
        <f>Calc_EB_SCS!N$79+Calc_EB_SCS!N$136</f>
        <v>1.0085330864232263</v>
      </c>
      <c r="O91" s="58">
        <f>Calc_EB_SCS!O$79+Calc_EB_SCS!O$136</f>
        <v>3.2657997216514039</v>
      </c>
      <c r="P91" s="56">
        <f>Calc_EB_SCS!P$79+Calc_EB_SCS!P$136</f>
        <v>1.2219607946274034</v>
      </c>
      <c r="Q91" s="57">
        <f>Calc_EB_SCS!Q$79+Calc_EB_SCS!Q$136</f>
        <v>2.5570972893004695</v>
      </c>
      <c r="R91" s="57">
        <f>Calc_EB_SCS!R$79+Calc_EB_SCS!R$136</f>
        <v>1.0984842146261822</v>
      </c>
      <c r="S91" s="57">
        <f>Calc_EB_SCS!S$79+Calc_EB_SCS!S$136</f>
        <v>0.76189661609145354</v>
      </c>
      <c r="T91" s="58">
        <f>Calc_EB_SCS!T$79+Calc_EB_SCS!T$136</f>
        <v>0.78938366555342498</v>
      </c>
    </row>
    <row r="92" spans="1:20" ht="12.3" x14ac:dyDescent="0.35">
      <c r="D92" s="10" t="str">
        <f>Calc_EB_SCS!$C$90</f>
        <v>Disposals</v>
      </c>
      <c r="E92" s="45" t="str">
        <f>$E$36</f>
        <v>Calc_EB_SCS</v>
      </c>
      <c r="F92" s="45" t="str">
        <f>Millions</f>
        <v>$Millions</v>
      </c>
      <c r="G92" s="45" t="str">
        <f>Nominal</f>
        <v>Nominal</v>
      </c>
      <c r="H92" s="45" t="str">
        <f>End_year</f>
        <v>End year</v>
      </c>
      <c r="J92" s="58">
        <f>Calc_EB_SCS!J$98</f>
        <v>0</v>
      </c>
      <c r="K92" s="56">
        <f>Calc_EB_SCS!K$98</f>
        <v>-1.763355098204276E-3</v>
      </c>
      <c r="L92" s="57">
        <f>Calc_EB_SCS!L$98</f>
        <v>-3.2379183519962006E-3</v>
      </c>
      <c r="M92" s="57">
        <f>Calc_EB_SCS!M$98</f>
        <v>-5.2393461527712945E-3</v>
      </c>
      <c r="N92" s="57">
        <f>Calc_EB_SCS!N$98</f>
        <v>-4.0055317321382585E-3</v>
      </c>
      <c r="O92" s="58">
        <f>Calc_EB_SCS!O$98</f>
        <v>-4.139423757957169E-3</v>
      </c>
      <c r="P92" s="56">
        <f>Calc_EB_SCS!P$98</f>
        <v>-4.1211220937315933E-3</v>
      </c>
      <c r="Q92" s="57">
        <f>Calc_EB_SCS!Q$98</f>
        <v>-4.1242887914787769E-3</v>
      </c>
      <c r="R92" s="57">
        <f>Calc_EB_SCS!R$98</f>
        <v>-4.1274530596473501E-3</v>
      </c>
      <c r="S92" s="57">
        <f>Calc_EB_SCS!S$98</f>
        <v>-4.1306149038208674E-3</v>
      </c>
      <c r="T92" s="58">
        <f>Calc_EB_SCS!T$98</f>
        <v>-4.1337743295615289E-3</v>
      </c>
    </row>
    <row r="93" spans="1:20" x14ac:dyDescent="0.35">
      <c r="J93" s="49"/>
      <c r="K93" s="48"/>
      <c r="O93" s="49"/>
      <c r="P93" s="48"/>
      <c r="T93" s="49"/>
    </row>
    <row r="94" spans="1:20" ht="12.3" x14ac:dyDescent="0.35">
      <c r="D94" s="44" t="str">
        <f>D$22</f>
        <v>Closing balance</v>
      </c>
      <c r="E94" s="40" t="s">
        <v>91</v>
      </c>
      <c r="F94" s="40" t="str">
        <f>F88</f>
        <v>$Millions</v>
      </c>
      <c r="G94" s="40" t="str">
        <f>G88</f>
        <v>Nominal</v>
      </c>
      <c r="H94" s="40" t="str">
        <f>End_year</f>
        <v>End year</v>
      </c>
      <c r="J94" s="54">
        <f t="shared" ref="J94:T94" si="13">SUM(J88:J92)</f>
        <v>59.27905692558334</v>
      </c>
      <c r="K94" s="53">
        <f t="shared" si="13"/>
        <v>58.508440809554067</v>
      </c>
      <c r="L94" s="39">
        <f t="shared" si="13"/>
        <v>57.326106863945611</v>
      </c>
      <c r="M94" s="39">
        <f t="shared" si="13"/>
        <v>57.86807078905565</v>
      </c>
      <c r="N94" s="39">
        <f t="shared" si="13"/>
        <v>61.132552068990577</v>
      </c>
      <c r="O94" s="54">
        <f t="shared" si="13"/>
        <v>64.68779180390456</v>
      </c>
      <c r="P94" s="53">
        <f t="shared" si="13"/>
        <v>65.021533895340852</v>
      </c>
      <c r="Q94" s="39">
        <f t="shared" si="13"/>
        <v>66.597023511917897</v>
      </c>
      <c r="R94" s="39">
        <f t="shared" si="13"/>
        <v>66.629443225537642</v>
      </c>
      <c r="S94" s="39">
        <f t="shared" si="13"/>
        <v>66.218517585023534</v>
      </c>
      <c r="T94" s="54">
        <f t="shared" si="13"/>
        <v>65.718361636796899</v>
      </c>
    </row>
    <row r="95" spans="1:20" ht="11.25" customHeight="1" x14ac:dyDescent="0.35"/>
    <row r="96" spans="1:20" ht="11.25" customHeight="1" x14ac:dyDescent="0.35">
      <c r="A96" s="42">
        <f>IF(SUM($J96:$T96)&lt;&gt;0,1,0)</f>
        <v>0</v>
      </c>
      <c r="D96" s="10" t="s">
        <v>94</v>
      </c>
      <c r="J96" s="42">
        <f>IF(J94&lt;&gt;Calc_EB_SCS!J$155,1,0)</f>
        <v>0</v>
      </c>
      <c r="K96" s="42">
        <f>IF(K94&lt;&gt;Calc_EB_SCS!K$155,1,0)</f>
        <v>0</v>
      </c>
      <c r="L96" s="42">
        <f>IF(L94&lt;&gt;Calc_EB_SCS!L$155,1,0)</f>
        <v>0</v>
      </c>
      <c r="M96" s="42">
        <f>IF(M94&lt;&gt;Calc_EB_SCS!M$155,1,0)</f>
        <v>0</v>
      </c>
      <c r="N96" s="42">
        <f>IF(N94&lt;&gt;Calc_EB_SCS!N$155,1,0)</f>
        <v>0</v>
      </c>
      <c r="O96" s="42">
        <f>IF(O94&lt;&gt;Calc_EB_SCS!O$155,1,0)</f>
        <v>0</v>
      </c>
      <c r="P96" s="42">
        <f>IF(P94&lt;&gt;Calc_EB_SCS!P$155,1,0)</f>
        <v>0</v>
      </c>
      <c r="Q96" s="42">
        <f>IF(Q94&lt;&gt;Calc_EB_SCS!Q$155,1,0)</f>
        <v>0</v>
      </c>
      <c r="R96" s="42">
        <f>IF(R94&lt;&gt;Calc_EB_SCS!R$155,1,0)</f>
        <v>0</v>
      </c>
      <c r="S96" s="42">
        <f>IF(S94&lt;&gt;Calc_EB_SCS!S$155,1,0)</f>
        <v>0</v>
      </c>
      <c r="T96" s="42">
        <f>IF(T94&lt;&gt;Calc_EB_SCS!T$155,1,0)</f>
        <v>0</v>
      </c>
    </row>
    <row r="97" spans="1:20" ht="11.25" customHeight="1" x14ac:dyDescent="0.35">
      <c r="N97" s="5"/>
      <c r="S97" s="5"/>
    </row>
    <row r="98" spans="1:20" s="8" customFormat="1" ht="14.1" x14ac:dyDescent="0.35">
      <c r="C98" s="8" t="str">
        <f>Lookup!$D$111</f>
        <v>Zone substations and transformers</v>
      </c>
    </row>
    <row r="99" spans="1:20" ht="11.25" customHeight="1" x14ac:dyDescent="0.35"/>
    <row r="100" spans="1:20" ht="12.3" x14ac:dyDescent="0.35">
      <c r="D100" s="43" t="str">
        <f>D$14</f>
        <v>Category heading</v>
      </c>
      <c r="E100" s="38" t="str">
        <f>Lookup!E$20</f>
        <v>Source</v>
      </c>
      <c r="F100" s="38" t="str">
        <f>Lookup!F$20</f>
        <v>Unit</v>
      </c>
      <c r="G100" s="38" t="str">
        <f>Lookup!G$20</f>
        <v>Basis</v>
      </c>
      <c r="H100" s="38" t="str">
        <f>Lookup!H$20</f>
        <v>Timing</v>
      </c>
      <c r="J100" s="47" t="str">
        <f t="shared" ref="J100:T100" si="14">J$10</f>
        <v>RY19</v>
      </c>
      <c r="K100" s="46" t="str">
        <f t="shared" si="14"/>
        <v>RY20</v>
      </c>
      <c r="L100" s="38" t="str">
        <f>L$10</f>
        <v>RY21</v>
      </c>
      <c r="M100" s="38" t="str">
        <f t="shared" si="14"/>
        <v>RY22</v>
      </c>
      <c r="N100" s="38" t="str">
        <f t="shared" si="14"/>
        <v>RY23</v>
      </c>
      <c r="O100" s="47" t="str">
        <f t="shared" si="14"/>
        <v>RY24</v>
      </c>
      <c r="P100" s="46" t="str">
        <f t="shared" si="14"/>
        <v>RY25</v>
      </c>
      <c r="Q100" s="38" t="str">
        <f>Q$10</f>
        <v>RY26</v>
      </c>
      <c r="R100" s="38" t="str">
        <f t="shared" si="14"/>
        <v>RY27</v>
      </c>
      <c r="S100" s="38" t="str">
        <f t="shared" si="14"/>
        <v>RY28</v>
      </c>
      <c r="T100" s="47" t="str">
        <f t="shared" si="14"/>
        <v>RY29</v>
      </c>
    </row>
    <row r="101" spans="1:20" x14ac:dyDescent="0.35">
      <c r="J101" s="49"/>
      <c r="K101" s="48"/>
      <c r="O101" s="49"/>
      <c r="P101" s="48"/>
      <c r="T101" s="49"/>
    </row>
    <row r="102" spans="1:20" ht="12.3" x14ac:dyDescent="0.35">
      <c r="D102" s="10" t="str">
        <f>Calc_EB_SCS!$C$14</f>
        <v>Opening balance</v>
      </c>
      <c r="E102" s="45" t="str">
        <f>$E$32</f>
        <v>Calc_EB_SCS</v>
      </c>
      <c r="F102" s="45" t="str">
        <f>Millions</f>
        <v>$Millions</v>
      </c>
      <c r="G102" s="45" t="str">
        <f>Nominal</f>
        <v>Nominal</v>
      </c>
      <c r="H102" s="45" t="str">
        <f>Start_year</f>
        <v>Start year</v>
      </c>
      <c r="J102" s="58">
        <f>Calc_EB_SCS!J$23</f>
        <v>335.44314403487158</v>
      </c>
      <c r="K102" s="56">
        <f>Calc_EB_SCS!K$23</f>
        <v>318.17126366848231</v>
      </c>
      <c r="L102" s="57">
        <f>Calc_EB_SCS!L$23</f>
        <v>327.41798681760213</v>
      </c>
      <c r="M102" s="57">
        <f>Calc_EB_SCS!M$23</f>
        <v>325.66292475029201</v>
      </c>
      <c r="N102" s="57">
        <f>Calc_EB_SCS!N$23</f>
        <v>332.37283187466795</v>
      </c>
      <c r="O102" s="58">
        <f>Calc_EB_SCS!O$23</f>
        <v>358.67792636580361</v>
      </c>
      <c r="P102" s="56">
        <f>Calc_EB_SCS!P$23</f>
        <v>381.06791850757656</v>
      </c>
      <c r="Q102" s="57">
        <f>Calc_EB_SCS!Q$23</f>
        <v>402.96189082118678</v>
      </c>
      <c r="R102" s="57">
        <f>Calc_EB_SCS!R$23</f>
        <v>413.17934920905304</v>
      </c>
      <c r="S102" s="57">
        <f>Calc_EB_SCS!S$23</f>
        <v>408.64255862968884</v>
      </c>
      <c r="T102" s="58">
        <f>Calc_EB_SCS!T$23</f>
        <v>399.5778523758562</v>
      </c>
    </row>
    <row r="103" spans="1:20" ht="12.3" x14ac:dyDescent="0.35">
      <c r="D103" s="10" t="str">
        <f>Calc_EB_SCS!$C$33</f>
        <v>Inflation</v>
      </c>
      <c r="E103" s="45" t="str">
        <f>$E$33</f>
        <v>Calc_EB_SCS</v>
      </c>
      <c r="F103" s="45" t="str">
        <f>Millions</f>
        <v>$Millions</v>
      </c>
      <c r="G103" s="45" t="str">
        <f>Nominal</f>
        <v>Nominal</v>
      </c>
      <c r="H103" s="45" t="str">
        <f>End_year</f>
        <v>End year</v>
      </c>
      <c r="J103" s="58">
        <f>Calc_EB_SCS!J$42</f>
        <v>5.9847126500423462</v>
      </c>
      <c r="K103" s="56">
        <f>Calc_EB_SCS!K$42</f>
        <v>5.8559128282543131</v>
      </c>
      <c r="L103" s="57">
        <f>Calc_EB_SCS!L$42</f>
        <v>2.8177107299277231</v>
      </c>
      <c r="M103" s="57">
        <f>Calc_EB_SCS!M$42</f>
        <v>11.392644978465821</v>
      </c>
      <c r="N103" s="57">
        <f>Calc_EB_SCS!N$42</f>
        <v>26.589826549973449</v>
      </c>
      <c r="O103" s="58">
        <f>Calc_EB_SCS!O$42</f>
        <v>16.85786253919278</v>
      </c>
      <c r="P103" s="56">
        <f>Calc_EB_SCS!P$42</f>
        <v>11.125811565946409</v>
      </c>
      <c r="Q103" s="57">
        <f>Calc_EB_SCS!Q$42</f>
        <v>11.765036750121634</v>
      </c>
      <c r="R103" s="57">
        <f>Calc_EB_SCS!R$42</f>
        <v>12.063349757292396</v>
      </c>
      <c r="S103" s="57">
        <f>Calc_EB_SCS!S$42</f>
        <v>11.930891802558632</v>
      </c>
      <c r="T103" s="58">
        <f>Calc_EB_SCS!T$42</f>
        <v>11.666235008368824</v>
      </c>
    </row>
    <row r="104" spans="1:20" ht="12.3" x14ac:dyDescent="0.35">
      <c r="D104" s="10" t="str">
        <f>Calc_EB_SCS!$C$52</f>
        <v>Straight line depreciation</v>
      </c>
      <c r="E104" s="45" t="str">
        <f>$E$34</f>
        <v>Calc_EB_SCS</v>
      </c>
      <c r="F104" s="45" t="str">
        <f>Millions</f>
        <v>$Millions</v>
      </c>
      <c r="G104" s="45" t="str">
        <f>Nominal</f>
        <v>Nominal</v>
      </c>
      <c r="H104" s="45" t="str">
        <f>End_year</f>
        <v>End year</v>
      </c>
      <c r="J104" s="58">
        <f>Calc_EB_SCS!J$61</f>
        <v>-27.636870123401234</v>
      </c>
      <c r="K104" s="56">
        <f>Calc_EB_SCS!K$61</f>
        <v>-18.265664708697326</v>
      </c>
      <c r="L104" s="57">
        <f>Calc_EB_SCS!L$61</f>
        <v>-19.367170512687057</v>
      </c>
      <c r="M104" s="57">
        <f>Calc_EB_SCS!M$61</f>
        <v>-20.204055028152251</v>
      </c>
      <c r="N104" s="57">
        <f>Calc_EB_SCS!N$61</f>
        <v>-21.345067368942679</v>
      </c>
      <c r="O104" s="58">
        <f>Calc_EB_SCS!O$61</f>
        <v>-23.427732582046076</v>
      </c>
      <c r="P104" s="56">
        <f>Calc_EB_SCS!P$61</f>
        <v>-27.388174460282201</v>
      </c>
      <c r="Q104" s="57">
        <f>Calc_EB_SCS!Q$61</f>
        <v>-29.501296427512994</v>
      </c>
      <c r="R104" s="57">
        <f>Calc_EB_SCS!R$61</f>
        <v>-31.173728566540383</v>
      </c>
      <c r="S104" s="57">
        <f>Calc_EB_SCS!S$61</f>
        <v>-32.645756647477981</v>
      </c>
      <c r="T104" s="58">
        <f>Calc_EB_SCS!T$61</f>
        <v>-33.939552340212678</v>
      </c>
    </row>
    <row r="105" spans="1:20" ht="12.3" x14ac:dyDescent="0.35">
      <c r="D105" s="10" t="str">
        <f>Calc_EB_SCS!$C$71</f>
        <v>RAB additions</v>
      </c>
      <c r="E105" s="45" t="str">
        <f>$E$35</f>
        <v>Calc_EB_SCS</v>
      </c>
      <c r="F105" s="45" t="str">
        <f>Millions</f>
        <v>$Millions</v>
      </c>
      <c r="G105" s="45" t="str">
        <f>Nominal</f>
        <v>Nominal</v>
      </c>
      <c r="H105" s="45" t="str">
        <f>End_year</f>
        <v>End year</v>
      </c>
      <c r="J105" s="58">
        <f>Calc_EB_SCS!J$80+Calc_EB_SCS!J$137</f>
        <v>4.4098205188086403</v>
      </c>
      <c r="K105" s="56">
        <f>Calc_EB_SCS!K$80+Calc_EB_SCS!K$137</f>
        <v>21.672337054804082</v>
      </c>
      <c r="L105" s="57">
        <f>Calc_EB_SCS!L$80+Calc_EB_SCS!L$137</f>
        <v>14.823524006381485</v>
      </c>
      <c r="M105" s="57">
        <f>Calc_EB_SCS!M$80+Calc_EB_SCS!M$137</f>
        <v>15.56844703257566</v>
      </c>
      <c r="N105" s="57">
        <f>Calc_EB_SCS!N$80+Calc_EB_SCS!N$137</f>
        <v>21.102834448620996</v>
      </c>
      <c r="O105" s="58">
        <f>Calc_EB_SCS!O$80+Calc_EB_SCS!O$137</f>
        <v>29.003781932472613</v>
      </c>
      <c r="P105" s="56">
        <f>Calc_EB_SCS!P$80+Calc_EB_SCS!P$137</f>
        <v>38.200060773093277</v>
      </c>
      <c r="Q105" s="57">
        <f>Calc_EB_SCS!Q$80+Calc_EB_SCS!Q$137</f>
        <v>27.99747722942131</v>
      </c>
      <c r="R105" s="57">
        <f>Calc_EB_SCS!R$80+Calc_EB_SCS!R$137</f>
        <v>14.617380967285705</v>
      </c>
      <c r="S105" s="57">
        <f>Calc_EB_SCS!S$80+Calc_EB_SCS!S$137</f>
        <v>11.693984876008054</v>
      </c>
      <c r="T105" s="58">
        <f>Calc_EB_SCS!T$80+Calc_EB_SCS!T$137</f>
        <v>10.320020085222426</v>
      </c>
    </row>
    <row r="106" spans="1:20" ht="12.3" x14ac:dyDescent="0.35">
      <c r="D106" s="10" t="str">
        <f>Calc_EB_SCS!$C$90</f>
        <v>Disposals</v>
      </c>
      <c r="E106" s="45" t="str">
        <f>$E$36</f>
        <v>Calc_EB_SCS</v>
      </c>
      <c r="F106" s="45" t="str">
        <f>Millions</f>
        <v>$Millions</v>
      </c>
      <c r="G106" s="45" t="str">
        <f>Nominal</f>
        <v>Nominal</v>
      </c>
      <c r="H106" s="45" t="str">
        <f>End_year</f>
        <v>End year</v>
      </c>
      <c r="J106" s="58">
        <f>Calc_EB_SCS!J$99</f>
        <v>-2.9543411839054325E-2</v>
      </c>
      <c r="K106" s="56">
        <f>Calc_EB_SCS!K$99</f>
        <v>-1.5862025241209592E-2</v>
      </c>
      <c r="L106" s="57">
        <f>Calc_EB_SCS!L$99</f>
        <v>-2.9126290932327339E-2</v>
      </c>
      <c r="M106" s="57">
        <f>Calc_EB_SCS!M$99</f>
        <v>-4.7129858513230871E-2</v>
      </c>
      <c r="N106" s="57">
        <f>Calc_EB_SCS!N$99</f>
        <v>-4.2499138516089968E-2</v>
      </c>
      <c r="O106" s="58">
        <f>Calc_EB_SCS!O$99</f>
        <v>-4.391974784638733E-2</v>
      </c>
      <c r="P106" s="56">
        <f>Calc_EB_SCS!P$99</f>
        <v>-4.3725565147307195E-2</v>
      </c>
      <c r="Q106" s="57">
        <f>Calc_EB_SCS!Q$99</f>
        <v>-4.3759164163666577E-2</v>
      </c>
      <c r="R106" s="57">
        <f>Calc_EB_SCS!R$99</f>
        <v>-4.379273740192588E-2</v>
      </c>
      <c r="S106" s="57">
        <f>Calc_EB_SCS!S$99</f>
        <v>-4.3826284921327223E-2</v>
      </c>
      <c r="T106" s="58">
        <f>Calc_EB_SCS!T$99</f>
        <v>-4.3859806780886183E-2</v>
      </c>
    </row>
    <row r="107" spans="1:20" x14ac:dyDescent="0.35">
      <c r="J107" s="49"/>
      <c r="K107" s="48"/>
      <c r="O107" s="49"/>
      <c r="P107" s="48"/>
      <c r="T107" s="49"/>
    </row>
    <row r="108" spans="1:20" ht="12.3" x14ac:dyDescent="0.35">
      <c r="D108" s="44" t="str">
        <f>D$22</f>
        <v>Closing balance</v>
      </c>
      <c r="E108" s="40" t="s">
        <v>91</v>
      </c>
      <c r="F108" s="40" t="str">
        <f>F102</f>
        <v>$Millions</v>
      </c>
      <c r="G108" s="40" t="str">
        <f>G102</f>
        <v>Nominal</v>
      </c>
      <c r="H108" s="40" t="str">
        <f>End_year</f>
        <v>End year</v>
      </c>
      <c r="J108" s="54">
        <f t="shared" ref="J108:T108" si="15">SUM(J102:J106)</f>
        <v>318.17126366848231</v>
      </c>
      <c r="K108" s="53">
        <f t="shared" si="15"/>
        <v>327.41798681760213</v>
      </c>
      <c r="L108" s="39">
        <f t="shared" si="15"/>
        <v>325.66292475029201</v>
      </c>
      <c r="M108" s="39">
        <f t="shared" si="15"/>
        <v>332.37283187466795</v>
      </c>
      <c r="N108" s="39">
        <f t="shared" si="15"/>
        <v>358.67792636580361</v>
      </c>
      <c r="O108" s="54">
        <f t="shared" si="15"/>
        <v>381.06791850757656</v>
      </c>
      <c r="P108" s="53">
        <f t="shared" si="15"/>
        <v>402.96189082118678</v>
      </c>
      <c r="Q108" s="39">
        <f t="shared" si="15"/>
        <v>413.17934920905304</v>
      </c>
      <c r="R108" s="39">
        <f t="shared" si="15"/>
        <v>408.64255862968884</v>
      </c>
      <c r="S108" s="39">
        <f t="shared" si="15"/>
        <v>399.5778523758562</v>
      </c>
      <c r="T108" s="54">
        <f t="shared" si="15"/>
        <v>387.58069532245389</v>
      </c>
    </row>
    <row r="109" spans="1:20" ht="11.25" customHeight="1" x14ac:dyDescent="0.35"/>
    <row r="110" spans="1:20" ht="11.25" customHeight="1" x14ac:dyDescent="0.35">
      <c r="A110" s="42">
        <f>IF(SUM($J110:$T110)&lt;&gt;0,1,0)</f>
        <v>0</v>
      </c>
      <c r="D110" s="10" t="s">
        <v>94</v>
      </c>
      <c r="J110" s="42">
        <f>IF(J108&lt;&gt;Calc_EB_SCS!J$156,1,0)</f>
        <v>0</v>
      </c>
      <c r="K110" s="42">
        <f>IF(K108&lt;&gt;Calc_EB_SCS!K$156,1,0)</f>
        <v>0</v>
      </c>
      <c r="L110" s="42">
        <f>IF(L108&lt;&gt;Calc_EB_SCS!L$156,1,0)</f>
        <v>0</v>
      </c>
      <c r="M110" s="42">
        <f>IF(M108&lt;&gt;Calc_EB_SCS!M$156,1,0)</f>
        <v>0</v>
      </c>
      <c r="N110" s="42">
        <f>IF(N108&lt;&gt;Calc_EB_SCS!N$156,1,0)</f>
        <v>0</v>
      </c>
      <c r="O110" s="42">
        <f>IF(O108&lt;&gt;Calc_EB_SCS!O$156,1,0)</f>
        <v>0</v>
      </c>
      <c r="P110" s="42">
        <f>IF(P108&lt;&gt;Calc_EB_SCS!P$156,1,0)</f>
        <v>0</v>
      </c>
      <c r="Q110" s="42">
        <f>IF(Q108&lt;&gt;Calc_EB_SCS!Q$156,1,0)</f>
        <v>0</v>
      </c>
      <c r="R110" s="42">
        <f>IF(R108&lt;&gt;Calc_EB_SCS!R$156,1,0)</f>
        <v>0</v>
      </c>
      <c r="S110" s="42">
        <f>IF(S108&lt;&gt;Calc_EB_SCS!S$156,1,0)</f>
        <v>0</v>
      </c>
      <c r="T110" s="42">
        <f>IF(T108&lt;&gt;Calc_EB_SCS!T$156,1,0)</f>
        <v>0</v>
      </c>
    </row>
    <row r="111" spans="1:20" ht="11.25" customHeight="1" x14ac:dyDescent="0.35">
      <c r="N111" s="5"/>
      <c r="S111" s="5"/>
    </row>
    <row r="112" spans="1:20" s="8" customFormat="1" ht="14.1" x14ac:dyDescent="0.35">
      <c r="C112" s="8" t="str">
        <f>Lookup!$D$112</f>
        <v>Easements</v>
      </c>
    </row>
    <row r="113" spans="1:20" ht="11.25" customHeight="1" x14ac:dyDescent="0.35"/>
    <row r="114" spans="1:20" ht="12.3" x14ac:dyDescent="0.35">
      <c r="D114" s="43" t="str">
        <f>D$14</f>
        <v>Category heading</v>
      </c>
      <c r="E114" s="38" t="str">
        <f>Lookup!E$20</f>
        <v>Source</v>
      </c>
      <c r="F114" s="38" t="str">
        <f>Lookup!F$20</f>
        <v>Unit</v>
      </c>
      <c r="G114" s="38" t="str">
        <f>Lookup!G$20</f>
        <v>Basis</v>
      </c>
      <c r="H114" s="38" t="str">
        <f>Lookup!H$20</f>
        <v>Timing</v>
      </c>
      <c r="J114" s="47" t="str">
        <f t="shared" ref="J114:T114" si="16">J$10</f>
        <v>RY19</v>
      </c>
      <c r="K114" s="46" t="str">
        <f t="shared" si="16"/>
        <v>RY20</v>
      </c>
      <c r="L114" s="38" t="str">
        <f>L$10</f>
        <v>RY21</v>
      </c>
      <c r="M114" s="38" t="str">
        <f t="shared" si="16"/>
        <v>RY22</v>
      </c>
      <c r="N114" s="38" t="str">
        <f t="shared" si="16"/>
        <v>RY23</v>
      </c>
      <c r="O114" s="47" t="str">
        <f t="shared" si="16"/>
        <v>RY24</v>
      </c>
      <c r="P114" s="46" t="str">
        <f t="shared" si="16"/>
        <v>RY25</v>
      </c>
      <c r="Q114" s="38" t="str">
        <f>Q$10</f>
        <v>RY26</v>
      </c>
      <c r="R114" s="38" t="str">
        <f t="shared" si="16"/>
        <v>RY27</v>
      </c>
      <c r="S114" s="38" t="str">
        <f t="shared" si="16"/>
        <v>RY28</v>
      </c>
      <c r="T114" s="47" t="str">
        <f t="shared" si="16"/>
        <v>RY29</v>
      </c>
    </row>
    <row r="115" spans="1:20" x14ac:dyDescent="0.35">
      <c r="J115" s="49"/>
      <c r="K115" s="48"/>
      <c r="O115" s="49"/>
      <c r="P115" s="48"/>
      <c r="T115" s="49"/>
    </row>
    <row r="116" spans="1:20" ht="12.3" x14ac:dyDescent="0.35">
      <c r="D116" s="10" t="str">
        <f>Calc_EB_SCS!$C$14</f>
        <v>Opening balance</v>
      </c>
      <c r="E116" s="45" t="str">
        <f>$E$32</f>
        <v>Calc_EB_SCS</v>
      </c>
      <c r="F116" s="45" t="str">
        <f>Millions</f>
        <v>$Millions</v>
      </c>
      <c r="G116" s="45" t="str">
        <f>Nominal</f>
        <v>Nominal</v>
      </c>
      <c r="H116" s="45" t="str">
        <f>Start_year</f>
        <v>Start year</v>
      </c>
      <c r="J116" s="58">
        <f>Calc_EB_SCS!J$24</f>
        <v>37.011647544048387</v>
      </c>
      <c r="K116" s="56">
        <f>Calc_EB_SCS!K$24</f>
        <v>45.815760921706001</v>
      </c>
      <c r="L116" s="57">
        <f>Calc_EB_SCS!L$24</f>
        <v>46.658995785295687</v>
      </c>
      <c r="M116" s="57">
        <f>Calc_EB_SCS!M$24</f>
        <v>47.060536196528865</v>
      </c>
      <c r="N116" s="57">
        <f>Calc_EB_SCS!N$24</f>
        <v>48.706851882584907</v>
      </c>
      <c r="O116" s="58">
        <f>Calc_EB_SCS!O$24</f>
        <v>52.603400033191697</v>
      </c>
      <c r="P116" s="56">
        <f>Calc_EB_SCS!P$24</f>
        <v>55.251388665969486</v>
      </c>
      <c r="Q116" s="57">
        <f>Calc_EB_SCS!Q$24</f>
        <v>56.864530337569484</v>
      </c>
      <c r="R116" s="57">
        <f>Calc_EB_SCS!R$24</f>
        <v>58.524769939474631</v>
      </c>
      <c r="S116" s="57">
        <f>Calc_EB_SCS!S$24</f>
        <v>60.23348256172077</v>
      </c>
      <c r="T116" s="58">
        <f>Calc_EB_SCS!T$24</f>
        <v>61.992083442023159</v>
      </c>
    </row>
    <row r="117" spans="1:20" ht="12.3" x14ac:dyDescent="0.35">
      <c r="D117" s="10" t="str">
        <f>Calc_EB_SCS!$C$33</f>
        <v>Inflation</v>
      </c>
      <c r="E117" s="45" t="str">
        <f>$E$33</f>
        <v>Calc_EB_SCS</v>
      </c>
      <c r="F117" s="45" t="str">
        <f>Millions</f>
        <v>$Millions</v>
      </c>
      <c r="G117" s="45" t="str">
        <f>Nominal</f>
        <v>Nominal</v>
      </c>
      <c r="H117" s="45" t="str">
        <f>End_year</f>
        <v>End year</v>
      </c>
      <c r="J117" s="58">
        <f>Calc_EB_SCS!J$43</f>
        <v>0.66033269480907408</v>
      </c>
      <c r="K117" s="56">
        <f>Calc_EB_SCS!K$43</f>
        <v>0.84323486358968636</v>
      </c>
      <c r="L117" s="57">
        <f>Calc_EB_SCS!L$43</f>
        <v>0.40154041123318057</v>
      </c>
      <c r="M117" s="57">
        <f>Calc_EB_SCS!M$43</f>
        <v>1.6463156860560397</v>
      </c>
      <c r="N117" s="57">
        <f>Calc_EB_SCS!N$43</f>
        <v>3.8965481506067925</v>
      </c>
      <c r="O117" s="58">
        <f>Calc_EB_SCS!O$43</f>
        <v>2.4723598015600099</v>
      </c>
      <c r="P117" s="56">
        <f>Calc_EB_SCS!P$43</f>
        <v>1.6131416715999964</v>
      </c>
      <c r="Q117" s="57">
        <f>Calc_EB_SCS!Q$43</f>
        <v>1.6602396019051437</v>
      </c>
      <c r="R117" s="57">
        <f>Calc_EB_SCS!R$43</f>
        <v>1.7087126222461391</v>
      </c>
      <c r="S117" s="57">
        <f>Calc_EB_SCS!S$43</f>
        <v>1.7586008803023909</v>
      </c>
      <c r="T117" s="58">
        <f>Calc_EB_SCS!T$43</f>
        <v>1.8099456959210347</v>
      </c>
    </row>
    <row r="118" spans="1:20" ht="12.3" x14ac:dyDescent="0.35">
      <c r="D118" s="10" t="str">
        <f>Calc_EB_SCS!$C$52</f>
        <v>Straight line depreciation</v>
      </c>
      <c r="E118" s="45" t="str">
        <f>$E$34</f>
        <v>Calc_EB_SCS</v>
      </c>
      <c r="F118" s="45" t="str">
        <f>Millions</f>
        <v>$Millions</v>
      </c>
      <c r="G118" s="45" t="str">
        <f>Nominal</f>
        <v>Nominal</v>
      </c>
      <c r="H118" s="45" t="str">
        <f>End_year</f>
        <v>End year</v>
      </c>
      <c r="J118" s="58">
        <f>Calc_EB_SCS!J$62</f>
        <v>0</v>
      </c>
      <c r="K118" s="56">
        <f>Calc_EB_SCS!K$62</f>
        <v>0</v>
      </c>
      <c r="L118" s="57">
        <f>Calc_EB_SCS!L$62</f>
        <v>0</v>
      </c>
      <c r="M118" s="57">
        <f>Calc_EB_SCS!M$62</f>
        <v>0</v>
      </c>
      <c r="N118" s="57">
        <f>Calc_EB_SCS!N$62</f>
        <v>0</v>
      </c>
      <c r="O118" s="58">
        <f>Calc_EB_SCS!O$62</f>
        <v>0</v>
      </c>
      <c r="P118" s="56">
        <f>Calc_EB_SCS!P$62</f>
        <v>0</v>
      </c>
      <c r="Q118" s="57">
        <f>Calc_EB_SCS!Q$62</f>
        <v>0</v>
      </c>
      <c r="R118" s="57">
        <f>Calc_EB_SCS!R$62</f>
        <v>0</v>
      </c>
      <c r="S118" s="57">
        <f>Calc_EB_SCS!S$62</f>
        <v>0</v>
      </c>
      <c r="T118" s="58">
        <f>Calc_EB_SCS!T$62</f>
        <v>0</v>
      </c>
    </row>
    <row r="119" spans="1:20" ht="12.3" x14ac:dyDescent="0.35">
      <c r="D119" s="10" t="str">
        <f>Calc_EB_SCS!$C$71</f>
        <v>RAB additions</v>
      </c>
      <c r="E119" s="45" t="str">
        <f>$E$35</f>
        <v>Calc_EB_SCS</v>
      </c>
      <c r="F119" s="45" t="str">
        <f>Millions</f>
        <v>$Millions</v>
      </c>
      <c r="G119" s="45" t="str">
        <f>Nominal</f>
        <v>Nominal</v>
      </c>
      <c r="H119" s="45" t="str">
        <f>End_year</f>
        <v>End year</v>
      </c>
      <c r="J119" s="58">
        <f>Calc_EB_SCS!J$81+Calc_EB_SCS!J$138</f>
        <v>8.14378068284854</v>
      </c>
      <c r="K119" s="56">
        <f>Calc_EB_SCS!K$81+Calc_EB_SCS!K$138</f>
        <v>0</v>
      </c>
      <c r="L119" s="57">
        <f>Calc_EB_SCS!L$81+Calc_EB_SCS!L$138</f>
        <v>0</v>
      </c>
      <c r="M119" s="57">
        <f>Calc_EB_SCS!M$81+Calc_EB_SCS!M$138</f>
        <v>0</v>
      </c>
      <c r="N119" s="57">
        <f>Calc_EB_SCS!N$81+Calc_EB_SCS!N$138</f>
        <v>0</v>
      </c>
      <c r="O119" s="58">
        <f>Calc_EB_SCS!O$81+Calc_EB_SCS!O$138</f>
        <v>0.17562883121777981</v>
      </c>
      <c r="P119" s="56">
        <f>Calc_EB_SCS!P$81+Calc_EB_SCS!P$138</f>
        <v>0</v>
      </c>
      <c r="Q119" s="57">
        <f>Calc_EB_SCS!Q$81+Calc_EB_SCS!Q$138</f>
        <v>0</v>
      </c>
      <c r="R119" s="57">
        <f>Calc_EB_SCS!R$81+Calc_EB_SCS!R$138</f>
        <v>0</v>
      </c>
      <c r="S119" s="57">
        <f>Calc_EB_SCS!S$81+Calc_EB_SCS!S$138</f>
        <v>0</v>
      </c>
      <c r="T119" s="58">
        <f>Calc_EB_SCS!T$81+Calc_EB_SCS!T$138</f>
        <v>0</v>
      </c>
    </row>
    <row r="120" spans="1:20" ht="12.3" x14ac:dyDescent="0.35">
      <c r="D120" s="10" t="str">
        <f>Calc_EB_SCS!$C$90</f>
        <v>Disposals</v>
      </c>
      <c r="E120" s="45" t="str">
        <f>$E$36</f>
        <v>Calc_EB_SCS</v>
      </c>
      <c r="F120" s="45" t="str">
        <f>Millions</f>
        <v>$Millions</v>
      </c>
      <c r="G120" s="45" t="str">
        <f>Nominal</f>
        <v>Nominal</v>
      </c>
      <c r="H120" s="45" t="str">
        <f>End_year</f>
        <v>End year</v>
      </c>
      <c r="J120" s="58">
        <f>Calc_EB_SCS!J$100</f>
        <v>0</v>
      </c>
      <c r="K120" s="56">
        <f>Calc_EB_SCS!K$100</f>
        <v>0</v>
      </c>
      <c r="L120" s="57">
        <f>Calc_EB_SCS!L$100</f>
        <v>0</v>
      </c>
      <c r="M120" s="57">
        <f>Calc_EB_SCS!M$100</f>
        <v>0</v>
      </c>
      <c r="N120" s="57">
        <f>Calc_EB_SCS!N$100</f>
        <v>0</v>
      </c>
      <c r="O120" s="58">
        <f>Calc_EB_SCS!O$100</f>
        <v>0</v>
      </c>
      <c r="P120" s="56">
        <f>Calc_EB_SCS!P$100</f>
        <v>0</v>
      </c>
      <c r="Q120" s="57">
        <f>Calc_EB_SCS!Q$100</f>
        <v>0</v>
      </c>
      <c r="R120" s="57">
        <f>Calc_EB_SCS!R$100</f>
        <v>0</v>
      </c>
      <c r="S120" s="57">
        <f>Calc_EB_SCS!S$100</f>
        <v>0</v>
      </c>
      <c r="T120" s="58">
        <f>Calc_EB_SCS!T$100</f>
        <v>0</v>
      </c>
    </row>
    <row r="121" spans="1:20" x14ac:dyDescent="0.35">
      <c r="J121" s="49"/>
      <c r="K121" s="48"/>
      <c r="O121" s="49"/>
      <c r="P121" s="48"/>
      <c r="T121" s="49"/>
    </row>
    <row r="122" spans="1:20" ht="12.3" x14ac:dyDescent="0.35">
      <c r="D122" s="44" t="str">
        <f>D$22</f>
        <v>Closing balance</v>
      </c>
      <c r="E122" s="40" t="s">
        <v>91</v>
      </c>
      <c r="F122" s="40" t="str">
        <f>F116</f>
        <v>$Millions</v>
      </c>
      <c r="G122" s="40" t="str">
        <f>G116</f>
        <v>Nominal</v>
      </c>
      <c r="H122" s="40" t="str">
        <f>End_year</f>
        <v>End year</v>
      </c>
      <c r="J122" s="54">
        <f t="shared" ref="J122:T122" si="17">SUM(J116:J120)</f>
        <v>45.815760921706001</v>
      </c>
      <c r="K122" s="53">
        <f t="shared" si="17"/>
        <v>46.658995785295687</v>
      </c>
      <c r="L122" s="39">
        <f t="shared" si="17"/>
        <v>47.060536196528865</v>
      </c>
      <c r="M122" s="39">
        <f t="shared" si="17"/>
        <v>48.706851882584907</v>
      </c>
      <c r="N122" s="39">
        <f t="shared" si="17"/>
        <v>52.603400033191697</v>
      </c>
      <c r="O122" s="54">
        <f t="shared" si="17"/>
        <v>55.251388665969486</v>
      </c>
      <c r="P122" s="53">
        <f t="shared" si="17"/>
        <v>56.864530337569484</v>
      </c>
      <c r="Q122" s="39">
        <f t="shared" si="17"/>
        <v>58.524769939474631</v>
      </c>
      <c r="R122" s="39">
        <f t="shared" si="17"/>
        <v>60.23348256172077</v>
      </c>
      <c r="S122" s="39">
        <f t="shared" si="17"/>
        <v>61.992083442023159</v>
      </c>
      <c r="T122" s="54">
        <f t="shared" si="17"/>
        <v>63.802029137944196</v>
      </c>
    </row>
    <row r="123" spans="1:20" ht="11.25" customHeight="1" x14ac:dyDescent="0.35"/>
    <row r="124" spans="1:20" ht="11.25" customHeight="1" x14ac:dyDescent="0.35">
      <c r="A124" s="42">
        <f>IF(SUM($J124:$T124)&lt;&gt;0,1,0)</f>
        <v>0</v>
      </c>
      <c r="D124" s="10" t="s">
        <v>94</v>
      </c>
      <c r="J124" s="42">
        <f>IF(J122&lt;&gt;Calc_EB_SCS!J$157,1,0)</f>
        <v>0</v>
      </c>
      <c r="K124" s="42">
        <f>IF(K122&lt;&gt;Calc_EB_SCS!K$157,1,0)</f>
        <v>0</v>
      </c>
      <c r="L124" s="42">
        <f>IF(L122&lt;&gt;Calc_EB_SCS!L$157,1,0)</f>
        <v>0</v>
      </c>
      <c r="M124" s="42">
        <f>IF(M122&lt;&gt;Calc_EB_SCS!M$157,1,0)</f>
        <v>0</v>
      </c>
      <c r="N124" s="42">
        <f>IF(N122&lt;&gt;Calc_EB_SCS!N$157,1,0)</f>
        <v>0</v>
      </c>
      <c r="O124" s="42">
        <f>IF(O122&lt;&gt;Calc_EB_SCS!O$157,1,0)</f>
        <v>0</v>
      </c>
      <c r="P124" s="42">
        <f>IF(P122&lt;&gt;Calc_EB_SCS!P$157,1,0)</f>
        <v>0</v>
      </c>
      <c r="Q124" s="42">
        <f>IF(Q122&lt;&gt;Calc_EB_SCS!Q$157,1,0)</f>
        <v>0</v>
      </c>
      <c r="R124" s="42">
        <f>IF(R122&lt;&gt;Calc_EB_SCS!R$157,1,0)</f>
        <v>0</v>
      </c>
      <c r="S124" s="42">
        <f>IF(S122&lt;&gt;Calc_EB_SCS!S$157,1,0)</f>
        <v>0</v>
      </c>
      <c r="T124" s="42">
        <f>IF(T122&lt;&gt;Calc_EB_SCS!T$157,1,0)</f>
        <v>0</v>
      </c>
    </row>
    <row r="125" spans="1:20" ht="11.25" customHeight="1" x14ac:dyDescent="0.35">
      <c r="N125" s="5"/>
      <c r="S125" s="5"/>
    </row>
    <row r="126" spans="1:20" s="8" customFormat="1" ht="14.1" x14ac:dyDescent="0.35">
      <c r="C126" s="8" t="str">
        <f>Lookup!$D$113</f>
        <v>Meters</v>
      </c>
    </row>
    <row r="127" spans="1:20" ht="11.25" customHeight="1" x14ac:dyDescent="0.35"/>
    <row r="128" spans="1:20" ht="12.3" x14ac:dyDescent="0.35">
      <c r="D128" s="43" t="str">
        <f>D$14</f>
        <v>Category heading</v>
      </c>
      <c r="E128" s="38" t="str">
        <f>Lookup!E$20</f>
        <v>Source</v>
      </c>
      <c r="F128" s="38" t="str">
        <f>Lookup!F$20</f>
        <v>Unit</v>
      </c>
      <c r="G128" s="38" t="str">
        <f>Lookup!G$20</f>
        <v>Basis</v>
      </c>
      <c r="H128" s="38" t="str">
        <f>Lookup!H$20</f>
        <v>Timing</v>
      </c>
      <c r="J128" s="47" t="str">
        <f t="shared" ref="J128:T128" si="18">J$10</f>
        <v>RY19</v>
      </c>
      <c r="K128" s="46" t="str">
        <f t="shared" si="18"/>
        <v>RY20</v>
      </c>
      <c r="L128" s="38" t="str">
        <f>L$10</f>
        <v>RY21</v>
      </c>
      <c r="M128" s="38" t="str">
        <f t="shared" si="18"/>
        <v>RY22</v>
      </c>
      <c r="N128" s="38" t="str">
        <f t="shared" si="18"/>
        <v>RY23</v>
      </c>
      <c r="O128" s="47" t="str">
        <f t="shared" si="18"/>
        <v>RY24</v>
      </c>
      <c r="P128" s="46" t="str">
        <f t="shared" si="18"/>
        <v>RY25</v>
      </c>
      <c r="Q128" s="38" t="str">
        <f>Q$10</f>
        <v>RY26</v>
      </c>
      <c r="R128" s="38" t="str">
        <f t="shared" si="18"/>
        <v>RY27</v>
      </c>
      <c r="S128" s="38" t="str">
        <f t="shared" si="18"/>
        <v>RY28</v>
      </c>
      <c r="T128" s="47" t="str">
        <f t="shared" si="18"/>
        <v>RY29</v>
      </c>
    </row>
    <row r="129" spans="1:20" x14ac:dyDescent="0.35">
      <c r="J129" s="49"/>
      <c r="K129" s="48"/>
      <c r="O129" s="49"/>
      <c r="P129" s="48"/>
      <c r="T129" s="49"/>
    </row>
    <row r="130" spans="1:20" ht="12.3" x14ac:dyDescent="0.35">
      <c r="D130" s="10" t="str">
        <f>Calc_EB_SCS!$C$14</f>
        <v>Opening balance</v>
      </c>
      <c r="E130" s="45" t="str">
        <f>$E$32</f>
        <v>Calc_EB_SCS</v>
      </c>
      <c r="F130" s="45" t="str">
        <f>Millions</f>
        <v>$Millions</v>
      </c>
      <c r="G130" s="45" t="str">
        <f>Nominal</f>
        <v>Nominal</v>
      </c>
      <c r="H130" s="45" t="str">
        <f>Start_year</f>
        <v>Start year</v>
      </c>
      <c r="J130" s="58">
        <f>Calc_EB_SCS!J$25</f>
        <v>0</v>
      </c>
      <c r="K130" s="56">
        <f>Calc_EB_SCS!K$25</f>
        <v>0</v>
      </c>
      <c r="L130" s="57">
        <f>Calc_EB_SCS!L$25</f>
        <v>0</v>
      </c>
      <c r="M130" s="57">
        <f>Calc_EB_SCS!M$25</f>
        <v>0</v>
      </c>
      <c r="N130" s="57">
        <f>Calc_EB_SCS!N$25</f>
        <v>0</v>
      </c>
      <c r="O130" s="58">
        <f>Calc_EB_SCS!O$25</f>
        <v>0</v>
      </c>
      <c r="P130" s="56">
        <f>Calc_EB_SCS!P$25</f>
        <v>0</v>
      </c>
      <c r="Q130" s="57">
        <f>Calc_EB_SCS!Q$25</f>
        <v>0</v>
      </c>
      <c r="R130" s="57">
        <f>Calc_EB_SCS!R$25</f>
        <v>0</v>
      </c>
      <c r="S130" s="57">
        <f>Calc_EB_SCS!S$25</f>
        <v>0</v>
      </c>
      <c r="T130" s="58">
        <f>Calc_EB_SCS!T$25</f>
        <v>0</v>
      </c>
    </row>
    <row r="131" spans="1:20" ht="12.3" x14ac:dyDescent="0.35">
      <c r="D131" s="10" t="str">
        <f>Calc_EB_SCS!$C$33</f>
        <v>Inflation</v>
      </c>
      <c r="E131" s="45" t="str">
        <f>$E$33</f>
        <v>Calc_EB_SCS</v>
      </c>
      <c r="F131" s="45" t="str">
        <f>Millions</f>
        <v>$Millions</v>
      </c>
      <c r="G131" s="45" t="str">
        <f>Nominal</f>
        <v>Nominal</v>
      </c>
      <c r="H131" s="45" t="str">
        <f>End_year</f>
        <v>End year</v>
      </c>
      <c r="J131" s="58">
        <f>Calc_EB_SCS!J$44</f>
        <v>0</v>
      </c>
      <c r="K131" s="56">
        <f>Calc_EB_SCS!K$44</f>
        <v>0</v>
      </c>
      <c r="L131" s="57">
        <f>Calc_EB_SCS!L$44</f>
        <v>0</v>
      </c>
      <c r="M131" s="57">
        <f>Calc_EB_SCS!M$44</f>
        <v>0</v>
      </c>
      <c r="N131" s="57">
        <f>Calc_EB_SCS!N$44</f>
        <v>0</v>
      </c>
      <c r="O131" s="58">
        <f>Calc_EB_SCS!O$44</f>
        <v>0</v>
      </c>
      <c r="P131" s="56">
        <f>Calc_EB_SCS!P$44</f>
        <v>0</v>
      </c>
      <c r="Q131" s="57">
        <f>Calc_EB_SCS!Q$44</f>
        <v>0</v>
      </c>
      <c r="R131" s="57">
        <f>Calc_EB_SCS!R$44</f>
        <v>0</v>
      </c>
      <c r="S131" s="57">
        <f>Calc_EB_SCS!S$44</f>
        <v>0</v>
      </c>
      <c r="T131" s="58">
        <f>Calc_EB_SCS!T$44</f>
        <v>0</v>
      </c>
    </row>
    <row r="132" spans="1:20" ht="12.3" x14ac:dyDescent="0.35">
      <c r="D132" s="10" t="str">
        <f>Calc_EB_SCS!$C$52</f>
        <v>Straight line depreciation</v>
      </c>
      <c r="E132" s="45" t="str">
        <f>$E$34</f>
        <v>Calc_EB_SCS</v>
      </c>
      <c r="F132" s="45" t="str">
        <f>Millions</f>
        <v>$Millions</v>
      </c>
      <c r="G132" s="45" t="str">
        <f>Nominal</f>
        <v>Nominal</v>
      </c>
      <c r="H132" s="45" t="str">
        <f>End_year</f>
        <v>End year</v>
      </c>
      <c r="J132" s="58">
        <f>Calc_EB_SCS!J$63</f>
        <v>0</v>
      </c>
      <c r="K132" s="56">
        <f>Calc_EB_SCS!K$63</f>
        <v>0</v>
      </c>
      <c r="L132" s="57">
        <f>Calc_EB_SCS!L$63</f>
        <v>0</v>
      </c>
      <c r="M132" s="57">
        <f>Calc_EB_SCS!M$63</f>
        <v>0</v>
      </c>
      <c r="N132" s="57">
        <f>Calc_EB_SCS!N$63</f>
        <v>0</v>
      </c>
      <c r="O132" s="58">
        <f>Calc_EB_SCS!O$63</f>
        <v>0</v>
      </c>
      <c r="P132" s="56">
        <f>Calc_EB_SCS!P$63</f>
        <v>0</v>
      </c>
      <c r="Q132" s="57">
        <f>Calc_EB_SCS!Q$63</f>
        <v>0</v>
      </c>
      <c r="R132" s="57">
        <f>Calc_EB_SCS!R$63</f>
        <v>0</v>
      </c>
      <c r="S132" s="57">
        <f>Calc_EB_SCS!S$63</f>
        <v>0</v>
      </c>
      <c r="T132" s="58">
        <f>Calc_EB_SCS!T$63</f>
        <v>0</v>
      </c>
    </row>
    <row r="133" spans="1:20" ht="12.3" x14ac:dyDescent="0.35">
      <c r="D133" s="10" t="str">
        <f>Calc_EB_SCS!$C$71</f>
        <v>RAB additions</v>
      </c>
      <c r="E133" s="45" t="str">
        <f>$E$35</f>
        <v>Calc_EB_SCS</v>
      </c>
      <c r="F133" s="45" t="str">
        <f>Millions</f>
        <v>$Millions</v>
      </c>
      <c r="G133" s="45" t="str">
        <f>Nominal</f>
        <v>Nominal</v>
      </c>
      <c r="H133" s="45" t="str">
        <f>End_year</f>
        <v>End year</v>
      </c>
      <c r="J133" s="58">
        <f>Calc_EB_SCS!J$82+Calc_EB_SCS!J$139</f>
        <v>0</v>
      </c>
      <c r="K133" s="56">
        <f>Calc_EB_SCS!K$82+Calc_EB_SCS!K$139</f>
        <v>0</v>
      </c>
      <c r="L133" s="57">
        <f>Calc_EB_SCS!L$82+Calc_EB_SCS!L$139</f>
        <v>0</v>
      </c>
      <c r="M133" s="57">
        <f>Calc_EB_SCS!M$82+Calc_EB_SCS!M$139</f>
        <v>0</v>
      </c>
      <c r="N133" s="57">
        <f>Calc_EB_SCS!N$82+Calc_EB_SCS!N$139</f>
        <v>0</v>
      </c>
      <c r="O133" s="58">
        <f>Calc_EB_SCS!O$82+Calc_EB_SCS!O$139</f>
        <v>0</v>
      </c>
      <c r="P133" s="56">
        <f>Calc_EB_SCS!P$82+Calc_EB_SCS!P$139</f>
        <v>0</v>
      </c>
      <c r="Q133" s="57">
        <f>Calc_EB_SCS!Q$82+Calc_EB_SCS!Q$139</f>
        <v>0</v>
      </c>
      <c r="R133" s="57">
        <f>Calc_EB_SCS!R$82+Calc_EB_SCS!R$139</f>
        <v>0</v>
      </c>
      <c r="S133" s="57">
        <f>Calc_EB_SCS!S$82+Calc_EB_SCS!S$139</f>
        <v>0</v>
      </c>
      <c r="T133" s="58">
        <f>Calc_EB_SCS!T$82+Calc_EB_SCS!T$139</f>
        <v>0</v>
      </c>
    </row>
    <row r="134" spans="1:20" ht="12.3" x14ac:dyDescent="0.35">
      <c r="D134" s="10" t="str">
        <f>Calc_EB_SCS!$C$90</f>
        <v>Disposals</v>
      </c>
      <c r="E134" s="45" t="str">
        <f>$E$36</f>
        <v>Calc_EB_SCS</v>
      </c>
      <c r="F134" s="45" t="str">
        <f>Millions</f>
        <v>$Millions</v>
      </c>
      <c r="G134" s="45" t="str">
        <f>Nominal</f>
        <v>Nominal</v>
      </c>
      <c r="H134" s="45" t="str">
        <f>End_year</f>
        <v>End year</v>
      </c>
      <c r="J134" s="58">
        <f>Calc_EB_SCS!J$101</f>
        <v>0</v>
      </c>
      <c r="K134" s="56">
        <f>Calc_EB_SCS!K$101</f>
        <v>0</v>
      </c>
      <c r="L134" s="57">
        <f>Calc_EB_SCS!L$101</f>
        <v>0</v>
      </c>
      <c r="M134" s="57">
        <f>Calc_EB_SCS!M$101</f>
        <v>0</v>
      </c>
      <c r="N134" s="57">
        <f>Calc_EB_SCS!N$101</f>
        <v>0</v>
      </c>
      <c r="O134" s="58">
        <f>Calc_EB_SCS!O$101</f>
        <v>0</v>
      </c>
      <c r="P134" s="56">
        <f>Calc_EB_SCS!P$101</f>
        <v>0</v>
      </c>
      <c r="Q134" s="57">
        <f>Calc_EB_SCS!Q$101</f>
        <v>0</v>
      </c>
      <c r="R134" s="57">
        <f>Calc_EB_SCS!R$101</f>
        <v>0</v>
      </c>
      <c r="S134" s="57">
        <f>Calc_EB_SCS!S$101</f>
        <v>0</v>
      </c>
      <c r="T134" s="58">
        <f>Calc_EB_SCS!T$101</f>
        <v>0</v>
      </c>
    </row>
    <row r="135" spans="1:20" x14ac:dyDescent="0.35">
      <c r="J135" s="49"/>
      <c r="K135" s="48"/>
      <c r="O135" s="49"/>
      <c r="P135" s="48"/>
      <c r="T135" s="49"/>
    </row>
    <row r="136" spans="1:20" ht="12.3" x14ac:dyDescent="0.35">
      <c r="D136" s="44" t="str">
        <f>D$22</f>
        <v>Closing balance</v>
      </c>
      <c r="E136" s="40" t="s">
        <v>91</v>
      </c>
      <c r="F136" s="40" t="str">
        <f>F130</f>
        <v>$Millions</v>
      </c>
      <c r="G136" s="40" t="str">
        <f>G130</f>
        <v>Nominal</v>
      </c>
      <c r="H136" s="40" t="str">
        <f>End_year</f>
        <v>End year</v>
      </c>
      <c r="J136" s="54">
        <f t="shared" ref="J136:T136" si="19">SUM(J130:J134)</f>
        <v>0</v>
      </c>
      <c r="K136" s="53">
        <f t="shared" si="19"/>
        <v>0</v>
      </c>
      <c r="L136" s="39">
        <f t="shared" si="19"/>
        <v>0</v>
      </c>
      <c r="M136" s="39">
        <f t="shared" si="19"/>
        <v>0</v>
      </c>
      <c r="N136" s="39">
        <f t="shared" si="19"/>
        <v>0</v>
      </c>
      <c r="O136" s="54">
        <f t="shared" si="19"/>
        <v>0</v>
      </c>
      <c r="P136" s="53">
        <f t="shared" si="19"/>
        <v>0</v>
      </c>
      <c r="Q136" s="39">
        <f t="shared" si="19"/>
        <v>0</v>
      </c>
      <c r="R136" s="39">
        <f t="shared" si="19"/>
        <v>0</v>
      </c>
      <c r="S136" s="39">
        <f t="shared" si="19"/>
        <v>0</v>
      </c>
      <c r="T136" s="54">
        <f t="shared" si="19"/>
        <v>0</v>
      </c>
    </row>
    <row r="137" spans="1:20" ht="11.25" customHeight="1" x14ac:dyDescent="0.35"/>
    <row r="138" spans="1:20" ht="11.25" customHeight="1" x14ac:dyDescent="0.35">
      <c r="A138" s="42">
        <f>IF(SUM($J138:$T138)&lt;&gt;0,1,0)</f>
        <v>0</v>
      </c>
      <c r="D138" s="10" t="s">
        <v>94</v>
      </c>
      <c r="J138" s="42">
        <f>IF(J136&lt;&gt;Calc_EB_SCS!J$158,1,0)</f>
        <v>0</v>
      </c>
      <c r="K138" s="42">
        <f>IF(K136&lt;&gt;Calc_EB_SCS!K$158,1,0)</f>
        <v>0</v>
      </c>
      <c r="L138" s="42">
        <f>IF(L136&lt;&gt;Calc_EB_SCS!L$158,1,0)</f>
        <v>0</v>
      </c>
      <c r="M138" s="42">
        <f>IF(M136&lt;&gt;Calc_EB_SCS!M$158,1,0)</f>
        <v>0</v>
      </c>
      <c r="N138" s="42">
        <f>IF(N136&lt;&gt;Calc_EB_SCS!N$158,1,0)</f>
        <v>0</v>
      </c>
      <c r="O138" s="42">
        <f>IF(O136&lt;&gt;Calc_EB_SCS!O$158,1,0)</f>
        <v>0</v>
      </c>
      <c r="P138" s="42">
        <f>IF(P136&lt;&gt;Calc_EB_SCS!P$158,1,0)</f>
        <v>0</v>
      </c>
      <c r="Q138" s="42">
        <f>IF(Q136&lt;&gt;Calc_EB_SCS!Q$158,1,0)</f>
        <v>0</v>
      </c>
      <c r="R138" s="42">
        <f>IF(R136&lt;&gt;Calc_EB_SCS!R$158,1,0)</f>
        <v>0</v>
      </c>
      <c r="S138" s="42">
        <f>IF(S136&lt;&gt;Calc_EB_SCS!S$158,1,0)</f>
        <v>0</v>
      </c>
      <c r="T138" s="42">
        <f>IF(T136&lt;&gt;Calc_EB_SCS!T$158,1,0)</f>
        <v>0</v>
      </c>
    </row>
    <row r="140" spans="1:20" s="8" customFormat="1" ht="14.1" x14ac:dyDescent="0.35">
      <c r="C140" s="8" t="str">
        <f>Lookup!$D$114</f>
        <v>“Other” asset items with long lives</v>
      </c>
    </row>
    <row r="141" spans="1:20" ht="11.25" customHeight="1" x14ac:dyDescent="0.35"/>
    <row r="142" spans="1:20" ht="12.3" x14ac:dyDescent="0.35">
      <c r="D142" s="43" t="str">
        <f>D$14</f>
        <v>Category heading</v>
      </c>
      <c r="E142" s="38" t="str">
        <f>Lookup!E$20</f>
        <v>Source</v>
      </c>
      <c r="F142" s="38" t="str">
        <f>Lookup!F$20</f>
        <v>Unit</v>
      </c>
      <c r="G142" s="38" t="str">
        <f>Lookup!G$20</f>
        <v>Basis</v>
      </c>
      <c r="H142" s="38" t="str">
        <f>Lookup!H$20</f>
        <v>Timing</v>
      </c>
      <c r="J142" s="47" t="str">
        <f t="shared" ref="J142:T142" si="20">J$10</f>
        <v>RY19</v>
      </c>
      <c r="K142" s="46" t="str">
        <f t="shared" si="20"/>
        <v>RY20</v>
      </c>
      <c r="L142" s="38" t="str">
        <f>L$10</f>
        <v>RY21</v>
      </c>
      <c r="M142" s="38" t="str">
        <f t="shared" si="20"/>
        <v>RY22</v>
      </c>
      <c r="N142" s="38" t="str">
        <f t="shared" si="20"/>
        <v>RY23</v>
      </c>
      <c r="O142" s="47" t="str">
        <f t="shared" si="20"/>
        <v>RY24</v>
      </c>
      <c r="P142" s="46" t="str">
        <f t="shared" si="20"/>
        <v>RY25</v>
      </c>
      <c r="Q142" s="38" t="str">
        <f>Q$10</f>
        <v>RY26</v>
      </c>
      <c r="R142" s="38" t="str">
        <f t="shared" si="20"/>
        <v>RY27</v>
      </c>
      <c r="S142" s="38" t="str">
        <f t="shared" si="20"/>
        <v>RY28</v>
      </c>
      <c r="T142" s="47" t="str">
        <f t="shared" si="20"/>
        <v>RY29</v>
      </c>
    </row>
    <row r="143" spans="1:20" x14ac:dyDescent="0.35">
      <c r="J143" s="49"/>
      <c r="K143" s="48"/>
      <c r="O143" s="49"/>
      <c r="P143" s="48"/>
      <c r="T143" s="49"/>
    </row>
    <row r="144" spans="1:20" ht="12.3" x14ac:dyDescent="0.35">
      <c r="D144" s="10" t="str">
        <f>Calc_EB_SCS!$C$14</f>
        <v>Opening balance</v>
      </c>
      <c r="E144" s="45" t="str">
        <f>$E$32</f>
        <v>Calc_EB_SCS</v>
      </c>
      <c r="F144" s="45" t="str">
        <f>Millions</f>
        <v>$Millions</v>
      </c>
      <c r="G144" s="45" t="str">
        <f>Nominal</f>
        <v>Nominal</v>
      </c>
      <c r="H144" s="45" t="str">
        <f>Start_year</f>
        <v>Start year</v>
      </c>
      <c r="J144" s="58">
        <f>Calc_EB_SCS!J$26</f>
        <v>7.8469175236856543</v>
      </c>
      <c r="K144" s="56">
        <f>Calc_EB_SCS!K$26</f>
        <v>23.043887610569833</v>
      </c>
      <c r="L144" s="57">
        <f>Calc_EB_SCS!L$26</f>
        <v>28.757416893035817</v>
      </c>
      <c r="M144" s="57">
        <f>Calc_EB_SCS!M$26</f>
        <v>29.262117856539479</v>
      </c>
      <c r="N144" s="57">
        <f>Calc_EB_SCS!N$26</f>
        <v>34.69846069099178</v>
      </c>
      <c r="O144" s="58">
        <f>Calc_EB_SCS!O$26</f>
        <v>57.958728795606547</v>
      </c>
      <c r="P144" s="56">
        <f>Calc_EB_SCS!P$26</f>
        <v>85.471804488943135</v>
      </c>
      <c r="Q144" s="57">
        <f>Calc_EB_SCS!Q$26</f>
        <v>102.13855280738885</v>
      </c>
      <c r="R144" s="57">
        <f>Calc_EB_SCS!R$26</f>
        <v>125.31481789154545</v>
      </c>
      <c r="S144" s="57">
        <f>Calc_EB_SCS!S$26</f>
        <v>145.26010822362272</v>
      </c>
      <c r="T144" s="58">
        <f>Calc_EB_SCS!T$26</f>
        <v>214.72422111062605</v>
      </c>
    </row>
    <row r="145" spans="1:20" ht="12.3" x14ac:dyDescent="0.35">
      <c r="D145" s="10" t="str">
        <f>Calc_EB_SCS!$C$33</f>
        <v>Inflation</v>
      </c>
      <c r="E145" s="45" t="str">
        <f>$E$33</f>
        <v>Calc_EB_SCS</v>
      </c>
      <c r="F145" s="45" t="str">
        <f>Millions</f>
        <v>$Millions</v>
      </c>
      <c r="G145" s="45" t="str">
        <f>Nominal</f>
        <v>Nominal</v>
      </c>
      <c r="H145" s="45" t="str">
        <f>End_year</f>
        <v>End year</v>
      </c>
      <c r="J145" s="58">
        <f>Calc_EB_SCS!J$45</f>
        <v>0.13999852852249242</v>
      </c>
      <c r="K145" s="56">
        <f>Calc_EB_SCS!K$45</f>
        <v>0.42412063086938606</v>
      </c>
      <c r="L145" s="57">
        <f>Calc_EB_SCS!L$45</f>
        <v>0.24748207308980852</v>
      </c>
      <c r="M145" s="57">
        <f>Calc_EB_SCS!M$45</f>
        <v>1.023674771431839</v>
      </c>
      <c r="N145" s="57">
        <f>Calc_EB_SCS!N$45</f>
        <v>2.7758768552793422</v>
      </c>
      <c r="O145" s="58">
        <f>Calc_EB_SCS!O$45</f>
        <v>2.7240602533935072</v>
      </c>
      <c r="P145" s="56">
        <f>Calc_EB_SCS!P$45</f>
        <v>2.4954690352042475</v>
      </c>
      <c r="Q145" s="57">
        <f>Calc_EB_SCS!Q$45</f>
        <v>2.9820780941203267</v>
      </c>
      <c r="R145" s="57">
        <f>Calc_EB_SCS!R$45</f>
        <v>3.6587416115809881</v>
      </c>
      <c r="S145" s="57">
        <f>Calc_EB_SCS!S$45</f>
        <v>4.2410722961788112</v>
      </c>
      <c r="T145" s="58">
        <f>Calc_EB_SCS!T$45</f>
        <v>6.2691743563134334</v>
      </c>
    </row>
    <row r="146" spans="1:20" ht="12.3" x14ac:dyDescent="0.35">
      <c r="D146" s="10" t="str">
        <f>Calc_EB_SCS!$C$52</f>
        <v>Straight line depreciation</v>
      </c>
      <c r="E146" s="45" t="str">
        <f>$E$34</f>
        <v>Calc_EB_SCS</v>
      </c>
      <c r="F146" s="45" t="str">
        <f>Millions</f>
        <v>$Millions</v>
      </c>
      <c r="G146" s="45" t="str">
        <f>Nominal</f>
        <v>Nominal</v>
      </c>
      <c r="H146" s="45" t="str">
        <f>End_year</f>
        <v>End year</v>
      </c>
      <c r="J146" s="58">
        <f>Calc_EB_SCS!J$64</f>
        <v>-0.85565541991766558</v>
      </c>
      <c r="K146" s="56">
        <f>Calc_EB_SCS!K$64</f>
        <v>-1.9473300137465259</v>
      </c>
      <c r="L146" s="57">
        <f>Calc_EB_SCS!L$64</f>
        <v>-2.6226874054975546</v>
      </c>
      <c r="M146" s="57">
        <f>Calc_EB_SCS!M$64</f>
        <v>-3.307313452898935</v>
      </c>
      <c r="N146" s="57">
        <f>Calc_EB_SCS!N$64</f>
        <v>-4.7428880658905852</v>
      </c>
      <c r="O146" s="58">
        <f>Calc_EB_SCS!O$64</f>
        <v>-5.9657351271392853</v>
      </c>
      <c r="P146" s="56">
        <f>Calc_EB_SCS!P$64</f>
        <v>-11.041492305958224</v>
      </c>
      <c r="Q146" s="57">
        <f>Calc_EB_SCS!Q$64</f>
        <v>-9.6420154088915968</v>
      </c>
      <c r="R146" s="57">
        <f>Calc_EB_SCS!R$64</f>
        <v>-12.268474576292975</v>
      </c>
      <c r="S146" s="57">
        <f>Calc_EB_SCS!S$64</f>
        <v>-14.773391601471953</v>
      </c>
      <c r="T146" s="58">
        <f>Calc_EB_SCS!T$64</f>
        <v>-18.428451554014423</v>
      </c>
    </row>
    <row r="147" spans="1:20" ht="12.3" x14ac:dyDescent="0.35">
      <c r="D147" s="10" t="str">
        <f>Calc_EB_SCS!$C$71</f>
        <v>RAB additions</v>
      </c>
      <c r="E147" s="45" t="str">
        <f>$E$35</f>
        <v>Calc_EB_SCS</v>
      </c>
      <c r="F147" s="45" t="str">
        <f>Millions</f>
        <v>$Millions</v>
      </c>
      <c r="G147" s="45" t="str">
        <f>Nominal</f>
        <v>Nominal</v>
      </c>
      <c r="H147" s="45" t="str">
        <f>End_year</f>
        <v>End year</v>
      </c>
      <c r="J147" s="58">
        <f>Calc_EB_SCS!J$83+Calc_EB_SCS!J$140</f>
        <v>15.912626978279349</v>
      </c>
      <c r="K147" s="56">
        <f>Calc_EB_SCS!K$83+Calc_EB_SCS!K$140</f>
        <v>7.2367386653431245</v>
      </c>
      <c r="L147" s="57">
        <f>Calc_EB_SCS!L$83+Calc_EB_SCS!L$140</f>
        <v>2.8799062959114066</v>
      </c>
      <c r="M147" s="57">
        <f>Calc_EB_SCS!M$83+Calc_EB_SCS!M$140</f>
        <v>7.7199815159193967</v>
      </c>
      <c r="N147" s="57">
        <f>Calc_EB_SCS!N$83+Calc_EB_SCS!N$140</f>
        <v>25.227279315226006</v>
      </c>
      <c r="O147" s="58">
        <f>Calc_EB_SCS!O$83+Calc_EB_SCS!O$140</f>
        <v>30.754750567082361</v>
      </c>
      <c r="P147" s="56">
        <f>Calc_EB_SCS!P$83+Calc_EB_SCS!P$140</f>
        <v>25.212771589199694</v>
      </c>
      <c r="Q147" s="57">
        <f>Calc_EB_SCS!Q$83+Calc_EB_SCS!Q$140</f>
        <v>29.836202398927867</v>
      </c>
      <c r="R147" s="57">
        <f>Calc_EB_SCS!R$83+Calc_EB_SCS!R$140</f>
        <v>28.555023296789265</v>
      </c>
      <c r="S147" s="57">
        <f>Calc_EB_SCS!S$83+Calc_EB_SCS!S$140</f>
        <v>79.996432192296467</v>
      </c>
      <c r="T147" s="58">
        <f>Calc_EB_SCS!T$83+Calc_EB_SCS!T$140</f>
        <v>113.21685080809939</v>
      </c>
    </row>
    <row r="148" spans="1:20" ht="12.3" x14ac:dyDescent="0.35">
      <c r="D148" s="10" t="str">
        <f>Calc_EB_SCS!$C$90</f>
        <v>Disposals</v>
      </c>
      <c r="E148" s="45" t="str">
        <f>$E$36</f>
        <v>Calc_EB_SCS</v>
      </c>
      <c r="F148" s="45" t="str">
        <f>Millions</f>
        <v>$Millions</v>
      </c>
      <c r="G148" s="45" t="str">
        <f>Nominal</f>
        <v>Nominal</v>
      </c>
      <c r="H148" s="45" t="str">
        <f>End_year</f>
        <v>End year</v>
      </c>
      <c r="J148" s="58">
        <f>Calc_EB_SCS!J$102</f>
        <v>0</v>
      </c>
      <c r="K148" s="56">
        <f>Calc_EB_SCS!K$102</f>
        <v>0</v>
      </c>
      <c r="L148" s="57">
        <f>Calc_EB_SCS!L$102</f>
        <v>0</v>
      </c>
      <c r="M148" s="57">
        <f>Calc_EB_SCS!M$102</f>
        <v>0</v>
      </c>
      <c r="N148" s="57">
        <f>Calc_EB_SCS!N$102</f>
        <v>0</v>
      </c>
      <c r="O148" s="58">
        <f>Calc_EB_SCS!O$102</f>
        <v>0</v>
      </c>
      <c r="P148" s="56">
        <f>Calc_EB_SCS!P$102</f>
        <v>0</v>
      </c>
      <c r="Q148" s="57">
        <f>Calc_EB_SCS!Q$102</f>
        <v>0</v>
      </c>
      <c r="R148" s="57">
        <f>Calc_EB_SCS!R$102</f>
        <v>0</v>
      </c>
      <c r="S148" s="57">
        <f>Calc_EB_SCS!S$102</f>
        <v>0</v>
      </c>
      <c r="T148" s="58">
        <f>Calc_EB_SCS!T$102</f>
        <v>0</v>
      </c>
    </row>
    <row r="149" spans="1:20" x14ac:dyDescent="0.35">
      <c r="J149" s="49"/>
      <c r="K149" s="48"/>
      <c r="O149" s="49"/>
      <c r="P149" s="48"/>
      <c r="T149" s="49"/>
    </row>
    <row r="150" spans="1:20" ht="12.3" x14ac:dyDescent="0.35">
      <c r="D150" s="44" t="str">
        <f>D$22</f>
        <v>Closing balance</v>
      </c>
      <c r="E150" s="40" t="s">
        <v>91</v>
      </c>
      <c r="F150" s="40" t="str">
        <f>F144</f>
        <v>$Millions</v>
      </c>
      <c r="G150" s="40" t="str">
        <f>G144</f>
        <v>Nominal</v>
      </c>
      <c r="H150" s="40" t="str">
        <f>End_year</f>
        <v>End year</v>
      </c>
      <c r="J150" s="54">
        <f t="shared" ref="J150:T150" si="21">SUM(J144:J148)</f>
        <v>23.043887610569829</v>
      </c>
      <c r="K150" s="53">
        <f t="shared" si="21"/>
        <v>28.757416893035817</v>
      </c>
      <c r="L150" s="39">
        <f t="shared" si="21"/>
        <v>29.262117856539479</v>
      </c>
      <c r="M150" s="39">
        <f t="shared" si="21"/>
        <v>34.69846069099178</v>
      </c>
      <c r="N150" s="39">
        <f t="shared" si="21"/>
        <v>57.958728795606547</v>
      </c>
      <c r="O150" s="54">
        <f t="shared" si="21"/>
        <v>85.471804488943135</v>
      </c>
      <c r="P150" s="53">
        <f t="shared" si="21"/>
        <v>102.13855280738885</v>
      </c>
      <c r="Q150" s="39">
        <f t="shared" si="21"/>
        <v>125.31481789154545</v>
      </c>
      <c r="R150" s="39">
        <f t="shared" si="21"/>
        <v>145.26010822362272</v>
      </c>
      <c r="S150" s="39">
        <f t="shared" si="21"/>
        <v>214.72422111062605</v>
      </c>
      <c r="T150" s="54">
        <f t="shared" si="21"/>
        <v>315.78179472102443</v>
      </c>
    </row>
    <row r="151" spans="1:20" ht="11.25" customHeight="1" x14ac:dyDescent="0.35"/>
    <row r="152" spans="1:20" ht="11.25" customHeight="1" x14ac:dyDescent="0.35">
      <c r="A152" s="42">
        <f>IF(SUM($J152:$T152)&lt;&gt;0,1,0)</f>
        <v>0</v>
      </c>
      <c r="D152" s="10" t="s">
        <v>94</v>
      </c>
      <c r="J152" s="42">
        <f>IF(ROUND(J150-Calc_EB_SCS!J$159,3)=0,0,1)</f>
        <v>0</v>
      </c>
      <c r="K152" s="42">
        <f>IF(ROUND(K150-Calc_EB_SCS!K$159,3)=0,0,1)</f>
        <v>0</v>
      </c>
      <c r="L152" s="42">
        <f>IF(ROUND(L150-Calc_EB_SCS!L$159,3)=0,0,1)</f>
        <v>0</v>
      </c>
      <c r="M152" s="42">
        <f>IF(ROUND(M150-Calc_EB_SCS!M$159,3)=0,0,1)</f>
        <v>0</v>
      </c>
      <c r="N152" s="42">
        <f>IF(ROUND(N150-Calc_EB_SCS!N$159,3)=0,0,1)</f>
        <v>0</v>
      </c>
      <c r="O152" s="42">
        <f>IF(ROUND(O150-Calc_EB_SCS!O$159,3)=0,0,1)</f>
        <v>0</v>
      </c>
      <c r="P152" s="42">
        <f>IF(ROUND(P150-Calc_EB_SCS!P$159,3)=0,0,1)</f>
        <v>0</v>
      </c>
      <c r="Q152" s="42">
        <f>IF(ROUND(Q150-Calc_EB_SCS!Q$159,3)=0,0,1)</f>
        <v>0</v>
      </c>
      <c r="R152" s="42">
        <f>IF(ROUND(R150-Calc_EB_SCS!R$159,3)=0,0,1)</f>
        <v>0</v>
      </c>
      <c r="S152" s="42">
        <f>IF(ROUND(S150-Calc_EB_SCS!S$159,3)=0,0,1)</f>
        <v>0</v>
      </c>
      <c r="T152" s="42">
        <f>IF(ROUND(T150-Calc_EB_SCS!T$159,3)=0,0,1)</f>
        <v>0</v>
      </c>
    </row>
    <row r="154" spans="1:20" s="8" customFormat="1" ht="14.1" x14ac:dyDescent="0.35">
      <c r="C154" s="8" t="str">
        <f>Lookup!$D$115</f>
        <v>“Other” asset items with short lives</v>
      </c>
    </row>
    <row r="155" spans="1:20" ht="11.25" customHeight="1" x14ac:dyDescent="0.35"/>
    <row r="156" spans="1:20" ht="12.3" x14ac:dyDescent="0.35">
      <c r="D156" s="43" t="str">
        <f>D$14</f>
        <v>Category heading</v>
      </c>
      <c r="E156" s="38" t="str">
        <f>Lookup!E$20</f>
        <v>Source</v>
      </c>
      <c r="F156" s="38" t="str">
        <f>Lookup!F$20</f>
        <v>Unit</v>
      </c>
      <c r="G156" s="38" t="str">
        <f>Lookup!G$20</f>
        <v>Basis</v>
      </c>
      <c r="H156" s="38" t="str">
        <f>Lookup!H$20</f>
        <v>Timing</v>
      </c>
      <c r="J156" s="47" t="str">
        <f t="shared" ref="J156:T156" si="22">J$10</f>
        <v>RY19</v>
      </c>
      <c r="K156" s="46" t="str">
        <f t="shared" si="22"/>
        <v>RY20</v>
      </c>
      <c r="L156" s="38" t="str">
        <f>L$10</f>
        <v>RY21</v>
      </c>
      <c r="M156" s="38" t="str">
        <f t="shared" si="22"/>
        <v>RY22</v>
      </c>
      <c r="N156" s="38" t="str">
        <f t="shared" si="22"/>
        <v>RY23</v>
      </c>
      <c r="O156" s="47" t="str">
        <f t="shared" si="22"/>
        <v>RY24</v>
      </c>
      <c r="P156" s="46" t="str">
        <f t="shared" si="22"/>
        <v>RY25</v>
      </c>
      <c r="Q156" s="38" t="str">
        <f>Q$10</f>
        <v>RY26</v>
      </c>
      <c r="R156" s="38" t="str">
        <f t="shared" si="22"/>
        <v>RY27</v>
      </c>
      <c r="S156" s="38" t="str">
        <f t="shared" si="22"/>
        <v>RY28</v>
      </c>
      <c r="T156" s="47" t="str">
        <f t="shared" si="22"/>
        <v>RY29</v>
      </c>
    </row>
    <row r="157" spans="1:20" x14ac:dyDescent="0.35">
      <c r="J157" s="49"/>
      <c r="K157" s="48"/>
      <c r="O157" s="49"/>
      <c r="P157" s="48"/>
      <c r="T157" s="49"/>
    </row>
    <row r="158" spans="1:20" ht="12.3" x14ac:dyDescent="0.35">
      <c r="D158" s="10" t="str">
        <f>Calc_EB_SCS!$C$14</f>
        <v>Opening balance</v>
      </c>
      <c r="E158" s="45" t="str">
        <f>$E$32</f>
        <v>Calc_EB_SCS</v>
      </c>
      <c r="F158" s="45" t="str">
        <f>Millions</f>
        <v>$Millions</v>
      </c>
      <c r="G158" s="45" t="str">
        <f>Nominal</f>
        <v>Nominal</v>
      </c>
      <c r="H158" s="45" t="str">
        <f>Start_year</f>
        <v>Start year</v>
      </c>
      <c r="J158" s="58">
        <f>Calc_EB_SCS!J$27</f>
        <v>5.9512850147387919</v>
      </c>
      <c r="K158" s="56">
        <f>Calc_EB_SCS!K$27</f>
        <v>5.0879223472587896</v>
      </c>
      <c r="L158" s="57">
        <f>Calc_EB_SCS!L$27</f>
        <v>23.207140261197104</v>
      </c>
      <c r="M158" s="57">
        <f>Calc_EB_SCS!M$27</f>
        <v>24.912282670685393</v>
      </c>
      <c r="N158" s="57">
        <f>Calc_EB_SCS!N$27</f>
        <v>35.117193966192374</v>
      </c>
      <c r="O158" s="58">
        <f>Calc_EB_SCS!O$27</f>
        <v>35.458557884292944</v>
      </c>
      <c r="P158" s="56">
        <f>Calc_EB_SCS!P$27</f>
        <v>37.993521199753474</v>
      </c>
      <c r="Q158" s="57">
        <f>Calc_EB_SCS!Q$27</f>
        <v>38.535808151464018</v>
      </c>
      <c r="R158" s="57">
        <f>Calc_EB_SCS!R$27</f>
        <v>41.002258481296167</v>
      </c>
      <c r="S158" s="57">
        <f>Calc_EB_SCS!S$27</f>
        <v>52.401128158605459</v>
      </c>
      <c r="T158" s="58">
        <f>Calc_EB_SCS!T$27</f>
        <v>52.638006132966993</v>
      </c>
    </row>
    <row r="159" spans="1:20" ht="12.3" x14ac:dyDescent="0.35">
      <c r="D159" s="10" t="str">
        <f>Calc_EB_SCS!$C$33</f>
        <v>Inflation</v>
      </c>
      <c r="E159" s="45" t="str">
        <f>$E$33</f>
        <v>Calc_EB_SCS</v>
      </c>
      <c r="F159" s="45" t="str">
        <f>Millions</f>
        <v>$Millions</v>
      </c>
      <c r="G159" s="45" t="str">
        <f>Nominal</f>
        <v>Nominal</v>
      </c>
      <c r="H159" s="45" t="str">
        <f>End_year</f>
        <v>End year</v>
      </c>
      <c r="J159" s="58">
        <f>Calc_EB_SCS!J$46</f>
        <v>0.1061781447767855</v>
      </c>
      <c r="K159" s="56">
        <f>Calc_EB_SCS!K$46</f>
        <v>9.3642742587585689E-2</v>
      </c>
      <c r="L159" s="57">
        <f>Calc_EB_SCS!L$46</f>
        <v>0.19971721395178188</v>
      </c>
      <c r="M159" s="57">
        <f>Calc_EB_SCS!M$46</f>
        <v>0.87150476919632991</v>
      </c>
      <c r="N159" s="57">
        <f>Calc_EB_SCS!N$46</f>
        <v>2.8093755172953907</v>
      </c>
      <c r="O159" s="58">
        <f>Calc_EB_SCS!O$46</f>
        <v>1.6665522205617684</v>
      </c>
      <c r="P159" s="56">
        <f>Calc_EB_SCS!P$46</f>
        <v>1.109274061303176</v>
      </c>
      <c r="Q159" s="57">
        <f>Calc_EB_SCS!Q$46</f>
        <v>1.1251068883305266</v>
      </c>
      <c r="R159" s="57">
        <f>Calc_EB_SCS!R$46</f>
        <v>1.1971183599704129</v>
      </c>
      <c r="S159" s="57">
        <f>Calc_EB_SCS!S$46</f>
        <v>1.5299243243014198</v>
      </c>
      <c r="T159" s="58">
        <f>Calc_EB_SCS!T$46</f>
        <v>1.5368403085101958</v>
      </c>
    </row>
    <row r="160" spans="1:20" ht="12.3" x14ac:dyDescent="0.35">
      <c r="D160" s="10" t="str">
        <f>Calc_EB_SCS!$C$52</f>
        <v>Straight line depreciation</v>
      </c>
      <c r="E160" s="45" t="str">
        <f>$E$34</f>
        <v>Calc_EB_SCS</v>
      </c>
      <c r="F160" s="45" t="str">
        <f>Millions</f>
        <v>$Millions</v>
      </c>
      <c r="G160" s="45" t="str">
        <f>Nominal</f>
        <v>Nominal</v>
      </c>
      <c r="H160" s="45" t="str">
        <f>End_year</f>
        <v>End year</v>
      </c>
      <c r="J160" s="58">
        <f>Calc_EB_SCS!J$65</f>
        <v>-1.1548854687667607</v>
      </c>
      <c r="K160" s="56">
        <f>Calc_EB_SCS!K$65</f>
        <v>-0.86249250647917408</v>
      </c>
      <c r="L160" s="57">
        <f>Calc_EB_SCS!L$65</f>
        <v>-4.5711391269554431</v>
      </c>
      <c r="M160" s="57">
        <f>Calc_EB_SCS!M$65</f>
        <v>-5.6550419994021004</v>
      </c>
      <c r="N160" s="57">
        <f>Calc_EB_SCS!N$65</f>
        <v>-7.9248770775543447</v>
      </c>
      <c r="O160" s="58">
        <f>Calc_EB_SCS!O$65</f>
        <v>-9.2386672065994553</v>
      </c>
      <c r="P160" s="56">
        <f>Calc_EB_SCS!P$65</f>
        <v>-5.4411165237887573</v>
      </c>
      <c r="Q160" s="57">
        <f>Calc_EB_SCS!Q$65</f>
        <v>-6.5991754654067929</v>
      </c>
      <c r="R160" s="57">
        <f>Calc_EB_SCS!R$65</f>
        <v>-5.7621436010188107</v>
      </c>
      <c r="S160" s="57">
        <f>Calc_EB_SCS!S$65</f>
        <v>-8.3427937936419134</v>
      </c>
      <c r="T160" s="58">
        <f>Calc_EB_SCS!T$65</f>
        <v>-8.8688879215730303</v>
      </c>
    </row>
    <row r="161" spans="1:20" ht="12.3" x14ac:dyDescent="0.35">
      <c r="D161" s="10" t="str">
        <f>Calc_EB_SCS!$C$71</f>
        <v>RAB additions</v>
      </c>
      <c r="E161" s="45" t="str">
        <f>$E$35</f>
        <v>Calc_EB_SCS</v>
      </c>
      <c r="F161" s="45" t="str">
        <f>Millions</f>
        <v>$Millions</v>
      </c>
      <c r="G161" s="45" t="str">
        <f>Nominal</f>
        <v>Nominal</v>
      </c>
      <c r="H161" s="45" t="str">
        <f>End_year</f>
        <v>End year</v>
      </c>
      <c r="J161" s="58">
        <f>Calc_EB_SCS!J$84+Calc_EB_SCS!J$141</f>
        <v>0.18534465650997367</v>
      </c>
      <c r="K161" s="56">
        <f>Calc_EB_SCS!K$84+Calc_EB_SCS!K$141</f>
        <v>18.888067677829902</v>
      </c>
      <c r="L161" s="57">
        <f>Calc_EB_SCS!L$84+Calc_EB_SCS!L$141</f>
        <v>6.0765643224919508</v>
      </c>
      <c r="M161" s="57">
        <f>Calc_EB_SCS!M$84+Calc_EB_SCS!M$141</f>
        <v>14.988448525712755</v>
      </c>
      <c r="N161" s="57">
        <f>Calc_EB_SCS!N$84+Calc_EB_SCS!N$141</f>
        <v>5.4568654783595223</v>
      </c>
      <c r="O161" s="58">
        <f>Calc_EB_SCS!O$84+Calc_EB_SCS!O$141</f>
        <v>10.107078301498223</v>
      </c>
      <c r="P161" s="56">
        <f>Calc_EB_SCS!P$84+Calc_EB_SCS!P$141</f>
        <v>4.874129414196128</v>
      </c>
      <c r="Q161" s="57">
        <f>Calc_EB_SCS!Q$84+Calc_EB_SCS!Q$141</f>
        <v>7.9405189069084132</v>
      </c>
      <c r="R161" s="57">
        <f>Calc_EB_SCS!R$84+Calc_EB_SCS!R$141</f>
        <v>15.963894918357697</v>
      </c>
      <c r="S161" s="57">
        <f>Calc_EB_SCS!S$84+Calc_EB_SCS!S$141</f>
        <v>7.049747443702028</v>
      </c>
      <c r="T161" s="58">
        <f>Calc_EB_SCS!T$84+Calc_EB_SCS!T$141</f>
        <v>7.4821569924069973</v>
      </c>
    </row>
    <row r="162" spans="1:20" ht="12.3" x14ac:dyDescent="0.35">
      <c r="D162" s="10" t="str">
        <f>Calc_EB_SCS!$C$90</f>
        <v>Disposals</v>
      </c>
      <c r="E162" s="45" t="str">
        <f>$E$36</f>
        <v>Calc_EB_SCS</v>
      </c>
      <c r="F162" s="45" t="str">
        <f>Millions</f>
        <v>$Millions</v>
      </c>
      <c r="G162" s="45" t="str">
        <f>Nominal</f>
        <v>Nominal</v>
      </c>
      <c r="H162" s="45" t="str">
        <f>End_year</f>
        <v>End year</v>
      </c>
      <c r="J162" s="58">
        <f>Calc_EB_SCS!J$103</f>
        <v>0</v>
      </c>
      <c r="K162" s="56">
        <f>Calc_EB_SCS!K$103</f>
        <v>0</v>
      </c>
      <c r="L162" s="57">
        <f>Calc_EB_SCS!L$103</f>
        <v>0</v>
      </c>
      <c r="M162" s="57">
        <f>Calc_EB_SCS!M$103</f>
        <v>0</v>
      </c>
      <c r="N162" s="57">
        <f>Calc_EB_SCS!N$103</f>
        <v>0</v>
      </c>
      <c r="O162" s="58">
        <f>Calc_EB_SCS!O$103</f>
        <v>0</v>
      </c>
      <c r="P162" s="56">
        <f>Calc_EB_SCS!P$103</f>
        <v>0</v>
      </c>
      <c r="Q162" s="57">
        <f>Calc_EB_SCS!Q$103</f>
        <v>0</v>
      </c>
      <c r="R162" s="57">
        <f>Calc_EB_SCS!R$103</f>
        <v>0</v>
      </c>
      <c r="S162" s="57">
        <f>Calc_EB_SCS!S$103</f>
        <v>0</v>
      </c>
      <c r="T162" s="58">
        <f>Calc_EB_SCS!T$103</f>
        <v>0</v>
      </c>
    </row>
    <row r="163" spans="1:20" x14ac:dyDescent="0.35">
      <c r="J163" s="49"/>
      <c r="K163" s="48"/>
      <c r="O163" s="49"/>
      <c r="P163" s="48"/>
      <c r="T163" s="49"/>
    </row>
    <row r="164" spans="1:20" ht="12.3" x14ac:dyDescent="0.35">
      <c r="D164" s="44" t="str">
        <f>D$22</f>
        <v>Closing balance</v>
      </c>
      <c r="E164" s="40" t="s">
        <v>91</v>
      </c>
      <c r="F164" s="40" t="str">
        <f>F158</f>
        <v>$Millions</v>
      </c>
      <c r="G164" s="40" t="str">
        <f>G158</f>
        <v>Nominal</v>
      </c>
      <c r="H164" s="40" t="str">
        <f>End_year</f>
        <v>End year</v>
      </c>
      <c r="J164" s="54">
        <f t="shared" ref="J164:T164" si="23">SUM(J158:J162)</f>
        <v>5.0879223472587896</v>
      </c>
      <c r="K164" s="53">
        <f t="shared" si="23"/>
        <v>23.207140261197104</v>
      </c>
      <c r="L164" s="39">
        <f t="shared" si="23"/>
        <v>24.912282670685393</v>
      </c>
      <c r="M164" s="39">
        <f t="shared" si="23"/>
        <v>35.117193966192374</v>
      </c>
      <c r="N164" s="39">
        <f t="shared" si="23"/>
        <v>35.458557884292944</v>
      </c>
      <c r="O164" s="54">
        <f t="shared" si="23"/>
        <v>37.993521199753481</v>
      </c>
      <c r="P164" s="53">
        <f t="shared" si="23"/>
        <v>38.535808151464018</v>
      </c>
      <c r="Q164" s="39">
        <f t="shared" si="23"/>
        <v>41.002258481296167</v>
      </c>
      <c r="R164" s="39">
        <f t="shared" si="23"/>
        <v>52.401128158605459</v>
      </c>
      <c r="S164" s="39">
        <f t="shared" si="23"/>
        <v>52.638006132966993</v>
      </c>
      <c r="T164" s="54">
        <f t="shared" si="23"/>
        <v>52.788115512311151</v>
      </c>
    </row>
    <row r="165" spans="1:20" ht="11.25" customHeight="1" x14ac:dyDescent="0.35"/>
    <row r="166" spans="1:20" ht="11.25" customHeight="1" x14ac:dyDescent="0.35">
      <c r="A166" s="42">
        <f>IF(SUM($J166:$T166)&lt;&gt;0,1,0)</f>
        <v>0</v>
      </c>
      <c r="D166" s="10" t="s">
        <v>94</v>
      </c>
      <c r="J166" s="42">
        <f>IF(ROUND(J164-Calc_EB_SCS!J$160,3)&lt;&gt;0,1,0)</f>
        <v>0</v>
      </c>
      <c r="K166" s="42">
        <f>IF(ROUND(K164-Calc_EB_SCS!K$160,3)&lt;&gt;0,1,0)</f>
        <v>0</v>
      </c>
      <c r="L166" s="42">
        <f>IF(ROUND(L164-Calc_EB_SCS!L$160,3)&lt;&gt;0,1,0)</f>
        <v>0</v>
      </c>
      <c r="M166" s="42">
        <f>IF(ROUND(M164-Calc_EB_SCS!M$160,3)&lt;&gt;0,1,0)</f>
        <v>0</v>
      </c>
      <c r="N166" s="42">
        <f>IF(ROUND(N164-Calc_EB_SCS!N$160,3)&lt;&gt;0,1,0)</f>
        <v>0</v>
      </c>
      <c r="O166" s="42">
        <f>IF(ROUND(O164-Calc_EB_SCS!O$160,3)&lt;&gt;0,1,0)</f>
        <v>0</v>
      </c>
      <c r="P166" s="42">
        <f>IF(ROUND(P164-Calc_EB_SCS!P$160,3)&lt;&gt;0,1,0)</f>
        <v>0</v>
      </c>
      <c r="Q166" s="42">
        <f>IF(ROUND(Q164-Calc_EB_SCS!Q$160,3)&lt;&gt;0,1,0)</f>
        <v>0</v>
      </c>
      <c r="R166" s="42">
        <f>IF(ROUND(R164-Calc_EB_SCS!R$160,3)&lt;&gt;0,1,0)</f>
        <v>0</v>
      </c>
      <c r="S166" s="42">
        <f>IF(ROUND(S164-Calc_EB_SCS!S$160,3)&lt;&gt;0,1,0)</f>
        <v>0</v>
      </c>
      <c r="T166" s="42">
        <f>IF(ROUND(T164-Calc_EB_SCS!T$160,3)&lt;&gt;0,1,0)</f>
        <v>0</v>
      </c>
    </row>
    <row r="168" spans="1:20" s="2" customFormat="1" ht="15" x14ac:dyDescent="0.35">
      <c r="B168" s="2" t="s">
        <v>26</v>
      </c>
    </row>
  </sheetData>
  <conditionalFormatting sqref="B2">
    <cfRule type="cellIs" dxfId="7" priority="1" operator="notEqual">
      <formula>"No Errors Found"</formula>
    </cfRule>
  </conditionalFormatting>
  <hyperlinks>
    <hyperlink ref="B3:E3" location="TOC!A1" display="TOC!A1" xr:uid="{00000000-0004-0000-1000-000000000000}"/>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4" tint="-0.249977111117893"/>
  </sheetPr>
  <dimension ref="A1:T168"/>
  <sheetViews>
    <sheetView showGridLines="0" zoomScaleNormal="100" workbookViewId="0">
      <pane xSplit="1" ySplit="10" topLeftCell="B11" activePane="bottomRight" state="frozen"/>
      <selection activeCell="D44" sqref="D44"/>
      <selection pane="topRight" activeCell="D44" sqref="D44"/>
      <selection pane="bottomLeft" activeCell="D44" sqref="D44"/>
      <selection pane="bottomRight" activeCell="B11" sqref="B11"/>
    </sheetView>
  </sheetViews>
  <sheetFormatPr defaultColWidth="9.33203125" defaultRowHeight="10.199999999999999" outlineLevelRow="1" x14ac:dyDescent="0.35"/>
  <cols>
    <col min="1" max="1" width="3.33203125" customWidth="1"/>
    <col min="2" max="3" width="2.796875" customWidth="1"/>
    <col min="4" max="4" width="47.46484375" customWidth="1"/>
    <col min="5" max="5" width="28.9296875" bestFit="1" customWidth="1"/>
    <col min="6" max="6" width="10.3984375" bestFit="1" customWidth="1"/>
    <col min="7" max="7" width="12" customWidth="1"/>
    <col min="8" max="8" width="10" customWidth="1"/>
    <col min="9" max="9" width="4.46484375" customWidth="1"/>
    <col min="10" max="20" width="12.796875" customWidth="1"/>
    <col min="21" max="21" width="4.33203125" customWidth="1"/>
    <col min="22" max="23" width="10.796875" customWidth="1"/>
  </cols>
  <sheetData>
    <row r="1" spans="1:20" ht="18.899999999999999" x14ac:dyDescent="0.35">
      <c r="A1" s="42">
        <f>IF(SUM($A11:$A168)&gt;0,1,0)</f>
        <v>0</v>
      </c>
      <c r="B1" s="3" t="s">
        <v>447</v>
      </c>
    </row>
    <row r="2" spans="1:20" x14ac:dyDescent="0.35">
      <c r="B2" s="13" t="str">
        <f>Title_Msg</f>
        <v>No Errors Found</v>
      </c>
    </row>
    <row r="3" spans="1:20" x14ac:dyDescent="0.35">
      <c r="B3" s="30" t="str">
        <f>TOC!B1</f>
        <v>Table of Contents</v>
      </c>
      <c r="C3" s="28"/>
      <c r="D3" s="28"/>
      <c r="E3" s="28"/>
    </row>
    <row r="4" spans="1:20" ht="12.3" x14ac:dyDescent="0.35">
      <c r="B4" s="27" t="str">
        <f>Model_Name</f>
        <v>Power and Water Corporation (PWC) - RAB Allocation - EB RIN</v>
      </c>
    </row>
    <row r="5" spans="1:20" ht="12.3" hidden="1" outlineLevel="1" x14ac:dyDescent="0.35">
      <c r="B5" s="10" t="str">
        <f>Lookup!B15</f>
        <v>Period start date</v>
      </c>
      <c r="J5" s="35">
        <f>Lookup!R15</f>
        <v>43282</v>
      </c>
      <c r="K5" s="35">
        <f>Lookup!S15</f>
        <v>43647</v>
      </c>
      <c r="L5" s="35">
        <f>Lookup!T15</f>
        <v>44013</v>
      </c>
      <c r="M5" s="35">
        <f>Lookup!U15</f>
        <v>44378</v>
      </c>
      <c r="N5" s="35">
        <f>Lookup!V15</f>
        <v>44743</v>
      </c>
      <c r="O5" s="35">
        <f>Lookup!W15</f>
        <v>45108</v>
      </c>
      <c r="P5" s="35">
        <f>Lookup!X15</f>
        <v>45474</v>
      </c>
      <c r="Q5" s="35">
        <f>Lookup!Y15</f>
        <v>45839</v>
      </c>
      <c r="R5" s="35">
        <f>Lookup!Z15</f>
        <v>46204</v>
      </c>
      <c r="S5" s="35">
        <f>Lookup!AA15</f>
        <v>46569</v>
      </c>
      <c r="T5" s="35">
        <f>Lookup!AB15</f>
        <v>46935</v>
      </c>
    </row>
    <row r="6" spans="1:20" ht="12.3" hidden="1" outlineLevel="1" x14ac:dyDescent="0.35">
      <c r="B6" s="10" t="str">
        <f>Lookup!B16</f>
        <v>Period end date</v>
      </c>
      <c r="J6" s="35">
        <f>Lookup!R16</f>
        <v>43646</v>
      </c>
      <c r="K6" s="35">
        <f>Lookup!S16</f>
        <v>44012</v>
      </c>
      <c r="L6" s="35">
        <f>Lookup!T16</f>
        <v>44377</v>
      </c>
      <c r="M6" s="35">
        <f>Lookup!U16</f>
        <v>44742</v>
      </c>
      <c r="N6" s="35">
        <f>Lookup!V16</f>
        <v>45107</v>
      </c>
      <c r="O6" s="35">
        <f>Lookup!W16</f>
        <v>45473</v>
      </c>
      <c r="P6" s="35">
        <f>Lookup!X16</f>
        <v>45838</v>
      </c>
      <c r="Q6" s="35">
        <f>Lookup!Y16</f>
        <v>46203</v>
      </c>
      <c r="R6" s="35">
        <f>Lookup!Z16</f>
        <v>46568</v>
      </c>
      <c r="S6" s="35">
        <f>Lookup!AA16</f>
        <v>46934</v>
      </c>
      <c r="T6" s="35">
        <f>Lookup!AB16</f>
        <v>47299</v>
      </c>
    </row>
    <row r="7" spans="1:20" ht="12.3" hidden="1" outlineLevel="1" x14ac:dyDescent="0.35">
      <c r="B7" s="10" t="str">
        <f>Lookup!B17</f>
        <v>Period counter</v>
      </c>
      <c r="J7" s="36">
        <f>Lookup!R17</f>
        <v>9</v>
      </c>
      <c r="K7" s="36">
        <f>Lookup!S17</f>
        <v>10</v>
      </c>
      <c r="L7" s="36">
        <f>Lookup!T17</f>
        <v>11</v>
      </c>
      <c r="M7" s="36">
        <f>Lookup!U17</f>
        <v>12</v>
      </c>
      <c r="N7" s="36">
        <f>Lookup!V17</f>
        <v>13</v>
      </c>
      <c r="O7" s="36">
        <f>Lookup!W17</f>
        <v>14</v>
      </c>
      <c r="P7" s="36">
        <f>Lookup!X17</f>
        <v>15</v>
      </c>
      <c r="Q7" s="36">
        <f>Lookup!Y17</f>
        <v>16</v>
      </c>
      <c r="R7" s="36">
        <f>Lookup!Z17</f>
        <v>17</v>
      </c>
      <c r="S7" s="36">
        <f>Lookup!AA17</f>
        <v>18</v>
      </c>
      <c r="T7" s="36">
        <f>Lookup!AB17</f>
        <v>19</v>
      </c>
    </row>
    <row r="8" spans="1:20" ht="12.3" hidden="1" outlineLevel="1" x14ac:dyDescent="0.35">
      <c r="B8" s="10" t="str">
        <f>Lookup!B18</f>
        <v>Year</v>
      </c>
      <c r="J8" s="37">
        <f>Lookup!R18</f>
        <v>2019</v>
      </c>
      <c r="K8" s="37">
        <f>Lookup!S18</f>
        <v>2020</v>
      </c>
      <c r="L8" s="37">
        <f>Lookup!T18</f>
        <v>2021</v>
      </c>
      <c r="M8" s="37">
        <f>Lookup!U18</f>
        <v>2022</v>
      </c>
      <c r="N8" s="37">
        <f>Lookup!V18</f>
        <v>2023</v>
      </c>
      <c r="O8" s="37">
        <f>Lookup!W18</f>
        <v>2024</v>
      </c>
      <c r="P8" s="37">
        <f>Lookup!X18</f>
        <v>2025</v>
      </c>
      <c r="Q8" s="37">
        <f>Lookup!Y18</f>
        <v>2026</v>
      </c>
      <c r="R8" s="37">
        <f>Lookup!Z18</f>
        <v>2027</v>
      </c>
      <c r="S8" s="37">
        <f>Lookup!AA18</f>
        <v>2028</v>
      </c>
      <c r="T8" s="37">
        <f>Lookup!AB18</f>
        <v>2029</v>
      </c>
    </row>
    <row r="9" spans="1:20" ht="12.3" hidden="1" outlineLevel="1" x14ac:dyDescent="0.35">
      <c r="B9" s="10" t="str">
        <f>Lookup!B19</f>
        <v>Period type</v>
      </c>
      <c r="J9" s="37" t="str">
        <f>Lookup!R19</f>
        <v>Actual</v>
      </c>
      <c r="K9" s="37" t="str">
        <f>Lookup!S19</f>
        <v>Actual</v>
      </c>
      <c r="L9" s="37" t="str">
        <f>Lookup!T19</f>
        <v>Actual</v>
      </c>
      <c r="M9" s="37" t="str">
        <f>Lookup!U19</f>
        <v>Base Year</v>
      </c>
      <c r="N9" s="37" t="str">
        <f>Lookup!V19</f>
        <v>Estimate</v>
      </c>
      <c r="O9" s="37" t="str">
        <f>Lookup!W19</f>
        <v>Estimate</v>
      </c>
      <c r="P9" s="37" t="str">
        <f>Lookup!X19</f>
        <v>Forecast</v>
      </c>
      <c r="Q9" s="37" t="str">
        <f>Lookup!Y19</f>
        <v>Forecast</v>
      </c>
      <c r="R9" s="37" t="str">
        <f>Lookup!Z19</f>
        <v>Forecast</v>
      </c>
      <c r="S9" s="37" t="str">
        <f>Lookup!AA19</f>
        <v>Forecast</v>
      </c>
      <c r="T9" s="37" t="str">
        <f>Lookup!AB19</f>
        <v>Forecast</v>
      </c>
    </row>
    <row r="10" spans="1:20" ht="12.3" collapsed="1" x14ac:dyDescent="0.35">
      <c r="B10" s="5" t="str">
        <f>Lookup!B20</f>
        <v>Regulatory year</v>
      </c>
      <c r="E10" s="34" t="str">
        <f>Lookup!E20</f>
        <v>Source</v>
      </c>
      <c r="F10" s="34" t="str">
        <f>Lookup!F20</f>
        <v>Unit</v>
      </c>
      <c r="G10" s="34" t="str">
        <f>Lookup!G20</f>
        <v>Basis</v>
      </c>
      <c r="H10" s="34" t="str">
        <f>Lookup!H20</f>
        <v>Timing</v>
      </c>
      <c r="I10" s="34"/>
      <c r="J10" s="34" t="str">
        <f>Lookup!R20</f>
        <v>RY19</v>
      </c>
      <c r="K10" s="34" t="str">
        <f>Lookup!S20</f>
        <v>RY20</v>
      </c>
      <c r="L10" s="34" t="str">
        <f>Lookup!T20</f>
        <v>RY21</v>
      </c>
      <c r="M10" s="34" t="str">
        <f>Lookup!U20</f>
        <v>RY22</v>
      </c>
      <c r="N10" s="34" t="str">
        <f>Lookup!V20</f>
        <v>RY23</v>
      </c>
      <c r="O10" s="34" t="str">
        <f>Lookup!W20</f>
        <v>RY24</v>
      </c>
      <c r="P10" s="34" t="str">
        <f>Lookup!X20</f>
        <v>RY25</v>
      </c>
      <c r="Q10" s="34" t="str">
        <f>Lookup!Y20</f>
        <v>RY26</v>
      </c>
      <c r="R10" s="34" t="str">
        <f>Lookup!Z20</f>
        <v>RY27</v>
      </c>
      <c r="S10" s="34" t="str">
        <f>Lookup!AA20</f>
        <v>RY28</v>
      </c>
      <c r="T10" s="34" t="str">
        <f>Lookup!AB20</f>
        <v>RY29</v>
      </c>
    </row>
    <row r="12" spans="1:20" s="2" customFormat="1" ht="15" x14ac:dyDescent="0.35">
      <c r="B12" s="2" t="s">
        <v>446</v>
      </c>
    </row>
    <row r="14" spans="1:20" ht="12.3" x14ac:dyDescent="0.35">
      <c r="D14" s="43" t="s">
        <v>399</v>
      </c>
      <c r="E14" s="38" t="str">
        <f>Lookup!E$20</f>
        <v>Source</v>
      </c>
      <c r="F14" s="38" t="str">
        <f>Lookup!F$20</f>
        <v>Unit</v>
      </c>
      <c r="G14" s="38" t="str">
        <f>Lookup!G$20</f>
        <v>Basis</v>
      </c>
      <c r="H14" s="38" t="str">
        <f>Lookup!H$20</f>
        <v>Timing</v>
      </c>
      <c r="J14" s="47" t="str">
        <f t="shared" ref="J14:T14" si="0">J$10</f>
        <v>RY19</v>
      </c>
      <c r="K14" s="46" t="str">
        <f t="shared" si="0"/>
        <v>RY20</v>
      </c>
      <c r="L14" s="38" t="str">
        <f>L$10</f>
        <v>RY21</v>
      </c>
      <c r="M14" s="38" t="str">
        <f t="shared" si="0"/>
        <v>RY22</v>
      </c>
      <c r="N14" s="38" t="str">
        <f t="shared" si="0"/>
        <v>RY23</v>
      </c>
      <c r="O14" s="47" t="str">
        <f t="shared" si="0"/>
        <v>RY24</v>
      </c>
      <c r="P14" s="46" t="str">
        <f t="shared" si="0"/>
        <v>RY25</v>
      </c>
      <c r="Q14" s="38" t="str">
        <f>Q$10</f>
        <v>RY26</v>
      </c>
      <c r="R14" s="38" t="str">
        <f t="shared" si="0"/>
        <v>RY27</v>
      </c>
      <c r="S14" s="38" t="str">
        <f t="shared" si="0"/>
        <v>RY28</v>
      </c>
      <c r="T14" s="47" t="str">
        <f t="shared" si="0"/>
        <v>RY29</v>
      </c>
    </row>
    <row r="15" spans="1:20" x14ac:dyDescent="0.35">
      <c r="J15" s="49"/>
      <c r="K15" s="48"/>
      <c r="O15" s="49"/>
      <c r="P15" s="48"/>
      <c r="T15" s="49"/>
    </row>
    <row r="16" spans="1:20" ht="12.3" x14ac:dyDescent="0.35">
      <c r="D16" s="10" t="str">
        <f>Calc_EB_ACS!$C$14</f>
        <v>Opening balance</v>
      </c>
      <c r="E16" s="45" t="s">
        <v>91</v>
      </c>
      <c r="F16" s="45" t="str">
        <f>Millions</f>
        <v>$Millions</v>
      </c>
      <c r="G16" s="45" t="str">
        <f>Nominal</f>
        <v>Nominal</v>
      </c>
      <c r="H16" s="45" t="str">
        <f>Start_year</f>
        <v>Start year</v>
      </c>
      <c r="J16" s="58">
        <f t="shared" ref="J16:T16" si="1">J130+J144+J158</f>
        <v>14.870425327722771</v>
      </c>
      <c r="K16" s="56">
        <f t="shared" si="1"/>
        <v>14.05407462973103</v>
      </c>
      <c r="L16" s="57">
        <f t="shared" si="1"/>
        <v>16.243058316181248</v>
      </c>
      <c r="M16" s="57">
        <f t="shared" si="1"/>
        <v>17.337643700448613</v>
      </c>
      <c r="N16" s="57">
        <f t="shared" si="1"/>
        <v>19.975852805360955</v>
      </c>
      <c r="O16" s="58">
        <f t="shared" si="1"/>
        <v>31.81634128145916</v>
      </c>
      <c r="P16" s="56">
        <f t="shared" si="1"/>
        <v>49.897951136021547</v>
      </c>
      <c r="Q16" s="57">
        <f t="shared" si="1"/>
        <v>53.549467501542971</v>
      </c>
      <c r="R16" s="57">
        <f t="shared" si="1"/>
        <v>56.966416208024711</v>
      </c>
      <c r="S16" s="57">
        <f t="shared" si="1"/>
        <v>63.452518640924986</v>
      </c>
      <c r="T16" s="58">
        <f t="shared" si="1"/>
        <v>71.237400349181655</v>
      </c>
    </row>
    <row r="17" spans="1:20" ht="12.3" x14ac:dyDescent="0.35">
      <c r="D17" s="10" t="str">
        <f>Calc_EB_ACS!$C$33</f>
        <v>Inflation</v>
      </c>
      <c r="E17" s="45" t="s">
        <v>91</v>
      </c>
      <c r="F17" s="45" t="str">
        <f>Millions</f>
        <v>$Millions</v>
      </c>
      <c r="G17" s="45" t="str">
        <f>Nominal</f>
        <v>Nominal</v>
      </c>
      <c r="H17" s="45" t="str">
        <f>End_year</f>
        <v>End year</v>
      </c>
      <c r="J17" s="58">
        <f t="shared" ref="J17:T17" si="2">J131+J145+J159</f>
        <v>0.26530642868372628</v>
      </c>
      <c r="K17" s="56">
        <f t="shared" si="2"/>
        <v>0.25866395024045002</v>
      </c>
      <c r="L17" s="57">
        <f t="shared" si="2"/>
        <v>0.13978535556093985</v>
      </c>
      <c r="M17" s="57">
        <f t="shared" si="2"/>
        <v>0.60652166528872975</v>
      </c>
      <c r="N17" s="57">
        <f t="shared" si="2"/>
        <v>1.5980682244288766</v>
      </c>
      <c r="O17" s="58">
        <f t="shared" si="2"/>
        <v>1.4953680402285805</v>
      </c>
      <c r="P17" s="56">
        <f t="shared" si="2"/>
        <v>1.4568405654309606</v>
      </c>
      <c r="Q17" s="57">
        <f t="shared" si="2"/>
        <v>1.5634516996662162</v>
      </c>
      <c r="R17" s="57">
        <f t="shared" si="2"/>
        <v>1.6632143025841115</v>
      </c>
      <c r="S17" s="57">
        <f t="shared" si="2"/>
        <v>1.852585146890545</v>
      </c>
      <c r="T17" s="58">
        <f t="shared" si="2"/>
        <v>2.0798756710796722</v>
      </c>
    </row>
    <row r="18" spans="1:20" ht="12.3" x14ac:dyDescent="0.35">
      <c r="D18" s="10" t="str">
        <f>Calc_EB_ACS!$C$52</f>
        <v>Straight line depreciation</v>
      </c>
      <c r="E18" s="45" t="s">
        <v>91</v>
      </c>
      <c r="F18" s="45" t="str">
        <f>Millions</f>
        <v>$Millions</v>
      </c>
      <c r="G18" s="45" t="str">
        <f>Nominal</f>
        <v>Nominal</v>
      </c>
      <c r="H18" s="45" t="str">
        <f>End_year</f>
        <v>End year</v>
      </c>
      <c r="J18" s="58">
        <f t="shared" ref="J18:T18" si="3">J132+J146+J160</f>
        <v>-1.8461289288989582</v>
      </c>
      <c r="K18" s="56">
        <f t="shared" si="3"/>
        <v>-0.84990810069890066</v>
      </c>
      <c r="L18" s="57">
        <f t="shared" si="3"/>
        <v>-1.1236846717663269</v>
      </c>
      <c r="M18" s="57">
        <f t="shared" si="3"/>
        <v>-1.2845572879527078</v>
      </c>
      <c r="N18" s="57">
        <f t="shared" si="3"/>
        <v>-1.5734734360139651</v>
      </c>
      <c r="O18" s="58">
        <f t="shared" si="3"/>
        <v>-2.5874511185804132</v>
      </c>
      <c r="P18" s="56">
        <f t="shared" si="3"/>
        <v>-3.8271293822176142</v>
      </c>
      <c r="Q18" s="57">
        <f t="shared" si="3"/>
        <v>-4.3343472063638924</v>
      </c>
      <c r="R18" s="57">
        <f t="shared" si="3"/>
        <v>-4.8288522130664058</v>
      </c>
      <c r="S18" s="57">
        <f t="shared" si="3"/>
        <v>-5.6775641066213005</v>
      </c>
      <c r="T18" s="58">
        <f t="shared" si="3"/>
        <v>-6.5505969461260518</v>
      </c>
    </row>
    <row r="19" spans="1:20" ht="12.3" x14ac:dyDescent="0.35">
      <c r="D19" s="10" t="str">
        <f>Calc_EB_ACS!$C$71</f>
        <v>RAB additions</v>
      </c>
      <c r="E19" s="45" t="s">
        <v>91</v>
      </c>
      <c r="F19" s="45" t="str">
        <f>Millions</f>
        <v>$Millions</v>
      </c>
      <c r="G19" s="45" t="str">
        <f>Nominal</f>
        <v>Nominal</v>
      </c>
      <c r="H19" s="45" t="str">
        <f>End_year</f>
        <v>End year</v>
      </c>
      <c r="J19" s="58">
        <f t="shared" ref="J19:T19" si="4">J133+J147+J161</f>
        <v>0.7644718022234922</v>
      </c>
      <c r="K19" s="56">
        <f t="shared" si="4"/>
        <v>2.7802278369086699</v>
      </c>
      <c r="L19" s="57">
        <f t="shared" si="4"/>
        <v>2.0784847004727522</v>
      </c>
      <c r="M19" s="57">
        <f t="shared" si="4"/>
        <v>3.3162447275763203</v>
      </c>
      <c r="N19" s="57">
        <f t="shared" si="4"/>
        <v>11.815893687683291</v>
      </c>
      <c r="O19" s="58">
        <f t="shared" si="4"/>
        <v>19.173692932914228</v>
      </c>
      <c r="P19" s="56">
        <f t="shared" si="4"/>
        <v>6.0218051823080678</v>
      </c>
      <c r="Q19" s="57">
        <f t="shared" si="4"/>
        <v>6.1878442131794174</v>
      </c>
      <c r="R19" s="57">
        <f t="shared" si="4"/>
        <v>9.6517403433825617</v>
      </c>
      <c r="S19" s="57">
        <f t="shared" si="4"/>
        <v>11.609860667987423</v>
      </c>
      <c r="T19" s="58">
        <f t="shared" si="4"/>
        <v>13.009691485932152</v>
      </c>
    </row>
    <row r="20" spans="1:20" ht="12.3" x14ac:dyDescent="0.35">
      <c r="D20" s="10" t="str">
        <f>Calc_EB_ACS!$C$90</f>
        <v>Disposals</v>
      </c>
      <c r="E20" s="45" t="s">
        <v>91</v>
      </c>
      <c r="F20" s="45" t="str">
        <f>Millions</f>
        <v>$Millions</v>
      </c>
      <c r="G20" s="45" t="str">
        <f>Nominal</f>
        <v>Nominal</v>
      </c>
      <c r="H20" s="45" t="str">
        <f>End_year</f>
        <v>End year</v>
      </c>
      <c r="J20" s="58">
        <f t="shared" ref="J20:T20" si="5">J134+J148+J162</f>
        <v>0</v>
      </c>
      <c r="K20" s="56">
        <f t="shared" si="5"/>
        <v>0</v>
      </c>
      <c r="L20" s="57">
        <f t="shared" si="5"/>
        <v>0</v>
      </c>
      <c r="M20" s="57">
        <f t="shared" si="5"/>
        <v>0</v>
      </c>
      <c r="N20" s="57">
        <f t="shared" si="5"/>
        <v>0</v>
      </c>
      <c r="O20" s="58">
        <f t="shared" si="5"/>
        <v>0</v>
      </c>
      <c r="P20" s="56">
        <f t="shared" si="5"/>
        <v>0</v>
      </c>
      <c r="Q20" s="57">
        <f t="shared" si="5"/>
        <v>0</v>
      </c>
      <c r="R20" s="57">
        <f t="shared" si="5"/>
        <v>0</v>
      </c>
      <c r="S20" s="57">
        <f t="shared" si="5"/>
        <v>0</v>
      </c>
      <c r="T20" s="58">
        <f t="shared" si="5"/>
        <v>0</v>
      </c>
    </row>
    <row r="21" spans="1:20" x14ac:dyDescent="0.35">
      <c r="J21" s="49"/>
      <c r="K21" s="48"/>
      <c r="O21" s="49"/>
      <c r="P21" s="48"/>
      <c r="T21" s="49"/>
    </row>
    <row r="22" spans="1:20" ht="12.3" x14ac:dyDescent="0.35">
      <c r="D22" s="44" t="s">
        <v>439</v>
      </c>
      <c r="E22" s="40" t="s">
        <v>91</v>
      </c>
      <c r="F22" s="40" t="str">
        <f>F16</f>
        <v>$Millions</v>
      </c>
      <c r="G22" s="40" t="str">
        <f>G16</f>
        <v>Nominal</v>
      </c>
      <c r="H22" s="40" t="str">
        <f>End_year</f>
        <v>End year</v>
      </c>
      <c r="J22" s="54">
        <f t="shared" ref="J22:T22" si="6">J38+J52+J66+J80+J94+J108+J122+J136+J150+J164</f>
        <v>14.05407462973103</v>
      </c>
      <c r="K22" s="53">
        <f t="shared" si="6"/>
        <v>16.243058316181248</v>
      </c>
      <c r="L22" s="39">
        <f t="shared" si="6"/>
        <v>17.337643700448613</v>
      </c>
      <c r="M22" s="39">
        <f t="shared" si="6"/>
        <v>19.975852805360955</v>
      </c>
      <c r="N22" s="39">
        <f t="shared" si="6"/>
        <v>31.81634128145916</v>
      </c>
      <c r="O22" s="54">
        <f t="shared" si="6"/>
        <v>49.897951136021547</v>
      </c>
      <c r="P22" s="53">
        <f t="shared" si="6"/>
        <v>53.549467501542971</v>
      </c>
      <c r="Q22" s="39">
        <f t="shared" si="6"/>
        <v>56.966416208024711</v>
      </c>
      <c r="R22" s="39">
        <f t="shared" si="6"/>
        <v>63.452518640924986</v>
      </c>
      <c r="S22" s="39">
        <f t="shared" si="6"/>
        <v>71.237400349181655</v>
      </c>
      <c r="T22" s="54">
        <f t="shared" si="6"/>
        <v>79.77637056006742</v>
      </c>
    </row>
    <row r="23" spans="1:20" ht="11.25" customHeight="1" x14ac:dyDescent="0.35"/>
    <row r="24" spans="1:20" ht="11.25" customHeight="1" x14ac:dyDescent="0.35">
      <c r="A24" s="42">
        <f>IF(SUM($J24:$T24)&lt;&gt;0,1,0)</f>
        <v>0</v>
      </c>
      <c r="D24" s="10" t="s">
        <v>94</v>
      </c>
      <c r="J24" s="42">
        <f>IF(J22&lt;&gt;Calc_EB_ACS!J$162,1,0)</f>
        <v>0</v>
      </c>
      <c r="K24" s="42">
        <f>IF(K22&lt;&gt;Calc_EB_ACS!K$162,1,0)</f>
        <v>0</v>
      </c>
      <c r="L24" s="42">
        <f>IF(L22&lt;&gt;Calc_EB_ACS!L$162,1,0)</f>
        <v>0</v>
      </c>
      <c r="M24" s="42">
        <f>IF(M22&lt;&gt;Calc_EB_ACS!M$162,1,0)</f>
        <v>0</v>
      </c>
      <c r="N24" s="42">
        <f>IF(N22&lt;&gt;Calc_EB_ACS!N$162,1,0)</f>
        <v>0</v>
      </c>
      <c r="O24" s="42">
        <f>IF(O22&lt;&gt;Calc_EB_ACS!O$162,1,0)</f>
        <v>0</v>
      </c>
      <c r="P24" s="42">
        <f>IF(P22&lt;&gt;Calc_EB_ACS!P$162,1,0)</f>
        <v>0</v>
      </c>
      <c r="Q24" s="42">
        <f>IF(Q22&lt;&gt;Calc_EB_ACS!Q$162,1,0)</f>
        <v>0</v>
      </c>
      <c r="R24" s="42">
        <f>IF(R22&lt;&gt;Calc_EB_ACS!R$162,1,0)</f>
        <v>0</v>
      </c>
      <c r="S24" s="42">
        <f>IF(S22&lt;&gt;Calc_EB_ACS!S$162,1,0)</f>
        <v>0</v>
      </c>
      <c r="T24" s="42">
        <f>IF(T22&lt;&gt;Calc_EB_ACS!T$162,1,0)</f>
        <v>0</v>
      </c>
    </row>
    <row r="26" spans="1:20" s="2" customFormat="1" ht="15" x14ac:dyDescent="0.35">
      <c r="B26" s="2" t="s">
        <v>442</v>
      </c>
    </row>
    <row r="27" spans="1:20" ht="4.5" customHeight="1" x14ac:dyDescent="0.35"/>
    <row r="28" spans="1:20" s="8" customFormat="1" ht="14.1" x14ac:dyDescent="0.35">
      <c r="C28" s="8" t="str">
        <f>Lookup!$D$106</f>
        <v>Overhead network assets less than 33kV</v>
      </c>
    </row>
    <row r="29" spans="1:20" ht="11.25" customHeight="1" x14ac:dyDescent="0.35"/>
    <row r="30" spans="1:20" ht="12.3" outlineLevel="1" x14ac:dyDescent="0.35">
      <c r="D30" s="43" t="str">
        <f>D$14</f>
        <v>Category heading</v>
      </c>
      <c r="E30" s="38" t="str">
        <f>Lookup!E$20</f>
        <v>Source</v>
      </c>
      <c r="F30" s="38" t="str">
        <f>Lookup!F$20</f>
        <v>Unit</v>
      </c>
      <c r="G30" s="38" t="str">
        <f>Lookup!G$20</f>
        <v>Basis</v>
      </c>
      <c r="H30" s="38" t="str">
        <f>Lookup!H$20</f>
        <v>Timing</v>
      </c>
      <c r="J30" s="47" t="str">
        <f t="shared" ref="J30:T30" si="7">J$10</f>
        <v>RY19</v>
      </c>
      <c r="K30" s="46" t="str">
        <f t="shared" si="7"/>
        <v>RY20</v>
      </c>
      <c r="L30" s="38" t="str">
        <f>L$10</f>
        <v>RY21</v>
      </c>
      <c r="M30" s="38" t="str">
        <f t="shared" si="7"/>
        <v>RY22</v>
      </c>
      <c r="N30" s="38" t="str">
        <f t="shared" si="7"/>
        <v>RY23</v>
      </c>
      <c r="O30" s="47" t="str">
        <f t="shared" si="7"/>
        <v>RY24</v>
      </c>
      <c r="P30" s="46" t="str">
        <f t="shared" si="7"/>
        <v>RY25</v>
      </c>
      <c r="Q30" s="38" t="str">
        <f>Q$10</f>
        <v>RY26</v>
      </c>
      <c r="R30" s="38" t="str">
        <f t="shared" si="7"/>
        <v>RY27</v>
      </c>
      <c r="S30" s="38" t="str">
        <f t="shared" si="7"/>
        <v>RY28</v>
      </c>
      <c r="T30" s="47" t="str">
        <f t="shared" si="7"/>
        <v>RY29</v>
      </c>
    </row>
    <row r="31" spans="1:20" outlineLevel="1" x14ac:dyDescent="0.35">
      <c r="J31" s="49"/>
      <c r="K31" s="48"/>
      <c r="O31" s="49"/>
      <c r="P31" s="48"/>
      <c r="T31" s="49"/>
    </row>
    <row r="32" spans="1:20" ht="12.3" outlineLevel="1" x14ac:dyDescent="0.35">
      <c r="D32" s="10" t="str">
        <f>Calc_EB_ACS!$C$14</f>
        <v>Opening balance</v>
      </c>
      <c r="E32" s="45" t="s">
        <v>134</v>
      </c>
      <c r="F32" s="45" t="str">
        <f>Millions</f>
        <v>$Millions</v>
      </c>
      <c r="G32" s="45" t="str">
        <f>Nominal</f>
        <v>Nominal</v>
      </c>
      <c r="H32" s="45" t="str">
        <f>Start_year</f>
        <v>Start year</v>
      </c>
      <c r="J32" s="58" t="str">
        <f>Calc_EB_ACS!J$18</f>
        <v>N/A</v>
      </c>
      <c r="K32" s="56" t="str">
        <f>Calc_EB_ACS!K$18</f>
        <v>N/A</v>
      </c>
      <c r="L32" s="57" t="str">
        <f>Calc_EB_ACS!L$18</f>
        <v>N/A</v>
      </c>
      <c r="M32" s="57" t="str">
        <f>Calc_EB_ACS!M$18</f>
        <v>N/A</v>
      </c>
      <c r="N32" s="57" t="str">
        <f>Calc_EB_ACS!N$18</f>
        <v>N/A</v>
      </c>
      <c r="O32" s="58" t="str">
        <f>Calc_EB_ACS!O$18</f>
        <v>N/A</v>
      </c>
      <c r="P32" s="56" t="str">
        <f>Calc_EB_ACS!P$18</f>
        <v>N/A</v>
      </c>
      <c r="Q32" s="57" t="str">
        <f>Calc_EB_ACS!Q$18</f>
        <v>N/A</v>
      </c>
      <c r="R32" s="57" t="str">
        <f>Calc_EB_ACS!R$18</f>
        <v>N/A</v>
      </c>
      <c r="S32" s="57" t="str">
        <f>Calc_EB_ACS!S$18</f>
        <v>N/A</v>
      </c>
      <c r="T32" s="58" t="str">
        <f>Calc_EB_ACS!T$18</f>
        <v>N/A</v>
      </c>
    </row>
    <row r="33" spans="1:20" ht="12.3" outlineLevel="1" x14ac:dyDescent="0.35">
      <c r="D33" s="10" t="str">
        <f>Calc_EB_ACS!$C$33</f>
        <v>Inflation</v>
      </c>
      <c r="E33" s="45" t="s">
        <v>134</v>
      </c>
      <c r="F33" s="45" t="str">
        <f>Millions</f>
        <v>$Millions</v>
      </c>
      <c r="G33" s="45" t="str">
        <f>Nominal</f>
        <v>Nominal</v>
      </c>
      <c r="H33" s="45" t="str">
        <f>End_year</f>
        <v>End year</v>
      </c>
      <c r="J33" s="58" t="str">
        <f>Calc_EB_ACS!J$37</f>
        <v>N/A</v>
      </c>
      <c r="K33" s="56" t="str">
        <f>Calc_EB_ACS!K$37</f>
        <v>N/A</v>
      </c>
      <c r="L33" s="57" t="str">
        <f>Calc_EB_ACS!L$37</f>
        <v>N/A</v>
      </c>
      <c r="M33" s="57" t="str">
        <f>Calc_EB_ACS!M$37</f>
        <v>N/A</v>
      </c>
      <c r="N33" s="57" t="str">
        <f>Calc_EB_ACS!N$37</f>
        <v>N/A</v>
      </c>
      <c r="O33" s="58" t="str">
        <f>Calc_EB_ACS!O$37</f>
        <v>N/A</v>
      </c>
      <c r="P33" s="56" t="str">
        <f>Calc_EB_ACS!P$37</f>
        <v>N/A</v>
      </c>
      <c r="Q33" s="57" t="str">
        <f>Calc_EB_ACS!Q$37</f>
        <v>N/A</v>
      </c>
      <c r="R33" s="57" t="str">
        <f>Calc_EB_ACS!R$37</f>
        <v>N/A</v>
      </c>
      <c r="S33" s="57" t="str">
        <f>Calc_EB_ACS!S$37</f>
        <v>N/A</v>
      </c>
      <c r="T33" s="58" t="str">
        <f>Calc_EB_ACS!T$37</f>
        <v>N/A</v>
      </c>
    </row>
    <row r="34" spans="1:20" ht="12.3" outlineLevel="1" x14ac:dyDescent="0.35">
      <c r="D34" s="10" t="str">
        <f>Calc_EB_ACS!$C$52</f>
        <v>Straight line depreciation</v>
      </c>
      <c r="E34" s="45" t="s">
        <v>134</v>
      </c>
      <c r="F34" s="45" t="str">
        <f>Millions</f>
        <v>$Millions</v>
      </c>
      <c r="G34" s="45" t="str">
        <f>Nominal</f>
        <v>Nominal</v>
      </c>
      <c r="H34" s="45" t="str">
        <f>End_year</f>
        <v>End year</v>
      </c>
      <c r="J34" s="58" t="str">
        <f>Calc_EB_ACS!J$56</f>
        <v>N/A</v>
      </c>
      <c r="K34" s="56" t="str">
        <f>Calc_EB_ACS!K$56</f>
        <v>N/A</v>
      </c>
      <c r="L34" s="57" t="str">
        <f>Calc_EB_ACS!L$56</f>
        <v>N/A</v>
      </c>
      <c r="M34" s="57" t="str">
        <f>Calc_EB_ACS!M$56</f>
        <v>N/A</v>
      </c>
      <c r="N34" s="57" t="str">
        <f>Calc_EB_ACS!N$56</f>
        <v>N/A</v>
      </c>
      <c r="O34" s="58" t="str">
        <f>Calc_EB_ACS!O$56</f>
        <v>N/A</v>
      </c>
      <c r="P34" s="56" t="str">
        <f>Calc_EB_ACS!P$56</f>
        <v>N/A</v>
      </c>
      <c r="Q34" s="57" t="str">
        <f>Calc_EB_ACS!Q$56</f>
        <v>N/A</v>
      </c>
      <c r="R34" s="57" t="str">
        <f>Calc_EB_ACS!R$56</f>
        <v>N/A</v>
      </c>
      <c r="S34" s="57" t="str">
        <f>Calc_EB_ACS!S$56</f>
        <v>N/A</v>
      </c>
      <c r="T34" s="58" t="str">
        <f>Calc_EB_ACS!T$56</f>
        <v>N/A</v>
      </c>
    </row>
    <row r="35" spans="1:20" ht="12.3" outlineLevel="1" x14ac:dyDescent="0.35">
      <c r="D35" s="10" t="str">
        <f>Calc_EB_ACS!$C$71</f>
        <v>RAB additions</v>
      </c>
      <c r="E35" s="45" t="s">
        <v>134</v>
      </c>
      <c r="F35" s="45" t="str">
        <f>Millions</f>
        <v>$Millions</v>
      </c>
      <c r="G35" s="45" t="str">
        <f>Nominal</f>
        <v>Nominal</v>
      </c>
      <c r="H35" s="45" t="str">
        <f>End_year</f>
        <v>End year</v>
      </c>
      <c r="J35" s="58" t="str">
        <f>IFERROR(Calc_EB_ACS!J$75+Calc_EB_ACS!J$132,NA)</f>
        <v>N/A</v>
      </c>
      <c r="K35" s="56" t="str">
        <f>IFERROR(Calc_EB_ACS!K$75+Calc_EB_ACS!K$132,NA)</f>
        <v>N/A</v>
      </c>
      <c r="L35" s="57" t="str">
        <f>IFERROR(Calc_EB_ACS!L$75+Calc_EB_ACS!L$132,NA)</f>
        <v>N/A</v>
      </c>
      <c r="M35" s="57" t="str">
        <f>IFERROR(Calc_EB_ACS!M$75+Calc_EB_ACS!M$132,NA)</f>
        <v>N/A</v>
      </c>
      <c r="N35" s="57" t="str">
        <f>IFERROR(Calc_EB_ACS!N$75+Calc_EB_ACS!N$132,NA)</f>
        <v>N/A</v>
      </c>
      <c r="O35" s="58" t="str">
        <f>IFERROR(Calc_EB_ACS!O$75+Calc_EB_ACS!O$132,NA)</f>
        <v>N/A</v>
      </c>
      <c r="P35" s="56" t="str">
        <f>IFERROR(Calc_EB_ACS!P$75+Calc_EB_ACS!P$132,NA)</f>
        <v>N/A</v>
      </c>
      <c r="Q35" s="57" t="str">
        <f>IFERROR(Calc_EB_ACS!Q$75+Calc_EB_ACS!Q$132,NA)</f>
        <v>N/A</v>
      </c>
      <c r="R35" s="57" t="str">
        <f>IFERROR(Calc_EB_ACS!R$75+Calc_EB_ACS!R$132,NA)</f>
        <v>N/A</v>
      </c>
      <c r="S35" s="57" t="str">
        <f>IFERROR(Calc_EB_ACS!S$75+Calc_EB_ACS!S$132,NA)</f>
        <v>N/A</v>
      </c>
      <c r="T35" s="58" t="str">
        <f>IFERROR(Calc_EB_ACS!T$75+Calc_EB_ACS!T$132,NA)</f>
        <v>N/A</v>
      </c>
    </row>
    <row r="36" spans="1:20" ht="12.3" outlineLevel="1" x14ac:dyDescent="0.35">
      <c r="D36" s="10" t="str">
        <f>Calc_EB_ACS!$C$90</f>
        <v>Disposals</v>
      </c>
      <c r="E36" s="45" t="s">
        <v>134</v>
      </c>
      <c r="F36" s="45" t="str">
        <f>Millions</f>
        <v>$Millions</v>
      </c>
      <c r="G36" s="45" t="str">
        <f>Nominal</f>
        <v>Nominal</v>
      </c>
      <c r="H36" s="45" t="str">
        <f>End_year</f>
        <v>End year</v>
      </c>
      <c r="J36" s="58" t="str">
        <f>Calc_EB_ACS!J$94</f>
        <v>N/A</v>
      </c>
      <c r="K36" s="56" t="str">
        <f>Calc_EB_ACS!K$94</f>
        <v>N/A</v>
      </c>
      <c r="L36" s="57" t="str">
        <f>Calc_EB_ACS!L$94</f>
        <v>N/A</v>
      </c>
      <c r="M36" s="57" t="str">
        <f>Calc_EB_ACS!M$94</f>
        <v>N/A</v>
      </c>
      <c r="N36" s="57" t="str">
        <f>Calc_EB_ACS!N$94</f>
        <v>N/A</v>
      </c>
      <c r="O36" s="58" t="str">
        <f>Calc_EB_ACS!O$94</f>
        <v>N/A</v>
      </c>
      <c r="P36" s="56" t="str">
        <f>Calc_EB_ACS!P$94</f>
        <v>N/A</v>
      </c>
      <c r="Q36" s="57" t="str">
        <f>Calc_EB_ACS!Q$94</f>
        <v>N/A</v>
      </c>
      <c r="R36" s="57" t="str">
        <f>Calc_EB_ACS!R$94</f>
        <v>N/A</v>
      </c>
      <c r="S36" s="57" t="str">
        <f>Calc_EB_ACS!S$94</f>
        <v>N/A</v>
      </c>
      <c r="T36" s="58" t="str">
        <f>Calc_EB_ACS!T$94</f>
        <v>N/A</v>
      </c>
    </row>
    <row r="37" spans="1:20" outlineLevel="1" x14ac:dyDescent="0.35">
      <c r="J37" s="49"/>
      <c r="K37" s="48"/>
      <c r="O37" s="49"/>
      <c r="P37" s="48"/>
      <c r="T37" s="49"/>
    </row>
    <row r="38" spans="1:20" ht="12.3" outlineLevel="1" x14ac:dyDescent="0.35">
      <c r="D38" s="44" t="str">
        <f>D$22</f>
        <v>Closing balance</v>
      </c>
      <c r="E38" s="40" t="s">
        <v>91</v>
      </c>
      <c r="F38" s="40" t="str">
        <f>F32</f>
        <v>$Millions</v>
      </c>
      <c r="G38" s="40" t="str">
        <f>G32</f>
        <v>Nominal</v>
      </c>
      <c r="H38" s="40" t="str">
        <f>End_year</f>
        <v>End year</v>
      </c>
      <c r="J38" s="54">
        <f t="shared" ref="J38:T38" si="8">SUM(J32:J36)</f>
        <v>0</v>
      </c>
      <c r="K38" s="53">
        <f t="shared" si="8"/>
        <v>0</v>
      </c>
      <c r="L38" s="39">
        <f t="shared" si="8"/>
        <v>0</v>
      </c>
      <c r="M38" s="39">
        <f t="shared" si="8"/>
        <v>0</v>
      </c>
      <c r="N38" s="39">
        <f t="shared" si="8"/>
        <v>0</v>
      </c>
      <c r="O38" s="54">
        <f t="shared" si="8"/>
        <v>0</v>
      </c>
      <c r="P38" s="53">
        <f t="shared" si="8"/>
        <v>0</v>
      </c>
      <c r="Q38" s="39">
        <f t="shared" si="8"/>
        <v>0</v>
      </c>
      <c r="R38" s="39">
        <f t="shared" si="8"/>
        <v>0</v>
      </c>
      <c r="S38" s="39">
        <f t="shared" si="8"/>
        <v>0</v>
      </c>
      <c r="T38" s="54">
        <f t="shared" si="8"/>
        <v>0</v>
      </c>
    </row>
    <row r="39" spans="1:20" ht="11.25" customHeight="1" outlineLevel="1" x14ac:dyDescent="0.35"/>
    <row r="40" spans="1:20" ht="11.25" customHeight="1" outlineLevel="1" x14ac:dyDescent="0.35">
      <c r="A40" s="42">
        <f>IF(SUM($J40:$T40)&lt;&gt;0,1,0)</f>
        <v>0</v>
      </c>
      <c r="D40" s="10" t="s">
        <v>94</v>
      </c>
      <c r="J40" s="42">
        <f>IF(Calc_EB_ACS!J$151=NA,0,IF(J38&lt;&gt;Calc_EB_ACS!J$151,1,0))</f>
        <v>0</v>
      </c>
      <c r="K40" s="42">
        <f>IF(Calc_EB_ACS!K$151=NA,0,IF(K38&lt;&gt;Calc_EB_ACS!K$151,1,0))</f>
        <v>0</v>
      </c>
      <c r="L40" s="42">
        <f>IF(Calc_EB_ACS!L$151=NA,0,IF(L38&lt;&gt;Calc_EB_ACS!L$151,1,0))</f>
        <v>0</v>
      </c>
      <c r="M40" s="42">
        <f>IF(Calc_EB_ACS!M$151=NA,0,IF(M38&lt;&gt;Calc_EB_ACS!M$151,1,0))</f>
        <v>0</v>
      </c>
      <c r="N40" s="42">
        <f>IF(Calc_EB_ACS!N$151=NA,0,IF(N38&lt;&gt;Calc_EB_ACS!N$151,1,0))</f>
        <v>0</v>
      </c>
      <c r="O40" s="42">
        <f>IF(Calc_EB_ACS!O$151=NA,0,IF(O38&lt;&gt;Calc_EB_ACS!O$151,1,0))</f>
        <v>0</v>
      </c>
      <c r="P40" s="42">
        <f>IF(Calc_EB_ACS!P$151=NA,0,IF(P38&lt;&gt;Calc_EB_ACS!P$151,1,0))</f>
        <v>0</v>
      </c>
      <c r="Q40" s="42">
        <f>IF(Calc_EB_ACS!Q$151=NA,0,IF(Q38&lt;&gt;Calc_EB_ACS!Q$151,1,0))</f>
        <v>0</v>
      </c>
      <c r="R40" s="42">
        <f>IF(Calc_EB_ACS!R$151=NA,0,IF(R38&lt;&gt;Calc_EB_ACS!R$151,1,0))</f>
        <v>0</v>
      </c>
      <c r="S40" s="42">
        <f>IF(Calc_EB_ACS!S$151=NA,0,IF(S38&lt;&gt;Calc_EB_ACS!S$151,1,0))</f>
        <v>0</v>
      </c>
      <c r="T40" s="42">
        <f>IF(Calc_EB_ACS!T$151=NA,0,IF(T38&lt;&gt;Calc_EB_ACS!T$151,1,0))</f>
        <v>0</v>
      </c>
    </row>
    <row r="41" spans="1:20" ht="11.25" customHeight="1" outlineLevel="1" x14ac:dyDescent="0.35">
      <c r="N41" s="5"/>
      <c r="S41" s="5"/>
    </row>
    <row r="42" spans="1:20" s="8" customFormat="1" ht="14.1" x14ac:dyDescent="0.35">
      <c r="C42" s="8" t="str">
        <f>Lookup!$D$107</f>
        <v>Underground network assets less than 33kV</v>
      </c>
    </row>
    <row r="43" spans="1:20" ht="11.25" customHeight="1" x14ac:dyDescent="0.35"/>
    <row r="44" spans="1:20" ht="12.3" outlineLevel="1" x14ac:dyDescent="0.35">
      <c r="D44" s="43" t="str">
        <f>D$14</f>
        <v>Category heading</v>
      </c>
      <c r="E44" s="38" t="str">
        <f>Lookup!E$20</f>
        <v>Source</v>
      </c>
      <c r="F44" s="38" t="str">
        <f>Lookup!F$20</f>
        <v>Unit</v>
      </c>
      <c r="G44" s="38" t="str">
        <f>Lookup!G$20</f>
        <v>Basis</v>
      </c>
      <c r="H44" s="38" t="str">
        <f>Lookup!H$20</f>
        <v>Timing</v>
      </c>
      <c r="J44" s="47" t="str">
        <f t="shared" ref="J44:T44" si="9">J$10</f>
        <v>RY19</v>
      </c>
      <c r="K44" s="46" t="str">
        <f t="shared" si="9"/>
        <v>RY20</v>
      </c>
      <c r="L44" s="38" t="str">
        <f>L$10</f>
        <v>RY21</v>
      </c>
      <c r="M44" s="38" t="str">
        <f t="shared" si="9"/>
        <v>RY22</v>
      </c>
      <c r="N44" s="38" t="str">
        <f t="shared" si="9"/>
        <v>RY23</v>
      </c>
      <c r="O44" s="47" t="str">
        <f t="shared" si="9"/>
        <v>RY24</v>
      </c>
      <c r="P44" s="46" t="str">
        <f t="shared" si="9"/>
        <v>RY25</v>
      </c>
      <c r="Q44" s="38" t="str">
        <f>Q$10</f>
        <v>RY26</v>
      </c>
      <c r="R44" s="38" t="str">
        <f t="shared" si="9"/>
        <v>RY27</v>
      </c>
      <c r="S44" s="38" t="str">
        <f t="shared" si="9"/>
        <v>RY28</v>
      </c>
      <c r="T44" s="47" t="str">
        <f t="shared" si="9"/>
        <v>RY29</v>
      </c>
    </row>
    <row r="45" spans="1:20" outlineLevel="1" x14ac:dyDescent="0.35">
      <c r="J45" s="49"/>
      <c r="K45" s="48"/>
      <c r="O45" s="49"/>
      <c r="P45" s="48"/>
      <c r="T45" s="49"/>
    </row>
    <row r="46" spans="1:20" ht="12.3" outlineLevel="1" x14ac:dyDescent="0.35">
      <c r="D46" s="10" t="str">
        <f>Calc_EB_ACS!$C$14</f>
        <v>Opening balance</v>
      </c>
      <c r="E46" s="45" t="str">
        <f>$E$32</f>
        <v>Calc_EB_ACS</v>
      </c>
      <c r="F46" s="45" t="str">
        <f>Millions</f>
        <v>$Millions</v>
      </c>
      <c r="G46" s="45" t="str">
        <f>Nominal</f>
        <v>Nominal</v>
      </c>
      <c r="H46" s="45" t="str">
        <f>Start_year</f>
        <v>Start year</v>
      </c>
      <c r="J46" s="58" t="str">
        <f>Calc_EB_ACS!J$19</f>
        <v>N/A</v>
      </c>
      <c r="K46" s="56" t="str">
        <f>Calc_EB_ACS!K$19</f>
        <v>N/A</v>
      </c>
      <c r="L46" s="57" t="str">
        <f>Calc_EB_ACS!L$19</f>
        <v>N/A</v>
      </c>
      <c r="M46" s="57" t="str">
        <f>Calc_EB_ACS!M$19</f>
        <v>N/A</v>
      </c>
      <c r="N46" s="57" t="str">
        <f>Calc_EB_ACS!N$19</f>
        <v>N/A</v>
      </c>
      <c r="O46" s="58" t="str">
        <f>Calc_EB_ACS!O$19</f>
        <v>N/A</v>
      </c>
      <c r="P46" s="56" t="str">
        <f>Calc_EB_ACS!P$19</f>
        <v>N/A</v>
      </c>
      <c r="Q46" s="57" t="str">
        <f>Calc_EB_ACS!Q$19</f>
        <v>N/A</v>
      </c>
      <c r="R46" s="57" t="str">
        <f>Calc_EB_ACS!R$19</f>
        <v>N/A</v>
      </c>
      <c r="S46" s="57" t="str">
        <f>Calc_EB_ACS!S$19</f>
        <v>N/A</v>
      </c>
      <c r="T46" s="58" t="str">
        <f>Calc_EB_ACS!T$19</f>
        <v>N/A</v>
      </c>
    </row>
    <row r="47" spans="1:20" ht="12.3" outlineLevel="1" x14ac:dyDescent="0.35">
      <c r="D47" s="10" t="str">
        <f>Calc_EB_ACS!$C$33</f>
        <v>Inflation</v>
      </c>
      <c r="E47" s="45" t="str">
        <f>$E$33</f>
        <v>Calc_EB_ACS</v>
      </c>
      <c r="F47" s="45" t="str">
        <f>Millions</f>
        <v>$Millions</v>
      </c>
      <c r="G47" s="45" t="str">
        <f>Nominal</f>
        <v>Nominal</v>
      </c>
      <c r="H47" s="45" t="str">
        <f>End_year</f>
        <v>End year</v>
      </c>
      <c r="J47" s="58" t="str">
        <f>Calc_EB_ACS!J$38</f>
        <v>N/A</v>
      </c>
      <c r="K47" s="56" t="str">
        <f>Calc_EB_ACS!K$38</f>
        <v>N/A</v>
      </c>
      <c r="L47" s="57" t="str">
        <f>Calc_EB_ACS!L$38</f>
        <v>N/A</v>
      </c>
      <c r="M47" s="57" t="str">
        <f>Calc_EB_ACS!M$38</f>
        <v>N/A</v>
      </c>
      <c r="N47" s="57" t="str">
        <f>Calc_EB_ACS!N$38</f>
        <v>N/A</v>
      </c>
      <c r="O47" s="58" t="str">
        <f>Calc_EB_ACS!O$38</f>
        <v>N/A</v>
      </c>
      <c r="P47" s="56" t="str">
        <f>Calc_EB_ACS!P$38</f>
        <v>N/A</v>
      </c>
      <c r="Q47" s="57" t="str">
        <f>Calc_EB_ACS!Q$38</f>
        <v>N/A</v>
      </c>
      <c r="R47" s="57" t="str">
        <f>Calc_EB_ACS!R$38</f>
        <v>N/A</v>
      </c>
      <c r="S47" s="57" t="str">
        <f>Calc_EB_ACS!S$38</f>
        <v>N/A</v>
      </c>
      <c r="T47" s="58" t="str">
        <f>Calc_EB_ACS!T$38</f>
        <v>N/A</v>
      </c>
    </row>
    <row r="48" spans="1:20" ht="12.3" outlineLevel="1" x14ac:dyDescent="0.35">
      <c r="D48" s="10" t="str">
        <f>Calc_EB_ACS!$C$52</f>
        <v>Straight line depreciation</v>
      </c>
      <c r="E48" s="45" t="str">
        <f>$E$34</f>
        <v>Calc_EB_ACS</v>
      </c>
      <c r="F48" s="45" t="str">
        <f>Millions</f>
        <v>$Millions</v>
      </c>
      <c r="G48" s="45" t="str">
        <f>Nominal</f>
        <v>Nominal</v>
      </c>
      <c r="H48" s="45" t="str">
        <f>End_year</f>
        <v>End year</v>
      </c>
      <c r="J48" s="58" t="str">
        <f>Calc_EB_ACS!J$57</f>
        <v>N/A</v>
      </c>
      <c r="K48" s="56" t="str">
        <f>Calc_EB_ACS!K$57</f>
        <v>N/A</v>
      </c>
      <c r="L48" s="57" t="str">
        <f>Calc_EB_ACS!L$57</f>
        <v>N/A</v>
      </c>
      <c r="M48" s="57" t="str">
        <f>Calc_EB_ACS!M$57</f>
        <v>N/A</v>
      </c>
      <c r="N48" s="57" t="str">
        <f>Calc_EB_ACS!N$57</f>
        <v>N/A</v>
      </c>
      <c r="O48" s="58" t="str">
        <f>Calc_EB_ACS!O$57</f>
        <v>N/A</v>
      </c>
      <c r="P48" s="56" t="str">
        <f>Calc_EB_ACS!P$57</f>
        <v>N/A</v>
      </c>
      <c r="Q48" s="57" t="str">
        <f>Calc_EB_ACS!Q$57</f>
        <v>N/A</v>
      </c>
      <c r="R48" s="57" t="str">
        <f>Calc_EB_ACS!R$57</f>
        <v>N/A</v>
      </c>
      <c r="S48" s="57" t="str">
        <f>Calc_EB_ACS!S$57</f>
        <v>N/A</v>
      </c>
      <c r="T48" s="58" t="str">
        <f>Calc_EB_ACS!T$57</f>
        <v>N/A</v>
      </c>
    </row>
    <row r="49" spans="1:20" ht="12.3" outlineLevel="1" x14ac:dyDescent="0.35">
      <c r="D49" s="10" t="str">
        <f>Calc_EB_ACS!$C$71</f>
        <v>RAB additions</v>
      </c>
      <c r="E49" s="45" t="str">
        <f>$E$35</f>
        <v>Calc_EB_ACS</v>
      </c>
      <c r="F49" s="45" t="str">
        <f>Millions</f>
        <v>$Millions</v>
      </c>
      <c r="G49" s="45" t="str">
        <f>Nominal</f>
        <v>Nominal</v>
      </c>
      <c r="H49" s="45" t="str">
        <f>End_year</f>
        <v>End year</v>
      </c>
      <c r="J49" s="58" t="str">
        <f>IFERROR(Calc_EB_ACS!J$76+Calc_EB_ACS!J$133,NA)</f>
        <v>N/A</v>
      </c>
      <c r="K49" s="56" t="str">
        <f>IFERROR(Calc_EB_ACS!K$76+Calc_EB_ACS!K$133,NA)</f>
        <v>N/A</v>
      </c>
      <c r="L49" s="57" t="str">
        <f>IFERROR(Calc_EB_ACS!L$76+Calc_EB_ACS!L$133,NA)</f>
        <v>N/A</v>
      </c>
      <c r="M49" s="57" t="str">
        <f>IFERROR(Calc_EB_ACS!M$76+Calc_EB_ACS!M$133,NA)</f>
        <v>N/A</v>
      </c>
      <c r="N49" s="57" t="str">
        <f>IFERROR(Calc_EB_ACS!N$76+Calc_EB_ACS!N$133,NA)</f>
        <v>N/A</v>
      </c>
      <c r="O49" s="58" t="str">
        <f>IFERROR(Calc_EB_ACS!O$76+Calc_EB_ACS!O$133,NA)</f>
        <v>N/A</v>
      </c>
      <c r="P49" s="56" t="str">
        <f>IFERROR(Calc_EB_ACS!P$76+Calc_EB_ACS!P$133,NA)</f>
        <v>N/A</v>
      </c>
      <c r="Q49" s="57" t="str">
        <f>IFERROR(Calc_EB_ACS!Q$76+Calc_EB_ACS!Q$133,NA)</f>
        <v>N/A</v>
      </c>
      <c r="R49" s="57" t="str">
        <f>IFERROR(Calc_EB_ACS!R$76+Calc_EB_ACS!R$133,NA)</f>
        <v>N/A</v>
      </c>
      <c r="S49" s="57" t="str">
        <f>IFERROR(Calc_EB_ACS!S$76+Calc_EB_ACS!S$133,NA)</f>
        <v>N/A</v>
      </c>
      <c r="T49" s="58" t="str">
        <f>IFERROR(Calc_EB_ACS!T$76+Calc_EB_ACS!T$133,NA)</f>
        <v>N/A</v>
      </c>
    </row>
    <row r="50" spans="1:20" ht="12.3" outlineLevel="1" x14ac:dyDescent="0.35">
      <c r="D50" s="10" t="str">
        <f>Calc_EB_ACS!$C$90</f>
        <v>Disposals</v>
      </c>
      <c r="E50" s="45" t="str">
        <f>$E$36</f>
        <v>Calc_EB_ACS</v>
      </c>
      <c r="F50" s="45" t="str">
        <f>Millions</f>
        <v>$Millions</v>
      </c>
      <c r="G50" s="45" t="str">
        <f>Nominal</f>
        <v>Nominal</v>
      </c>
      <c r="H50" s="45" t="str">
        <f>End_year</f>
        <v>End year</v>
      </c>
      <c r="J50" s="58" t="str">
        <f>Calc_EB_ACS!J$95</f>
        <v>N/A</v>
      </c>
      <c r="K50" s="56" t="str">
        <f>Calc_EB_ACS!K$95</f>
        <v>N/A</v>
      </c>
      <c r="L50" s="57" t="str">
        <f>Calc_EB_ACS!L$95</f>
        <v>N/A</v>
      </c>
      <c r="M50" s="57" t="str">
        <f>Calc_EB_ACS!M$95</f>
        <v>N/A</v>
      </c>
      <c r="N50" s="57" t="str">
        <f>Calc_EB_ACS!N$95</f>
        <v>N/A</v>
      </c>
      <c r="O50" s="58" t="str">
        <f>Calc_EB_ACS!O$95</f>
        <v>N/A</v>
      </c>
      <c r="P50" s="56" t="str">
        <f>Calc_EB_ACS!P$95</f>
        <v>N/A</v>
      </c>
      <c r="Q50" s="57" t="str">
        <f>Calc_EB_ACS!Q$95</f>
        <v>N/A</v>
      </c>
      <c r="R50" s="57" t="str">
        <f>Calc_EB_ACS!R$95</f>
        <v>N/A</v>
      </c>
      <c r="S50" s="57" t="str">
        <f>Calc_EB_ACS!S$95</f>
        <v>N/A</v>
      </c>
      <c r="T50" s="58" t="str">
        <f>Calc_EB_ACS!T$95</f>
        <v>N/A</v>
      </c>
    </row>
    <row r="51" spans="1:20" outlineLevel="1" x14ac:dyDescent="0.35">
      <c r="J51" s="49"/>
      <c r="K51" s="48"/>
      <c r="O51" s="49"/>
      <c r="P51" s="48"/>
      <c r="T51" s="49"/>
    </row>
    <row r="52" spans="1:20" ht="12.3" outlineLevel="1" x14ac:dyDescent="0.35">
      <c r="D52" s="44" t="str">
        <f>D$22</f>
        <v>Closing balance</v>
      </c>
      <c r="E52" s="40" t="s">
        <v>91</v>
      </c>
      <c r="F52" s="40" t="str">
        <f>F46</f>
        <v>$Millions</v>
      </c>
      <c r="G52" s="40" t="str">
        <f>G46</f>
        <v>Nominal</v>
      </c>
      <c r="H52" s="40" t="str">
        <f>End_year</f>
        <v>End year</v>
      </c>
      <c r="J52" s="54">
        <f t="shared" ref="J52:T52" si="10">SUM(J46:J50)</f>
        <v>0</v>
      </c>
      <c r="K52" s="53">
        <f t="shared" si="10"/>
        <v>0</v>
      </c>
      <c r="L52" s="39">
        <f t="shared" si="10"/>
        <v>0</v>
      </c>
      <c r="M52" s="39">
        <f t="shared" si="10"/>
        <v>0</v>
      </c>
      <c r="N52" s="39">
        <f t="shared" si="10"/>
        <v>0</v>
      </c>
      <c r="O52" s="54">
        <f t="shared" si="10"/>
        <v>0</v>
      </c>
      <c r="P52" s="53">
        <f t="shared" si="10"/>
        <v>0</v>
      </c>
      <c r="Q52" s="39">
        <f t="shared" si="10"/>
        <v>0</v>
      </c>
      <c r="R52" s="39">
        <f t="shared" si="10"/>
        <v>0</v>
      </c>
      <c r="S52" s="39">
        <f t="shared" si="10"/>
        <v>0</v>
      </c>
      <c r="T52" s="54">
        <f t="shared" si="10"/>
        <v>0</v>
      </c>
    </row>
    <row r="53" spans="1:20" ht="11.25" customHeight="1" outlineLevel="1" x14ac:dyDescent="0.35"/>
    <row r="54" spans="1:20" ht="11.25" customHeight="1" outlineLevel="1" x14ac:dyDescent="0.35">
      <c r="A54" s="42">
        <f>IF(SUM($J54:$T54)&lt;&gt;0,1,0)</f>
        <v>0</v>
      </c>
      <c r="D54" s="10" t="s">
        <v>94</v>
      </c>
      <c r="J54" s="42">
        <f>IF(Calc_EB_ACS!J$152=NA,0,IF(J52&lt;&gt;Calc_EB_ACS!J$152,1,0))</f>
        <v>0</v>
      </c>
      <c r="K54" s="42">
        <f>IF(Calc_EB_ACS!K$152=NA,0,IF(K52&lt;&gt;Calc_EB_ACS!K$152,1,0))</f>
        <v>0</v>
      </c>
      <c r="L54" s="42">
        <f>IF(Calc_EB_ACS!L$152=NA,0,IF(L52&lt;&gt;Calc_EB_ACS!L$152,1,0))</f>
        <v>0</v>
      </c>
      <c r="M54" s="42">
        <f>IF(Calc_EB_ACS!M$152=NA,0,IF(M52&lt;&gt;Calc_EB_ACS!M$152,1,0))</f>
        <v>0</v>
      </c>
      <c r="N54" s="42">
        <f>IF(Calc_EB_ACS!N$152=NA,0,IF(N52&lt;&gt;Calc_EB_ACS!N$152,1,0))</f>
        <v>0</v>
      </c>
      <c r="O54" s="42">
        <f>IF(Calc_EB_ACS!O$152=NA,0,IF(O52&lt;&gt;Calc_EB_ACS!O$152,1,0))</f>
        <v>0</v>
      </c>
      <c r="P54" s="42">
        <f>IF(Calc_EB_ACS!P$152=NA,0,IF(P52&lt;&gt;Calc_EB_ACS!P$152,1,0))</f>
        <v>0</v>
      </c>
      <c r="Q54" s="42">
        <f>IF(Calc_EB_ACS!Q$152=NA,0,IF(Q52&lt;&gt;Calc_EB_ACS!Q$152,1,0))</f>
        <v>0</v>
      </c>
      <c r="R54" s="42">
        <f>IF(Calc_EB_ACS!R$152=NA,0,IF(R52&lt;&gt;Calc_EB_ACS!R$152,1,0))</f>
        <v>0</v>
      </c>
      <c r="S54" s="42">
        <f>IF(Calc_EB_ACS!S$152=NA,0,IF(S52&lt;&gt;Calc_EB_ACS!S$152,1,0))</f>
        <v>0</v>
      </c>
      <c r="T54" s="42">
        <f>IF(Calc_EB_ACS!T$152=NA,0,IF(T52&lt;&gt;Calc_EB_ACS!T$152,1,0))</f>
        <v>0</v>
      </c>
    </row>
    <row r="55" spans="1:20" ht="11.25" customHeight="1" outlineLevel="1" x14ac:dyDescent="0.35">
      <c r="N55" s="5"/>
      <c r="S55" s="5"/>
    </row>
    <row r="56" spans="1:20" s="8" customFormat="1" ht="14.1" x14ac:dyDescent="0.35">
      <c r="C56" s="8" t="str">
        <f>Lookup!$D$108</f>
        <v>Distribution substations and transformers</v>
      </c>
    </row>
    <row r="57" spans="1:20" ht="11.25" customHeight="1" x14ac:dyDescent="0.35"/>
    <row r="58" spans="1:20" ht="12.3" outlineLevel="1" x14ac:dyDescent="0.35">
      <c r="D58" s="43" t="str">
        <f>D$14</f>
        <v>Category heading</v>
      </c>
      <c r="E58" s="38" t="str">
        <f>Lookup!E$20</f>
        <v>Source</v>
      </c>
      <c r="F58" s="38" t="str">
        <f>Lookup!F$20</f>
        <v>Unit</v>
      </c>
      <c r="G58" s="38" t="str">
        <f>Lookup!G$20</f>
        <v>Basis</v>
      </c>
      <c r="H58" s="38" t="str">
        <f>Lookup!H$20</f>
        <v>Timing</v>
      </c>
      <c r="J58" s="47" t="str">
        <f t="shared" ref="J58:T58" si="11">J$10</f>
        <v>RY19</v>
      </c>
      <c r="K58" s="46" t="str">
        <f t="shared" si="11"/>
        <v>RY20</v>
      </c>
      <c r="L58" s="38" t="str">
        <f>L$10</f>
        <v>RY21</v>
      </c>
      <c r="M58" s="38" t="str">
        <f t="shared" si="11"/>
        <v>RY22</v>
      </c>
      <c r="N58" s="38" t="str">
        <f t="shared" si="11"/>
        <v>RY23</v>
      </c>
      <c r="O58" s="47" t="str">
        <f t="shared" si="11"/>
        <v>RY24</v>
      </c>
      <c r="P58" s="46" t="str">
        <f t="shared" si="11"/>
        <v>RY25</v>
      </c>
      <c r="Q58" s="38" t="str">
        <f>Q$10</f>
        <v>RY26</v>
      </c>
      <c r="R58" s="38" t="str">
        <f t="shared" si="11"/>
        <v>RY27</v>
      </c>
      <c r="S58" s="38" t="str">
        <f t="shared" si="11"/>
        <v>RY28</v>
      </c>
      <c r="T58" s="47" t="str">
        <f t="shared" si="11"/>
        <v>RY29</v>
      </c>
    </row>
    <row r="59" spans="1:20" outlineLevel="1" x14ac:dyDescent="0.35">
      <c r="J59" s="49"/>
      <c r="K59" s="48"/>
      <c r="O59" s="49"/>
      <c r="P59" s="48"/>
      <c r="T59" s="49"/>
    </row>
    <row r="60" spans="1:20" ht="12.3" outlineLevel="1" x14ac:dyDescent="0.35">
      <c r="D60" s="10" t="str">
        <f>Calc_EB_ACS!$C$14</f>
        <v>Opening balance</v>
      </c>
      <c r="E60" s="45" t="str">
        <f>$E$32</f>
        <v>Calc_EB_ACS</v>
      </c>
      <c r="F60" s="45" t="str">
        <f>Millions</f>
        <v>$Millions</v>
      </c>
      <c r="G60" s="45" t="str">
        <f>Nominal</f>
        <v>Nominal</v>
      </c>
      <c r="H60" s="45" t="str">
        <f>Start_year</f>
        <v>Start year</v>
      </c>
      <c r="J60" s="58" t="str">
        <f>Calc_EB_ACS!J$20</f>
        <v>N/A</v>
      </c>
      <c r="K60" s="56" t="str">
        <f>Calc_EB_ACS!K$20</f>
        <v>N/A</v>
      </c>
      <c r="L60" s="57" t="str">
        <f>Calc_EB_ACS!L$20</f>
        <v>N/A</v>
      </c>
      <c r="M60" s="57" t="str">
        <f>Calc_EB_ACS!M$20</f>
        <v>N/A</v>
      </c>
      <c r="N60" s="57" t="str">
        <f>Calc_EB_ACS!N$20</f>
        <v>N/A</v>
      </c>
      <c r="O60" s="58" t="str">
        <f>Calc_EB_ACS!O$20</f>
        <v>N/A</v>
      </c>
      <c r="P60" s="56" t="str">
        <f>Calc_EB_ACS!P$20</f>
        <v>N/A</v>
      </c>
      <c r="Q60" s="57" t="str">
        <f>Calc_EB_ACS!Q$20</f>
        <v>N/A</v>
      </c>
      <c r="R60" s="57" t="str">
        <f>Calc_EB_ACS!R$20</f>
        <v>N/A</v>
      </c>
      <c r="S60" s="57" t="str">
        <f>Calc_EB_ACS!S$20</f>
        <v>N/A</v>
      </c>
      <c r="T60" s="58" t="str">
        <f>Calc_EB_ACS!T$20</f>
        <v>N/A</v>
      </c>
    </row>
    <row r="61" spans="1:20" ht="12.3" outlineLevel="1" x14ac:dyDescent="0.35">
      <c r="D61" s="10" t="str">
        <f>Calc_EB_ACS!$C$33</f>
        <v>Inflation</v>
      </c>
      <c r="E61" s="45" t="str">
        <f>$E$33</f>
        <v>Calc_EB_ACS</v>
      </c>
      <c r="F61" s="45" t="str">
        <f>Millions</f>
        <v>$Millions</v>
      </c>
      <c r="G61" s="45" t="str">
        <f>Nominal</f>
        <v>Nominal</v>
      </c>
      <c r="H61" s="45" t="str">
        <f>End_year</f>
        <v>End year</v>
      </c>
      <c r="J61" s="58" t="str">
        <f>Calc_EB_ACS!J$39</f>
        <v>N/A</v>
      </c>
      <c r="K61" s="56" t="str">
        <f>Calc_EB_ACS!K$39</f>
        <v>N/A</v>
      </c>
      <c r="L61" s="57" t="str">
        <f>Calc_EB_ACS!L$39</f>
        <v>N/A</v>
      </c>
      <c r="M61" s="57" t="str">
        <f>Calc_EB_ACS!M$39</f>
        <v>N/A</v>
      </c>
      <c r="N61" s="57" t="str">
        <f>Calc_EB_ACS!N$39</f>
        <v>N/A</v>
      </c>
      <c r="O61" s="58" t="str">
        <f>Calc_EB_ACS!O$39</f>
        <v>N/A</v>
      </c>
      <c r="P61" s="56" t="str">
        <f>Calc_EB_ACS!P$39</f>
        <v>N/A</v>
      </c>
      <c r="Q61" s="57" t="str">
        <f>Calc_EB_ACS!Q$39</f>
        <v>N/A</v>
      </c>
      <c r="R61" s="57" t="str">
        <f>Calc_EB_ACS!R$39</f>
        <v>N/A</v>
      </c>
      <c r="S61" s="57" t="str">
        <f>Calc_EB_ACS!S$39</f>
        <v>N/A</v>
      </c>
      <c r="T61" s="58" t="str">
        <f>Calc_EB_ACS!T$39</f>
        <v>N/A</v>
      </c>
    </row>
    <row r="62" spans="1:20" ht="12.3" outlineLevel="1" x14ac:dyDescent="0.35">
      <c r="D62" s="10" t="str">
        <f>Calc_EB_ACS!$C$52</f>
        <v>Straight line depreciation</v>
      </c>
      <c r="E62" s="45" t="str">
        <f>$E$34</f>
        <v>Calc_EB_ACS</v>
      </c>
      <c r="F62" s="45" t="str">
        <f>Millions</f>
        <v>$Millions</v>
      </c>
      <c r="G62" s="45" t="str">
        <f>Nominal</f>
        <v>Nominal</v>
      </c>
      <c r="H62" s="45" t="str">
        <f>End_year</f>
        <v>End year</v>
      </c>
      <c r="J62" s="58" t="str">
        <f>Calc_EB_ACS!J$58</f>
        <v>N/A</v>
      </c>
      <c r="K62" s="56" t="str">
        <f>Calc_EB_ACS!K$58</f>
        <v>N/A</v>
      </c>
      <c r="L62" s="57" t="str">
        <f>Calc_EB_ACS!L$58</f>
        <v>N/A</v>
      </c>
      <c r="M62" s="57" t="str">
        <f>Calc_EB_ACS!M$58</f>
        <v>N/A</v>
      </c>
      <c r="N62" s="57" t="str">
        <f>Calc_EB_ACS!N$58</f>
        <v>N/A</v>
      </c>
      <c r="O62" s="58" t="str">
        <f>Calc_EB_ACS!O$58</f>
        <v>N/A</v>
      </c>
      <c r="P62" s="56" t="str">
        <f>Calc_EB_ACS!P$58</f>
        <v>N/A</v>
      </c>
      <c r="Q62" s="57" t="str">
        <f>Calc_EB_ACS!Q$58</f>
        <v>N/A</v>
      </c>
      <c r="R62" s="57" t="str">
        <f>Calc_EB_ACS!R$58</f>
        <v>N/A</v>
      </c>
      <c r="S62" s="57" t="str">
        <f>Calc_EB_ACS!S$58</f>
        <v>N/A</v>
      </c>
      <c r="T62" s="58" t="str">
        <f>Calc_EB_ACS!T$58</f>
        <v>N/A</v>
      </c>
    </row>
    <row r="63" spans="1:20" ht="12.3" outlineLevel="1" x14ac:dyDescent="0.35">
      <c r="D63" s="10" t="str">
        <f>Calc_EB_ACS!$C$71</f>
        <v>RAB additions</v>
      </c>
      <c r="E63" s="45" t="str">
        <f>$E$35</f>
        <v>Calc_EB_ACS</v>
      </c>
      <c r="F63" s="45" t="str">
        <f>Millions</f>
        <v>$Millions</v>
      </c>
      <c r="G63" s="45" t="str">
        <f>Nominal</f>
        <v>Nominal</v>
      </c>
      <c r="H63" s="45" t="str">
        <f>End_year</f>
        <v>End year</v>
      </c>
      <c r="J63" s="58" t="str">
        <f>IFERROR(Calc_EB_ACS!J$77+Calc_EB_ACS!J$134,NA)</f>
        <v>N/A</v>
      </c>
      <c r="K63" s="56" t="str">
        <f>IFERROR(Calc_EB_ACS!K$77+Calc_EB_ACS!K$134,NA)</f>
        <v>N/A</v>
      </c>
      <c r="L63" s="57" t="str">
        <f>IFERROR(Calc_EB_ACS!L$77+Calc_EB_ACS!L$134,NA)</f>
        <v>N/A</v>
      </c>
      <c r="M63" s="57" t="str">
        <f>IFERROR(Calc_EB_ACS!M$77+Calc_EB_ACS!M$134,NA)</f>
        <v>N/A</v>
      </c>
      <c r="N63" s="57" t="str">
        <f>IFERROR(Calc_EB_ACS!N$77+Calc_EB_ACS!N$134,NA)</f>
        <v>N/A</v>
      </c>
      <c r="O63" s="58" t="str">
        <f>IFERROR(Calc_EB_ACS!O$77+Calc_EB_ACS!O$134,NA)</f>
        <v>N/A</v>
      </c>
      <c r="P63" s="56" t="str">
        <f>IFERROR(Calc_EB_ACS!P$77+Calc_EB_ACS!P$134,NA)</f>
        <v>N/A</v>
      </c>
      <c r="Q63" s="57" t="str">
        <f>IFERROR(Calc_EB_ACS!Q$77+Calc_EB_ACS!Q$134,NA)</f>
        <v>N/A</v>
      </c>
      <c r="R63" s="57" t="str">
        <f>IFERROR(Calc_EB_ACS!R$77+Calc_EB_ACS!R$134,NA)</f>
        <v>N/A</v>
      </c>
      <c r="S63" s="57" t="str">
        <f>IFERROR(Calc_EB_ACS!S$77+Calc_EB_ACS!S$134,NA)</f>
        <v>N/A</v>
      </c>
      <c r="T63" s="58" t="str">
        <f>IFERROR(Calc_EB_ACS!T$77+Calc_EB_ACS!T$134,NA)</f>
        <v>N/A</v>
      </c>
    </row>
    <row r="64" spans="1:20" ht="12.3" outlineLevel="1" x14ac:dyDescent="0.35">
      <c r="D64" s="10" t="str">
        <f>Calc_EB_ACS!$C$90</f>
        <v>Disposals</v>
      </c>
      <c r="E64" s="45" t="str">
        <f>$E$36</f>
        <v>Calc_EB_ACS</v>
      </c>
      <c r="F64" s="45" t="str">
        <f>Millions</f>
        <v>$Millions</v>
      </c>
      <c r="G64" s="45" t="str">
        <f>Nominal</f>
        <v>Nominal</v>
      </c>
      <c r="H64" s="45" t="str">
        <f>End_year</f>
        <v>End year</v>
      </c>
      <c r="J64" s="58" t="str">
        <f>Calc_EB_ACS!J$96</f>
        <v>N/A</v>
      </c>
      <c r="K64" s="56" t="str">
        <f>Calc_EB_ACS!K$96</f>
        <v>N/A</v>
      </c>
      <c r="L64" s="57" t="str">
        <f>Calc_EB_ACS!L$96</f>
        <v>N/A</v>
      </c>
      <c r="M64" s="57" t="str">
        <f>Calc_EB_ACS!M$96</f>
        <v>N/A</v>
      </c>
      <c r="N64" s="57" t="str">
        <f>Calc_EB_ACS!N$96</f>
        <v>N/A</v>
      </c>
      <c r="O64" s="58" t="str">
        <f>Calc_EB_ACS!O$96</f>
        <v>N/A</v>
      </c>
      <c r="P64" s="56" t="str">
        <f>Calc_EB_ACS!P$96</f>
        <v>N/A</v>
      </c>
      <c r="Q64" s="57" t="str">
        <f>Calc_EB_ACS!Q$96</f>
        <v>N/A</v>
      </c>
      <c r="R64" s="57" t="str">
        <f>Calc_EB_ACS!R$96</f>
        <v>N/A</v>
      </c>
      <c r="S64" s="57" t="str">
        <f>Calc_EB_ACS!S$96</f>
        <v>N/A</v>
      </c>
      <c r="T64" s="58" t="str">
        <f>Calc_EB_ACS!T$96</f>
        <v>N/A</v>
      </c>
    </row>
    <row r="65" spans="1:20" outlineLevel="1" x14ac:dyDescent="0.35">
      <c r="J65" s="49"/>
      <c r="K65" s="48"/>
      <c r="O65" s="49"/>
      <c r="P65" s="48"/>
      <c r="T65" s="49"/>
    </row>
    <row r="66" spans="1:20" ht="12.3" outlineLevel="1" x14ac:dyDescent="0.35">
      <c r="D66" s="44" t="str">
        <f>D$22</f>
        <v>Closing balance</v>
      </c>
      <c r="E66" s="40" t="s">
        <v>91</v>
      </c>
      <c r="F66" s="40" t="str">
        <f>F60</f>
        <v>$Millions</v>
      </c>
      <c r="G66" s="40" t="str">
        <f>G60</f>
        <v>Nominal</v>
      </c>
      <c r="H66" s="40" t="str">
        <f>End_year</f>
        <v>End year</v>
      </c>
      <c r="J66" s="54">
        <f t="shared" ref="J66:T66" si="12">SUM(J60:J64)</f>
        <v>0</v>
      </c>
      <c r="K66" s="53">
        <f t="shared" si="12"/>
        <v>0</v>
      </c>
      <c r="L66" s="39">
        <f t="shared" si="12"/>
        <v>0</v>
      </c>
      <c r="M66" s="39">
        <f t="shared" si="12"/>
        <v>0</v>
      </c>
      <c r="N66" s="39">
        <f t="shared" si="12"/>
        <v>0</v>
      </c>
      <c r="O66" s="54">
        <f t="shared" si="12"/>
        <v>0</v>
      </c>
      <c r="P66" s="53">
        <f t="shared" si="12"/>
        <v>0</v>
      </c>
      <c r="Q66" s="39">
        <f t="shared" si="12"/>
        <v>0</v>
      </c>
      <c r="R66" s="39">
        <f t="shared" si="12"/>
        <v>0</v>
      </c>
      <c r="S66" s="39">
        <f t="shared" si="12"/>
        <v>0</v>
      </c>
      <c r="T66" s="54">
        <f t="shared" si="12"/>
        <v>0</v>
      </c>
    </row>
    <row r="67" spans="1:20" ht="11.25" customHeight="1" outlineLevel="1" x14ac:dyDescent="0.35"/>
    <row r="68" spans="1:20" ht="11.25" customHeight="1" outlineLevel="1" x14ac:dyDescent="0.35">
      <c r="A68" s="42">
        <f>IF(SUM($J68:$T68)&lt;&gt;0,1,0)</f>
        <v>0</v>
      </c>
      <c r="D68" s="10" t="s">
        <v>94</v>
      </c>
      <c r="J68" s="42">
        <f>IF(Calc_EB_ACS!J$153=NA,0,IF(J66&lt;&gt;Calc_EB_ACS!J$153,1,0))</f>
        <v>0</v>
      </c>
      <c r="K68" s="42">
        <f>IF(Calc_EB_ACS!K$153=NA,0,IF(K66&lt;&gt;Calc_EB_ACS!K$153,1,0))</f>
        <v>0</v>
      </c>
      <c r="L68" s="42">
        <f>IF(Calc_EB_ACS!L$153=NA,0,IF(L66&lt;&gt;Calc_EB_ACS!L$153,1,0))</f>
        <v>0</v>
      </c>
      <c r="M68" s="42">
        <f>IF(Calc_EB_ACS!M$153=NA,0,IF(M66&lt;&gt;Calc_EB_ACS!M$153,1,0))</f>
        <v>0</v>
      </c>
      <c r="N68" s="42">
        <f>IF(Calc_EB_ACS!N$153=NA,0,IF(N66&lt;&gt;Calc_EB_ACS!N$153,1,0))</f>
        <v>0</v>
      </c>
      <c r="O68" s="42">
        <f>IF(Calc_EB_ACS!O$153=NA,0,IF(O66&lt;&gt;Calc_EB_ACS!O$153,1,0))</f>
        <v>0</v>
      </c>
      <c r="P68" s="42">
        <f>IF(Calc_EB_ACS!P$153=NA,0,IF(P66&lt;&gt;Calc_EB_ACS!P$153,1,0))</f>
        <v>0</v>
      </c>
      <c r="Q68" s="42">
        <f>IF(Calc_EB_ACS!Q$153=NA,0,IF(Q66&lt;&gt;Calc_EB_ACS!Q$153,1,0))</f>
        <v>0</v>
      </c>
      <c r="R68" s="42">
        <f>IF(Calc_EB_ACS!R$153=NA,0,IF(R66&lt;&gt;Calc_EB_ACS!R$153,1,0))</f>
        <v>0</v>
      </c>
      <c r="S68" s="42">
        <f>IF(Calc_EB_ACS!S$153=NA,0,IF(S66&lt;&gt;Calc_EB_ACS!S$153,1,0))</f>
        <v>0</v>
      </c>
      <c r="T68" s="42">
        <f>IF(Calc_EB_ACS!T$153=NA,0,IF(T66&lt;&gt;Calc_EB_ACS!T$153,1,0))</f>
        <v>0</v>
      </c>
    </row>
    <row r="69" spans="1:20" ht="11.25" customHeight="1" outlineLevel="1" x14ac:dyDescent="0.35">
      <c r="N69" s="5"/>
      <c r="S69" s="5"/>
    </row>
    <row r="70" spans="1:20" s="8" customFormat="1" ht="14.1" x14ac:dyDescent="0.35">
      <c r="C70" s="8" t="str">
        <f>Lookup!$D$109</f>
        <v>Overhead network assets 33kV and above</v>
      </c>
    </row>
    <row r="71" spans="1:20" ht="11.25" customHeight="1" x14ac:dyDescent="0.35"/>
    <row r="72" spans="1:20" ht="12.3" outlineLevel="1" x14ac:dyDescent="0.35">
      <c r="D72" s="43" t="str">
        <f>D$14</f>
        <v>Category heading</v>
      </c>
      <c r="E72" s="38" t="str">
        <f>Lookup!E$20</f>
        <v>Source</v>
      </c>
      <c r="F72" s="38" t="str">
        <f>Lookup!F$20</f>
        <v>Unit</v>
      </c>
      <c r="G72" s="38" t="str">
        <f>Lookup!G$20</f>
        <v>Basis</v>
      </c>
      <c r="H72" s="38" t="str">
        <f>Lookup!H$20</f>
        <v>Timing</v>
      </c>
      <c r="J72" s="47" t="str">
        <f t="shared" ref="J72:T72" si="13">J$10</f>
        <v>RY19</v>
      </c>
      <c r="K72" s="46" t="str">
        <f t="shared" si="13"/>
        <v>RY20</v>
      </c>
      <c r="L72" s="38" t="str">
        <f>L$10</f>
        <v>RY21</v>
      </c>
      <c r="M72" s="38" t="str">
        <f t="shared" si="13"/>
        <v>RY22</v>
      </c>
      <c r="N72" s="38" t="str">
        <f t="shared" si="13"/>
        <v>RY23</v>
      </c>
      <c r="O72" s="47" t="str">
        <f t="shared" si="13"/>
        <v>RY24</v>
      </c>
      <c r="P72" s="46" t="str">
        <f t="shared" si="13"/>
        <v>RY25</v>
      </c>
      <c r="Q72" s="38" t="str">
        <f>Q$10</f>
        <v>RY26</v>
      </c>
      <c r="R72" s="38" t="str">
        <f t="shared" si="13"/>
        <v>RY27</v>
      </c>
      <c r="S72" s="38" t="str">
        <f t="shared" si="13"/>
        <v>RY28</v>
      </c>
      <c r="T72" s="47" t="str">
        <f t="shared" si="13"/>
        <v>RY29</v>
      </c>
    </row>
    <row r="73" spans="1:20" outlineLevel="1" x14ac:dyDescent="0.35">
      <c r="J73" s="49"/>
      <c r="K73" s="48"/>
      <c r="O73" s="49"/>
      <c r="P73" s="48"/>
      <c r="T73" s="49"/>
    </row>
    <row r="74" spans="1:20" ht="12.3" outlineLevel="1" x14ac:dyDescent="0.35">
      <c r="D74" s="10" t="str">
        <f>Calc_EB_ACS!$C$14</f>
        <v>Opening balance</v>
      </c>
      <c r="E74" s="45" t="str">
        <f>$E$32</f>
        <v>Calc_EB_ACS</v>
      </c>
      <c r="F74" s="45" t="str">
        <f>Millions</f>
        <v>$Millions</v>
      </c>
      <c r="G74" s="45" t="str">
        <f>Nominal</f>
        <v>Nominal</v>
      </c>
      <c r="H74" s="45" t="str">
        <f>Start_year</f>
        <v>Start year</v>
      </c>
      <c r="J74" s="58" t="str">
        <f>Calc_EB_ACS!J$21</f>
        <v>N/A</v>
      </c>
      <c r="K74" s="56" t="str">
        <f>Calc_EB_ACS!K$21</f>
        <v>N/A</v>
      </c>
      <c r="L74" s="57" t="str">
        <f>Calc_EB_ACS!L$21</f>
        <v>N/A</v>
      </c>
      <c r="M74" s="57" t="str">
        <f>Calc_EB_ACS!M$21</f>
        <v>N/A</v>
      </c>
      <c r="N74" s="57" t="str">
        <f>Calc_EB_ACS!N$21</f>
        <v>N/A</v>
      </c>
      <c r="O74" s="58" t="str">
        <f>Calc_EB_ACS!O$21</f>
        <v>N/A</v>
      </c>
      <c r="P74" s="56" t="str">
        <f>Calc_EB_ACS!P$21</f>
        <v>N/A</v>
      </c>
      <c r="Q74" s="57" t="str">
        <f>Calc_EB_ACS!Q$21</f>
        <v>N/A</v>
      </c>
      <c r="R74" s="57" t="str">
        <f>Calc_EB_ACS!R$21</f>
        <v>N/A</v>
      </c>
      <c r="S74" s="57" t="str">
        <f>Calc_EB_ACS!S$21</f>
        <v>N/A</v>
      </c>
      <c r="T74" s="58" t="str">
        <f>Calc_EB_ACS!T$21</f>
        <v>N/A</v>
      </c>
    </row>
    <row r="75" spans="1:20" ht="12.3" outlineLevel="1" x14ac:dyDescent="0.35">
      <c r="D75" s="10" t="str">
        <f>Calc_EB_ACS!$C$33</f>
        <v>Inflation</v>
      </c>
      <c r="E75" s="45" t="str">
        <f>$E$33</f>
        <v>Calc_EB_ACS</v>
      </c>
      <c r="F75" s="45" t="str">
        <f>Millions</f>
        <v>$Millions</v>
      </c>
      <c r="G75" s="45" t="str">
        <f>Nominal</f>
        <v>Nominal</v>
      </c>
      <c r="H75" s="45" t="str">
        <f>End_year</f>
        <v>End year</v>
      </c>
      <c r="J75" s="58" t="str">
        <f>Calc_EB_ACS!J$40</f>
        <v>N/A</v>
      </c>
      <c r="K75" s="56" t="str">
        <f>Calc_EB_ACS!K$40</f>
        <v>N/A</v>
      </c>
      <c r="L75" s="57" t="str">
        <f>Calc_EB_ACS!L$40</f>
        <v>N/A</v>
      </c>
      <c r="M75" s="57" t="str">
        <f>Calc_EB_ACS!M$40</f>
        <v>N/A</v>
      </c>
      <c r="N75" s="57" t="str">
        <f>Calc_EB_ACS!N$40</f>
        <v>N/A</v>
      </c>
      <c r="O75" s="58" t="str">
        <f>Calc_EB_ACS!O$40</f>
        <v>N/A</v>
      </c>
      <c r="P75" s="56" t="str">
        <f>Calc_EB_ACS!P$40</f>
        <v>N/A</v>
      </c>
      <c r="Q75" s="57" t="str">
        <f>Calc_EB_ACS!Q$40</f>
        <v>N/A</v>
      </c>
      <c r="R75" s="57" t="str">
        <f>Calc_EB_ACS!R$40</f>
        <v>N/A</v>
      </c>
      <c r="S75" s="57" t="str">
        <f>Calc_EB_ACS!S$40</f>
        <v>N/A</v>
      </c>
      <c r="T75" s="58" t="str">
        <f>Calc_EB_ACS!T$40</f>
        <v>N/A</v>
      </c>
    </row>
    <row r="76" spans="1:20" ht="12.3" outlineLevel="1" x14ac:dyDescent="0.35">
      <c r="D76" s="10" t="str">
        <f>Calc_EB_ACS!$C$52</f>
        <v>Straight line depreciation</v>
      </c>
      <c r="E76" s="45" t="str">
        <f>$E$34</f>
        <v>Calc_EB_ACS</v>
      </c>
      <c r="F76" s="45" t="str">
        <f>Millions</f>
        <v>$Millions</v>
      </c>
      <c r="G76" s="45" t="str">
        <f>Nominal</f>
        <v>Nominal</v>
      </c>
      <c r="H76" s="45" t="str">
        <f>End_year</f>
        <v>End year</v>
      </c>
      <c r="J76" s="58" t="str">
        <f>Calc_EB_ACS!J$59</f>
        <v>N/A</v>
      </c>
      <c r="K76" s="56" t="str">
        <f>Calc_EB_ACS!K$59</f>
        <v>N/A</v>
      </c>
      <c r="L76" s="57" t="str">
        <f>Calc_EB_ACS!L$59</f>
        <v>N/A</v>
      </c>
      <c r="M76" s="57" t="str">
        <f>Calc_EB_ACS!M$59</f>
        <v>N/A</v>
      </c>
      <c r="N76" s="57" t="str">
        <f>Calc_EB_ACS!N$59</f>
        <v>N/A</v>
      </c>
      <c r="O76" s="58" t="str">
        <f>Calc_EB_ACS!O$59</f>
        <v>N/A</v>
      </c>
      <c r="P76" s="56" t="str">
        <f>Calc_EB_ACS!P$59</f>
        <v>N/A</v>
      </c>
      <c r="Q76" s="57" t="str">
        <f>Calc_EB_ACS!Q$59</f>
        <v>N/A</v>
      </c>
      <c r="R76" s="57" t="str">
        <f>Calc_EB_ACS!R$59</f>
        <v>N/A</v>
      </c>
      <c r="S76" s="57" t="str">
        <f>Calc_EB_ACS!S$59</f>
        <v>N/A</v>
      </c>
      <c r="T76" s="58" t="str">
        <f>Calc_EB_ACS!T$59</f>
        <v>N/A</v>
      </c>
    </row>
    <row r="77" spans="1:20" ht="12.3" outlineLevel="1" x14ac:dyDescent="0.35">
      <c r="D77" s="10" t="str">
        <f>Calc_EB_ACS!$C$71</f>
        <v>RAB additions</v>
      </c>
      <c r="E77" s="45" t="str">
        <f>$E$35</f>
        <v>Calc_EB_ACS</v>
      </c>
      <c r="F77" s="45" t="str">
        <f>Millions</f>
        <v>$Millions</v>
      </c>
      <c r="G77" s="45" t="str">
        <f>Nominal</f>
        <v>Nominal</v>
      </c>
      <c r="H77" s="45" t="str">
        <f>End_year</f>
        <v>End year</v>
      </c>
      <c r="J77" s="58" t="str">
        <f>IFERROR(Calc_EB_ACS!J$78+Calc_EB_ACS!J$135,NA)</f>
        <v>N/A</v>
      </c>
      <c r="K77" s="56" t="str">
        <f>IFERROR(Calc_EB_ACS!K$78+Calc_EB_ACS!K$135,NA)</f>
        <v>N/A</v>
      </c>
      <c r="L77" s="57" t="str">
        <f>IFERROR(Calc_EB_ACS!L$78+Calc_EB_ACS!L$135,NA)</f>
        <v>N/A</v>
      </c>
      <c r="M77" s="57" t="str">
        <f>IFERROR(Calc_EB_ACS!M$78+Calc_EB_ACS!M$135,NA)</f>
        <v>N/A</v>
      </c>
      <c r="N77" s="57" t="str">
        <f>IFERROR(Calc_EB_ACS!N$78+Calc_EB_ACS!N$135,NA)</f>
        <v>N/A</v>
      </c>
      <c r="O77" s="58" t="str">
        <f>IFERROR(Calc_EB_ACS!O$78+Calc_EB_ACS!O$135,NA)</f>
        <v>N/A</v>
      </c>
      <c r="P77" s="56" t="str">
        <f>IFERROR(Calc_EB_ACS!P$78+Calc_EB_ACS!P$135,NA)</f>
        <v>N/A</v>
      </c>
      <c r="Q77" s="57" t="str">
        <f>IFERROR(Calc_EB_ACS!Q$78+Calc_EB_ACS!Q$135,NA)</f>
        <v>N/A</v>
      </c>
      <c r="R77" s="57" t="str">
        <f>IFERROR(Calc_EB_ACS!R$78+Calc_EB_ACS!R$135,NA)</f>
        <v>N/A</v>
      </c>
      <c r="S77" s="57" t="str">
        <f>IFERROR(Calc_EB_ACS!S$78+Calc_EB_ACS!S$135,NA)</f>
        <v>N/A</v>
      </c>
      <c r="T77" s="58" t="str">
        <f>IFERROR(Calc_EB_ACS!T$78+Calc_EB_ACS!T$135,NA)</f>
        <v>N/A</v>
      </c>
    </row>
    <row r="78" spans="1:20" ht="12.3" outlineLevel="1" x14ac:dyDescent="0.35">
      <c r="D78" s="10" t="str">
        <f>Calc_EB_ACS!$C$90</f>
        <v>Disposals</v>
      </c>
      <c r="E78" s="45" t="str">
        <f>$E$36</f>
        <v>Calc_EB_ACS</v>
      </c>
      <c r="F78" s="45" t="str">
        <f>Millions</f>
        <v>$Millions</v>
      </c>
      <c r="G78" s="45" t="str">
        <f>Nominal</f>
        <v>Nominal</v>
      </c>
      <c r="H78" s="45" t="str">
        <f>End_year</f>
        <v>End year</v>
      </c>
      <c r="J78" s="58" t="str">
        <f>Calc_EB_ACS!J$97</f>
        <v>N/A</v>
      </c>
      <c r="K78" s="56" t="str">
        <f>Calc_EB_ACS!K$97</f>
        <v>N/A</v>
      </c>
      <c r="L78" s="57" t="str">
        <f>Calc_EB_ACS!L$97</f>
        <v>N/A</v>
      </c>
      <c r="M78" s="57" t="str">
        <f>Calc_EB_ACS!M$97</f>
        <v>N/A</v>
      </c>
      <c r="N78" s="57" t="str">
        <f>Calc_EB_ACS!N$97</f>
        <v>N/A</v>
      </c>
      <c r="O78" s="58" t="str">
        <f>Calc_EB_ACS!O$97</f>
        <v>N/A</v>
      </c>
      <c r="P78" s="56" t="str">
        <f>Calc_EB_ACS!P$97</f>
        <v>N/A</v>
      </c>
      <c r="Q78" s="57" t="str">
        <f>Calc_EB_ACS!Q$97</f>
        <v>N/A</v>
      </c>
      <c r="R78" s="57" t="str">
        <f>Calc_EB_ACS!R$97</f>
        <v>N/A</v>
      </c>
      <c r="S78" s="57" t="str">
        <f>Calc_EB_ACS!S$97</f>
        <v>N/A</v>
      </c>
      <c r="T78" s="58" t="str">
        <f>Calc_EB_ACS!T$97</f>
        <v>N/A</v>
      </c>
    </row>
    <row r="79" spans="1:20" outlineLevel="1" x14ac:dyDescent="0.35">
      <c r="J79" s="49"/>
      <c r="K79" s="48"/>
      <c r="O79" s="49"/>
      <c r="P79" s="48"/>
      <c r="T79" s="49"/>
    </row>
    <row r="80" spans="1:20" ht="12.3" outlineLevel="1" x14ac:dyDescent="0.35">
      <c r="D80" s="44" t="str">
        <f>D$22</f>
        <v>Closing balance</v>
      </c>
      <c r="E80" s="40" t="s">
        <v>91</v>
      </c>
      <c r="F80" s="40" t="str">
        <f>F74</f>
        <v>$Millions</v>
      </c>
      <c r="G80" s="40" t="str">
        <f>G74</f>
        <v>Nominal</v>
      </c>
      <c r="H80" s="40" t="str">
        <f>End_year</f>
        <v>End year</v>
      </c>
      <c r="J80" s="54">
        <f t="shared" ref="J80:T80" si="14">SUM(J74:J78)</f>
        <v>0</v>
      </c>
      <c r="K80" s="53">
        <f t="shared" si="14"/>
        <v>0</v>
      </c>
      <c r="L80" s="39">
        <f t="shared" si="14"/>
        <v>0</v>
      </c>
      <c r="M80" s="39">
        <f t="shared" si="14"/>
        <v>0</v>
      </c>
      <c r="N80" s="39">
        <f t="shared" si="14"/>
        <v>0</v>
      </c>
      <c r="O80" s="54">
        <f t="shared" si="14"/>
        <v>0</v>
      </c>
      <c r="P80" s="53">
        <f t="shared" si="14"/>
        <v>0</v>
      </c>
      <c r="Q80" s="39">
        <f t="shared" si="14"/>
        <v>0</v>
      </c>
      <c r="R80" s="39">
        <f t="shared" si="14"/>
        <v>0</v>
      </c>
      <c r="S80" s="39">
        <f t="shared" si="14"/>
        <v>0</v>
      </c>
      <c r="T80" s="54">
        <f t="shared" si="14"/>
        <v>0</v>
      </c>
    </row>
    <row r="81" spans="1:20" ht="11.25" customHeight="1" outlineLevel="1" x14ac:dyDescent="0.35"/>
    <row r="82" spans="1:20" ht="11.25" customHeight="1" outlineLevel="1" x14ac:dyDescent="0.35">
      <c r="A82" s="42">
        <f>IF(SUM($J82:$T82)&lt;&gt;0,1,0)</f>
        <v>0</v>
      </c>
      <c r="D82" s="10" t="s">
        <v>94</v>
      </c>
      <c r="J82" s="42">
        <f>IF(Calc_EB_ACS!J$154=NA,0,IF(J80&lt;&gt;Calc_EB_ACS!J$154,1,0))</f>
        <v>0</v>
      </c>
      <c r="K82" s="42">
        <f>IF(Calc_EB_ACS!K$154=NA,0,IF(K80&lt;&gt;Calc_EB_ACS!K$154,1,0))</f>
        <v>0</v>
      </c>
      <c r="L82" s="42">
        <f>IF(Calc_EB_ACS!L$154=NA,0,IF(L80&lt;&gt;Calc_EB_ACS!L$154,1,0))</f>
        <v>0</v>
      </c>
      <c r="M82" s="42">
        <f>IF(Calc_EB_ACS!M$154=NA,0,IF(M80&lt;&gt;Calc_EB_ACS!M$154,1,0))</f>
        <v>0</v>
      </c>
      <c r="N82" s="42">
        <f>IF(Calc_EB_ACS!N$154=NA,0,IF(N80&lt;&gt;Calc_EB_ACS!N$154,1,0))</f>
        <v>0</v>
      </c>
      <c r="O82" s="42">
        <f>IF(Calc_EB_ACS!O$154=NA,0,IF(O80&lt;&gt;Calc_EB_ACS!O$154,1,0))</f>
        <v>0</v>
      </c>
      <c r="P82" s="42">
        <f>IF(Calc_EB_ACS!P$154=NA,0,IF(P80&lt;&gt;Calc_EB_ACS!P$154,1,0))</f>
        <v>0</v>
      </c>
      <c r="Q82" s="42">
        <f>IF(Calc_EB_ACS!Q$154=NA,0,IF(Q80&lt;&gt;Calc_EB_ACS!Q$154,1,0))</f>
        <v>0</v>
      </c>
      <c r="R82" s="42">
        <f>IF(Calc_EB_ACS!R$154=NA,0,IF(R80&lt;&gt;Calc_EB_ACS!R$154,1,0))</f>
        <v>0</v>
      </c>
      <c r="S82" s="42">
        <f>IF(Calc_EB_ACS!S$154=NA,0,IF(S80&lt;&gt;Calc_EB_ACS!S$154,1,0))</f>
        <v>0</v>
      </c>
      <c r="T82" s="42">
        <f>IF(Calc_EB_ACS!T$154=NA,0,IF(T80&lt;&gt;Calc_EB_ACS!T$154,1,0))</f>
        <v>0</v>
      </c>
    </row>
    <row r="83" spans="1:20" ht="11.25" customHeight="1" outlineLevel="1" x14ac:dyDescent="0.35">
      <c r="N83" s="5"/>
      <c r="S83" s="5"/>
    </row>
    <row r="84" spans="1:20" s="8" customFormat="1" ht="14.1" x14ac:dyDescent="0.35">
      <c r="C84" s="8" t="str">
        <f>Lookup!$D$110</f>
        <v>Underground network assets 33kV and above</v>
      </c>
    </row>
    <row r="85" spans="1:20" ht="11.25" customHeight="1" x14ac:dyDescent="0.35"/>
    <row r="86" spans="1:20" ht="12.3" outlineLevel="1" x14ac:dyDescent="0.35">
      <c r="D86" s="43" t="str">
        <f>D$14</f>
        <v>Category heading</v>
      </c>
      <c r="E86" s="38" t="str">
        <f>Lookup!E$20</f>
        <v>Source</v>
      </c>
      <c r="F86" s="38" t="str">
        <f>Lookup!F$20</f>
        <v>Unit</v>
      </c>
      <c r="G86" s="38" t="str">
        <f>Lookup!G$20</f>
        <v>Basis</v>
      </c>
      <c r="H86" s="38" t="str">
        <f>Lookup!H$20</f>
        <v>Timing</v>
      </c>
      <c r="J86" s="47" t="str">
        <f t="shared" ref="J86:T86" si="15">J$10</f>
        <v>RY19</v>
      </c>
      <c r="K86" s="46" t="str">
        <f t="shared" si="15"/>
        <v>RY20</v>
      </c>
      <c r="L86" s="38" t="str">
        <f>L$10</f>
        <v>RY21</v>
      </c>
      <c r="M86" s="38" t="str">
        <f t="shared" si="15"/>
        <v>RY22</v>
      </c>
      <c r="N86" s="38" t="str">
        <f t="shared" si="15"/>
        <v>RY23</v>
      </c>
      <c r="O86" s="47" t="str">
        <f t="shared" si="15"/>
        <v>RY24</v>
      </c>
      <c r="P86" s="46" t="str">
        <f t="shared" si="15"/>
        <v>RY25</v>
      </c>
      <c r="Q86" s="38" t="str">
        <f>Q$10</f>
        <v>RY26</v>
      </c>
      <c r="R86" s="38" t="str">
        <f t="shared" si="15"/>
        <v>RY27</v>
      </c>
      <c r="S86" s="38" t="str">
        <f t="shared" si="15"/>
        <v>RY28</v>
      </c>
      <c r="T86" s="47" t="str">
        <f t="shared" si="15"/>
        <v>RY29</v>
      </c>
    </row>
    <row r="87" spans="1:20" outlineLevel="1" x14ac:dyDescent="0.35">
      <c r="J87" s="49"/>
      <c r="K87" s="48"/>
      <c r="O87" s="49"/>
      <c r="P87" s="48"/>
      <c r="T87" s="49"/>
    </row>
    <row r="88" spans="1:20" ht="12.3" outlineLevel="1" x14ac:dyDescent="0.35">
      <c r="D88" s="10" t="str">
        <f>Calc_EB_ACS!$C$14</f>
        <v>Opening balance</v>
      </c>
      <c r="E88" s="45" t="str">
        <f>$E$32</f>
        <v>Calc_EB_ACS</v>
      </c>
      <c r="F88" s="45" t="str">
        <f>Millions</f>
        <v>$Millions</v>
      </c>
      <c r="G88" s="45" t="str">
        <f>Nominal</f>
        <v>Nominal</v>
      </c>
      <c r="H88" s="45" t="str">
        <f>Start_year</f>
        <v>Start year</v>
      </c>
      <c r="J88" s="58" t="str">
        <f>Calc_EB_ACS!J$22</f>
        <v>N/A</v>
      </c>
      <c r="K88" s="56" t="str">
        <f>Calc_EB_ACS!K$22</f>
        <v>N/A</v>
      </c>
      <c r="L88" s="57" t="str">
        <f>Calc_EB_ACS!L$22</f>
        <v>N/A</v>
      </c>
      <c r="M88" s="57" t="str">
        <f>Calc_EB_ACS!M$22</f>
        <v>N/A</v>
      </c>
      <c r="N88" s="57" t="str">
        <f>Calc_EB_ACS!N$22</f>
        <v>N/A</v>
      </c>
      <c r="O88" s="58" t="str">
        <f>Calc_EB_ACS!O$22</f>
        <v>N/A</v>
      </c>
      <c r="P88" s="56" t="str">
        <f>Calc_EB_ACS!P$22</f>
        <v>N/A</v>
      </c>
      <c r="Q88" s="57" t="str">
        <f>Calc_EB_ACS!Q$22</f>
        <v>N/A</v>
      </c>
      <c r="R88" s="57" t="str">
        <f>Calc_EB_ACS!R$22</f>
        <v>N/A</v>
      </c>
      <c r="S88" s="57" t="str">
        <f>Calc_EB_ACS!S$22</f>
        <v>N/A</v>
      </c>
      <c r="T88" s="58" t="str">
        <f>Calc_EB_ACS!T$22</f>
        <v>N/A</v>
      </c>
    </row>
    <row r="89" spans="1:20" ht="12.3" outlineLevel="1" x14ac:dyDescent="0.35">
      <c r="D89" s="10" t="str">
        <f>Calc_EB_ACS!$C$33</f>
        <v>Inflation</v>
      </c>
      <c r="E89" s="45" t="str">
        <f>$E$33</f>
        <v>Calc_EB_ACS</v>
      </c>
      <c r="F89" s="45" t="str">
        <f>Millions</f>
        <v>$Millions</v>
      </c>
      <c r="G89" s="45" t="str">
        <f>Nominal</f>
        <v>Nominal</v>
      </c>
      <c r="H89" s="45" t="str">
        <f>End_year</f>
        <v>End year</v>
      </c>
      <c r="J89" s="58" t="str">
        <f>Calc_EB_ACS!J$41</f>
        <v>N/A</v>
      </c>
      <c r="K89" s="56" t="str">
        <f>Calc_EB_ACS!K$41</f>
        <v>N/A</v>
      </c>
      <c r="L89" s="57" t="str">
        <f>Calc_EB_ACS!L$41</f>
        <v>N/A</v>
      </c>
      <c r="M89" s="57" t="str">
        <f>Calc_EB_ACS!M$41</f>
        <v>N/A</v>
      </c>
      <c r="N89" s="57" t="str">
        <f>Calc_EB_ACS!N$41</f>
        <v>N/A</v>
      </c>
      <c r="O89" s="58" t="str">
        <f>Calc_EB_ACS!O$41</f>
        <v>N/A</v>
      </c>
      <c r="P89" s="56" t="str">
        <f>Calc_EB_ACS!P$41</f>
        <v>N/A</v>
      </c>
      <c r="Q89" s="57" t="str">
        <f>Calc_EB_ACS!Q$41</f>
        <v>N/A</v>
      </c>
      <c r="R89" s="57" t="str">
        <f>Calc_EB_ACS!R$41</f>
        <v>N/A</v>
      </c>
      <c r="S89" s="57" t="str">
        <f>Calc_EB_ACS!S$41</f>
        <v>N/A</v>
      </c>
      <c r="T89" s="58" t="str">
        <f>Calc_EB_ACS!T$41</f>
        <v>N/A</v>
      </c>
    </row>
    <row r="90" spans="1:20" ht="12.3" outlineLevel="1" x14ac:dyDescent="0.35">
      <c r="D90" s="10" t="str">
        <f>Calc_EB_ACS!$C$52</f>
        <v>Straight line depreciation</v>
      </c>
      <c r="E90" s="45" t="str">
        <f>$E$34</f>
        <v>Calc_EB_ACS</v>
      </c>
      <c r="F90" s="45" t="str">
        <f>Millions</f>
        <v>$Millions</v>
      </c>
      <c r="G90" s="45" t="str">
        <f>Nominal</f>
        <v>Nominal</v>
      </c>
      <c r="H90" s="45" t="str">
        <f>End_year</f>
        <v>End year</v>
      </c>
      <c r="J90" s="58" t="str">
        <f>Calc_EB_ACS!J$60</f>
        <v>N/A</v>
      </c>
      <c r="K90" s="56" t="str">
        <f>Calc_EB_ACS!K$60</f>
        <v>N/A</v>
      </c>
      <c r="L90" s="57" t="str">
        <f>Calc_EB_ACS!L$60</f>
        <v>N/A</v>
      </c>
      <c r="M90" s="57" t="str">
        <f>Calc_EB_ACS!M$60</f>
        <v>N/A</v>
      </c>
      <c r="N90" s="57" t="str">
        <f>Calc_EB_ACS!N$60</f>
        <v>N/A</v>
      </c>
      <c r="O90" s="58" t="str">
        <f>Calc_EB_ACS!O$60</f>
        <v>N/A</v>
      </c>
      <c r="P90" s="56" t="str">
        <f>Calc_EB_ACS!P$60</f>
        <v>N/A</v>
      </c>
      <c r="Q90" s="57" t="str">
        <f>Calc_EB_ACS!Q$60</f>
        <v>N/A</v>
      </c>
      <c r="R90" s="57" t="str">
        <f>Calc_EB_ACS!R$60</f>
        <v>N/A</v>
      </c>
      <c r="S90" s="57" t="str">
        <f>Calc_EB_ACS!S$60</f>
        <v>N/A</v>
      </c>
      <c r="T90" s="58" t="str">
        <f>Calc_EB_ACS!T$60</f>
        <v>N/A</v>
      </c>
    </row>
    <row r="91" spans="1:20" ht="12.3" outlineLevel="1" x14ac:dyDescent="0.35">
      <c r="D91" s="10" t="str">
        <f>Calc_EB_ACS!$C$71</f>
        <v>RAB additions</v>
      </c>
      <c r="E91" s="45" t="str">
        <f>$E$35</f>
        <v>Calc_EB_ACS</v>
      </c>
      <c r="F91" s="45" t="str">
        <f>Millions</f>
        <v>$Millions</v>
      </c>
      <c r="G91" s="45" t="str">
        <f>Nominal</f>
        <v>Nominal</v>
      </c>
      <c r="H91" s="45" t="str">
        <f>End_year</f>
        <v>End year</v>
      </c>
      <c r="J91" s="58" t="str">
        <f>IFERROR(Calc_EB_ACS!J$79+Calc_EB_ACS!J$136,NA)</f>
        <v>N/A</v>
      </c>
      <c r="K91" s="56" t="str">
        <f>IFERROR(Calc_EB_ACS!K$79+Calc_EB_ACS!K$136,NA)</f>
        <v>N/A</v>
      </c>
      <c r="L91" s="57" t="str">
        <f>IFERROR(Calc_EB_ACS!L$79+Calc_EB_ACS!L$136,NA)</f>
        <v>N/A</v>
      </c>
      <c r="M91" s="57" t="str">
        <f>IFERROR(Calc_EB_ACS!M$79+Calc_EB_ACS!M$136,NA)</f>
        <v>N/A</v>
      </c>
      <c r="N91" s="57" t="str">
        <f>IFERROR(Calc_EB_ACS!N$79+Calc_EB_ACS!N$136,NA)</f>
        <v>N/A</v>
      </c>
      <c r="O91" s="58" t="str">
        <f>IFERROR(Calc_EB_ACS!O$79+Calc_EB_ACS!O$136,NA)</f>
        <v>N/A</v>
      </c>
      <c r="P91" s="56" t="str">
        <f>IFERROR(Calc_EB_ACS!P$79+Calc_EB_ACS!P$136,NA)</f>
        <v>N/A</v>
      </c>
      <c r="Q91" s="57" t="str">
        <f>IFERROR(Calc_EB_ACS!Q$79+Calc_EB_ACS!Q$136,NA)</f>
        <v>N/A</v>
      </c>
      <c r="R91" s="57" t="str">
        <f>IFERROR(Calc_EB_ACS!R$79+Calc_EB_ACS!R$136,NA)</f>
        <v>N/A</v>
      </c>
      <c r="S91" s="57" t="str">
        <f>IFERROR(Calc_EB_ACS!S$79+Calc_EB_ACS!S$136,NA)</f>
        <v>N/A</v>
      </c>
      <c r="T91" s="58" t="str">
        <f>IFERROR(Calc_EB_ACS!T$79+Calc_EB_ACS!T$136,NA)</f>
        <v>N/A</v>
      </c>
    </row>
    <row r="92" spans="1:20" ht="12.3" outlineLevel="1" x14ac:dyDescent="0.35">
      <c r="D92" s="10" t="str">
        <f>Calc_EB_ACS!$C$90</f>
        <v>Disposals</v>
      </c>
      <c r="E92" s="45" t="str">
        <f>$E$36</f>
        <v>Calc_EB_ACS</v>
      </c>
      <c r="F92" s="45" t="str">
        <f>Millions</f>
        <v>$Millions</v>
      </c>
      <c r="G92" s="45" t="str">
        <f>Nominal</f>
        <v>Nominal</v>
      </c>
      <c r="H92" s="45" t="str">
        <f>End_year</f>
        <v>End year</v>
      </c>
      <c r="J92" s="58" t="str">
        <f>Calc_EB_ACS!J$98</f>
        <v>N/A</v>
      </c>
      <c r="K92" s="56" t="str">
        <f>Calc_EB_ACS!K$98</f>
        <v>N/A</v>
      </c>
      <c r="L92" s="57" t="str">
        <f>Calc_EB_ACS!L$98</f>
        <v>N/A</v>
      </c>
      <c r="M92" s="57" t="str">
        <f>Calc_EB_ACS!M$98</f>
        <v>N/A</v>
      </c>
      <c r="N92" s="57" t="str">
        <f>Calc_EB_ACS!N$98</f>
        <v>N/A</v>
      </c>
      <c r="O92" s="58" t="str">
        <f>Calc_EB_ACS!O$98</f>
        <v>N/A</v>
      </c>
      <c r="P92" s="56" t="str">
        <f>Calc_EB_ACS!P$98</f>
        <v>N/A</v>
      </c>
      <c r="Q92" s="57" t="str">
        <f>Calc_EB_ACS!Q$98</f>
        <v>N/A</v>
      </c>
      <c r="R92" s="57" t="str">
        <f>Calc_EB_ACS!R$98</f>
        <v>N/A</v>
      </c>
      <c r="S92" s="57" t="str">
        <f>Calc_EB_ACS!S$98</f>
        <v>N/A</v>
      </c>
      <c r="T92" s="58" t="str">
        <f>Calc_EB_ACS!T$98</f>
        <v>N/A</v>
      </c>
    </row>
    <row r="93" spans="1:20" outlineLevel="1" x14ac:dyDescent="0.35">
      <c r="J93" s="49"/>
      <c r="K93" s="48"/>
      <c r="O93" s="49"/>
      <c r="P93" s="48"/>
      <c r="T93" s="49"/>
    </row>
    <row r="94" spans="1:20" ht="12.3" outlineLevel="1" x14ac:dyDescent="0.35">
      <c r="D94" s="44" t="str">
        <f>D$22</f>
        <v>Closing balance</v>
      </c>
      <c r="E94" s="40" t="s">
        <v>91</v>
      </c>
      <c r="F94" s="40" t="str">
        <f>F88</f>
        <v>$Millions</v>
      </c>
      <c r="G94" s="40" t="str">
        <f>G88</f>
        <v>Nominal</v>
      </c>
      <c r="H94" s="40" t="str">
        <f>End_year</f>
        <v>End year</v>
      </c>
      <c r="J94" s="54">
        <f t="shared" ref="J94:T94" si="16">SUM(J88:J92)</f>
        <v>0</v>
      </c>
      <c r="K94" s="53">
        <f t="shared" si="16"/>
        <v>0</v>
      </c>
      <c r="L94" s="39">
        <f t="shared" si="16"/>
        <v>0</v>
      </c>
      <c r="M94" s="39">
        <f t="shared" si="16"/>
        <v>0</v>
      </c>
      <c r="N94" s="39">
        <f t="shared" si="16"/>
        <v>0</v>
      </c>
      <c r="O94" s="54">
        <f t="shared" si="16"/>
        <v>0</v>
      </c>
      <c r="P94" s="53">
        <f t="shared" si="16"/>
        <v>0</v>
      </c>
      <c r="Q94" s="39">
        <f t="shared" si="16"/>
        <v>0</v>
      </c>
      <c r="R94" s="39">
        <f t="shared" si="16"/>
        <v>0</v>
      </c>
      <c r="S94" s="39">
        <f t="shared" si="16"/>
        <v>0</v>
      </c>
      <c r="T94" s="54">
        <f t="shared" si="16"/>
        <v>0</v>
      </c>
    </row>
    <row r="95" spans="1:20" ht="11.25" customHeight="1" outlineLevel="1" x14ac:dyDescent="0.35"/>
    <row r="96" spans="1:20" ht="11.25" customHeight="1" outlineLevel="1" x14ac:dyDescent="0.35">
      <c r="A96" s="42">
        <f>IF(SUM($J96:$T96)&lt;&gt;0,1,0)</f>
        <v>0</v>
      </c>
      <c r="D96" s="10" t="s">
        <v>94</v>
      </c>
      <c r="J96" s="42">
        <f>IF(Calc_EB_ACS!J$155=NA,0,IF(J94&lt;&gt;Calc_EB_ACS!J$155,1,0))</f>
        <v>0</v>
      </c>
      <c r="K96" s="42">
        <f>IF(Calc_EB_ACS!K$155=NA,0,IF(K94&lt;&gt;Calc_EB_ACS!K$155,1,0))</f>
        <v>0</v>
      </c>
      <c r="L96" s="42">
        <f>IF(Calc_EB_ACS!L$155=NA,0,IF(L94&lt;&gt;Calc_EB_ACS!L$155,1,0))</f>
        <v>0</v>
      </c>
      <c r="M96" s="42">
        <f>IF(Calc_EB_ACS!M$155=NA,0,IF(M94&lt;&gt;Calc_EB_ACS!M$155,1,0))</f>
        <v>0</v>
      </c>
      <c r="N96" s="42">
        <f>IF(Calc_EB_ACS!N$155=NA,0,IF(N94&lt;&gt;Calc_EB_ACS!N$155,1,0))</f>
        <v>0</v>
      </c>
      <c r="O96" s="42">
        <f>IF(Calc_EB_ACS!O$155=NA,0,IF(O94&lt;&gt;Calc_EB_ACS!O$155,1,0))</f>
        <v>0</v>
      </c>
      <c r="P96" s="42">
        <f>IF(Calc_EB_ACS!P$155=NA,0,IF(P94&lt;&gt;Calc_EB_ACS!P$155,1,0))</f>
        <v>0</v>
      </c>
      <c r="Q96" s="42">
        <f>IF(Calc_EB_ACS!Q$155=NA,0,IF(Q94&lt;&gt;Calc_EB_ACS!Q$155,1,0))</f>
        <v>0</v>
      </c>
      <c r="R96" s="42">
        <f>IF(Calc_EB_ACS!R$155=NA,0,IF(R94&lt;&gt;Calc_EB_ACS!R$155,1,0))</f>
        <v>0</v>
      </c>
      <c r="S96" s="42">
        <f>IF(Calc_EB_ACS!S$155=NA,0,IF(S94&lt;&gt;Calc_EB_ACS!S$155,1,0))</f>
        <v>0</v>
      </c>
      <c r="T96" s="42">
        <f>IF(Calc_EB_ACS!T$155=NA,0,IF(T94&lt;&gt;Calc_EB_ACS!T$155,1,0))</f>
        <v>0</v>
      </c>
    </row>
    <row r="97" spans="1:20" ht="11.25" customHeight="1" outlineLevel="1" x14ac:dyDescent="0.35">
      <c r="N97" s="5"/>
      <c r="S97" s="5"/>
    </row>
    <row r="98" spans="1:20" s="8" customFormat="1" ht="14.1" x14ac:dyDescent="0.35">
      <c r="C98" s="8" t="str">
        <f>Lookup!$D$111</f>
        <v>Zone substations and transformers</v>
      </c>
    </row>
    <row r="99" spans="1:20" ht="11.25" customHeight="1" x14ac:dyDescent="0.35"/>
    <row r="100" spans="1:20" ht="12.3" outlineLevel="1" x14ac:dyDescent="0.35">
      <c r="D100" s="43" t="str">
        <f>D$14</f>
        <v>Category heading</v>
      </c>
      <c r="E100" s="38" t="str">
        <f>Lookup!E$20</f>
        <v>Source</v>
      </c>
      <c r="F100" s="38" t="str">
        <f>Lookup!F$20</f>
        <v>Unit</v>
      </c>
      <c r="G100" s="38" t="str">
        <f>Lookup!G$20</f>
        <v>Basis</v>
      </c>
      <c r="H100" s="38" t="str">
        <f>Lookup!H$20</f>
        <v>Timing</v>
      </c>
      <c r="J100" s="47" t="str">
        <f t="shared" ref="J100:T100" si="17">J$10</f>
        <v>RY19</v>
      </c>
      <c r="K100" s="46" t="str">
        <f t="shared" si="17"/>
        <v>RY20</v>
      </c>
      <c r="L100" s="38" t="str">
        <f>L$10</f>
        <v>RY21</v>
      </c>
      <c r="M100" s="38" t="str">
        <f t="shared" si="17"/>
        <v>RY22</v>
      </c>
      <c r="N100" s="38" t="str">
        <f t="shared" si="17"/>
        <v>RY23</v>
      </c>
      <c r="O100" s="47" t="str">
        <f t="shared" si="17"/>
        <v>RY24</v>
      </c>
      <c r="P100" s="46" t="str">
        <f t="shared" si="17"/>
        <v>RY25</v>
      </c>
      <c r="Q100" s="38" t="str">
        <f>Q$10</f>
        <v>RY26</v>
      </c>
      <c r="R100" s="38" t="str">
        <f t="shared" si="17"/>
        <v>RY27</v>
      </c>
      <c r="S100" s="38" t="str">
        <f t="shared" si="17"/>
        <v>RY28</v>
      </c>
      <c r="T100" s="47" t="str">
        <f t="shared" si="17"/>
        <v>RY29</v>
      </c>
    </row>
    <row r="101" spans="1:20" outlineLevel="1" x14ac:dyDescent="0.35">
      <c r="J101" s="49"/>
      <c r="K101" s="48"/>
      <c r="O101" s="49"/>
      <c r="P101" s="48"/>
      <c r="T101" s="49"/>
    </row>
    <row r="102" spans="1:20" ht="12.3" outlineLevel="1" x14ac:dyDescent="0.35">
      <c r="D102" s="10" t="str">
        <f>Calc_EB_ACS!$C$14</f>
        <v>Opening balance</v>
      </c>
      <c r="E102" s="45" t="str">
        <f>$E$32</f>
        <v>Calc_EB_ACS</v>
      </c>
      <c r="F102" s="45" t="str">
        <f>Millions</f>
        <v>$Millions</v>
      </c>
      <c r="G102" s="45" t="str">
        <f>Nominal</f>
        <v>Nominal</v>
      </c>
      <c r="H102" s="45" t="str">
        <f>Start_year</f>
        <v>Start year</v>
      </c>
      <c r="J102" s="58" t="str">
        <f>Calc_EB_ACS!J$23</f>
        <v>N/A</v>
      </c>
      <c r="K102" s="56" t="str">
        <f>Calc_EB_ACS!K$23</f>
        <v>N/A</v>
      </c>
      <c r="L102" s="57" t="str">
        <f>Calc_EB_ACS!L$23</f>
        <v>N/A</v>
      </c>
      <c r="M102" s="57" t="str">
        <f>Calc_EB_ACS!M$23</f>
        <v>N/A</v>
      </c>
      <c r="N102" s="57" t="str">
        <f>Calc_EB_ACS!N$23</f>
        <v>N/A</v>
      </c>
      <c r="O102" s="58" t="str">
        <f>Calc_EB_ACS!O$23</f>
        <v>N/A</v>
      </c>
      <c r="P102" s="56" t="str">
        <f>Calc_EB_ACS!P$23</f>
        <v>N/A</v>
      </c>
      <c r="Q102" s="57" t="str">
        <f>Calc_EB_ACS!Q$23</f>
        <v>N/A</v>
      </c>
      <c r="R102" s="57" t="str">
        <f>Calc_EB_ACS!R$23</f>
        <v>N/A</v>
      </c>
      <c r="S102" s="57" t="str">
        <f>Calc_EB_ACS!S$23</f>
        <v>N/A</v>
      </c>
      <c r="T102" s="58" t="str">
        <f>Calc_EB_ACS!T$23</f>
        <v>N/A</v>
      </c>
    </row>
    <row r="103" spans="1:20" ht="12.3" outlineLevel="1" x14ac:dyDescent="0.35">
      <c r="D103" s="10" t="str">
        <f>Calc_EB_ACS!$C$33</f>
        <v>Inflation</v>
      </c>
      <c r="E103" s="45" t="str">
        <f>$E$33</f>
        <v>Calc_EB_ACS</v>
      </c>
      <c r="F103" s="45" t="str">
        <f>Millions</f>
        <v>$Millions</v>
      </c>
      <c r="G103" s="45" t="str">
        <f>Nominal</f>
        <v>Nominal</v>
      </c>
      <c r="H103" s="45" t="str">
        <f>End_year</f>
        <v>End year</v>
      </c>
      <c r="J103" s="58" t="str">
        <f>Calc_EB_ACS!J$42</f>
        <v>N/A</v>
      </c>
      <c r="K103" s="56" t="str">
        <f>Calc_EB_ACS!K$42</f>
        <v>N/A</v>
      </c>
      <c r="L103" s="57" t="str">
        <f>Calc_EB_ACS!L$42</f>
        <v>N/A</v>
      </c>
      <c r="M103" s="57" t="str">
        <f>Calc_EB_ACS!M$42</f>
        <v>N/A</v>
      </c>
      <c r="N103" s="57" t="str">
        <f>Calc_EB_ACS!N$42</f>
        <v>N/A</v>
      </c>
      <c r="O103" s="58" t="str">
        <f>Calc_EB_ACS!O$42</f>
        <v>N/A</v>
      </c>
      <c r="P103" s="56" t="str">
        <f>Calc_EB_ACS!P$42</f>
        <v>N/A</v>
      </c>
      <c r="Q103" s="57" t="str">
        <f>Calc_EB_ACS!Q$42</f>
        <v>N/A</v>
      </c>
      <c r="R103" s="57" t="str">
        <f>Calc_EB_ACS!R$42</f>
        <v>N/A</v>
      </c>
      <c r="S103" s="57" t="str">
        <f>Calc_EB_ACS!S$42</f>
        <v>N/A</v>
      </c>
      <c r="T103" s="58" t="str">
        <f>Calc_EB_ACS!T$42</f>
        <v>N/A</v>
      </c>
    </row>
    <row r="104" spans="1:20" ht="12.3" outlineLevel="1" x14ac:dyDescent="0.35">
      <c r="D104" s="10" t="str">
        <f>Calc_EB_ACS!$C$52</f>
        <v>Straight line depreciation</v>
      </c>
      <c r="E104" s="45" t="str">
        <f>$E$34</f>
        <v>Calc_EB_ACS</v>
      </c>
      <c r="F104" s="45" t="str">
        <f>Millions</f>
        <v>$Millions</v>
      </c>
      <c r="G104" s="45" t="str">
        <f>Nominal</f>
        <v>Nominal</v>
      </c>
      <c r="H104" s="45" t="str">
        <f>End_year</f>
        <v>End year</v>
      </c>
      <c r="J104" s="58" t="str">
        <f>Calc_EB_ACS!J$61</f>
        <v>N/A</v>
      </c>
      <c r="K104" s="56" t="str">
        <f>Calc_EB_ACS!K$61</f>
        <v>N/A</v>
      </c>
      <c r="L104" s="57" t="str">
        <f>Calc_EB_ACS!L$61</f>
        <v>N/A</v>
      </c>
      <c r="M104" s="57" t="str">
        <f>Calc_EB_ACS!M$61</f>
        <v>N/A</v>
      </c>
      <c r="N104" s="57" t="str">
        <f>Calc_EB_ACS!N$61</f>
        <v>N/A</v>
      </c>
      <c r="O104" s="58" t="str">
        <f>Calc_EB_ACS!O$61</f>
        <v>N/A</v>
      </c>
      <c r="P104" s="56" t="str">
        <f>Calc_EB_ACS!P$61</f>
        <v>N/A</v>
      </c>
      <c r="Q104" s="57" t="str">
        <f>Calc_EB_ACS!Q$61</f>
        <v>N/A</v>
      </c>
      <c r="R104" s="57" t="str">
        <f>Calc_EB_ACS!R$61</f>
        <v>N/A</v>
      </c>
      <c r="S104" s="57" t="str">
        <f>Calc_EB_ACS!S$61</f>
        <v>N/A</v>
      </c>
      <c r="T104" s="58" t="str">
        <f>Calc_EB_ACS!T$61</f>
        <v>N/A</v>
      </c>
    </row>
    <row r="105" spans="1:20" ht="12.3" outlineLevel="1" x14ac:dyDescent="0.35">
      <c r="D105" s="10" t="str">
        <f>Calc_EB_ACS!$C$71</f>
        <v>RAB additions</v>
      </c>
      <c r="E105" s="45" t="str">
        <f>$E$35</f>
        <v>Calc_EB_ACS</v>
      </c>
      <c r="F105" s="45" t="str">
        <f>Millions</f>
        <v>$Millions</v>
      </c>
      <c r="G105" s="45" t="str">
        <f>Nominal</f>
        <v>Nominal</v>
      </c>
      <c r="H105" s="45" t="str">
        <f>End_year</f>
        <v>End year</v>
      </c>
      <c r="J105" s="58" t="str">
        <f>IFERROR(Calc_EB_ACS!J$80+Calc_EB_ACS!J$137,NA)</f>
        <v>N/A</v>
      </c>
      <c r="K105" s="56" t="str">
        <f>IFERROR(Calc_EB_ACS!K$80+Calc_EB_ACS!K$137,NA)</f>
        <v>N/A</v>
      </c>
      <c r="L105" s="57" t="str">
        <f>IFERROR(Calc_EB_ACS!L$80+Calc_EB_ACS!L$137,NA)</f>
        <v>N/A</v>
      </c>
      <c r="M105" s="57" t="str">
        <f>IFERROR(Calc_EB_ACS!M$80+Calc_EB_ACS!M$137,NA)</f>
        <v>N/A</v>
      </c>
      <c r="N105" s="57" t="str">
        <f>IFERROR(Calc_EB_ACS!N$80+Calc_EB_ACS!N$137,NA)</f>
        <v>N/A</v>
      </c>
      <c r="O105" s="58" t="str">
        <f>IFERROR(Calc_EB_ACS!O$80+Calc_EB_ACS!O$137,NA)</f>
        <v>N/A</v>
      </c>
      <c r="P105" s="56" t="str">
        <f>IFERROR(Calc_EB_ACS!P$80+Calc_EB_ACS!P$137,NA)</f>
        <v>N/A</v>
      </c>
      <c r="Q105" s="57" t="str">
        <f>IFERROR(Calc_EB_ACS!Q$80+Calc_EB_ACS!Q$137,NA)</f>
        <v>N/A</v>
      </c>
      <c r="R105" s="57" t="str">
        <f>IFERROR(Calc_EB_ACS!R$80+Calc_EB_ACS!R$137,NA)</f>
        <v>N/A</v>
      </c>
      <c r="S105" s="57" t="str">
        <f>IFERROR(Calc_EB_ACS!S$80+Calc_EB_ACS!S$137,NA)</f>
        <v>N/A</v>
      </c>
      <c r="T105" s="58" t="str">
        <f>IFERROR(Calc_EB_ACS!T$80+Calc_EB_ACS!T$137,NA)</f>
        <v>N/A</v>
      </c>
    </row>
    <row r="106" spans="1:20" ht="12.3" outlineLevel="1" x14ac:dyDescent="0.35">
      <c r="D106" s="10" t="str">
        <f>Calc_EB_ACS!$C$90</f>
        <v>Disposals</v>
      </c>
      <c r="E106" s="45" t="str">
        <f>$E$36</f>
        <v>Calc_EB_ACS</v>
      </c>
      <c r="F106" s="45" t="str">
        <f>Millions</f>
        <v>$Millions</v>
      </c>
      <c r="G106" s="45" t="str">
        <f>Nominal</f>
        <v>Nominal</v>
      </c>
      <c r="H106" s="45" t="str">
        <f>End_year</f>
        <v>End year</v>
      </c>
      <c r="J106" s="58" t="str">
        <f>Calc_EB_ACS!J$99</f>
        <v>N/A</v>
      </c>
      <c r="K106" s="56" t="str">
        <f>Calc_EB_ACS!K$99</f>
        <v>N/A</v>
      </c>
      <c r="L106" s="57" t="str">
        <f>Calc_EB_ACS!L$99</f>
        <v>N/A</v>
      </c>
      <c r="M106" s="57" t="str">
        <f>Calc_EB_ACS!M$99</f>
        <v>N/A</v>
      </c>
      <c r="N106" s="57" t="str">
        <f>Calc_EB_ACS!N$99</f>
        <v>N/A</v>
      </c>
      <c r="O106" s="58" t="str">
        <f>Calc_EB_ACS!O$99</f>
        <v>N/A</v>
      </c>
      <c r="P106" s="56" t="str">
        <f>Calc_EB_ACS!P$99</f>
        <v>N/A</v>
      </c>
      <c r="Q106" s="57" t="str">
        <f>Calc_EB_ACS!Q$99</f>
        <v>N/A</v>
      </c>
      <c r="R106" s="57" t="str">
        <f>Calc_EB_ACS!R$99</f>
        <v>N/A</v>
      </c>
      <c r="S106" s="57" t="str">
        <f>Calc_EB_ACS!S$99</f>
        <v>N/A</v>
      </c>
      <c r="T106" s="58" t="str">
        <f>Calc_EB_ACS!T$99</f>
        <v>N/A</v>
      </c>
    </row>
    <row r="107" spans="1:20" outlineLevel="1" x14ac:dyDescent="0.35">
      <c r="J107" s="49"/>
      <c r="K107" s="48"/>
      <c r="O107" s="49"/>
      <c r="P107" s="48"/>
      <c r="T107" s="49"/>
    </row>
    <row r="108" spans="1:20" ht="12.3" outlineLevel="1" x14ac:dyDescent="0.35">
      <c r="D108" s="44" t="str">
        <f>D$22</f>
        <v>Closing balance</v>
      </c>
      <c r="E108" s="40" t="s">
        <v>91</v>
      </c>
      <c r="F108" s="40" t="str">
        <f>F102</f>
        <v>$Millions</v>
      </c>
      <c r="G108" s="40" t="str">
        <f>G102</f>
        <v>Nominal</v>
      </c>
      <c r="H108" s="40" t="str">
        <f>End_year</f>
        <v>End year</v>
      </c>
      <c r="J108" s="54">
        <f t="shared" ref="J108:T108" si="18">SUM(J102:J106)</f>
        <v>0</v>
      </c>
      <c r="K108" s="53">
        <f t="shared" si="18"/>
        <v>0</v>
      </c>
      <c r="L108" s="39">
        <f t="shared" si="18"/>
        <v>0</v>
      </c>
      <c r="M108" s="39">
        <f t="shared" si="18"/>
        <v>0</v>
      </c>
      <c r="N108" s="39">
        <f t="shared" si="18"/>
        <v>0</v>
      </c>
      <c r="O108" s="54">
        <f t="shared" si="18"/>
        <v>0</v>
      </c>
      <c r="P108" s="53">
        <f t="shared" si="18"/>
        <v>0</v>
      </c>
      <c r="Q108" s="39">
        <f t="shared" si="18"/>
        <v>0</v>
      </c>
      <c r="R108" s="39">
        <f t="shared" si="18"/>
        <v>0</v>
      </c>
      <c r="S108" s="39">
        <f t="shared" si="18"/>
        <v>0</v>
      </c>
      <c r="T108" s="54">
        <f t="shared" si="18"/>
        <v>0</v>
      </c>
    </row>
    <row r="109" spans="1:20" ht="11.25" customHeight="1" outlineLevel="1" x14ac:dyDescent="0.35"/>
    <row r="110" spans="1:20" ht="11.25" customHeight="1" outlineLevel="1" x14ac:dyDescent="0.35">
      <c r="A110" s="42">
        <f>IF(SUM($J110:$T110)&lt;&gt;0,1,0)</f>
        <v>0</v>
      </c>
      <c r="D110" s="10" t="s">
        <v>94</v>
      </c>
      <c r="J110" s="42">
        <f>IF(Calc_EB_ACS!J$156=NA,0,IF(J108&lt;&gt;Calc_EB_ACS!J$156,1,0))</f>
        <v>0</v>
      </c>
      <c r="K110" s="42">
        <f>IF(Calc_EB_ACS!K$156=NA,0,IF(K108&lt;&gt;Calc_EB_ACS!K$156,1,0))</f>
        <v>0</v>
      </c>
      <c r="L110" s="42">
        <f>IF(Calc_EB_ACS!L$156=NA,0,IF(L108&lt;&gt;Calc_EB_ACS!L$156,1,0))</f>
        <v>0</v>
      </c>
      <c r="M110" s="42">
        <f>IF(Calc_EB_ACS!M$156=NA,0,IF(M108&lt;&gt;Calc_EB_ACS!M$156,1,0))</f>
        <v>0</v>
      </c>
      <c r="N110" s="42">
        <f>IF(Calc_EB_ACS!N$156=NA,0,IF(N108&lt;&gt;Calc_EB_ACS!N$156,1,0))</f>
        <v>0</v>
      </c>
      <c r="O110" s="42">
        <f>IF(Calc_EB_ACS!O$156=NA,0,IF(O108&lt;&gt;Calc_EB_ACS!O$156,1,0))</f>
        <v>0</v>
      </c>
      <c r="P110" s="42">
        <f>IF(Calc_EB_ACS!P$156=NA,0,IF(P108&lt;&gt;Calc_EB_ACS!P$156,1,0))</f>
        <v>0</v>
      </c>
      <c r="Q110" s="42">
        <f>IF(Calc_EB_ACS!Q$156=NA,0,IF(Q108&lt;&gt;Calc_EB_ACS!Q$156,1,0))</f>
        <v>0</v>
      </c>
      <c r="R110" s="42">
        <f>IF(Calc_EB_ACS!R$156=NA,0,IF(R108&lt;&gt;Calc_EB_ACS!R$156,1,0))</f>
        <v>0</v>
      </c>
      <c r="S110" s="42">
        <f>IF(Calc_EB_ACS!S$156=NA,0,IF(S108&lt;&gt;Calc_EB_ACS!S$156,1,0))</f>
        <v>0</v>
      </c>
      <c r="T110" s="42">
        <f>IF(Calc_EB_ACS!T$156=NA,0,IF(T108&lt;&gt;Calc_EB_ACS!T$156,1,0))</f>
        <v>0</v>
      </c>
    </row>
    <row r="111" spans="1:20" ht="11.25" customHeight="1" outlineLevel="1" x14ac:dyDescent="0.35">
      <c r="N111" s="5"/>
      <c r="S111" s="5"/>
    </row>
    <row r="112" spans="1:20" s="8" customFormat="1" ht="14.1" x14ac:dyDescent="0.35">
      <c r="C112" s="8" t="str">
        <f>Lookup!$D$112</f>
        <v>Easements</v>
      </c>
    </row>
    <row r="113" spans="1:20" ht="11.25" customHeight="1" x14ac:dyDescent="0.35"/>
    <row r="114" spans="1:20" ht="12.3" outlineLevel="1" x14ac:dyDescent="0.35">
      <c r="D114" s="43" t="str">
        <f>D$14</f>
        <v>Category heading</v>
      </c>
      <c r="E114" s="38" t="str">
        <f>Lookup!E$20</f>
        <v>Source</v>
      </c>
      <c r="F114" s="38" t="str">
        <f>Lookup!F$20</f>
        <v>Unit</v>
      </c>
      <c r="G114" s="38" t="str">
        <f>Lookup!G$20</f>
        <v>Basis</v>
      </c>
      <c r="H114" s="38" t="str">
        <f>Lookup!H$20</f>
        <v>Timing</v>
      </c>
      <c r="J114" s="47" t="str">
        <f t="shared" ref="J114:T114" si="19">J$10</f>
        <v>RY19</v>
      </c>
      <c r="K114" s="46" t="str">
        <f t="shared" si="19"/>
        <v>RY20</v>
      </c>
      <c r="L114" s="38" t="str">
        <f>L$10</f>
        <v>RY21</v>
      </c>
      <c r="M114" s="38" t="str">
        <f t="shared" si="19"/>
        <v>RY22</v>
      </c>
      <c r="N114" s="38" t="str">
        <f t="shared" si="19"/>
        <v>RY23</v>
      </c>
      <c r="O114" s="47" t="str">
        <f t="shared" si="19"/>
        <v>RY24</v>
      </c>
      <c r="P114" s="46" t="str">
        <f t="shared" si="19"/>
        <v>RY25</v>
      </c>
      <c r="Q114" s="38" t="str">
        <f>Q$10</f>
        <v>RY26</v>
      </c>
      <c r="R114" s="38" t="str">
        <f t="shared" si="19"/>
        <v>RY27</v>
      </c>
      <c r="S114" s="38" t="str">
        <f t="shared" si="19"/>
        <v>RY28</v>
      </c>
      <c r="T114" s="47" t="str">
        <f t="shared" si="19"/>
        <v>RY29</v>
      </c>
    </row>
    <row r="115" spans="1:20" outlineLevel="1" x14ac:dyDescent="0.35">
      <c r="J115" s="49"/>
      <c r="K115" s="48"/>
      <c r="O115" s="49"/>
      <c r="P115" s="48"/>
      <c r="T115" s="49"/>
    </row>
    <row r="116" spans="1:20" ht="12.3" outlineLevel="1" x14ac:dyDescent="0.35">
      <c r="D116" s="10" t="str">
        <f>Calc_EB_ACS!$C$14</f>
        <v>Opening balance</v>
      </c>
      <c r="E116" s="45" t="str">
        <f>$E$32</f>
        <v>Calc_EB_ACS</v>
      </c>
      <c r="F116" s="45" t="str">
        <f>Millions</f>
        <v>$Millions</v>
      </c>
      <c r="G116" s="45" t="str">
        <f>Nominal</f>
        <v>Nominal</v>
      </c>
      <c r="H116" s="45" t="str">
        <f>Start_year</f>
        <v>Start year</v>
      </c>
      <c r="J116" s="58" t="str">
        <f>Calc_EB_ACS!J$24</f>
        <v>N/A</v>
      </c>
      <c r="K116" s="56" t="str">
        <f>Calc_EB_ACS!K$24</f>
        <v>N/A</v>
      </c>
      <c r="L116" s="57" t="str">
        <f>Calc_EB_ACS!L$24</f>
        <v>N/A</v>
      </c>
      <c r="M116" s="57" t="str">
        <f>Calc_EB_ACS!M$24</f>
        <v>N/A</v>
      </c>
      <c r="N116" s="57" t="str">
        <f>Calc_EB_ACS!N$24</f>
        <v>N/A</v>
      </c>
      <c r="O116" s="58" t="str">
        <f>Calc_EB_ACS!O$24</f>
        <v>N/A</v>
      </c>
      <c r="P116" s="56" t="str">
        <f>Calc_EB_ACS!P$24</f>
        <v>N/A</v>
      </c>
      <c r="Q116" s="57" t="str">
        <f>Calc_EB_ACS!Q$24</f>
        <v>N/A</v>
      </c>
      <c r="R116" s="57" t="str">
        <f>Calc_EB_ACS!R$24</f>
        <v>N/A</v>
      </c>
      <c r="S116" s="57" t="str">
        <f>Calc_EB_ACS!S$24</f>
        <v>N/A</v>
      </c>
      <c r="T116" s="58" t="str">
        <f>Calc_EB_ACS!T$24</f>
        <v>N/A</v>
      </c>
    </row>
    <row r="117" spans="1:20" ht="12.3" outlineLevel="1" x14ac:dyDescent="0.35">
      <c r="D117" s="10" t="str">
        <f>Calc_EB_ACS!$C$33</f>
        <v>Inflation</v>
      </c>
      <c r="E117" s="45" t="str">
        <f>$E$33</f>
        <v>Calc_EB_ACS</v>
      </c>
      <c r="F117" s="45" t="str">
        <f>Millions</f>
        <v>$Millions</v>
      </c>
      <c r="G117" s="45" t="str">
        <f>Nominal</f>
        <v>Nominal</v>
      </c>
      <c r="H117" s="45" t="str">
        <f>End_year</f>
        <v>End year</v>
      </c>
      <c r="J117" s="58" t="str">
        <f>Calc_EB_ACS!J$43</f>
        <v>N/A</v>
      </c>
      <c r="K117" s="56" t="str">
        <f>Calc_EB_ACS!K$43</f>
        <v>N/A</v>
      </c>
      <c r="L117" s="57" t="str">
        <f>Calc_EB_ACS!L$43</f>
        <v>N/A</v>
      </c>
      <c r="M117" s="57" t="str">
        <f>Calc_EB_ACS!M$43</f>
        <v>N/A</v>
      </c>
      <c r="N117" s="57" t="str">
        <f>Calc_EB_ACS!N$43</f>
        <v>N/A</v>
      </c>
      <c r="O117" s="58" t="str">
        <f>Calc_EB_ACS!O$43</f>
        <v>N/A</v>
      </c>
      <c r="P117" s="56" t="str">
        <f>Calc_EB_ACS!P$43</f>
        <v>N/A</v>
      </c>
      <c r="Q117" s="57" t="str">
        <f>Calc_EB_ACS!Q$43</f>
        <v>N/A</v>
      </c>
      <c r="R117" s="57" t="str">
        <f>Calc_EB_ACS!R$43</f>
        <v>N/A</v>
      </c>
      <c r="S117" s="57" t="str">
        <f>Calc_EB_ACS!S$43</f>
        <v>N/A</v>
      </c>
      <c r="T117" s="58" t="str">
        <f>Calc_EB_ACS!T$43</f>
        <v>N/A</v>
      </c>
    </row>
    <row r="118" spans="1:20" ht="12.3" outlineLevel="1" x14ac:dyDescent="0.35">
      <c r="D118" s="10" t="str">
        <f>Calc_EB_ACS!$C$52</f>
        <v>Straight line depreciation</v>
      </c>
      <c r="E118" s="45" t="str">
        <f>$E$34</f>
        <v>Calc_EB_ACS</v>
      </c>
      <c r="F118" s="45" t="str">
        <f>Millions</f>
        <v>$Millions</v>
      </c>
      <c r="G118" s="45" t="str">
        <f>Nominal</f>
        <v>Nominal</v>
      </c>
      <c r="H118" s="45" t="str">
        <f>End_year</f>
        <v>End year</v>
      </c>
      <c r="J118" s="58" t="str">
        <f>Calc_EB_ACS!J$62</f>
        <v>N/A</v>
      </c>
      <c r="K118" s="56" t="str">
        <f>Calc_EB_ACS!K$62</f>
        <v>N/A</v>
      </c>
      <c r="L118" s="57" t="str">
        <f>Calc_EB_ACS!L$62</f>
        <v>N/A</v>
      </c>
      <c r="M118" s="57" t="str">
        <f>Calc_EB_ACS!M$62</f>
        <v>N/A</v>
      </c>
      <c r="N118" s="57" t="str">
        <f>Calc_EB_ACS!N$62</f>
        <v>N/A</v>
      </c>
      <c r="O118" s="58" t="str">
        <f>Calc_EB_ACS!O$62</f>
        <v>N/A</v>
      </c>
      <c r="P118" s="56" t="str">
        <f>Calc_EB_ACS!P$62</f>
        <v>N/A</v>
      </c>
      <c r="Q118" s="57" t="str">
        <f>Calc_EB_ACS!Q$62</f>
        <v>N/A</v>
      </c>
      <c r="R118" s="57" t="str">
        <f>Calc_EB_ACS!R$62</f>
        <v>N/A</v>
      </c>
      <c r="S118" s="57" t="str">
        <f>Calc_EB_ACS!S$62</f>
        <v>N/A</v>
      </c>
      <c r="T118" s="58" t="str">
        <f>Calc_EB_ACS!T$62</f>
        <v>N/A</v>
      </c>
    </row>
    <row r="119" spans="1:20" ht="12.3" outlineLevel="1" x14ac:dyDescent="0.35">
      <c r="D119" s="10" t="str">
        <f>Calc_EB_ACS!$C$71</f>
        <v>RAB additions</v>
      </c>
      <c r="E119" s="45" t="str">
        <f>$E$35</f>
        <v>Calc_EB_ACS</v>
      </c>
      <c r="F119" s="45" t="str">
        <f>Millions</f>
        <v>$Millions</v>
      </c>
      <c r="G119" s="45" t="str">
        <f>Nominal</f>
        <v>Nominal</v>
      </c>
      <c r="H119" s="45" t="str">
        <f>End_year</f>
        <v>End year</v>
      </c>
      <c r="J119" s="58" t="str">
        <f>IFERROR(Calc_EB_ACS!J$81+Calc_EB_ACS!J$138,NA)</f>
        <v>N/A</v>
      </c>
      <c r="K119" s="56" t="str">
        <f>IFERROR(Calc_EB_ACS!K$81+Calc_EB_ACS!K$138,NA)</f>
        <v>N/A</v>
      </c>
      <c r="L119" s="57" t="str">
        <f>IFERROR(Calc_EB_ACS!L$81+Calc_EB_ACS!L$138,NA)</f>
        <v>N/A</v>
      </c>
      <c r="M119" s="57" t="str">
        <f>IFERROR(Calc_EB_ACS!M$81+Calc_EB_ACS!M$138,NA)</f>
        <v>N/A</v>
      </c>
      <c r="N119" s="57" t="str">
        <f>IFERROR(Calc_EB_ACS!N$81+Calc_EB_ACS!N$138,NA)</f>
        <v>N/A</v>
      </c>
      <c r="O119" s="58" t="str">
        <f>IFERROR(Calc_EB_ACS!O$81+Calc_EB_ACS!O$138,NA)</f>
        <v>N/A</v>
      </c>
      <c r="P119" s="56" t="str">
        <f>IFERROR(Calc_EB_ACS!P$81+Calc_EB_ACS!P$138,NA)</f>
        <v>N/A</v>
      </c>
      <c r="Q119" s="57" t="str">
        <f>IFERROR(Calc_EB_ACS!Q$81+Calc_EB_ACS!Q$138,NA)</f>
        <v>N/A</v>
      </c>
      <c r="R119" s="57" t="str">
        <f>IFERROR(Calc_EB_ACS!R$81+Calc_EB_ACS!R$138,NA)</f>
        <v>N/A</v>
      </c>
      <c r="S119" s="57" t="str">
        <f>IFERROR(Calc_EB_ACS!S$81+Calc_EB_ACS!S$138,NA)</f>
        <v>N/A</v>
      </c>
      <c r="T119" s="58" t="str">
        <f>IFERROR(Calc_EB_ACS!T$81+Calc_EB_ACS!T$138,NA)</f>
        <v>N/A</v>
      </c>
    </row>
    <row r="120" spans="1:20" ht="12.3" outlineLevel="1" x14ac:dyDescent="0.35">
      <c r="D120" s="10" t="str">
        <f>Calc_EB_ACS!$C$90</f>
        <v>Disposals</v>
      </c>
      <c r="E120" s="45" t="str">
        <f>$E$36</f>
        <v>Calc_EB_ACS</v>
      </c>
      <c r="F120" s="45" t="str">
        <f>Millions</f>
        <v>$Millions</v>
      </c>
      <c r="G120" s="45" t="str">
        <f>Nominal</f>
        <v>Nominal</v>
      </c>
      <c r="H120" s="45" t="str">
        <f>End_year</f>
        <v>End year</v>
      </c>
      <c r="J120" s="58" t="str">
        <f>Calc_EB_ACS!J$100</f>
        <v>N/A</v>
      </c>
      <c r="K120" s="56" t="str">
        <f>Calc_EB_ACS!K$100</f>
        <v>N/A</v>
      </c>
      <c r="L120" s="57" t="str">
        <f>Calc_EB_ACS!L$100</f>
        <v>N/A</v>
      </c>
      <c r="M120" s="57" t="str">
        <f>Calc_EB_ACS!M$100</f>
        <v>N/A</v>
      </c>
      <c r="N120" s="57" t="str">
        <f>Calc_EB_ACS!N$100</f>
        <v>N/A</v>
      </c>
      <c r="O120" s="58" t="str">
        <f>Calc_EB_ACS!O$100</f>
        <v>N/A</v>
      </c>
      <c r="P120" s="56" t="str">
        <f>Calc_EB_ACS!P$100</f>
        <v>N/A</v>
      </c>
      <c r="Q120" s="57" t="str">
        <f>Calc_EB_ACS!Q$100</f>
        <v>N/A</v>
      </c>
      <c r="R120" s="57" t="str">
        <f>Calc_EB_ACS!R$100</f>
        <v>N/A</v>
      </c>
      <c r="S120" s="57" t="str">
        <f>Calc_EB_ACS!S$100</f>
        <v>N/A</v>
      </c>
      <c r="T120" s="58" t="str">
        <f>Calc_EB_ACS!T$100</f>
        <v>N/A</v>
      </c>
    </row>
    <row r="121" spans="1:20" outlineLevel="1" x14ac:dyDescent="0.35">
      <c r="J121" s="49"/>
      <c r="K121" s="48"/>
      <c r="O121" s="49"/>
      <c r="P121" s="48"/>
      <c r="T121" s="49"/>
    </row>
    <row r="122" spans="1:20" ht="12.3" outlineLevel="1" x14ac:dyDescent="0.35">
      <c r="D122" s="44" t="str">
        <f>D$22</f>
        <v>Closing balance</v>
      </c>
      <c r="E122" s="40" t="s">
        <v>91</v>
      </c>
      <c r="F122" s="40" t="str">
        <f>F116</f>
        <v>$Millions</v>
      </c>
      <c r="G122" s="40" t="str">
        <f>G116</f>
        <v>Nominal</v>
      </c>
      <c r="H122" s="40" t="str">
        <f>End_year</f>
        <v>End year</v>
      </c>
      <c r="J122" s="54">
        <f t="shared" ref="J122:T122" si="20">SUM(J116:J120)</f>
        <v>0</v>
      </c>
      <c r="K122" s="53">
        <f t="shared" si="20"/>
        <v>0</v>
      </c>
      <c r="L122" s="39">
        <f t="shared" si="20"/>
        <v>0</v>
      </c>
      <c r="M122" s="39">
        <f t="shared" si="20"/>
        <v>0</v>
      </c>
      <c r="N122" s="39">
        <f t="shared" si="20"/>
        <v>0</v>
      </c>
      <c r="O122" s="54">
        <f t="shared" si="20"/>
        <v>0</v>
      </c>
      <c r="P122" s="53">
        <f t="shared" si="20"/>
        <v>0</v>
      </c>
      <c r="Q122" s="39">
        <f t="shared" si="20"/>
        <v>0</v>
      </c>
      <c r="R122" s="39">
        <f t="shared" si="20"/>
        <v>0</v>
      </c>
      <c r="S122" s="39">
        <f t="shared" si="20"/>
        <v>0</v>
      </c>
      <c r="T122" s="54">
        <f t="shared" si="20"/>
        <v>0</v>
      </c>
    </row>
    <row r="123" spans="1:20" ht="11.25" customHeight="1" outlineLevel="1" x14ac:dyDescent="0.35"/>
    <row r="124" spans="1:20" ht="11.25" customHeight="1" outlineLevel="1" x14ac:dyDescent="0.35">
      <c r="A124" s="42">
        <f>IF(SUM($J124:$T124)&lt;&gt;0,1,0)</f>
        <v>0</v>
      </c>
      <c r="D124" s="10" t="s">
        <v>94</v>
      </c>
      <c r="J124" s="42">
        <f>IF(Calc_EB_ACS!J$157=NA,0,IF(J122&lt;&gt;Calc_EB_ACS!J$157,1,0))</f>
        <v>0</v>
      </c>
      <c r="K124" s="42">
        <f>IF(Calc_EB_ACS!K$157=NA,0,IF(K122&lt;&gt;Calc_EB_ACS!K$157,1,0))</f>
        <v>0</v>
      </c>
      <c r="L124" s="42">
        <f>IF(Calc_EB_ACS!L$157=NA,0,IF(L122&lt;&gt;Calc_EB_ACS!L$157,1,0))</f>
        <v>0</v>
      </c>
      <c r="M124" s="42">
        <f>IF(Calc_EB_ACS!M$157=NA,0,IF(M122&lt;&gt;Calc_EB_ACS!M$157,1,0))</f>
        <v>0</v>
      </c>
      <c r="N124" s="42">
        <f>IF(Calc_EB_ACS!N$157=NA,0,IF(N122&lt;&gt;Calc_EB_ACS!N$157,1,0))</f>
        <v>0</v>
      </c>
      <c r="O124" s="42">
        <f>IF(Calc_EB_ACS!O$157=NA,0,IF(O122&lt;&gt;Calc_EB_ACS!O$157,1,0))</f>
        <v>0</v>
      </c>
      <c r="P124" s="42">
        <f>IF(Calc_EB_ACS!P$157=NA,0,IF(P122&lt;&gt;Calc_EB_ACS!P$157,1,0))</f>
        <v>0</v>
      </c>
      <c r="Q124" s="42">
        <f>IF(Calc_EB_ACS!Q$157=NA,0,IF(Q122&lt;&gt;Calc_EB_ACS!Q$157,1,0))</f>
        <v>0</v>
      </c>
      <c r="R124" s="42">
        <f>IF(Calc_EB_ACS!R$157=NA,0,IF(R122&lt;&gt;Calc_EB_ACS!R$157,1,0))</f>
        <v>0</v>
      </c>
      <c r="S124" s="42">
        <f>IF(Calc_EB_ACS!S$157=NA,0,IF(S122&lt;&gt;Calc_EB_ACS!S$157,1,0))</f>
        <v>0</v>
      </c>
      <c r="T124" s="42">
        <f>IF(Calc_EB_ACS!T$157=NA,0,IF(T122&lt;&gt;Calc_EB_ACS!T$157,1,0))</f>
        <v>0</v>
      </c>
    </row>
    <row r="125" spans="1:20" ht="11.25" customHeight="1" outlineLevel="1" x14ac:dyDescent="0.35">
      <c r="N125" s="5"/>
      <c r="S125" s="5"/>
    </row>
    <row r="126" spans="1:20" s="8" customFormat="1" ht="14.1" x14ac:dyDescent="0.35">
      <c r="C126" s="8" t="str">
        <f>Lookup!$D$113</f>
        <v>Meters</v>
      </c>
    </row>
    <row r="127" spans="1:20" ht="11.25" customHeight="1" x14ac:dyDescent="0.35"/>
    <row r="128" spans="1:20" ht="12.3" x14ac:dyDescent="0.35">
      <c r="D128" s="43" t="str">
        <f>D$14</f>
        <v>Category heading</v>
      </c>
      <c r="E128" s="38" t="str">
        <f>Lookup!E$20</f>
        <v>Source</v>
      </c>
      <c r="F128" s="38" t="str">
        <f>Lookup!F$20</f>
        <v>Unit</v>
      </c>
      <c r="G128" s="38" t="str">
        <f>Lookup!G$20</f>
        <v>Basis</v>
      </c>
      <c r="H128" s="38" t="str">
        <f>Lookup!H$20</f>
        <v>Timing</v>
      </c>
      <c r="J128" s="47" t="str">
        <f t="shared" ref="J128:T128" si="21">J$10</f>
        <v>RY19</v>
      </c>
      <c r="K128" s="46" t="str">
        <f t="shared" si="21"/>
        <v>RY20</v>
      </c>
      <c r="L128" s="38" t="str">
        <f>L$10</f>
        <v>RY21</v>
      </c>
      <c r="M128" s="38" t="str">
        <f t="shared" si="21"/>
        <v>RY22</v>
      </c>
      <c r="N128" s="38" t="str">
        <f t="shared" si="21"/>
        <v>RY23</v>
      </c>
      <c r="O128" s="47" t="str">
        <f t="shared" si="21"/>
        <v>RY24</v>
      </c>
      <c r="P128" s="46" t="str">
        <f t="shared" si="21"/>
        <v>RY25</v>
      </c>
      <c r="Q128" s="38" t="str">
        <f>Q$10</f>
        <v>RY26</v>
      </c>
      <c r="R128" s="38" t="str">
        <f t="shared" si="21"/>
        <v>RY27</v>
      </c>
      <c r="S128" s="38" t="str">
        <f t="shared" si="21"/>
        <v>RY28</v>
      </c>
      <c r="T128" s="47" t="str">
        <f t="shared" si="21"/>
        <v>RY29</v>
      </c>
    </row>
    <row r="129" spans="1:20" x14ac:dyDescent="0.35">
      <c r="J129" s="49"/>
      <c r="K129" s="48"/>
      <c r="O129" s="49"/>
      <c r="P129" s="48"/>
      <c r="T129" s="49"/>
    </row>
    <row r="130" spans="1:20" ht="12.3" x14ac:dyDescent="0.35">
      <c r="D130" s="10" t="str">
        <f>Calc_EB_ACS!$C$14</f>
        <v>Opening balance</v>
      </c>
      <c r="E130" s="45" t="s">
        <v>134</v>
      </c>
      <c r="F130" s="45" t="str">
        <f>Millions</f>
        <v>$Millions</v>
      </c>
      <c r="G130" s="45" t="str">
        <f>Nominal</f>
        <v>Nominal</v>
      </c>
      <c r="H130" s="45" t="str">
        <f>Start_year</f>
        <v>Start year</v>
      </c>
      <c r="J130" s="58">
        <f>Calc_EB_ACS!J$25</f>
        <v>13.124633463947241</v>
      </c>
      <c r="K130" s="56">
        <f>Calc_EB_ACS!K$25</f>
        <v>12.404122553663825</v>
      </c>
      <c r="L130" s="57">
        <f>Calc_EB_ACS!L$25</f>
        <v>14.336118976769413</v>
      </c>
      <c r="M130" s="57">
        <f>Calc_EB_ACS!M$25</f>
        <v>15.302199747621378</v>
      </c>
      <c r="N130" s="57">
        <f>Calc_EB_ACS!N$25</f>
        <v>17.630682406329925</v>
      </c>
      <c r="O130" s="58">
        <f>Calc_EB_ACS!O$25</f>
        <v>28.081094405855303</v>
      </c>
      <c r="P130" s="56">
        <f>Calc_EB_ACS!P$25</f>
        <v>44.039918484464877</v>
      </c>
      <c r="Q130" s="57">
        <f>Calc_EB_ACS!Q$25</f>
        <v>47.26274586356665</v>
      </c>
      <c r="R130" s="57">
        <f>Calc_EB_ACS!R$25</f>
        <v>50.278543888796989</v>
      </c>
      <c r="S130" s="57">
        <f>Calc_EB_ACS!S$25</f>
        <v>56.003176181777192</v>
      </c>
      <c r="T130" s="58">
        <f>Calc_EB_ACS!T$25</f>
        <v>62.874110719915443</v>
      </c>
    </row>
    <row r="131" spans="1:20" ht="12.3" x14ac:dyDescent="0.35">
      <c r="D131" s="10" t="str">
        <f>Calc_EB_ACS!$C$33</f>
        <v>Inflation</v>
      </c>
      <c r="E131" s="45" t="str">
        <f>E130</f>
        <v>Calc_EB_ACS</v>
      </c>
      <c r="F131" s="45" t="str">
        <f>Millions</f>
        <v>$Millions</v>
      </c>
      <c r="G131" s="45" t="str">
        <f>Nominal</f>
        <v>Nominal</v>
      </c>
      <c r="H131" s="45" t="str">
        <f>End_year</f>
        <v>End year</v>
      </c>
      <c r="J131" s="58">
        <f>Calc_EB_ACS!J$44</f>
        <v>0.23415938383492094</v>
      </c>
      <c r="K131" s="56">
        <f>Calc_EB_ACS!K$44</f>
        <v>0.22829673411651358</v>
      </c>
      <c r="L131" s="57">
        <f>Calc_EB_ACS!L$44</f>
        <v>0.12337451787236989</v>
      </c>
      <c r="M131" s="57">
        <f>Calc_EB_ACS!M$44</f>
        <v>0.53531586147822097</v>
      </c>
      <c r="N131" s="57">
        <f>Calc_EB_ACS!N$44</f>
        <v>1.4104545925063943</v>
      </c>
      <c r="O131" s="58">
        <f>Calc_EB_ACS!O$44</f>
        <v>1.3198114370751994</v>
      </c>
      <c r="P131" s="56">
        <f>Calc_EB_ACS!P$44</f>
        <v>1.2858070980017546</v>
      </c>
      <c r="Q131" s="57">
        <f>Calc_EB_ACS!Q$44</f>
        <v>1.3799020569001281</v>
      </c>
      <c r="R131" s="57">
        <f>Calc_EB_ACS!R$44</f>
        <v>1.4679525038678882</v>
      </c>
      <c r="S131" s="57">
        <f>Calc_EB_ACS!S$44</f>
        <v>1.6350911610014278</v>
      </c>
      <c r="T131" s="58">
        <f>Calc_EB_ACS!T$44</f>
        <v>1.8356977175771405</v>
      </c>
    </row>
    <row r="132" spans="1:20" ht="12.3" x14ac:dyDescent="0.35">
      <c r="D132" s="10" t="str">
        <f>Calc_EB_ACS!$C$52</f>
        <v>Straight line depreciation</v>
      </c>
      <c r="E132" s="45" t="str">
        <f t="shared" ref="E132:E134" si="22">E131</f>
        <v>Calc_EB_ACS</v>
      </c>
      <c r="F132" s="45" t="str">
        <f>Millions</f>
        <v>$Millions</v>
      </c>
      <c r="G132" s="45" t="str">
        <f>Nominal</f>
        <v>Nominal</v>
      </c>
      <c r="H132" s="45" t="str">
        <f>End_year</f>
        <v>End year</v>
      </c>
      <c r="J132" s="58">
        <f>Calc_EB_ACS!J$63</f>
        <v>-1.6293929047084523</v>
      </c>
      <c r="K132" s="56">
        <f>Calc_EB_ACS!K$63</f>
        <v>-0.75012866504342612</v>
      </c>
      <c r="L132" s="57">
        <f>Calc_EB_ACS!L$63</f>
        <v>-0.99176379430751493</v>
      </c>
      <c r="M132" s="57">
        <f>Calc_EB_ACS!M$63</f>
        <v>-1.133749922834469</v>
      </c>
      <c r="N132" s="57">
        <f>Calc_EB_ACS!N$63</f>
        <v>-1.3887472387518744</v>
      </c>
      <c r="O132" s="58">
        <f>Calc_EB_ACS!O$63</f>
        <v>-2.2836836733874839</v>
      </c>
      <c r="P132" s="56">
        <f>Calc_EB_ACS!P$63</f>
        <v>-3.3778233812227554</v>
      </c>
      <c r="Q132" s="57">
        <f>Calc_EB_ACS!Q$63</f>
        <v>-3.825493698754971</v>
      </c>
      <c r="R132" s="57">
        <f>Calc_EB_ACS!R$63</f>
        <v>-4.2619436869713576</v>
      </c>
      <c r="S132" s="57">
        <f>Calc_EB_ACS!S$63</f>
        <v>-5.011016579905645</v>
      </c>
      <c r="T132" s="58">
        <f>Calc_EB_ACS!T$63</f>
        <v>-5.7815551333071724</v>
      </c>
    </row>
    <row r="133" spans="1:20" ht="12.3" x14ac:dyDescent="0.35">
      <c r="D133" s="10" t="str">
        <f>Calc_EB_ACS!$C$71</f>
        <v>RAB additions</v>
      </c>
      <c r="E133" s="45" t="str">
        <f t="shared" si="22"/>
        <v>Calc_EB_ACS</v>
      </c>
      <c r="F133" s="45" t="str">
        <f>Millions</f>
        <v>$Millions</v>
      </c>
      <c r="G133" s="45" t="str">
        <f>Nominal</f>
        <v>Nominal</v>
      </c>
      <c r="H133" s="45" t="str">
        <f>End_year</f>
        <v>End year</v>
      </c>
      <c r="J133" s="58">
        <f>IFERROR(Calc_EB_ACS!J$82+Calc_EB_ACS!J$139,NA)</f>
        <v>0.67472261059011696</v>
      </c>
      <c r="K133" s="56">
        <f>IFERROR(Calc_EB_ACS!K$82+Calc_EB_ACS!K$139,NA)</f>
        <v>2.4538283540325012</v>
      </c>
      <c r="L133" s="57">
        <f>IFERROR(Calc_EB_ACS!L$82+Calc_EB_ACS!L$139,NA)</f>
        <v>1.8344700472871107</v>
      </c>
      <c r="M133" s="57">
        <f>IFERROR(Calc_EB_ACS!M$82+Calc_EB_ACS!M$139,NA)</f>
        <v>2.9269167200647943</v>
      </c>
      <c r="N133" s="57">
        <f>IFERROR(Calc_EB_ACS!N$82+Calc_EB_ACS!N$139,NA)</f>
        <v>10.428704645770859</v>
      </c>
      <c r="O133" s="58">
        <f>IFERROR(Calc_EB_ACS!O$82+Calc_EB_ACS!O$139,NA)</f>
        <v>16.922696314921861</v>
      </c>
      <c r="P133" s="56">
        <f>IFERROR(Calc_EB_ACS!P$82+Calc_EB_ACS!P$139,NA)</f>
        <v>5.3148436623227715</v>
      </c>
      <c r="Q133" s="57">
        <f>IFERROR(Calc_EB_ACS!Q$82+Calc_EB_ACS!Q$139,NA)</f>
        <v>5.4613896670851787</v>
      </c>
      <c r="R133" s="57">
        <f>IFERROR(Calc_EB_ACS!R$82+Calc_EB_ACS!R$139,NA)</f>
        <v>8.5186234760836701</v>
      </c>
      <c r="S133" s="57">
        <f>IFERROR(Calc_EB_ACS!S$82+Calc_EB_ACS!S$139,NA)</f>
        <v>10.246859957042469</v>
      </c>
      <c r="T133" s="58">
        <f>IFERROR(Calc_EB_ACS!T$82+Calc_EB_ACS!T$139,NA)</f>
        <v>11.482350266980733</v>
      </c>
    </row>
    <row r="134" spans="1:20" ht="12.3" x14ac:dyDescent="0.35">
      <c r="D134" s="10" t="str">
        <f>Calc_EB_ACS!$C$90</f>
        <v>Disposals</v>
      </c>
      <c r="E134" s="45" t="str">
        <f t="shared" si="22"/>
        <v>Calc_EB_ACS</v>
      </c>
      <c r="F134" s="45" t="str">
        <f>Millions</f>
        <v>$Millions</v>
      </c>
      <c r="G134" s="45" t="str">
        <f>Nominal</f>
        <v>Nominal</v>
      </c>
      <c r="H134" s="45" t="str">
        <f>End_year</f>
        <v>End year</v>
      </c>
      <c r="J134" s="58">
        <f>Calc_EB_ACS!J$101</f>
        <v>0</v>
      </c>
      <c r="K134" s="56">
        <f>Calc_EB_ACS!K$101</f>
        <v>0</v>
      </c>
      <c r="L134" s="57">
        <f>Calc_EB_ACS!L$101</f>
        <v>0</v>
      </c>
      <c r="M134" s="57">
        <f>Calc_EB_ACS!M$101</f>
        <v>0</v>
      </c>
      <c r="N134" s="57">
        <f>Calc_EB_ACS!N$101</f>
        <v>0</v>
      </c>
      <c r="O134" s="58">
        <f>Calc_EB_ACS!O$101</f>
        <v>0</v>
      </c>
      <c r="P134" s="56">
        <f>Calc_EB_ACS!P$101</f>
        <v>0</v>
      </c>
      <c r="Q134" s="57">
        <f>Calc_EB_ACS!Q$101</f>
        <v>0</v>
      </c>
      <c r="R134" s="57">
        <f>Calc_EB_ACS!R$101</f>
        <v>0</v>
      </c>
      <c r="S134" s="57">
        <f>Calc_EB_ACS!S$101</f>
        <v>0</v>
      </c>
      <c r="T134" s="58">
        <f>Calc_EB_ACS!T$101</f>
        <v>0</v>
      </c>
    </row>
    <row r="135" spans="1:20" x14ac:dyDescent="0.35">
      <c r="J135" s="49"/>
      <c r="K135" s="48"/>
      <c r="O135" s="49"/>
      <c r="P135" s="48"/>
      <c r="T135" s="49"/>
    </row>
    <row r="136" spans="1:20" ht="12.3" x14ac:dyDescent="0.35">
      <c r="D136" s="44" t="str">
        <f>D$22</f>
        <v>Closing balance</v>
      </c>
      <c r="E136" s="40" t="s">
        <v>91</v>
      </c>
      <c r="F136" s="40" t="str">
        <f>F130</f>
        <v>$Millions</v>
      </c>
      <c r="G136" s="40" t="str">
        <f>G130</f>
        <v>Nominal</v>
      </c>
      <c r="H136" s="40" t="str">
        <f>End_year</f>
        <v>End year</v>
      </c>
      <c r="J136" s="54">
        <f t="shared" ref="J136:T136" si="23">SUM(J130:J134)</f>
        <v>12.404122553663825</v>
      </c>
      <c r="K136" s="53">
        <f t="shared" si="23"/>
        <v>14.336118976769413</v>
      </c>
      <c r="L136" s="39">
        <f t="shared" si="23"/>
        <v>15.302199747621378</v>
      </c>
      <c r="M136" s="39">
        <f t="shared" si="23"/>
        <v>17.630682406329925</v>
      </c>
      <c r="N136" s="39">
        <f t="shared" si="23"/>
        <v>28.081094405855303</v>
      </c>
      <c r="O136" s="54">
        <f t="shared" si="23"/>
        <v>44.039918484464877</v>
      </c>
      <c r="P136" s="53">
        <f t="shared" si="23"/>
        <v>47.26274586356665</v>
      </c>
      <c r="Q136" s="39">
        <f t="shared" si="23"/>
        <v>50.278543888796989</v>
      </c>
      <c r="R136" s="39">
        <f t="shared" si="23"/>
        <v>56.003176181777192</v>
      </c>
      <c r="S136" s="39">
        <f t="shared" si="23"/>
        <v>62.874110719915443</v>
      </c>
      <c r="T136" s="54">
        <f t="shared" si="23"/>
        <v>70.410603571166149</v>
      </c>
    </row>
    <row r="137" spans="1:20" ht="11.25" customHeight="1" x14ac:dyDescent="0.35"/>
    <row r="138" spans="1:20" ht="11.25" customHeight="1" x14ac:dyDescent="0.35">
      <c r="A138" s="42">
        <f>IF(SUM($J138:$T138)&lt;&gt;0,1,0)</f>
        <v>0</v>
      </c>
      <c r="D138" s="10" t="s">
        <v>94</v>
      </c>
      <c r="J138" s="42">
        <f>IF(J136&lt;&gt;Calc_EB_ACS!J$158,1,0)</f>
        <v>0</v>
      </c>
      <c r="K138" s="42">
        <f>IF(K136&lt;&gt;Calc_EB_ACS!K$158,1,0)</f>
        <v>0</v>
      </c>
      <c r="L138" s="42">
        <f>IF(L136&lt;&gt;Calc_EB_ACS!L$158,1,0)</f>
        <v>0</v>
      </c>
      <c r="M138" s="42">
        <f>IF(M136&lt;&gt;Calc_EB_ACS!M$158,1,0)</f>
        <v>0</v>
      </c>
      <c r="N138" s="42">
        <f>IF(N136&lt;&gt;Calc_EB_ACS!N$158,1,0)</f>
        <v>0</v>
      </c>
      <c r="O138" s="42">
        <f>IF(O136&lt;&gt;Calc_EB_ACS!O$158,1,0)</f>
        <v>0</v>
      </c>
      <c r="P138" s="42">
        <f>IF(P136&lt;&gt;Calc_EB_ACS!P$158,1,0)</f>
        <v>0</v>
      </c>
      <c r="Q138" s="42">
        <f>IF(Q136&lt;&gt;Calc_EB_ACS!Q$158,1,0)</f>
        <v>0</v>
      </c>
      <c r="R138" s="42">
        <f>IF(R136&lt;&gt;Calc_EB_ACS!R$158,1,0)</f>
        <v>0</v>
      </c>
      <c r="S138" s="42">
        <f>IF(S136&lt;&gt;Calc_EB_ACS!S$158,1,0)</f>
        <v>0</v>
      </c>
      <c r="T138" s="42">
        <f>IF(T136&lt;&gt;Calc_EB_ACS!T$158,1,0)</f>
        <v>0</v>
      </c>
    </row>
    <row r="140" spans="1:20" s="8" customFormat="1" ht="14.1" x14ac:dyDescent="0.35">
      <c r="C140" s="8" t="str">
        <f>Lookup!$D$114</f>
        <v>“Other” asset items with long lives</v>
      </c>
    </row>
    <row r="141" spans="1:20" ht="11.25" customHeight="1" x14ac:dyDescent="0.35"/>
    <row r="142" spans="1:20" ht="12.3" x14ac:dyDescent="0.35">
      <c r="D142" s="43" t="str">
        <f>D$14</f>
        <v>Category heading</v>
      </c>
      <c r="E142" s="38" t="str">
        <f>Lookup!E$20</f>
        <v>Source</v>
      </c>
      <c r="F142" s="38" t="str">
        <f>Lookup!F$20</f>
        <v>Unit</v>
      </c>
      <c r="G142" s="38" t="str">
        <f>Lookup!G$20</f>
        <v>Basis</v>
      </c>
      <c r="H142" s="38" t="str">
        <f>Lookup!H$20</f>
        <v>Timing</v>
      </c>
      <c r="J142" s="47" t="str">
        <f t="shared" ref="J142:T142" si="24">J$10</f>
        <v>RY19</v>
      </c>
      <c r="K142" s="46" t="str">
        <f t="shared" si="24"/>
        <v>RY20</v>
      </c>
      <c r="L142" s="38" t="str">
        <f>L$10</f>
        <v>RY21</v>
      </c>
      <c r="M142" s="38" t="str">
        <f t="shared" si="24"/>
        <v>RY22</v>
      </c>
      <c r="N142" s="38" t="str">
        <f t="shared" si="24"/>
        <v>RY23</v>
      </c>
      <c r="O142" s="47" t="str">
        <f t="shared" si="24"/>
        <v>RY24</v>
      </c>
      <c r="P142" s="46" t="str">
        <f t="shared" si="24"/>
        <v>RY25</v>
      </c>
      <c r="Q142" s="38" t="str">
        <f>Q$10</f>
        <v>RY26</v>
      </c>
      <c r="R142" s="38" t="str">
        <f t="shared" si="24"/>
        <v>RY27</v>
      </c>
      <c r="S142" s="38" t="str">
        <f t="shared" si="24"/>
        <v>RY28</v>
      </c>
      <c r="T142" s="47" t="str">
        <f t="shared" si="24"/>
        <v>RY29</v>
      </c>
    </row>
    <row r="143" spans="1:20" x14ac:dyDescent="0.35">
      <c r="J143" s="49"/>
      <c r="K143" s="48"/>
      <c r="O143" s="49"/>
      <c r="P143" s="48"/>
      <c r="T143" s="49"/>
    </row>
    <row r="144" spans="1:20" ht="12.3" x14ac:dyDescent="0.35">
      <c r="D144" s="10" t="str">
        <f>Calc_EB_ACS!$C$14</f>
        <v>Opening balance</v>
      </c>
      <c r="E144" s="45" t="s">
        <v>134</v>
      </c>
      <c r="F144" s="45" t="str">
        <f>Millions</f>
        <v>$Millions</v>
      </c>
      <c r="G144" s="45" t="str">
        <f>Nominal</f>
        <v>Nominal</v>
      </c>
      <c r="H144" s="45" t="str">
        <f>Start_year</f>
        <v>Start year</v>
      </c>
      <c r="J144" s="58">
        <f>Calc_EB_ACS!J$26</f>
        <v>0.83388571775759623</v>
      </c>
      <c r="K144" s="56">
        <f>Calc_EB_ACS!K$26</f>
        <v>0.78810739113047179</v>
      </c>
      <c r="L144" s="57">
        <f>Calc_EB_ACS!L$26</f>
        <v>0.9108585695471515</v>
      </c>
      <c r="M144" s="57">
        <f>Calc_EB_ACS!M$26</f>
        <v>0.97223940423687072</v>
      </c>
      <c r="N144" s="57">
        <f>Calc_EB_ACS!N$26</f>
        <v>1.1201817020905227</v>
      </c>
      <c r="O144" s="58">
        <f>Calc_EB_ACS!O$26</f>
        <v>1.7841582874195534</v>
      </c>
      <c r="P144" s="56">
        <f>Calc_EB_ACS!P$26</f>
        <v>2.7981169254199645</v>
      </c>
      <c r="Q144" s="57">
        <f>Calc_EB_ACS!Q$26</f>
        <v>3.0028822416943934</v>
      </c>
      <c r="R144" s="57">
        <f>Calc_EB_ACS!R$26</f>
        <v>3.1944937566208305</v>
      </c>
      <c r="S144" s="57">
        <f>Calc_EB_ACS!S$26</f>
        <v>3.5582135604266445</v>
      </c>
      <c r="T144" s="58">
        <f>Calc_EB_ACS!T$26</f>
        <v>3.9947647368644281</v>
      </c>
    </row>
    <row r="145" spans="1:20" ht="12.3" x14ac:dyDescent="0.35">
      <c r="D145" s="10" t="str">
        <f>Calc_EB_ACS!$C$33</f>
        <v>Inflation</v>
      </c>
      <c r="E145" s="45" t="str">
        <f>E144</f>
        <v>Calc_EB_ACS</v>
      </c>
      <c r="F145" s="45" t="str">
        <f>Millions</f>
        <v>$Millions</v>
      </c>
      <c r="G145" s="45" t="str">
        <f>Nominal</f>
        <v>Nominal</v>
      </c>
      <c r="H145" s="45" t="str">
        <f>End_year</f>
        <v>End year</v>
      </c>
      <c r="J145" s="58">
        <f>Calc_EB_ACS!J$45</f>
        <v>1.4877532877031243E-2</v>
      </c>
      <c r="K145" s="56">
        <f>Calc_EB_ACS!K$45</f>
        <v>1.4505044008536382E-2</v>
      </c>
      <c r="L145" s="57">
        <f>Calc_EB_ACS!L$45</f>
        <v>7.8387140236415593E-3</v>
      </c>
      <c r="M145" s="57">
        <f>Calc_EB_ACS!M$45</f>
        <v>3.4011788032177123E-2</v>
      </c>
      <c r="N145" s="57">
        <f>Calc_EB_ACS!N$45</f>
        <v>8.9614536167241826E-2</v>
      </c>
      <c r="O145" s="58">
        <f>Calc_EB_ACS!O$45</f>
        <v>8.3855439508719015E-2</v>
      </c>
      <c r="P145" s="56">
        <f>Calc_EB_ACS!P$45</f>
        <v>8.169494239670258E-2</v>
      </c>
      <c r="Q145" s="57">
        <f>Calc_EB_ACS!Q$45</f>
        <v>8.767335257889014E-2</v>
      </c>
      <c r="R145" s="57">
        <f>Calc_EB_ACS!R$45</f>
        <v>9.3267719108841629E-2</v>
      </c>
      <c r="S145" s="57">
        <f>Calc_EB_ACS!S$45</f>
        <v>0.10388702817005829</v>
      </c>
      <c r="T145" s="58">
        <f>Calc_EB_ACS!T$45</f>
        <v>0.11663275115550674</v>
      </c>
    </row>
    <row r="146" spans="1:20" ht="12.3" x14ac:dyDescent="0.35">
      <c r="D146" s="10" t="str">
        <f>Calc_EB_ACS!$C$52</f>
        <v>Straight line depreciation</v>
      </c>
      <c r="E146" s="45" t="str">
        <f t="shared" ref="E146:E148" si="25">E145</f>
        <v>Calc_EB_ACS</v>
      </c>
      <c r="F146" s="45" t="str">
        <f>Millions</f>
        <v>$Millions</v>
      </c>
      <c r="G146" s="45" t="str">
        <f>Nominal</f>
        <v>Nominal</v>
      </c>
      <c r="H146" s="45" t="str">
        <f>End_year</f>
        <v>End year</v>
      </c>
      <c r="J146" s="58">
        <f>Calc_EB_ACS!J$64</f>
        <v>-0.10352498418979118</v>
      </c>
      <c r="K146" s="56">
        <f>Calc_EB_ACS!K$64</f>
        <v>-4.7660118050425075E-2</v>
      </c>
      <c r="L146" s="57">
        <f>Calc_EB_ACS!L$64</f>
        <v>-6.3012629322860572E-2</v>
      </c>
      <c r="M146" s="57">
        <f>Calc_EB_ACS!M$64</f>
        <v>-7.2033849231482122E-2</v>
      </c>
      <c r="N146" s="57">
        <f>Calc_EB_ACS!N$64</f>
        <v>-8.8235339383123654E-2</v>
      </c>
      <c r="O146" s="58">
        <f>Calc_EB_ACS!O$64</f>
        <v>-0.14509595291519076</v>
      </c>
      <c r="P146" s="56">
        <f>Calc_EB_ACS!P$64</f>
        <v>-0.21461313052640466</v>
      </c>
      <c r="Q146" s="57">
        <f>Calc_EB_ACS!Q$64</f>
        <v>-0.24305627791635476</v>
      </c>
      <c r="R146" s="57">
        <f>Calc_EB_ACS!R$64</f>
        <v>-0.27078653131267766</v>
      </c>
      <c r="S146" s="57">
        <f>Calc_EB_ACS!S$64</f>
        <v>-0.31837956990633648</v>
      </c>
      <c r="T146" s="58">
        <f>Calc_EB_ACS!T$64</f>
        <v>-0.36733644907771779</v>
      </c>
    </row>
    <row r="147" spans="1:20" ht="12.3" x14ac:dyDescent="0.35">
      <c r="D147" s="10" t="str">
        <f>Calc_EB_ACS!$C$71</f>
        <v>RAB additions</v>
      </c>
      <c r="E147" s="45" t="str">
        <f t="shared" si="25"/>
        <v>Calc_EB_ACS</v>
      </c>
      <c r="F147" s="45" t="str">
        <f>Millions</f>
        <v>$Millions</v>
      </c>
      <c r="G147" s="45" t="str">
        <f>Nominal</f>
        <v>Nominal</v>
      </c>
      <c r="H147" s="45" t="str">
        <f>End_year</f>
        <v>End year</v>
      </c>
      <c r="J147" s="58">
        <f>IFERROR(Calc_EB_ACS!J$83+Calc_EB_ACS!J$140,NA)</f>
        <v>4.2869124685635522E-2</v>
      </c>
      <c r="K147" s="56">
        <f>IFERROR(Calc_EB_ACS!K$83+Calc_EB_ACS!K$140,NA)</f>
        <v>0.15590625245856835</v>
      </c>
      <c r="L147" s="57">
        <f>IFERROR(Calc_EB_ACS!L$83+Calc_EB_ACS!L$140,NA)</f>
        <v>0.11655474998893828</v>
      </c>
      <c r="M147" s="57">
        <f>IFERROR(Calc_EB_ACS!M$83+Calc_EB_ACS!M$140,NA)</f>
        <v>0.18596435905295705</v>
      </c>
      <c r="N147" s="57">
        <f>IFERROR(Calc_EB_ACS!N$83+Calc_EB_ACS!N$140,NA)</f>
        <v>0.66259738854491257</v>
      </c>
      <c r="O147" s="58">
        <f>IFERROR(Calc_EB_ACS!O$83+Calc_EB_ACS!O$140,NA)</f>
        <v>1.0751991514068824</v>
      </c>
      <c r="P147" s="56">
        <f>IFERROR(Calc_EB_ACS!P$83+Calc_EB_ACS!P$140,NA)</f>
        <v>0.33768350440413114</v>
      </c>
      <c r="Q147" s="57">
        <f>IFERROR(Calc_EB_ACS!Q$83+Calc_EB_ACS!Q$140,NA)</f>
        <v>0.34699444026390147</v>
      </c>
      <c r="R147" s="57">
        <f>IFERROR(Calc_EB_ACS!R$83+Calc_EB_ACS!R$140,NA)</f>
        <v>0.54123861600964973</v>
      </c>
      <c r="S147" s="57">
        <f>IFERROR(Calc_EB_ACS!S$83+Calc_EB_ACS!S$140,NA)</f>
        <v>0.65104371817406204</v>
      </c>
      <c r="T147" s="58">
        <f>IFERROR(Calc_EB_ACS!T$83+Calc_EB_ACS!T$140,NA)</f>
        <v>0.72954173693515678</v>
      </c>
    </row>
    <row r="148" spans="1:20" ht="12.3" x14ac:dyDescent="0.35">
      <c r="D148" s="10" t="str">
        <f>Calc_EB_ACS!$C$90</f>
        <v>Disposals</v>
      </c>
      <c r="E148" s="45" t="str">
        <f t="shared" si="25"/>
        <v>Calc_EB_ACS</v>
      </c>
      <c r="F148" s="45" t="str">
        <f>Millions</f>
        <v>$Millions</v>
      </c>
      <c r="G148" s="45" t="str">
        <f>Nominal</f>
        <v>Nominal</v>
      </c>
      <c r="H148" s="45" t="str">
        <f>End_year</f>
        <v>End year</v>
      </c>
      <c r="J148" s="58">
        <f>Calc_EB_ACS!J$102</f>
        <v>0</v>
      </c>
      <c r="K148" s="56">
        <f>Calc_EB_ACS!K$102</f>
        <v>0</v>
      </c>
      <c r="L148" s="57">
        <f>Calc_EB_ACS!L$102</f>
        <v>0</v>
      </c>
      <c r="M148" s="57">
        <f>Calc_EB_ACS!M$102</f>
        <v>0</v>
      </c>
      <c r="N148" s="57">
        <f>Calc_EB_ACS!N$102</f>
        <v>0</v>
      </c>
      <c r="O148" s="58">
        <f>Calc_EB_ACS!O$102</f>
        <v>0</v>
      </c>
      <c r="P148" s="56">
        <f>Calc_EB_ACS!P$102</f>
        <v>0</v>
      </c>
      <c r="Q148" s="57">
        <f>Calc_EB_ACS!Q$102</f>
        <v>0</v>
      </c>
      <c r="R148" s="57">
        <f>Calc_EB_ACS!R$102</f>
        <v>0</v>
      </c>
      <c r="S148" s="57">
        <f>Calc_EB_ACS!S$102</f>
        <v>0</v>
      </c>
      <c r="T148" s="58">
        <f>Calc_EB_ACS!T$102</f>
        <v>0</v>
      </c>
    </row>
    <row r="149" spans="1:20" x14ac:dyDescent="0.35">
      <c r="J149" s="49"/>
      <c r="K149" s="48"/>
      <c r="O149" s="49"/>
      <c r="P149" s="48"/>
      <c r="T149" s="49"/>
    </row>
    <row r="150" spans="1:20" ht="12.3" x14ac:dyDescent="0.35">
      <c r="D150" s="44" t="str">
        <f>D$22</f>
        <v>Closing balance</v>
      </c>
      <c r="E150" s="40" t="s">
        <v>91</v>
      </c>
      <c r="F150" s="40" t="str">
        <f>F144</f>
        <v>$Millions</v>
      </c>
      <c r="G150" s="40" t="str">
        <f>G144</f>
        <v>Nominal</v>
      </c>
      <c r="H150" s="40" t="str">
        <f>End_year</f>
        <v>End year</v>
      </c>
      <c r="J150" s="54">
        <f t="shared" ref="J150:T150" si="26">SUM(J144:J148)</f>
        <v>0.78810739113047179</v>
      </c>
      <c r="K150" s="53">
        <f t="shared" si="26"/>
        <v>0.9108585695471515</v>
      </c>
      <c r="L150" s="39">
        <f t="shared" si="26"/>
        <v>0.97223940423687072</v>
      </c>
      <c r="M150" s="39">
        <f t="shared" si="26"/>
        <v>1.1201817020905227</v>
      </c>
      <c r="N150" s="39">
        <f t="shared" si="26"/>
        <v>1.7841582874195534</v>
      </c>
      <c r="O150" s="54">
        <f t="shared" si="26"/>
        <v>2.798116925419964</v>
      </c>
      <c r="P150" s="53">
        <f t="shared" si="26"/>
        <v>3.0028822416943934</v>
      </c>
      <c r="Q150" s="39">
        <f t="shared" si="26"/>
        <v>3.1944937566208305</v>
      </c>
      <c r="R150" s="39">
        <f t="shared" si="26"/>
        <v>3.5582135604266445</v>
      </c>
      <c r="S150" s="39">
        <f t="shared" si="26"/>
        <v>3.9947647368644281</v>
      </c>
      <c r="T150" s="54">
        <f t="shared" si="26"/>
        <v>4.4736027758773735</v>
      </c>
    </row>
    <row r="151" spans="1:20" ht="11.25" customHeight="1" x14ac:dyDescent="0.35"/>
    <row r="152" spans="1:20" ht="11.25" customHeight="1" x14ac:dyDescent="0.35">
      <c r="A152" s="42">
        <f>IF(SUM($J152:$T152)&lt;&gt;0,1,0)</f>
        <v>0</v>
      </c>
      <c r="D152" s="10" t="s">
        <v>94</v>
      </c>
      <c r="J152" s="42">
        <f>IF(J150&lt;&gt;(Calc_EB_ACS!J$159),1,0)</f>
        <v>0</v>
      </c>
      <c r="K152" s="42">
        <f>IF(K150&lt;&gt;(Calc_EB_ACS!K$159),1,0)</f>
        <v>0</v>
      </c>
      <c r="L152" s="42">
        <f>IF(L150&lt;&gt;(Calc_EB_ACS!L$159),1,0)</f>
        <v>0</v>
      </c>
      <c r="M152" s="42">
        <f>IF(M150&lt;&gt;(Calc_EB_ACS!M$159),1,0)</f>
        <v>0</v>
      </c>
      <c r="N152" s="42">
        <f>IF(N150&lt;&gt;(Calc_EB_ACS!N$159),1,0)</f>
        <v>0</v>
      </c>
      <c r="O152" s="42">
        <f>IF(O150&lt;&gt;(Calc_EB_ACS!O$159),1,0)</f>
        <v>0</v>
      </c>
      <c r="P152" s="42">
        <f>IF(P150&lt;&gt;(Calc_EB_ACS!P$159),1,0)</f>
        <v>0</v>
      </c>
      <c r="Q152" s="42">
        <f>IF(Q150&lt;&gt;(Calc_EB_ACS!Q$159),1,0)</f>
        <v>0</v>
      </c>
      <c r="R152" s="42">
        <f>IF(R150&lt;&gt;(Calc_EB_ACS!R$159),1,0)</f>
        <v>0</v>
      </c>
      <c r="S152" s="42">
        <f>IF(S150&lt;&gt;(Calc_EB_ACS!S$159),1,0)</f>
        <v>0</v>
      </c>
      <c r="T152" s="42">
        <f>IF(T150&lt;&gt;(Calc_EB_ACS!T$159),1,0)</f>
        <v>0</v>
      </c>
    </row>
    <row r="154" spans="1:20" s="8" customFormat="1" ht="14.1" x14ac:dyDescent="0.35">
      <c r="C154" s="8" t="str">
        <f>Lookup!$D$115</f>
        <v>“Other” asset items with short lives</v>
      </c>
    </row>
    <row r="155" spans="1:20" ht="11.25" customHeight="1" x14ac:dyDescent="0.35"/>
    <row r="156" spans="1:20" ht="12.3" x14ac:dyDescent="0.35">
      <c r="D156" s="43" t="str">
        <f>D$14</f>
        <v>Category heading</v>
      </c>
      <c r="E156" s="38" t="str">
        <f>Lookup!E$20</f>
        <v>Source</v>
      </c>
      <c r="F156" s="38" t="str">
        <f>Lookup!F$20</f>
        <v>Unit</v>
      </c>
      <c r="G156" s="38" t="str">
        <f>Lookup!G$20</f>
        <v>Basis</v>
      </c>
      <c r="H156" s="38" t="str">
        <f>Lookup!H$20</f>
        <v>Timing</v>
      </c>
      <c r="J156" s="47" t="str">
        <f t="shared" ref="J156:T156" si="27">J$10</f>
        <v>RY19</v>
      </c>
      <c r="K156" s="46" t="str">
        <f t="shared" si="27"/>
        <v>RY20</v>
      </c>
      <c r="L156" s="38" t="str">
        <f>L$10</f>
        <v>RY21</v>
      </c>
      <c r="M156" s="38" t="str">
        <f t="shared" si="27"/>
        <v>RY22</v>
      </c>
      <c r="N156" s="38" t="str">
        <f t="shared" si="27"/>
        <v>RY23</v>
      </c>
      <c r="O156" s="47" t="str">
        <f t="shared" si="27"/>
        <v>RY24</v>
      </c>
      <c r="P156" s="46" t="str">
        <f t="shared" si="27"/>
        <v>RY25</v>
      </c>
      <c r="Q156" s="38" t="str">
        <f>Q$10</f>
        <v>RY26</v>
      </c>
      <c r="R156" s="38" t="str">
        <f t="shared" si="27"/>
        <v>RY27</v>
      </c>
      <c r="S156" s="38" t="str">
        <f t="shared" si="27"/>
        <v>RY28</v>
      </c>
      <c r="T156" s="47" t="str">
        <f t="shared" si="27"/>
        <v>RY29</v>
      </c>
    </row>
    <row r="157" spans="1:20" x14ac:dyDescent="0.35">
      <c r="J157" s="49"/>
      <c r="K157" s="48"/>
      <c r="O157" s="49"/>
      <c r="P157" s="48"/>
      <c r="T157" s="49"/>
    </row>
    <row r="158" spans="1:20" ht="12.3" x14ac:dyDescent="0.35">
      <c r="D158" s="10" t="str">
        <f>Calc_EB_ACS!$C$14</f>
        <v>Opening balance</v>
      </c>
      <c r="E158" s="45" t="s">
        <v>134</v>
      </c>
      <c r="F158" s="45" t="str">
        <f>Millions</f>
        <v>$Millions</v>
      </c>
      <c r="G158" s="45" t="str">
        <f>Nominal</f>
        <v>Nominal</v>
      </c>
      <c r="H158" s="45" t="str">
        <f>Start_year</f>
        <v>Start year</v>
      </c>
      <c r="J158" s="58">
        <f>Calc_EB_ACS!J$27</f>
        <v>0.91190614601793307</v>
      </c>
      <c r="K158" s="56">
        <f>Calc_EB_ACS!K$27</f>
        <v>0.86184468493673216</v>
      </c>
      <c r="L158" s="57">
        <f>Calc_EB_ACS!L$27</f>
        <v>0.99608076986468319</v>
      </c>
      <c r="M158" s="57">
        <f>Calc_EB_ACS!M$27</f>
        <v>1.0632045485903632</v>
      </c>
      <c r="N158" s="57">
        <f>Calc_EB_ACS!N$27</f>
        <v>1.2249886969405068</v>
      </c>
      <c r="O158" s="58">
        <f>Calc_EB_ACS!O$27</f>
        <v>1.951088588184301</v>
      </c>
      <c r="P158" s="56">
        <f>Calc_EB_ACS!P$27</f>
        <v>3.0599157261367118</v>
      </c>
      <c r="Q158" s="57">
        <f>Calc_EB_ACS!Q$27</f>
        <v>3.2838393962819268</v>
      </c>
      <c r="R158" s="57">
        <f>Calc_EB_ACS!R$27</f>
        <v>3.4933785626068952</v>
      </c>
      <c r="S158" s="57">
        <f>Calc_EB_ACS!S$27</f>
        <v>3.8911288987211474</v>
      </c>
      <c r="T158" s="58">
        <f>Calc_EB_ACS!T$27</f>
        <v>4.368524892401779</v>
      </c>
    </row>
    <row r="159" spans="1:20" ht="12.3" x14ac:dyDescent="0.35">
      <c r="D159" s="10" t="str">
        <f>Calc_EB_ACS!$C$33</f>
        <v>Inflation</v>
      </c>
      <c r="E159" s="45" t="str">
        <f>E158</f>
        <v>Calc_EB_ACS</v>
      </c>
      <c r="F159" s="45" t="str">
        <f>Millions</f>
        <v>$Millions</v>
      </c>
      <c r="G159" s="45" t="str">
        <f>Nominal</f>
        <v>Nominal</v>
      </c>
      <c r="H159" s="45" t="str">
        <f>End_year</f>
        <v>End year</v>
      </c>
      <c r="J159" s="58">
        <f>Calc_EB_ACS!J$46</f>
        <v>1.6269511971774106E-2</v>
      </c>
      <c r="K159" s="56">
        <f>Calc_EB_ACS!K$46</f>
        <v>1.5862172115400079E-2</v>
      </c>
      <c r="L159" s="57">
        <f>Calc_EB_ACS!L$46</f>
        <v>8.5721236649284067E-3</v>
      </c>
      <c r="M159" s="57">
        <f>Calc_EB_ACS!M$46</f>
        <v>3.7194015778331722E-2</v>
      </c>
      <c r="N159" s="57">
        <f>Calc_EB_ACS!N$46</f>
        <v>9.7999095755240559E-2</v>
      </c>
      <c r="O159" s="58">
        <f>Calc_EB_ACS!O$46</f>
        <v>9.1701163644662145E-2</v>
      </c>
      <c r="P159" s="56">
        <f>Calc_EB_ACS!P$46</f>
        <v>8.9338525032503432E-2</v>
      </c>
      <c r="Q159" s="57">
        <f>Calc_EB_ACS!Q$46</f>
        <v>9.5876290187197941E-2</v>
      </c>
      <c r="R159" s="57">
        <f>Calc_EB_ACS!R$46</f>
        <v>0.10199407960738172</v>
      </c>
      <c r="S159" s="57">
        <f>Calc_EB_ACS!S$46</f>
        <v>0.1136069577190589</v>
      </c>
      <c r="T159" s="58">
        <f>Calc_EB_ACS!T$46</f>
        <v>0.12754520234702502</v>
      </c>
    </row>
    <row r="160" spans="1:20" ht="12.3" x14ac:dyDescent="0.35">
      <c r="D160" s="10" t="str">
        <f>Calc_EB_ACS!$C$52</f>
        <v>Straight line depreciation</v>
      </c>
      <c r="E160" s="45" t="str">
        <f t="shared" ref="E160:E162" si="28">E159</f>
        <v>Calc_EB_ACS</v>
      </c>
      <c r="F160" s="45" t="str">
        <f>Millions</f>
        <v>$Millions</v>
      </c>
      <c r="G160" s="45" t="str">
        <f>Nominal</f>
        <v>Nominal</v>
      </c>
      <c r="H160" s="45" t="str">
        <f>End_year</f>
        <v>End year</v>
      </c>
      <c r="J160" s="58">
        <f>Calc_EB_ACS!J$65</f>
        <v>-0.11321104000071473</v>
      </c>
      <c r="K160" s="56">
        <f>Calc_EB_ACS!K$65</f>
        <v>-5.2119317605049544E-2</v>
      </c>
      <c r="L160" s="57">
        <f>Calc_EB_ACS!L$65</f>
        <v>-6.8908248135951422E-2</v>
      </c>
      <c r="M160" s="57">
        <f>Calc_EB_ACS!M$65</f>
        <v>-7.8773515886756934E-2</v>
      </c>
      <c r="N160" s="57">
        <f>Calc_EB_ACS!N$65</f>
        <v>-9.6490857878967037E-2</v>
      </c>
      <c r="O160" s="58">
        <f>Calc_EB_ACS!O$65</f>
        <v>-0.15867149227773877</v>
      </c>
      <c r="P160" s="56">
        <f>Calc_EB_ACS!P$65</f>
        <v>-0.234692870468454</v>
      </c>
      <c r="Q160" s="57">
        <f>Calc_EB_ACS!Q$65</f>
        <v>-0.26579722969256681</v>
      </c>
      <c r="R160" s="57">
        <f>Calc_EB_ACS!R$65</f>
        <v>-0.29612199478237056</v>
      </c>
      <c r="S160" s="57">
        <f>Calc_EB_ACS!S$65</f>
        <v>-0.34816795680931867</v>
      </c>
      <c r="T160" s="58">
        <f>Calc_EB_ACS!T$65</f>
        <v>-0.40170536374116111</v>
      </c>
    </row>
    <row r="161" spans="1:20" ht="12.3" x14ac:dyDescent="0.35">
      <c r="D161" s="10" t="str">
        <f>Calc_EB_ACS!$C$71</f>
        <v>RAB additions</v>
      </c>
      <c r="E161" s="45" t="str">
        <f t="shared" si="28"/>
        <v>Calc_EB_ACS</v>
      </c>
      <c r="F161" s="45" t="str">
        <f>Millions</f>
        <v>$Millions</v>
      </c>
      <c r="G161" s="45" t="str">
        <f>Nominal</f>
        <v>Nominal</v>
      </c>
      <c r="H161" s="45" t="str">
        <f>End_year</f>
        <v>End year</v>
      </c>
      <c r="J161" s="58">
        <f>IFERROR(Calc_EB_ACS!J$84+Calc_EB_ACS!J$141,NA)</f>
        <v>4.6880066947739753E-2</v>
      </c>
      <c r="K161" s="56">
        <f>IFERROR(Calc_EB_ACS!K$84+Calc_EB_ACS!K$141,NA)</f>
        <v>0.17049323041760045</v>
      </c>
      <c r="L161" s="57">
        <f>IFERROR(Calc_EB_ACS!L$84+Calc_EB_ACS!L$141,NA)</f>
        <v>0.12745990319670303</v>
      </c>
      <c r="M161" s="57">
        <f>IFERROR(Calc_EB_ACS!M$84+Calc_EB_ACS!M$141,NA)</f>
        <v>0.20336364845856891</v>
      </c>
      <c r="N161" s="57">
        <f>IFERROR(Calc_EB_ACS!N$84+Calc_EB_ACS!N$141,NA)</f>
        <v>0.72459165336752052</v>
      </c>
      <c r="O161" s="58">
        <f>IFERROR(Calc_EB_ACS!O$84+Calc_EB_ACS!O$141,NA)</f>
        <v>1.1757974665854873</v>
      </c>
      <c r="P161" s="56">
        <f>IFERROR(Calc_EB_ACS!P$84+Calc_EB_ACS!P$141,NA)</f>
        <v>0.36927801558116552</v>
      </c>
      <c r="Q161" s="57">
        <f>IFERROR(Calc_EB_ACS!Q$84+Calc_EB_ACS!Q$141,NA)</f>
        <v>0.3794601058303374</v>
      </c>
      <c r="R161" s="57">
        <f>IFERROR(Calc_EB_ACS!R$84+Calc_EB_ACS!R$141,NA)</f>
        <v>0.5918782512892411</v>
      </c>
      <c r="S161" s="57">
        <f>IFERROR(Calc_EB_ACS!S$84+Calc_EB_ACS!S$141,NA)</f>
        <v>0.71195699277089119</v>
      </c>
      <c r="T161" s="58">
        <f>IFERROR(Calc_EB_ACS!T$84+Calc_EB_ACS!T$141,NA)</f>
        <v>0.79779948201626028</v>
      </c>
    </row>
    <row r="162" spans="1:20" ht="12.3" x14ac:dyDescent="0.35">
      <c r="D162" s="10" t="str">
        <f>Calc_EB_ACS!$C$90</f>
        <v>Disposals</v>
      </c>
      <c r="E162" s="45" t="str">
        <f t="shared" si="28"/>
        <v>Calc_EB_ACS</v>
      </c>
      <c r="F162" s="45" t="str">
        <f>Millions</f>
        <v>$Millions</v>
      </c>
      <c r="G162" s="45" t="str">
        <f>Nominal</f>
        <v>Nominal</v>
      </c>
      <c r="H162" s="45" t="str">
        <f>End_year</f>
        <v>End year</v>
      </c>
      <c r="J162" s="58">
        <f>Calc_EB_ACS!J$103</f>
        <v>0</v>
      </c>
      <c r="K162" s="56">
        <f>Calc_EB_ACS!K$103</f>
        <v>0</v>
      </c>
      <c r="L162" s="57">
        <f>Calc_EB_ACS!L$103</f>
        <v>0</v>
      </c>
      <c r="M162" s="57">
        <f>Calc_EB_ACS!M$103</f>
        <v>0</v>
      </c>
      <c r="N162" s="57">
        <f>Calc_EB_ACS!N$103</f>
        <v>0</v>
      </c>
      <c r="O162" s="58">
        <f>Calc_EB_ACS!O$103</f>
        <v>0</v>
      </c>
      <c r="P162" s="56">
        <f>Calc_EB_ACS!P$103</f>
        <v>0</v>
      </c>
      <c r="Q162" s="57">
        <f>Calc_EB_ACS!Q$103</f>
        <v>0</v>
      </c>
      <c r="R162" s="57">
        <f>Calc_EB_ACS!R$103</f>
        <v>0</v>
      </c>
      <c r="S162" s="57">
        <f>Calc_EB_ACS!S$103</f>
        <v>0</v>
      </c>
      <c r="T162" s="58">
        <f>Calc_EB_ACS!T$103</f>
        <v>0</v>
      </c>
    </row>
    <row r="163" spans="1:20" x14ac:dyDescent="0.35">
      <c r="J163" s="49"/>
      <c r="K163" s="48"/>
      <c r="O163" s="49"/>
      <c r="P163" s="48"/>
      <c r="T163" s="49"/>
    </row>
    <row r="164" spans="1:20" ht="12.3" x14ac:dyDescent="0.35">
      <c r="D164" s="44" t="str">
        <f>D$22</f>
        <v>Closing balance</v>
      </c>
      <c r="E164" s="40" t="s">
        <v>91</v>
      </c>
      <c r="F164" s="40" t="str">
        <f>F158</f>
        <v>$Millions</v>
      </c>
      <c r="G164" s="40" t="str">
        <f>G158</f>
        <v>Nominal</v>
      </c>
      <c r="H164" s="40" t="str">
        <f>End_year</f>
        <v>End year</v>
      </c>
      <c r="J164" s="54">
        <f t="shared" ref="J164:T164" si="29">SUM(J158:J162)</f>
        <v>0.86184468493673216</v>
      </c>
      <c r="K164" s="53">
        <f t="shared" si="29"/>
        <v>0.99608076986468319</v>
      </c>
      <c r="L164" s="39">
        <f t="shared" si="29"/>
        <v>1.0632045485903632</v>
      </c>
      <c r="M164" s="39">
        <f t="shared" si="29"/>
        <v>1.2249886969405068</v>
      </c>
      <c r="N164" s="39">
        <f t="shared" si="29"/>
        <v>1.951088588184301</v>
      </c>
      <c r="O164" s="54">
        <f t="shared" si="29"/>
        <v>3.0599157261367118</v>
      </c>
      <c r="P164" s="53">
        <f t="shared" si="29"/>
        <v>3.2838393962819268</v>
      </c>
      <c r="Q164" s="39">
        <f t="shared" si="29"/>
        <v>3.4933785626068952</v>
      </c>
      <c r="R164" s="39">
        <f t="shared" si="29"/>
        <v>3.8911288987211474</v>
      </c>
      <c r="S164" s="39">
        <f t="shared" si="29"/>
        <v>4.368524892401779</v>
      </c>
      <c r="T164" s="54">
        <f t="shared" si="29"/>
        <v>4.8921642130239027</v>
      </c>
    </row>
    <row r="165" spans="1:20" ht="11.25" customHeight="1" x14ac:dyDescent="0.35"/>
    <row r="166" spans="1:20" ht="11.25" customHeight="1" x14ac:dyDescent="0.35">
      <c r="A166" s="42">
        <f>IF(SUM($J166:$T166)&lt;&gt;0,1,0)</f>
        <v>0</v>
      </c>
      <c r="D166" s="10" t="s">
        <v>94</v>
      </c>
      <c r="J166" s="42">
        <f>IF(J164&lt;&gt;(Calc_EB_ACS!J$160),1,0)</f>
        <v>0</v>
      </c>
      <c r="K166" s="42">
        <f>IF(K164&lt;&gt;(Calc_EB_ACS!K$160),1,0)</f>
        <v>0</v>
      </c>
      <c r="L166" s="42">
        <f>IF(L164&lt;&gt;(Calc_EB_ACS!L$160),1,0)</f>
        <v>0</v>
      </c>
      <c r="M166" s="42">
        <f>IF(M164&lt;&gt;(Calc_EB_ACS!M$160),1,0)</f>
        <v>0</v>
      </c>
      <c r="N166" s="42">
        <f>IF(N164&lt;&gt;(Calc_EB_ACS!N$160),1,0)</f>
        <v>0</v>
      </c>
      <c r="O166" s="42">
        <f>IF(O164&lt;&gt;(Calc_EB_ACS!O$160),1,0)</f>
        <v>0</v>
      </c>
      <c r="P166" s="42">
        <f>IF(P164&lt;&gt;(Calc_EB_ACS!P$160),1,0)</f>
        <v>0</v>
      </c>
      <c r="Q166" s="42">
        <f>IF(Q164&lt;&gt;(Calc_EB_ACS!Q$160),1,0)</f>
        <v>0</v>
      </c>
      <c r="R166" s="42">
        <f>IF(R164&lt;&gt;(Calc_EB_ACS!R$160),1,0)</f>
        <v>0</v>
      </c>
      <c r="S166" s="42">
        <f>IF(S164&lt;&gt;(Calc_EB_ACS!S$160),1,0)</f>
        <v>0</v>
      </c>
      <c r="T166" s="42">
        <f>IF(T164&lt;&gt;(Calc_EB_ACS!T$160),1,0)</f>
        <v>0</v>
      </c>
    </row>
    <row r="168" spans="1:20" s="2" customFormat="1" ht="15" x14ac:dyDescent="0.35">
      <c r="B168" s="2" t="s">
        <v>26</v>
      </c>
    </row>
  </sheetData>
  <conditionalFormatting sqref="B2">
    <cfRule type="cellIs" dxfId="6" priority="1" operator="notEqual">
      <formula>"No Errors Found"</formula>
    </cfRule>
  </conditionalFormatting>
  <hyperlinks>
    <hyperlink ref="B3:E3" location="TOC!A1" display="TOC!A1" xr:uid="{00000000-0004-0000-11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13A97-1B5B-4BFF-BC07-E7D1004B12DF}">
  <sheetPr codeName="Sheet19">
    <tabColor theme="6"/>
    <pageSetUpPr autoPageBreaks="0" fitToPage="1"/>
  </sheetPr>
  <dimension ref="A1:AO204"/>
  <sheetViews>
    <sheetView showGridLines="0" zoomScale="80" zoomScaleNormal="80" workbookViewId="0">
      <pane xSplit="1" ySplit="4" topLeftCell="B5" activePane="bottomRight" state="frozen"/>
      <selection activeCell="D44" sqref="D44"/>
      <selection pane="topRight" activeCell="D44" sqref="D44"/>
      <selection pane="bottomLeft" activeCell="D44" sqref="D44"/>
      <selection pane="bottomRight" activeCell="B5" sqref="B5"/>
    </sheetView>
  </sheetViews>
  <sheetFormatPr defaultColWidth="8.6640625" defaultRowHeight="14.4" outlineLevelRow="2" outlineLevelCol="1" x14ac:dyDescent="0.55000000000000004"/>
  <cols>
    <col min="1" max="1" width="16.1328125" style="196" customWidth="1"/>
    <col min="2" max="2" width="95.33203125" style="132" bestFit="1" customWidth="1"/>
    <col min="3" max="9" width="23.33203125" style="132" customWidth="1" outlineLevel="1"/>
    <col min="10" max="10" width="6.6640625" style="132" customWidth="1"/>
    <col min="11" max="17" width="23.33203125" style="132" customWidth="1" outlineLevel="1"/>
    <col min="18" max="18" width="5.6640625" style="132" customWidth="1"/>
    <col min="19" max="25" width="23.33203125" style="132" customWidth="1" outlineLevel="1"/>
    <col min="26" max="16384" width="8.6640625" style="132"/>
  </cols>
  <sheetData>
    <row r="1" spans="1:41" ht="30" customHeight="1" x14ac:dyDescent="0.55000000000000004">
      <c r="A1" s="128"/>
      <c r="B1" s="129" t="s">
        <v>212</v>
      </c>
      <c r="C1" s="130"/>
      <c r="D1" s="130"/>
      <c r="E1" s="130"/>
      <c r="F1" s="130"/>
      <c r="G1" s="130"/>
      <c r="H1" s="130"/>
      <c r="I1" s="130"/>
      <c r="J1" s="130"/>
      <c r="K1" s="130"/>
      <c r="L1" s="130"/>
      <c r="M1" s="130"/>
      <c r="N1" s="130"/>
      <c r="O1" s="130"/>
      <c r="P1" s="130"/>
      <c r="Q1" s="130"/>
      <c r="R1" s="130"/>
      <c r="S1" s="130"/>
      <c r="T1" s="130"/>
      <c r="U1" s="130"/>
      <c r="V1" s="130"/>
      <c r="W1" s="130"/>
      <c r="X1" s="130"/>
      <c r="Y1" s="130"/>
      <c r="Z1" s="131"/>
      <c r="AA1" s="131"/>
      <c r="AB1" s="131"/>
      <c r="AC1" s="131"/>
      <c r="AD1" s="131"/>
      <c r="AE1" s="131"/>
      <c r="AF1" s="131"/>
      <c r="AG1" s="131"/>
      <c r="AH1" s="131"/>
      <c r="AI1" s="131"/>
      <c r="AJ1" s="131"/>
      <c r="AK1" s="131"/>
      <c r="AL1" s="131"/>
      <c r="AM1" s="131"/>
      <c r="AN1" s="131"/>
      <c r="AO1" s="131"/>
    </row>
    <row r="2" spans="1:41" ht="30" customHeight="1" x14ac:dyDescent="0.55000000000000004">
      <c r="A2" s="128"/>
      <c r="B2" s="133" t="s">
        <v>348</v>
      </c>
      <c r="C2" s="130"/>
      <c r="D2" s="130"/>
      <c r="E2" s="130"/>
      <c r="F2" s="130"/>
      <c r="G2" s="130"/>
      <c r="H2" s="130"/>
      <c r="I2" s="130"/>
      <c r="J2" s="130"/>
      <c r="K2" s="130"/>
      <c r="L2" s="130"/>
      <c r="M2" s="130"/>
      <c r="N2" s="130"/>
      <c r="O2" s="130"/>
      <c r="P2" s="130"/>
      <c r="Q2" s="130"/>
      <c r="R2" s="130"/>
      <c r="S2" s="130"/>
      <c r="T2" s="130"/>
      <c r="U2" s="130"/>
      <c r="V2" s="130"/>
      <c r="W2" s="130"/>
      <c r="X2" s="130"/>
      <c r="Y2" s="130"/>
      <c r="Z2" s="131"/>
      <c r="AA2" s="131"/>
      <c r="AB2" s="131"/>
      <c r="AC2" s="131"/>
      <c r="AD2" s="131"/>
      <c r="AE2" s="131"/>
      <c r="AF2" s="131"/>
      <c r="AG2" s="131"/>
      <c r="AH2" s="131"/>
      <c r="AI2" s="131"/>
      <c r="AJ2" s="131"/>
      <c r="AK2" s="131"/>
      <c r="AL2" s="131"/>
      <c r="AM2" s="131"/>
      <c r="AN2" s="131"/>
      <c r="AO2" s="131"/>
    </row>
    <row r="3" spans="1:41" ht="30" customHeight="1" x14ac:dyDescent="0.55000000000000004">
      <c r="A3" s="128"/>
      <c r="B3" s="129" t="s">
        <v>370</v>
      </c>
      <c r="C3" s="134"/>
      <c r="D3" s="134"/>
      <c r="E3" s="134"/>
      <c r="F3" s="134"/>
      <c r="G3" s="134"/>
      <c r="H3" s="134"/>
      <c r="I3" s="134"/>
      <c r="J3" s="134"/>
      <c r="K3" s="134"/>
      <c r="L3" s="134"/>
      <c r="M3" s="134"/>
      <c r="N3" s="134"/>
      <c r="O3" s="134"/>
      <c r="P3" s="134"/>
      <c r="Q3" s="134"/>
      <c r="R3" s="134"/>
      <c r="S3" s="134"/>
      <c r="T3" s="134"/>
      <c r="U3" s="134"/>
      <c r="V3" s="134"/>
      <c r="W3" s="134"/>
      <c r="X3" s="134"/>
      <c r="Y3" s="134"/>
      <c r="Z3" s="131"/>
      <c r="AA3" s="131"/>
      <c r="AB3" s="131"/>
      <c r="AC3" s="131"/>
      <c r="AD3" s="131"/>
      <c r="AE3" s="131"/>
      <c r="AF3" s="131"/>
      <c r="AG3" s="131"/>
      <c r="AH3" s="131"/>
      <c r="AI3" s="131"/>
      <c r="AJ3" s="131"/>
      <c r="AK3" s="131"/>
      <c r="AL3" s="131"/>
      <c r="AM3" s="131"/>
      <c r="AN3" s="131"/>
      <c r="AO3" s="131"/>
    </row>
    <row r="4" spans="1:41" ht="30" customHeight="1" x14ac:dyDescent="0.55000000000000004">
      <c r="A4" s="128"/>
      <c r="B4" s="135" t="s">
        <v>213</v>
      </c>
      <c r="C4" s="135"/>
      <c r="D4" s="135"/>
      <c r="E4" s="135"/>
      <c r="F4" s="135"/>
      <c r="G4" s="135"/>
      <c r="H4" s="135"/>
      <c r="I4" s="135"/>
      <c r="J4" s="135"/>
      <c r="K4" s="135"/>
      <c r="L4" s="135"/>
      <c r="M4" s="135"/>
      <c r="N4" s="135"/>
      <c r="O4" s="135"/>
      <c r="P4" s="135"/>
      <c r="Q4" s="135"/>
      <c r="R4" s="135"/>
      <c r="S4" s="135"/>
      <c r="T4" s="135"/>
      <c r="U4" s="135"/>
      <c r="V4" s="135"/>
      <c r="W4" s="135"/>
      <c r="X4" s="135"/>
      <c r="Y4" s="135"/>
      <c r="Z4" s="131"/>
      <c r="AA4" s="131"/>
      <c r="AB4" s="131"/>
      <c r="AC4" s="131"/>
      <c r="AD4" s="131"/>
      <c r="AE4" s="131"/>
      <c r="AF4" s="131"/>
      <c r="AG4" s="131"/>
      <c r="AH4" s="131"/>
      <c r="AI4" s="131"/>
      <c r="AJ4" s="131"/>
      <c r="AK4" s="131"/>
      <c r="AL4" s="131"/>
      <c r="AM4" s="131"/>
      <c r="AN4" s="131"/>
      <c r="AO4" s="131"/>
    </row>
    <row r="5" spans="1:41" x14ac:dyDescent="0.55000000000000004">
      <c r="A5" s="132"/>
    </row>
    <row r="6" spans="1:41" ht="43.2" x14ac:dyDescent="0.55000000000000004">
      <c r="A6" s="42">
        <f>SUM(A19,A32,A39,A46,A53,A60,A67,A73,A80,A87)</f>
        <v>0</v>
      </c>
      <c r="B6" s="136" t="s">
        <v>214</v>
      </c>
    </row>
    <row r="7" spans="1:41" x14ac:dyDescent="0.55000000000000004">
      <c r="A7" s="132"/>
    </row>
    <row r="8" spans="1:41" ht="18.600000000000001" thickBot="1" x14ac:dyDescent="0.6">
      <c r="A8" s="137"/>
      <c r="B8" s="138" t="s">
        <v>215</v>
      </c>
      <c r="C8" s="138"/>
      <c r="D8" s="138"/>
      <c r="E8" s="138"/>
      <c r="F8" s="138"/>
      <c r="G8" s="138"/>
      <c r="H8" s="138"/>
      <c r="I8" s="138"/>
      <c r="J8" s="138"/>
      <c r="K8" s="138"/>
      <c r="L8" s="138"/>
      <c r="M8" s="138"/>
      <c r="N8" s="138"/>
      <c r="O8" s="138"/>
      <c r="P8" s="138"/>
      <c r="Q8" s="138"/>
      <c r="R8" s="138"/>
      <c r="S8" s="138"/>
      <c r="T8" s="138"/>
      <c r="U8" s="138"/>
      <c r="V8" s="138"/>
      <c r="W8" s="138"/>
      <c r="X8" s="138"/>
      <c r="Y8" s="138"/>
      <c r="AE8" s="131"/>
      <c r="AF8" s="131"/>
      <c r="AG8" s="131"/>
      <c r="AH8" s="131"/>
      <c r="AI8" s="131"/>
      <c r="AJ8" s="131"/>
      <c r="AK8" s="131"/>
      <c r="AL8" s="131"/>
      <c r="AM8" s="131"/>
      <c r="AN8" s="131"/>
      <c r="AO8" s="131"/>
    </row>
    <row r="9" spans="1:41" ht="20.399999999999999" outlineLevel="2" x14ac:dyDescent="0.75">
      <c r="A9" s="137"/>
      <c r="B9" s="139"/>
      <c r="C9" s="314" t="s">
        <v>379</v>
      </c>
      <c r="D9" s="314"/>
      <c r="E9" s="314"/>
      <c r="F9" s="314"/>
      <c r="G9" s="314"/>
      <c r="H9" s="314"/>
      <c r="I9" s="315"/>
      <c r="J9" s="140"/>
      <c r="K9" s="314" t="s">
        <v>380</v>
      </c>
      <c r="L9" s="314"/>
      <c r="M9" s="314"/>
      <c r="N9" s="314"/>
      <c r="O9" s="314"/>
      <c r="P9" s="314"/>
      <c r="Q9" s="315"/>
      <c r="R9" s="141"/>
      <c r="S9" s="314" t="s">
        <v>381</v>
      </c>
      <c r="T9" s="314"/>
      <c r="U9" s="314"/>
      <c r="V9" s="314"/>
      <c r="W9" s="314"/>
      <c r="X9" s="314"/>
      <c r="Y9" s="315"/>
      <c r="Z9" s="131"/>
      <c r="AA9" s="131"/>
      <c r="AB9" s="131"/>
      <c r="AC9" s="131"/>
      <c r="AD9" s="131"/>
      <c r="AE9" s="131"/>
      <c r="AF9" s="131"/>
      <c r="AG9" s="131"/>
      <c r="AH9" s="131"/>
      <c r="AI9" s="131"/>
      <c r="AJ9" s="131"/>
      <c r="AK9" s="131"/>
      <c r="AL9" s="131"/>
      <c r="AM9" s="131"/>
      <c r="AN9" s="131"/>
      <c r="AO9" s="131"/>
    </row>
    <row r="10" spans="1:41" s="143" customFormat="1" ht="14.7" outlineLevel="2" thickBot="1" x14ac:dyDescent="0.6">
      <c r="A10" s="137"/>
      <c r="B10" s="142"/>
      <c r="C10" s="316" t="s">
        <v>378</v>
      </c>
      <c r="D10" s="316"/>
      <c r="E10" s="316"/>
      <c r="F10" s="316"/>
      <c r="G10" s="316"/>
      <c r="H10" s="316"/>
      <c r="I10" s="317"/>
      <c r="J10" s="132"/>
      <c r="K10" s="316" t="s">
        <v>378</v>
      </c>
      <c r="L10" s="316"/>
      <c r="M10" s="316"/>
      <c r="N10" s="316"/>
      <c r="O10" s="316"/>
      <c r="P10" s="316"/>
      <c r="Q10" s="317"/>
      <c r="R10" s="142"/>
      <c r="S10" s="316" t="s">
        <v>378</v>
      </c>
      <c r="T10" s="316"/>
      <c r="U10" s="316"/>
      <c r="V10" s="316"/>
      <c r="W10" s="316"/>
      <c r="X10" s="316"/>
      <c r="Y10" s="317"/>
      <c r="Z10" s="142"/>
      <c r="AA10" s="142"/>
      <c r="AB10" s="142"/>
      <c r="AC10" s="142"/>
      <c r="AD10" s="142"/>
      <c r="AE10" s="142"/>
      <c r="AF10" s="142"/>
      <c r="AG10" s="142"/>
      <c r="AH10" s="142"/>
      <c r="AI10" s="142"/>
      <c r="AJ10" s="142"/>
      <c r="AK10" s="142"/>
      <c r="AL10" s="142"/>
      <c r="AM10" s="142"/>
      <c r="AN10" s="142"/>
      <c r="AO10" s="142"/>
    </row>
    <row r="11" spans="1:41" ht="14.7" outlineLevel="2" thickBot="1" x14ac:dyDescent="0.6">
      <c r="A11" s="144"/>
      <c r="B11" s="131"/>
      <c r="C11" s="307" t="s">
        <v>377</v>
      </c>
      <c r="D11" s="307" t="s">
        <v>376</v>
      </c>
      <c r="E11" s="307" t="s">
        <v>375</v>
      </c>
      <c r="F11" s="307" t="s">
        <v>374</v>
      </c>
      <c r="G11" s="307" t="s">
        <v>373</v>
      </c>
      <c r="H11" s="307" t="s">
        <v>372</v>
      </c>
      <c r="I11" s="307" t="s">
        <v>371</v>
      </c>
      <c r="K11" s="307" t="s">
        <v>377</v>
      </c>
      <c r="L11" s="307" t="s">
        <v>376</v>
      </c>
      <c r="M11" s="307" t="s">
        <v>375</v>
      </c>
      <c r="N11" s="307" t="s">
        <v>374</v>
      </c>
      <c r="O11" s="307" t="s">
        <v>373</v>
      </c>
      <c r="P11" s="307" t="s">
        <v>372</v>
      </c>
      <c r="Q11" s="307" t="s">
        <v>371</v>
      </c>
      <c r="S11" s="307" t="s">
        <v>377</v>
      </c>
      <c r="T11" s="307" t="s">
        <v>376</v>
      </c>
      <c r="U11" s="307" t="s">
        <v>375</v>
      </c>
      <c r="V11" s="307" t="s">
        <v>374</v>
      </c>
      <c r="W11" s="307" t="s">
        <v>373</v>
      </c>
      <c r="X11" s="307" t="s">
        <v>372</v>
      </c>
      <c r="Y11" s="307" t="s">
        <v>371</v>
      </c>
      <c r="Z11" s="131"/>
      <c r="AA11" s="131"/>
      <c r="AB11" s="131"/>
      <c r="AC11" s="131"/>
      <c r="AD11" s="131"/>
      <c r="AE11" s="131"/>
      <c r="AF11" s="131"/>
      <c r="AG11" s="131"/>
      <c r="AH11" s="131"/>
      <c r="AI11" s="131"/>
      <c r="AJ11" s="131"/>
      <c r="AK11" s="131"/>
      <c r="AL11" s="131"/>
      <c r="AM11" s="131"/>
      <c r="AN11" s="131"/>
      <c r="AO11" s="131"/>
    </row>
    <row r="12" spans="1:41" ht="29.25" customHeight="1" outlineLevel="2" thickBot="1" x14ac:dyDescent="0.6">
      <c r="A12" s="137"/>
      <c r="B12" s="148" t="s">
        <v>216</v>
      </c>
      <c r="C12" s="149"/>
      <c r="D12" s="149"/>
      <c r="E12" s="149"/>
      <c r="F12" s="149"/>
      <c r="G12" s="149"/>
      <c r="H12" s="149"/>
      <c r="I12" s="149"/>
      <c r="K12" s="149"/>
      <c r="L12" s="149"/>
      <c r="M12" s="149"/>
      <c r="N12" s="149"/>
      <c r="O12" s="149"/>
      <c r="P12" s="149"/>
      <c r="Q12" s="149"/>
      <c r="S12" s="149"/>
      <c r="T12" s="149"/>
      <c r="U12" s="149"/>
      <c r="V12" s="149"/>
      <c r="W12" s="149"/>
      <c r="X12" s="149"/>
      <c r="Y12" s="149"/>
      <c r="Z12" s="131"/>
      <c r="AA12" s="131"/>
      <c r="AB12" s="131"/>
      <c r="AC12" s="131"/>
      <c r="AD12" s="131"/>
      <c r="AE12" s="131"/>
      <c r="AF12" s="131"/>
      <c r="AG12" s="131"/>
      <c r="AH12" s="131"/>
      <c r="AI12" s="131"/>
      <c r="AJ12" s="131"/>
      <c r="AK12" s="131"/>
      <c r="AL12" s="131"/>
      <c r="AM12" s="131"/>
      <c r="AN12" s="131"/>
      <c r="AO12" s="131"/>
    </row>
    <row r="13" spans="1:41" outlineLevel="2" x14ac:dyDescent="0.55000000000000004">
      <c r="A13" s="150" t="s">
        <v>217</v>
      </c>
      <c r="B13" s="151" t="s">
        <v>218</v>
      </c>
      <c r="C13" s="152">
        <f>Output_EB_RIN_NS!N16*10^6/Input_Inflation!N$27</f>
        <v>1002438842.807703</v>
      </c>
      <c r="D13" s="153">
        <f>Output_EB_RIN_NS!O16*10^6/Input_Inflation!O$27</f>
        <v>1070878514.6366583</v>
      </c>
      <c r="E13" s="154">
        <f>Output_EB_RIN_NS!P16*10^6/Input_Inflation!P$27</f>
        <v>1136819608.4971156</v>
      </c>
      <c r="F13" s="154">
        <f>Output_EB_RIN_NS!Q16*10^6/Input_Inflation!Q$27</f>
        <v>1169968790.7584202</v>
      </c>
      <c r="G13" s="154">
        <f>Output_EB_RIN_NS!R16*10^6/Input_Inflation!R$27</f>
        <v>1203475388.2975955</v>
      </c>
      <c r="H13" s="154">
        <f>Output_EB_RIN_NS!S16*10^6/Input_Inflation!S$27</f>
        <v>1222982514.1880846</v>
      </c>
      <c r="I13" s="153">
        <f>Output_EB_RIN_NS!T16*10^6/Input_Inflation!T$27</f>
        <v>1266872041.4918635</v>
      </c>
      <c r="K13" s="152">
        <f>Output_EB_RIN_SCS!N16*10^6/Input_Inflation!N$27</f>
        <v>1108732594.9576221</v>
      </c>
      <c r="L13" s="153">
        <f>Output_EB_RIN_SCS!O16*10^6/Input_Inflation!O$27</f>
        <v>1177188330.9362364</v>
      </c>
      <c r="M13" s="154">
        <f>Output_EB_RIN_SCS!P16*10^6/Input_Inflation!P$27</f>
        <v>1243229189.628088</v>
      </c>
      <c r="N13" s="154">
        <f>Output_EB_RIN_SCS!Q16*10^6/Input_Inflation!Q$27</f>
        <v>1275858343.1676834</v>
      </c>
      <c r="O13" s="154">
        <f>Output_EB_RIN_SCS!R16*10^6/Input_Inflation!R$27</f>
        <v>1309045134.8000355</v>
      </c>
      <c r="P13" s="154">
        <f>Output_EB_RIN_SCS!S16*10^6/Input_Inflation!S$27</f>
        <v>1328260669.0408943</v>
      </c>
      <c r="Q13" s="153">
        <f>Output_EB_RIN_SCS!T16*10^6/Input_Inflation!T$27</f>
        <v>1371624075.1922164</v>
      </c>
      <c r="S13" s="152">
        <f>Output_EB_RIN_ACS!N16*10^6/Input_Inflation!N$27</f>
        <v>20914717.887212917</v>
      </c>
      <c r="T13" s="153">
        <f>Output_EB_RIN_ACS!O16*10^6/Input_Inflation!O$27</f>
        <v>31816341.28145916</v>
      </c>
      <c r="U13" s="154">
        <f>Output_EB_RIN_ACS!P16*10^6/Input_Inflation!P$27</f>
        <v>48482438.445999436</v>
      </c>
      <c r="V13" s="154">
        <f>Output_EB_RIN_ACS!Q16*10^6/Input_Inflation!Q$27</f>
        <v>50554362.620190971</v>
      </c>
      <c r="W13" s="154">
        <f>Output_EB_RIN_ACS!R16*10^6/Input_Inflation!R$27</f>
        <v>52254551.272073068</v>
      </c>
      <c r="X13" s="154">
        <f>Output_EB_RIN_ACS!S16*10^6/Input_Inflation!S$27</f>
        <v>56553023.783160724</v>
      </c>
      <c r="Y13" s="153">
        <f>Output_EB_RIN_ACS!T16*10^6/Input_Inflation!T$27</f>
        <v>61690283.952193581</v>
      </c>
      <c r="Z13" s="131"/>
      <c r="AA13" s="131"/>
      <c r="AB13" s="131"/>
      <c r="AC13" s="131"/>
      <c r="AD13" s="131"/>
      <c r="AE13" s="131"/>
      <c r="AF13" s="131"/>
      <c r="AG13" s="131"/>
      <c r="AH13" s="131"/>
      <c r="AI13" s="131"/>
      <c r="AJ13" s="131"/>
      <c r="AK13" s="131"/>
      <c r="AL13" s="131"/>
      <c r="AM13" s="131"/>
      <c r="AN13" s="131"/>
      <c r="AO13" s="131"/>
    </row>
    <row r="14" spans="1:41" outlineLevel="2" x14ac:dyDescent="0.55000000000000004">
      <c r="A14" s="150" t="s">
        <v>219</v>
      </c>
      <c r="B14" s="155" t="s">
        <v>220</v>
      </c>
      <c r="C14" s="156">
        <f>Output_EB_RIN_NS!N17*10^6/Input_Inflation!N$27</f>
        <v>85509102.68576175</v>
      </c>
      <c r="D14" s="157">
        <f>Output_EB_RIN_NS!O17*10^6/Input_Inflation!O$27</f>
        <v>53313116.564162679</v>
      </c>
      <c r="E14" s="158">
        <f>Output_EB_RIN_NS!P17*10^6/Input_Inflation!P$27</f>
        <v>34990804.531979427</v>
      </c>
      <c r="F14" s="158">
        <f>Output_EB_RIN_NS!Q17*10^6/Input_Inflation!Q$27</f>
        <v>35907585.355256945</v>
      </c>
      <c r="G14" s="158">
        <f>Output_EB_RIN_NS!R17*10^6/Input_Inflation!R$27</f>
        <v>36836249.781910703</v>
      </c>
      <c r="H14" s="158">
        <f>Output_EB_RIN_NS!S17*10^6/Input_Inflation!S$27</f>
        <v>37357587.303914063</v>
      </c>
      <c r="I14" s="157">
        <f>Output_EB_RIN_NS!T17*10^6/Input_Inflation!T$27</f>
        <v>38592170.537243158</v>
      </c>
      <c r="K14" s="156">
        <f>Output_EB_RIN_SCS!N17*10^6/Input_Inflation!N$27</f>
        <v>88698607.596609786</v>
      </c>
      <c r="L14" s="157">
        <f>Output_EB_RIN_SCS!O17*10^6/Input_Inflation!O$27</f>
        <v>55327851.554003119</v>
      </c>
      <c r="M14" s="158">
        <f>Output_EB_RIN_SCS!P17*10^6/Input_Inflation!P$27</f>
        <v>36297817.332033798</v>
      </c>
      <c r="N14" s="158">
        <f>Output_EB_RIN_SCS!Q17*10^6/Input_Inflation!Q$27</f>
        <v>37250471.166708842</v>
      </c>
      <c r="O14" s="158">
        <f>Output_EB_RIN_SCS!R17*10^6/Input_Inflation!R$27</f>
        <v>38219406.026473299</v>
      </c>
      <c r="P14" s="158">
        <f>Output_EB_RIN_SCS!S17*10^6/Input_Inflation!S$27</f>
        <v>38780430.459965549</v>
      </c>
      <c r="Q14" s="157">
        <f>Output_EB_RIN_SCS!T17*10^6/Input_Inflation!T$27</f>
        <v>40046485.832946584</v>
      </c>
      <c r="S14" s="156">
        <f>Output_EB_RIN_ACS!N17*10^6/Input_Inflation!N$27</f>
        <v>1673177.4309770337</v>
      </c>
      <c r="T14" s="157">
        <f>Output_EB_RIN_ACS!O17*10^6/Input_Inflation!O$27</f>
        <v>1495368.0402285806</v>
      </c>
      <c r="U14" s="158">
        <f>Output_EB_RIN_ACS!P17*10^6/Input_Inflation!P$27</f>
        <v>1415512.6900221081</v>
      </c>
      <c r="V14" s="158">
        <f>Output_EB_RIN_ACS!Q17*10^6/Input_Inflation!Q$27</f>
        <v>1476005.4180147052</v>
      </c>
      <c r="W14" s="158">
        <f>Output_EB_RIN_ACS!R17*10^6/Input_Inflation!R$27</f>
        <v>1525644.8068183698</v>
      </c>
      <c r="X14" s="158">
        <f>Output_EB_RIN_ACS!S17*10^6/Input_Inflation!S$27</f>
        <v>1651144.7317846613</v>
      </c>
      <c r="Y14" s="157">
        <f>Output_EB_RIN_ACS!T17*10^6/Input_Inflation!T$27</f>
        <v>1801134.2371456726</v>
      </c>
      <c r="Z14" s="131"/>
      <c r="AA14" s="131"/>
      <c r="AB14" s="131"/>
      <c r="AC14" s="131"/>
      <c r="AD14" s="131"/>
      <c r="AE14" s="131"/>
      <c r="AF14" s="131"/>
      <c r="AG14" s="131"/>
      <c r="AH14" s="131"/>
      <c r="AI14" s="131"/>
      <c r="AJ14" s="131"/>
      <c r="AK14" s="131"/>
      <c r="AL14" s="131"/>
      <c r="AM14" s="131"/>
      <c r="AN14" s="131"/>
      <c r="AO14" s="131"/>
    </row>
    <row r="15" spans="1:41" outlineLevel="2" x14ac:dyDescent="0.55000000000000004">
      <c r="A15" s="150" t="s">
        <v>221</v>
      </c>
      <c r="B15" s="155" t="s">
        <v>222</v>
      </c>
      <c r="C15" s="156">
        <f>Output_EB_RIN_NS!N18*10^6/Input_Inflation!N$27</f>
        <v>-58894596.024244539</v>
      </c>
      <c r="D15" s="157">
        <f>Output_EB_RIN_NS!O18*10^6/Input_Inflation!O$27</f>
        <v>-63247169.340348519</v>
      </c>
      <c r="E15" s="158">
        <f>Output_EB_RIN_NS!P18*10^6/Input_Inflation!P$27</f>
        <v>-68267876.221611008</v>
      </c>
      <c r="F15" s="158">
        <f>Output_EB_RIN_NS!Q18*10^6/Input_Inflation!Q$27</f>
        <v>-69466320.258374944</v>
      </c>
      <c r="G15" s="158">
        <f>Output_EB_RIN_NS!R18*10^6/Input_Inflation!R$27</f>
        <v>-72162965.094427288</v>
      </c>
      <c r="H15" s="158">
        <f>Output_EB_RIN_NS!S18*10^6/Input_Inflation!S$27</f>
        <v>-77406812.178452313</v>
      </c>
      <c r="I15" s="157">
        <f>Output_EB_RIN_NS!T18*10^6/Input_Inflation!T$27</f>
        <v>-81358119.735231757</v>
      </c>
      <c r="K15" s="156">
        <f>Output_EB_RIN_SCS!N18*10^6/Input_Inflation!N$27</f>
        <v>-60416370.199160136</v>
      </c>
      <c r="L15" s="157">
        <f>Output_EB_RIN_SCS!O18*10^6/Input_Inflation!O$27</f>
        <v>-64868412.268909223</v>
      </c>
      <c r="M15" s="158">
        <f>Output_EB_RIN_SCS!P18*10^6/Input_Inflation!P$27</f>
        <v>-69954760.816415787</v>
      </c>
      <c r="N15" s="158">
        <f>Output_EB_RIN_SCS!Q18*10^6/Input_Inflation!Q$27</f>
        <v>-71208707.414405271</v>
      </c>
      <c r="O15" s="158">
        <f>Output_EB_RIN_SCS!R18*10^6/Input_Inflation!R$27</f>
        <v>-73964738.477443919</v>
      </c>
      <c r="P15" s="158">
        <f>Output_EB_RIN_SCS!S18*10^6/Input_Inflation!S$27</f>
        <v>-79268749.907365099</v>
      </c>
      <c r="Q15" s="157">
        <f>Output_EB_RIN_SCS!T18*10^6/Input_Inflation!T$27</f>
        <v>-83276160.398204222</v>
      </c>
      <c r="R15" s="131"/>
      <c r="S15" s="156">
        <f>Output_EB_RIN_ACS!N18*10^6/Input_Inflation!N$27</f>
        <v>-1647426.6875066215</v>
      </c>
      <c r="T15" s="157">
        <f>Output_EB_RIN_ACS!O18*10^6/Input_Inflation!O$27</f>
        <v>-2587451.1185804131</v>
      </c>
      <c r="U15" s="158">
        <f>Output_EB_RIN_ACS!P18*10^6/Input_Inflation!P$27</f>
        <v>-3718560.792054106</v>
      </c>
      <c r="V15" s="158">
        <f>Output_EB_RIN_ACS!Q18*10^6/Input_Inflation!Q$27</f>
        <v>-4091920.4357357654</v>
      </c>
      <c r="W15" s="158">
        <f>Output_EB_RIN_ACS!R18*10^6/Input_Inflation!R$27</f>
        <v>-4429443.2114442363</v>
      </c>
      <c r="X15" s="158">
        <f>Output_EB_RIN_ACS!S18*10^6/Input_Inflation!S$27</f>
        <v>-5060215.4938745787</v>
      </c>
      <c r="Y15" s="157">
        <f>Output_EB_RIN_ACS!T18*10^6/Input_Inflation!T$27</f>
        <v>-5672696.9777404368</v>
      </c>
      <c r="Z15" s="131"/>
      <c r="AA15" s="131"/>
      <c r="AB15" s="131"/>
      <c r="AC15" s="131"/>
      <c r="AD15" s="131"/>
      <c r="AE15" s="131"/>
      <c r="AF15" s="131"/>
      <c r="AG15" s="131"/>
      <c r="AH15" s="131"/>
      <c r="AI15" s="131"/>
      <c r="AJ15" s="131"/>
      <c r="AK15" s="131"/>
      <c r="AL15" s="131"/>
      <c r="AM15" s="131"/>
      <c r="AN15" s="131"/>
      <c r="AO15" s="131"/>
    </row>
    <row r="16" spans="1:41" outlineLevel="2" x14ac:dyDescent="0.55000000000000004">
      <c r="A16" s="150" t="s">
        <v>223</v>
      </c>
      <c r="B16" s="155" t="s">
        <v>224</v>
      </c>
      <c r="C16" s="156">
        <f>Output_EB_RIN_NS!N19*10^6/Input_Inflation!N$27</f>
        <v>92319581.88732487</v>
      </c>
      <c r="D16" s="157">
        <f>Output_EB_RIN_NS!O19*10^6/Input_Inflation!O$27</f>
        <v>109227198.99430914</v>
      </c>
      <c r="E16" s="158">
        <f>Output_EB_RIN_NS!P19*10^6/Input_Inflation!P$27</f>
        <v>100740883.81583539</v>
      </c>
      <c r="F16" s="158">
        <f>Output_EB_RIN_NS!Q19*10^6/Input_Inflation!Q$27</f>
        <v>102353932.22431892</v>
      </c>
      <c r="G16" s="158">
        <f>Output_EB_RIN_NS!R19*10^6/Input_Inflation!R$27</f>
        <v>90687795.378934592</v>
      </c>
      <c r="H16" s="158">
        <f>Output_EB_RIN_NS!S19*10^6/Input_Inflation!S$27</f>
        <v>121070054.49532163</v>
      </c>
      <c r="I16" s="157">
        <f>Output_EB_RIN_NS!T19*10^6/Input_Inflation!T$27</f>
        <v>147097450.90782094</v>
      </c>
      <c r="K16" s="156">
        <f>Output_EB_RIN_SCS!N19*10^6/Input_Inflation!N$27</f>
        <v>95674662.705652595</v>
      </c>
      <c r="L16" s="157">
        <f>Output_EB_RIN_SCS!O19*10^6/Input_Inflation!O$27</f>
        <v>112050302.49958976</v>
      </c>
      <c r="M16" s="158">
        <f>Output_EB_RIN_SCS!P19*10^6/Input_Inflation!P$27</f>
        <v>103702046.25340527</v>
      </c>
      <c r="N16" s="158">
        <f>Output_EB_RIN_SCS!Q19*10^6/Input_Inflation!Q$27</f>
        <v>105525341.20962483</v>
      </c>
      <c r="O16" s="158">
        <f>Output_EB_RIN_SCS!R19*10^6/Input_Inflation!R$27</f>
        <v>93897759.762379572</v>
      </c>
      <c r="P16" s="158">
        <f>Output_EB_RIN_SCS!S19*10^6/Input_Inflation!S$27</f>
        <v>124050351.94539675</v>
      </c>
      <c r="Q16" s="157">
        <f>Output_EB_RIN_SCS!T19*10^6/Input_Inflation!T$27</f>
        <v>150131281.94202423</v>
      </c>
      <c r="R16" s="131"/>
      <c r="S16" s="156">
        <f>Output_EB_RIN_ACS!N19*10^6/Input_Inflation!N$27</f>
        <v>12371240.691004405</v>
      </c>
      <c r="T16" s="157">
        <f>Output_EB_RIN_ACS!O19*10^6/Input_Inflation!O$27</f>
        <v>19173692.932914227</v>
      </c>
      <c r="U16" s="158">
        <f>Output_EB_RIN_ACS!P19*10^6/Input_Inflation!P$27</f>
        <v>5850977.6942382315</v>
      </c>
      <c r="V16" s="158">
        <f>Output_EB_RIN_ACS!Q19*10^6/Input_Inflation!Q$27</f>
        <v>5841748.4764215238</v>
      </c>
      <c r="W16" s="158">
        <f>Output_EB_RIN_ACS!R19*10^6/Input_Inflation!R$27</f>
        <v>8853415.6474981848</v>
      </c>
      <c r="X16" s="158">
        <f>Output_EB_RIN_ACS!S19*10^6/Input_Inflation!S$27</f>
        <v>10347465.168268438</v>
      </c>
      <c r="Y16" s="157">
        <f>Output_EB_RIN_ACS!T19*10^6/Input_Inflation!T$27</f>
        <v>11266154.547522161</v>
      </c>
      <c r="Z16" s="131"/>
      <c r="AA16" s="131"/>
      <c r="AB16" s="131"/>
      <c r="AC16" s="131"/>
      <c r="AD16" s="131"/>
      <c r="AE16" s="131"/>
      <c r="AF16" s="131"/>
      <c r="AG16" s="131"/>
      <c r="AH16" s="131"/>
      <c r="AI16" s="131"/>
      <c r="AJ16" s="131"/>
      <c r="AK16" s="131"/>
      <c r="AL16" s="131"/>
      <c r="AM16" s="131"/>
      <c r="AN16" s="131"/>
      <c r="AO16" s="131"/>
    </row>
    <row r="17" spans="1:41" outlineLevel="2" x14ac:dyDescent="0.55000000000000004">
      <c r="A17" s="150" t="s">
        <v>225</v>
      </c>
      <c r="B17" s="155" t="s">
        <v>226</v>
      </c>
      <c r="C17" s="156">
        <f>Output_EB_RIN_NS!N20*10^6/Input_Inflation!N$27</f>
        <v>-163126.53196379211</v>
      </c>
      <c r="D17" s="157">
        <f>Output_EB_RIN_NS!O20*10^6/Input_Inflation!O$27</f>
        <v>-161011.77322957019</v>
      </c>
      <c r="E17" s="158">
        <f>Output_EB_RIN_NS!P20*10^6/Input_Inflation!P$27</f>
        <v>-155752.47895677149</v>
      </c>
      <c r="F17" s="158">
        <f>Output_EB_RIN_NS!Q20*10^6/Input_Inflation!Q$27</f>
        <v>-151450.35498234408</v>
      </c>
      <c r="G17" s="158">
        <f>Output_EB_RIN_NS!R20*10^6/Input_Inflation!R$27</f>
        <v>-147266.88880805095</v>
      </c>
      <c r="H17" s="158">
        <f>Output_EB_RIN_NS!S20*10^6/Input_Inflation!S$27</f>
        <v>-143198.81302467271</v>
      </c>
      <c r="I17" s="157">
        <f>Output_EB_RIN_NS!T20*10^6/Input_Inflation!T$27</f>
        <v>-139242.95003214196</v>
      </c>
      <c r="K17" s="156">
        <f>Output_EB_RIN_SCS!N20*10^6/Input_Inflation!N$27</f>
        <v>-173312.57048500705</v>
      </c>
      <c r="L17" s="157">
        <f>Output_EB_RIN_SCS!O20*10^6/Input_Inflation!O$27</f>
        <v>-171065.76079824823</v>
      </c>
      <c r="M17" s="158">
        <f>Output_EB_RIN_SCS!P20*10^6/Input_Inflation!P$27</f>
        <v>-165478.06271883255</v>
      </c>
      <c r="N17" s="158">
        <f>Output_EB_RIN_SCS!Q20*10^6/Input_Inflation!Q$27</f>
        <v>-160907.30310310872</v>
      </c>
      <c r="O17" s="158">
        <f>Output_EB_RIN_SCS!R20*10^6/Input_Inflation!R$27</f>
        <v>-156462.61058451369</v>
      </c>
      <c r="P17" s="158">
        <f>Output_EB_RIN_SCS!S20*10^6/Input_Inflation!S$27</f>
        <v>-152140.51372842662</v>
      </c>
      <c r="Q17" s="157">
        <f>Output_EB_RIN_SCS!T20*10^6/Input_Inflation!T$27</f>
        <v>-147937.63651729218</v>
      </c>
      <c r="R17" s="131"/>
      <c r="S17" s="156">
        <f>Output_EB_RIN_ACS!N20*10^6/Input_Inflation!N$27</f>
        <v>0</v>
      </c>
      <c r="T17" s="157">
        <f>Output_EB_RIN_ACS!O20*10^6/Input_Inflation!O$27</f>
        <v>0</v>
      </c>
      <c r="U17" s="158">
        <f>Output_EB_RIN_ACS!P20*10^6/Input_Inflation!P$27</f>
        <v>0</v>
      </c>
      <c r="V17" s="158">
        <f>Output_EB_RIN_ACS!Q20*10^6/Input_Inflation!Q$27</f>
        <v>0</v>
      </c>
      <c r="W17" s="158">
        <f>Output_EB_RIN_ACS!R20*10^6/Input_Inflation!R$27</f>
        <v>0</v>
      </c>
      <c r="X17" s="158">
        <f>Output_EB_RIN_ACS!S20*10^6/Input_Inflation!S$27</f>
        <v>0</v>
      </c>
      <c r="Y17" s="157">
        <f>Output_EB_RIN_ACS!T20*10^6/Input_Inflation!T$27</f>
        <v>0</v>
      </c>
      <c r="Z17" s="131"/>
      <c r="AA17" s="131"/>
      <c r="AB17" s="131"/>
      <c r="AC17" s="131"/>
      <c r="AD17" s="131"/>
      <c r="AE17" s="131"/>
      <c r="AF17" s="131"/>
      <c r="AG17" s="131"/>
      <c r="AH17" s="131"/>
      <c r="AI17" s="131"/>
      <c r="AJ17" s="131"/>
      <c r="AK17" s="131"/>
      <c r="AL17" s="131"/>
      <c r="AM17" s="131"/>
      <c r="AN17" s="131"/>
      <c r="AO17" s="131"/>
    </row>
    <row r="18" spans="1:41" ht="14.7" outlineLevel="2" thickBot="1" x14ac:dyDescent="0.6">
      <c r="A18" s="150" t="s">
        <v>227</v>
      </c>
      <c r="B18" s="159" t="s">
        <v>228</v>
      </c>
      <c r="C18" s="160">
        <f>Output_EB_RIN_NS!N22*10^6/Input_Inflation!N$27</f>
        <v>1121209804.8245811</v>
      </c>
      <c r="D18" s="161">
        <f>Output_EB_RIN_NS!O22*10^6/Input_Inflation!O$27</f>
        <v>1170010649.0815525</v>
      </c>
      <c r="E18" s="162">
        <f>Output_EB_RIN_NS!P22*10^6/Input_Inflation!P$27</f>
        <v>1204127668.144362</v>
      </c>
      <c r="F18" s="162">
        <f>Output_EB_RIN_NS!Q22*10^6/Input_Inflation!Q$27</f>
        <v>1238612537.7246392</v>
      </c>
      <c r="G18" s="162">
        <f>Output_EB_RIN_NS!R22*10^6/Input_Inflation!R$27</f>
        <v>1258689201.4752054</v>
      </c>
      <c r="H18" s="162">
        <f>Output_EB_RIN_NS!S22*10^6/Input_Inflation!S$27</f>
        <v>1303860144.9958432</v>
      </c>
      <c r="I18" s="161">
        <f>Output_EB_RIN_NS!T22*10^6/Input_Inflation!T$27</f>
        <v>1371064300.2516637</v>
      </c>
      <c r="K18" s="160">
        <f>Output_EB_RIN_SCS!N22*10^6/Input_Inflation!N$27</f>
        <v>1232516182.4902394</v>
      </c>
      <c r="L18" s="161">
        <f>Output_EB_RIN_SCS!O22*10^6/Input_Inflation!O$27</f>
        <v>1279527006.9601219</v>
      </c>
      <c r="M18" s="162">
        <f>Output_EB_RIN_SCS!P22*10^6/Input_Inflation!P$27</f>
        <v>1313108814.3343923</v>
      </c>
      <c r="N18" s="162">
        <f>Output_EB_RIN_SCS!Q22*10^6/Input_Inflation!Q$27</f>
        <v>1347264540.8265088</v>
      </c>
      <c r="O18" s="162">
        <f>Output_EB_RIN_SCS!R22*10^6/Input_Inflation!R$27</f>
        <v>1367041099.50086</v>
      </c>
      <c r="P18" s="162">
        <f>Output_EB_RIN_SCS!S22*10^6/Input_Inflation!S$27</f>
        <v>1411670561.0251629</v>
      </c>
      <c r="Q18" s="161">
        <f>Output_EB_RIN_SCS!T22*10^6/Input_Inflation!T$27</f>
        <v>1478377744.9324658</v>
      </c>
      <c r="R18" s="131"/>
      <c r="S18" s="160">
        <f>Output_EB_RIN_ACS!N22*10^6/Input_Inflation!N$27</f>
        <v>33311709.321687739</v>
      </c>
      <c r="T18" s="161">
        <f>Output_EB_RIN_ACS!O22*10^6/Input_Inflation!O$27</f>
        <v>49897951.136021547</v>
      </c>
      <c r="U18" s="162">
        <f>Output_EB_RIN_ACS!P22*10^6/Input_Inflation!P$27</f>
        <v>52030368.038205683</v>
      </c>
      <c r="V18" s="162">
        <f>Output_EB_RIN_ACS!Q22*10^6/Input_Inflation!Q$27</f>
        <v>53780196.078891434</v>
      </c>
      <c r="W18" s="162">
        <f>Output_EB_RIN_ACS!R22*10^6/Input_Inflation!R$27</f>
        <v>58204168.514945388</v>
      </c>
      <c r="X18" s="162">
        <f>Output_EB_RIN_ACS!S22*10^6/Input_Inflation!S$27</f>
        <v>63491418.18933925</v>
      </c>
      <c r="Y18" s="161">
        <f>Output_EB_RIN_ACS!T22*10^6/Input_Inflation!T$27</f>
        <v>69084875.759120971</v>
      </c>
      <c r="Z18" s="131"/>
      <c r="AA18" s="131"/>
      <c r="AB18" s="131"/>
      <c r="AC18" s="131"/>
      <c r="AD18" s="131"/>
      <c r="AE18" s="131"/>
      <c r="AF18" s="131"/>
      <c r="AG18" s="131"/>
      <c r="AH18" s="131"/>
      <c r="AI18" s="131"/>
      <c r="AJ18" s="131"/>
      <c r="AK18" s="131"/>
      <c r="AL18" s="131"/>
      <c r="AM18" s="131"/>
      <c r="AN18" s="131"/>
      <c r="AO18" s="131"/>
    </row>
    <row r="19" spans="1:41" x14ac:dyDescent="0.55000000000000004">
      <c r="A19" s="42">
        <f>IF(SUM(C19:I19,K19:Q19,S19:Y19)&lt;&gt;0,1,0)</f>
        <v>0</v>
      </c>
      <c r="C19" s="256">
        <f t="shared" ref="C19:I19" si="0">IF(ROUND(C18-(C31+C38+C45+C52+C59+C66+C72+C79+C86+C93),4)=0,0,1)</f>
        <v>0</v>
      </c>
      <c r="D19" s="256">
        <f t="shared" si="0"/>
        <v>0</v>
      </c>
      <c r="E19" s="256">
        <f t="shared" si="0"/>
        <v>0</v>
      </c>
      <c r="F19" s="256">
        <f t="shared" si="0"/>
        <v>0</v>
      </c>
      <c r="G19" s="256">
        <f t="shared" si="0"/>
        <v>0</v>
      </c>
      <c r="H19" s="256">
        <f t="shared" si="0"/>
        <v>0</v>
      </c>
      <c r="I19" s="256">
        <f t="shared" si="0"/>
        <v>0</v>
      </c>
      <c r="K19" s="256">
        <f t="shared" ref="K19:Q19" si="1">IF(ROUND(K18-(K31+K38+K45+K52+K59+K66+K72+K79+K86+K93),4)=0,0,1)</f>
        <v>0</v>
      </c>
      <c r="L19" s="256">
        <f t="shared" si="1"/>
        <v>0</v>
      </c>
      <c r="M19" s="256">
        <f t="shared" si="1"/>
        <v>0</v>
      </c>
      <c r="N19" s="256">
        <f t="shared" si="1"/>
        <v>0</v>
      </c>
      <c r="O19" s="256">
        <f t="shared" si="1"/>
        <v>0</v>
      </c>
      <c r="P19" s="256">
        <f t="shared" si="1"/>
        <v>0</v>
      </c>
      <c r="Q19" s="256">
        <f t="shared" si="1"/>
        <v>0</v>
      </c>
      <c r="S19" s="256">
        <f t="shared" ref="S19" si="2">IF(ROUND(S18-(S31+S38+S45+S52+S59+S66+S72+S79+S86+S93),4)=0,0,1)</f>
        <v>0</v>
      </c>
      <c r="T19" s="256">
        <f t="shared" ref="T19:Y19" si="3">IF(ROUND(T18-(T31+T38+T45+T52+T59+T66+T72+T79+T86+T93),4)=0,0,1)</f>
        <v>0</v>
      </c>
      <c r="U19" s="256">
        <f t="shared" si="3"/>
        <v>0</v>
      </c>
      <c r="V19" s="256">
        <f t="shared" si="3"/>
        <v>0</v>
      </c>
      <c r="W19" s="256">
        <f t="shared" si="3"/>
        <v>0</v>
      </c>
      <c r="X19" s="256">
        <f t="shared" si="3"/>
        <v>0</v>
      </c>
      <c r="Y19" s="256">
        <f t="shared" si="3"/>
        <v>0</v>
      </c>
      <c r="Z19" s="131"/>
      <c r="AA19" s="131"/>
      <c r="AB19" s="131"/>
      <c r="AC19" s="131"/>
      <c r="AD19" s="131"/>
      <c r="AE19" s="131"/>
      <c r="AF19" s="131"/>
      <c r="AG19" s="131"/>
      <c r="AH19" s="131"/>
      <c r="AI19" s="131"/>
      <c r="AJ19" s="131"/>
      <c r="AK19" s="131"/>
      <c r="AL19" s="131"/>
      <c r="AM19" s="131"/>
      <c r="AN19" s="131"/>
      <c r="AO19" s="131"/>
    </row>
    <row r="20" spans="1:41" x14ac:dyDescent="0.55000000000000004">
      <c r="A20" s="150"/>
      <c r="B20" s="285" t="s">
        <v>357</v>
      </c>
      <c r="C20" s="163"/>
      <c r="D20" s="163"/>
      <c r="E20" s="163"/>
      <c r="F20" s="163"/>
      <c r="G20" s="163"/>
      <c r="H20" s="163"/>
      <c r="I20" s="163"/>
      <c r="K20" s="163"/>
      <c r="L20" s="163"/>
      <c r="M20" s="318">
        <v>1313108814.3343925</v>
      </c>
      <c r="N20" s="318">
        <v>1347264540.826509</v>
      </c>
      <c r="O20" s="318">
        <v>1367041099.5008602</v>
      </c>
      <c r="P20" s="318">
        <v>1411670561.0251634</v>
      </c>
      <c r="Q20" s="318">
        <v>1478377744.9324663</v>
      </c>
      <c r="R20" s="131"/>
      <c r="S20" s="163"/>
      <c r="T20" s="163"/>
      <c r="U20" s="318">
        <v>52030368.038205683</v>
      </c>
      <c r="V20" s="318">
        <v>53780196.078891441</v>
      </c>
      <c r="W20" s="318">
        <v>58204168.514945395</v>
      </c>
      <c r="X20" s="318">
        <v>63491418.18933925</v>
      </c>
      <c r="Y20" s="318">
        <v>69084875.759120971</v>
      </c>
      <c r="Z20" s="131"/>
      <c r="AA20" s="131"/>
      <c r="AB20" s="131"/>
      <c r="AD20" s="131"/>
      <c r="AE20" s="131"/>
      <c r="AF20" s="131"/>
      <c r="AG20" s="131"/>
      <c r="AH20" s="131"/>
      <c r="AI20" s="131"/>
      <c r="AJ20" s="131"/>
      <c r="AK20" s="131"/>
      <c r="AL20" s="131"/>
      <c r="AM20" s="131"/>
      <c r="AN20" s="131"/>
      <c r="AO20" s="131"/>
    </row>
    <row r="21" spans="1:41" ht="18.600000000000001" thickBot="1" x14ac:dyDescent="0.6">
      <c r="A21" s="150"/>
      <c r="B21" s="138" t="s">
        <v>229</v>
      </c>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AE21" s="131"/>
      <c r="AF21" s="131"/>
      <c r="AG21" s="131"/>
      <c r="AH21" s="131"/>
      <c r="AI21" s="131"/>
      <c r="AJ21" s="131"/>
      <c r="AK21" s="131"/>
      <c r="AL21" s="131"/>
      <c r="AM21" s="131"/>
      <c r="AN21" s="131"/>
      <c r="AO21" s="131"/>
    </row>
    <row r="22" spans="1:41" ht="20.399999999999999" outlineLevel="2" x14ac:dyDescent="0.75">
      <c r="A22" s="137"/>
      <c r="B22" s="139"/>
      <c r="C22" s="314" t="str">
        <f>C$9</f>
        <v>Network Services</v>
      </c>
      <c r="D22" s="314"/>
      <c r="E22" s="314"/>
      <c r="F22" s="314"/>
      <c r="G22" s="314"/>
      <c r="H22" s="314"/>
      <c r="I22" s="315"/>
      <c r="J22" s="140"/>
      <c r="K22" s="314" t="str">
        <f>K$9</f>
        <v>Standard Control Services</v>
      </c>
      <c r="L22" s="314"/>
      <c r="M22" s="314"/>
      <c r="N22" s="314"/>
      <c r="O22" s="314"/>
      <c r="P22" s="314"/>
      <c r="Q22" s="315"/>
      <c r="R22" s="141"/>
      <c r="S22" s="314" t="str">
        <f>S$9</f>
        <v>Alternative Control Services</v>
      </c>
      <c r="T22" s="314"/>
      <c r="U22" s="314"/>
      <c r="V22" s="314"/>
      <c r="W22" s="314"/>
      <c r="X22" s="314"/>
      <c r="Y22" s="315"/>
      <c r="Z22" s="131"/>
      <c r="AA22" s="131"/>
      <c r="AB22" s="131"/>
      <c r="AC22" s="131"/>
      <c r="AD22" s="131"/>
      <c r="AE22" s="131"/>
      <c r="AF22" s="131"/>
      <c r="AG22" s="131"/>
      <c r="AH22" s="131"/>
      <c r="AI22" s="131"/>
      <c r="AJ22" s="131"/>
      <c r="AK22" s="131"/>
      <c r="AL22" s="131"/>
      <c r="AM22" s="131"/>
      <c r="AN22" s="131"/>
      <c r="AO22" s="131"/>
    </row>
    <row r="23" spans="1:41" s="143" customFormat="1" ht="14.7" outlineLevel="2" thickBot="1" x14ac:dyDescent="0.6">
      <c r="A23" s="137"/>
      <c r="B23" s="142"/>
      <c r="C23" s="316" t="str">
        <f>C$10</f>
        <v>Forecast ($0's, real June 2024)</v>
      </c>
      <c r="D23" s="316"/>
      <c r="E23" s="316"/>
      <c r="F23" s="316"/>
      <c r="G23" s="316"/>
      <c r="H23" s="316"/>
      <c r="I23" s="317"/>
      <c r="J23" s="132"/>
      <c r="K23" s="316" t="str">
        <f>K$10</f>
        <v>Forecast ($0's, real June 2024)</v>
      </c>
      <c r="L23" s="316"/>
      <c r="M23" s="316"/>
      <c r="N23" s="316"/>
      <c r="O23" s="316"/>
      <c r="P23" s="316"/>
      <c r="Q23" s="317"/>
      <c r="R23" s="142"/>
      <c r="S23" s="316" t="str">
        <f>S$10</f>
        <v>Forecast ($0's, real June 2024)</v>
      </c>
      <c r="T23" s="316"/>
      <c r="U23" s="316"/>
      <c r="V23" s="316"/>
      <c r="W23" s="316"/>
      <c r="X23" s="316"/>
      <c r="Y23" s="317"/>
      <c r="Z23" s="142"/>
      <c r="AA23" s="142"/>
      <c r="AB23" s="142"/>
      <c r="AC23" s="142"/>
      <c r="AD23" s="142"/>
      <c r="AE23" s="142"/>
      <c r="AF23" s="142"/>
      <c r="AG23" s="142"/>
      <c r="AH23" s="142"/>
      <c r="AI23" s="142"/>
      <c r="AJ23" s="142"/>
      <c r="AK23" s="142"/>
      <c r="AL23" s="142"/>
      <c r="AM23" s="142"/>
      <c r="AN23" s="142"/>
      <c r="AO23" s="142"/>
    </row>
    <row r="24" spans="1:41" ht="14.7" outlineLevel="2" thickBot="1" x14ac:dyDescent="0.6">
      <c r="A24" s="144"/>
      <c r="B24" s="164"/>
      <c r="C24" s="145" t="str">
        <f t="shared" ref="C24:Y24" si="4">C$11</f>
        <v>2022-23</v>
      </c>
      <c r="D24" s="147" t="str">
        <f t="shared" si="4"/>
        <v>2023-24</v>
      </c>
      <c r="E24" s="146" t="str">
        <f t="shared" si="4"/>
        <v>2024-25</v>
      </c>
      <c r="F24" s="146" t="str">
        <f t="shared" si="4"/>
        <v>2025-26</v>
      </c>
      <c r="G24" s="146" t="str">
        <f t="shared" si="4"/>
        <v>2026-27</v>
      </c>
      <c r="H24" s="146" t="str">
        <f t="shared" si="4"/>
        <v>2027-28</v>
      </c>
      <c r="I24" s="146" t="str">
        <f t="shared" si="4"/>
        <v>2028-29</v>
      </c>
      <c r="K24" s="145" t="str">
        <f t="shared" si="4"/>
        <v>2022-23</v>
      </c>
      <c r="L24" s="147" t="str">
        <f t="shared" si="4"/>
        <v>2023-24</v>
      </c>
      <c r="M24" s="146" t="str">
        <f t="shared" si="4"/>
        <v>2024-25</v>
      </c>
      <c r="N24" s="146" t="str">
        <f t="shared" si="4"/>
        <v>2025-26</v>
      </c>
      <c r="O24" s="146" t="str">
        <f t="shared" si="4"/>
        <v>2026-27</v>
      </c>
      <c r="P24" s="146" t="str">
        <f t="shared" si="4"/>
        <v>2027-28</v>
      </c>
      <c r="Q24" s="146" t="str">
        <f t="shared" si="4"/>
        <v>2028-29</v>
      </c>
      <c r="S24" s="145" t="str">
        <f t="shared" si="4"/>
        <v>2022-23</v>
      </c>
      <c r="T24" s="147" t="str">
        <f t="shared" si="4"/>
        <v>2023-24</v>
      </c>
      <c r="U24" s="146" t="str">
        <f t="shared" si="4"/>
        <v>2024-25</v>
      </c>
      <c r="V24" s="146" t="str">
        <f t="shared" si="4"/>
        <v>2025-26</v>
      </c>
      <c r="W24" s="146" t="str">
        <f t="shared" si="4"/>
        <v>2026-27</v>
      </c>
      <c r="X24" s="146" t="str">
        <f t="shared" si="4"/>
        <v>2027-28</v>
      </c>
      <c r="Y24" s="146" t="str">
        <f t="shared" si="4"/>
        <v>2028-29</v>
      </c>
      <c r="Z24" s="131"/>
      <c r="AA24" s="131"/>
      <c r="AB24" s="131"/>
      <c r="AC24" s="131"/>
      <c r="AD24" s="131"/>
      <c r="AE24" s="131"/>
      <c r="AF24" s="131"/>
      <c r="AG24" s="131"/>
      <c r="AH24" s="131"/>
      <c r="AI24" s="131"/>
      <c r="AJ24" s="131"/>
      <c r="AK24" s="131"/>
      <c r="AL24" s="131"/>
      <c r="AM24" s="131"/>
      <c r="AN24" s="131"/>
      <c r="AO24" s="131"/>
    </row>
    <row r="25" spans="1:41" ht="23.25" customHeight="1" outlineLevel="1" thickBot="1" x14ac:dyDescent="0.6">
      <c r="A25" s="150"/>
      <c r="B25" s="165" t="s">
        <v>230</v>
      </c>
      <c r="AE25" s="131"/>
      <c r="AF25" s="131"/>
      <c r="AG25" s="131"/>
      <c r="AH25" s="131"/>
      <c r="AI25" s="131"/>
      <c r="AJ25" s="131"/>
      <c r="AK25" s="131"/>
      <c r="AL25" s="131"/>
      <c r="AM25" s="131"/>
      <c r="AN25" s="131"/>
      <c r="AO25" s="131"/>
    </row>
    <row r="26" spans="1:41" outlineLevel="2" x14ac:dyDescent="0.55000000000000004">
      <c r="A26" s="150" t="s">
        <v>231</v>
      </c>
      <c r="B26" s="151" t="s">
        <v>218</v>
      </c>
      <c r="C26" s="152">
        <f>Output_EB_RIN_NS!N32*10^6/Input_Inflation!N$27</f>
        <v>73401717.641139552</v>
      </c>
      <c r="D26" s="153">
        <f>Output_EB_RIN_NS!O32*10^6/Input_Inflation!O$27</f>
        <v>82465397.781562224</v>
      </c>
      <c r="E26" s="154">
        <f>Output_EB_RIN_NS!P32*10^6/Input_Inflation!P$27</f>
        <v>88685270.176260993</v>
      </c>
      <c r="F26" s="154">
        <f>Output_EB_RIN_NS!Q32*10^6/Input_Inflation!Q$27</f>
        <v>92446898.573287234</v>
      </c>
      <c r="G26" s="154">
        <f>Output_EB_RIN_NS!R32*10^6/Input_Inflation!R$27</f>
        <v>96666762.256823465</v>
      </c>
      <c r="H26" s="154">
        <f>Output_EB_RIN_NS!S32*10^6/Input_Inflation!S$27</f>
        <v>100781659.22078863</v>
      </c>
      <c r="I26" s="153">
        <f>Output_EB_RIN_NS!T32*10^6/Input_Inflation!T$27</f>
        <v>103911770.89948921</v>
      </c>
      <c r="K26" s="152">
        <f>Output_EB_RIN_SCS!N32*10^6/Input_Inflation!N$27</f>
        <v>95582959.012167186</v>
      </c>
      <c r="L26" s="153">
        <f>Output_EB_RIN_SCS!O32*10^6/Input_Inflation!O$27</f>
        <v>104837908.56243229</v>
      </c>
      <c r="M26" s="154">
        <f>Output_EB_RIN_SCS!P32*10^6/Input_Inflation!P$27</f>
        <v>111245187.26564154</v>
      </c>
      <c r="N26" s="154">
        <f>Output_EB_RIN_SCS!Q32*10^6/Input_Inflation!Q$27</f>
        <v>114969750.69776298</v>
      </c>
      <c r="O26" s="154">
        <f>Output_EB_RIN_SCS!R32*10^6/Input_Inflation!R$27</f>
        <v>119207861.00536314</v>
      </c>
      <c r="P26" s="154">
        <f>Output_EB_RIN_SCS!S32*10^6/Input_Inflation!S$27</f>
        <v>123341902.96114604</v>
      </c>
      <c r="Q26" s="153">
        <f>Output_EB_RIN_SCS!T32*10^6/Input_Inflation!T$27</f>
        <v>126407244.48451048</v>
      </c>
      <c r="R26" s="131"/>
      <c r="S26" s="152" t="str">
        <f>IFERROR(Output_EB_RIN_ACS!N32*10^6,NA)</f>
        <v>N/A</v>
      </c>
      <c r="T26" s="153" t="str">
        <f>IFERROR(Output_EB_RIN_ACS!O32*10^6,NA)</f>
        <v>N/A</v>
      </c>
      <c r="U26" s="154" t="str">
        <f>IFERROR(Output_EB_RIN_ACS!P32*10^6,NA)</f>
        <v>N/A</v>
      </c>
      <c r="V26" s="154" t="str">
        <f>IFERROR(Output_EB_RIN_ACS!Q32*10^6,NA)</f>
        <v>N/A</v>
      </c>
      <c r="W26" s="154" t="str">
        <f>IFERROR(Output_EB_RIN_ACS!R32*10^6,NA)</f>
        <v>N/A</v>
      </c>
      <c r="X26" s="154" t="str">
        <f>IFERROR(Output_EB_RIN_ACS!S32*10^6,NA)</f>
        <v>N/A</v>
      </c>
      <c r="Y26" s="153" t="str">
        <f>IFERROR(Output_EB_RIN_ACS!T32*10^6,NA)</f>
        <v>N/A</v>
      </c>
      <c r="Z26" s="131"/>
      <c r="AA26" s="131"/>
      <c r="AB26" s="131"/>
      <c r="AC26" s="131"/>
      <c r="AD26" s="131"/>
      <c r="AE26" s="131"/>
      <c r="AF26" s="131"/>
      <c r="AG26" s="131"/>
      <c r="AH26" s="131"/>
      <c r="AI26" s="131"/>
      <c r="AJ26" s="131"/>
      <c r="AK26" s="131"/>
      <c r="AL26" s="131"/>
      <c r="AM26" s="131"/>
      <c r="AN26" s="131"/>
      <c r="AO26" s="131"/>
    </row>
    <row r="27" spans="1:41" outlineLevel="2" x14ac:dyDescent="0.55000000000000004">
      <c r="A27" s="150" t="s">
        <v>232</v>
      </c>
      <c r="B27" s="155" t="s">
        <v>220</v>
      </c>
      <c r="C27" s="156">
        <f>Output_EB_RIN_NS!N33*10^6/Input_Inflation!N$27</f>
        <v>6976572.8746273825</v>
      </c>
      <c r="D27" s="157">
        <f>Output_EB_RIN_NS!O33*10^6/Input_Inflation!O$27</f>
        <v>4495602.2866694601</v>
      </c>
      <c r="E27" s="158">
        <f>Output_EB_RIN_NS!P33*10^6/Input_Inflation!P$27</f>
        <v>2963345.0325815803</v>
      </c>
      <c r="F27" s="158">
        <f>Output_EB_RIN_NS!Q33*10^6/Input_Inflation!Q$27</f>
        <v>3062559.8104645694</v>
      </c>
      <c r="G27" s="158">
        <f>Output_EB_RIN_NS!R33*10^6/Input_Inflation!R$27</f>
        <v>3175454.4303241256</v>
      </c>
      <c r="H27" s="158">
        <f>Output_EB_RIN_NS!S33*10^6/Input_Inflation!S$27</f>
        <v>3285576.8814185713</v>
      </c>
      <c r="I27" s="157">
        <f>Output_EB_RIN_NS!T33*10^6/Input_Inflation!T$27</f>
        <v>3367231.3313745712</v>
      </c>
      <c r="K27" s="156">
        <f>Output_EB_RIN_SCS!N33*10^6/Input_Inflation!N$27</f>
        <v>7646636.7209733753</v>
      </c>
      <c r="L27" s="157">
        <f>Output_EB_RIN_SCS!O33*10^6/Input_Inflation!O$27</f>
        <v>4927381.7024343181</v>
      </c>
      <c r="M27" s="158">
        <f>Output_EB_RIN_SCS!P33*10^6/Input_Inflation!P$27</f>
        <v>3247959.0409585736</v>
      </c>
      <c r="N27" s="158">
        <f>Output_EB_RIN_SCS!Q33*10^6/Input_Inflation!Q$27</f>
        <v>3356702.8866055384</v>
      </c>
      <c r="O27" s="158">
        <f>Output_EB_RIN_SCS!R33*10^6/Input_Inflation!R$27</f>
        <v>3480440.4525038255</v>
      </c>
      <c r="P27" s="158">
        <f>Output_EB_RIN_SCS!S33*10^6/Input_Inflation!S$27</f>
        <v>3601139.5971232187</v>
      </c>
      <c r="Q27" s="157">
        <f>Output_EB_RIN_SCS!T33*10^6/Input_Inflation!T$27</f>
        <v>3690636.5359046087</v>
      </c>
      <c r="R27" s="131"/>
      <c r="S27" s="156" t="str">
        <f>IFERROR(Output_EB_RIN_ACS!N33*10^6,NA)</f>
        <v>N/A</v>
      </c>
      <c r="T27" s="157" t="str">
        <f>IFERROR(Output_EB_RIN_ACS!O33*10^6,NA)</f>
        <v>N/A</v>
      </c>
      <c r="U27" s="158" t="str">
        <f>IFERROR(Output_EB_RIN_ACS!P33*10^6,NA)</f>
        <v>N/A</v>
      </c>
      <c r="V27" s="158" t="str">
        <f>IFERROR(Output_EB_RIN_ACS!Q33*10^6,NA)</f>
        <v>N/A</v>
      </c>
      <c r="W27" s="158" t="str">
        <f>IFERROR(Output_EB_RIN_ACS!R33*10^6,NA)</f>
        <v>N/A</v>
      </c>
      <c r="X27" s="158" t="str">
        <f>IFERROR(Output_EB_RIN_ACS!S33*10^6,NA)</f>
        <v>N/A</v>
      </c>
      <c r="Y27" s="157" t="str">
        <f>IFERROR(Output_EB_RIN_ACS!T33*10^6,NA)</f>
        <v>N/A</v>
      </c>
      <c r="Z27" s="131"/>
      <c r="AA27" s="131"/>
      <c r="AB27" s="131"/>
      <c r="AC27" s="131"/>
      <c r="AD27" s="131"/>
      <c r="AE27" s="131"/>
      <c r="AF27" s="131"/>
      <c r="AG27" s="131"/>
      <c r="AH27" s="131"/>
      <c r="AI27" s="131"/>
      <c r="AJ27" s="131"/>
      <c r="AK27" s="131"/>
      <c r="AL27" s="131"/>
      <c r="AM27" s="131"/>
      <c r="AN27" s="131"/>
      <c r="AO27" s="131"/>
    </row>
    <row r="28" spans="1:41" outlineLevel="2" x14ac:dyDescent="0.55000000000000004">
      <c r="A28" s="150" t="s">
        <v>233</v>
      </c>
      <c r="B28" s="155" t="s">
        <v>222</v>
      </c>
      <c r="C28" s="156">
        <f>Output_EB_RIN_NS!N34*10^6/Input_Inflation!N$27</f>
        <v>-3111326.5314520057</v>
      </c>
      <c r="D28" s="157">
        <f>Output_EB_RIN_NS!O34*10^6/Input_Inflation!O$27</f>
        <v>-3304199.5270363949</v>
      </c>
      <c r="E28" s="158">
        <f>Output_EB_RIN_NS!P34*10^6/Input_Inflation!P$27</f>
        <v>-3506740.893862152</v>
      </c>
      <c r="F28" s="158">
        <f>Output_EB_RIN_NS!Q34*10^6/Input_Inflation!Q$27</f>
        <v>-3632904.8125448213</v>
      </c>
      <c r="G28" s="158">
        <f>Output_EB_RIN_NS!R34*10^6/Input_Inflation!R$27</f>
        <v>-3770036.2198990425</v>
      </c>
      <c r="H28" s="158">
        <f>Output_EB_RIN_NS!S34*10^6/Input_Inflation!S$27</f>
        <v>-3907876.271138737</v>
      </c>
      <c r="I28" s="157">
        <f>Output_EB_RIN_NS!T34*10^6/Input_Inflation!T$27</f>
        <v>-4030105.0830170806</v>
      </c>
      <c r="K28" s="156">
        <f>Output_EB_RIN_SCS!N34*10^6/Input_Inflation!N$27</f>
        <v>-3410153.3996533086</v>
      </c>
      <c r="L28" s="157">
        <f>Output_EB_RIN_SCS!O34*10^6/Input_Inflation!O$27</f>
        <v>-3621550.8518154491</v>
      </c>
      <c r="M28" s="158">
        <f>Output_EB_RIN_SCS!P34*10^6/Input_Inflation!P$27</f>
        <v>-3843545.2724167947</v>
      </c>
      <c r="N28" s="158">
        <f>Output_EB_RIN_SCS!Q34*10^6/Input_Inflation!Q$27</f>
        <v>-3981826.5848602368</v>
      </c>
      <c r="O28" s="158">
        <f>Output_EB_RIN_SCS!R34*10^6/Input_Inflation!R$27</f>
        <v>-4132128.7567026778</v>
      </c>
      <c r="P28" s="158">
        <f>Output_EB_RIN_SCS!S34*10^6/Input_Inflation!S$27</f>
        <v>-4283207.6340213045</v>
      </c>
      <c r="Q28" s="157">
        <f>Output_EB_RIN_SCS!T34*10^6/Input_Inflation!T$27</f>
        <v>-4417175.8929452561</v>
      </c>
      <c r="R28" s="131"/>
      <c r="S28" s="156" t="str">
        <f>IFERROR(Output_EB_RIN_ACS!N34*10^6,NA)</f>
        <v>N/A</v>
      </c>
      <c r="T28" s="157" t="str">
        <f>IFERROR(Output_EB_RIN_ACS!O34*10^6,NA)</f>
        <v>N/A</v>
      </c>
      <c r="U28" s="158" t="str">
        <f>IFERROR(Output_EB_RIN_ACS!P34*10^6,NA)</f>
        <v>N/A</v>
      </c>
      <c r="V28" s="158" t="str">
        <f>IFERROR(Output_EB_RIN_ACS!Q34*10^6,NA)</f>
        <v>N/A</v>
      </c>
      <c r="W28" s="158" t="str">
        <f>IFERROR(Output_EB_RIN_ACS!R34*10^6,NA)</f>
        <v>N/A</v>
      </c>
      <c r="X28" s="158" t="str">
        <f>IFERROR(Output_EB_RIN_ACS!S34*10^6,NA)</f>
        <v>N/A</v>
      </c>
      <c r="Y28" s="157" t="str">
        <f>IFERROR(Output_EB_RIN_ACS!T34*10^6,NA)</f>
        <v>N/A</v>
      </c>
      <c r="Z28" s="131"/>
      <c r="AA28" s="131"/>
      <c r="AB28" s="131"/>
      <c r="AC28" s="131"/>
      <c r="AD28" s="131"/>
      <c r="AE28" s="131"/>
      <c r="AF28" s="131"/>
      <c r="AG28" s="131"/>
      <c r="AH28" s="131"/>
      <c r="AI28" s="131"/>
      <c r="AJ28" s="131"/>
      <c r="AK28" s="131"/>
      <c r="AL28" s="131"/>
      <c r="AM28" s="131"/>
      <c r="AN28" s="131"/>
      <c r="AO28" s="131"/>
    </row>
    <row r="29" spans="1:41" outlineLevel="2" x14ac:dyDescent="0.55000000000000004">
      <c r="A29" s="150" t="s">
        <v>234</v>
      </c>
      <c r="B29" s="155" t="s">
        <v>224</v>
      </c>
      <c r="C29" s="156">
        <f>Output_EB_RIN_NS!N35*10^6/Input_Inflation!N$27</f>
        <v>9103439.396515144</v>
      </c>
      <c r="D29" s="157">
        <f>Output_EB_RIN_NS!O35*10^6/Input_Inflation!O$27</f>
        <v>7646514.5414360771</v>
      </c>
      <c r="E29" s="158">
        <f>Output_EB_RIN_NS!P35*10^6/Input_Inflation!P$27</f>
        <v>7031955.9443695303</v>
      </c>
      <c r="F29" s="158">
        <f>Output_EB_RIN_NS!Q35*10^6/Input_Inflation!Q$27</f>
        <v>7639576.9082941292</v>
      </c>
      <c r="G29" s="158">
        <f>Output_EB_RIN_NS!R35*10^6/Input_Inflation!R$27</f>
        <v>7678240.0529172458</v>
      </c>
      <c r="H29" s="158">
        <f>Output_EB_RIN_NS!S35*10^6/Input_Inflation!S$27</f>
        <v>6811833.8658625158</v>
      </c>
      <c r="I29" s="157">
        <f>Output_EB_RIN_NS!T35*10^6/Input_Inflation!T$27</f>
        <v>6896551.0392307946</v>
      </c>
      <c r="K29" s="156">
        <f>Output_EB_RIN_SCS!N35*10^6/Input_Inflation!N$27</f>
        <v>9977777.8040147405</v>
      </c>
      <c r="L29" s="157">
        <f>Output_EB_RIN_SCS!O35*10^6/Input_Inflation!O$27</f>
        <v>8380922.8299826039</v>
      </c>
      <c r="M29" s="158">
        <f>Output_EB_RIN_SCS!P35*10^6/Input_Inflation!P$27</f>
        <v>7707339.0489531634</v>
      </c>
      <c r="N29" s="158">
        <f>Output_EB_RIN_SCS!Q35*10^6/Input_Inflation!Q$27</f>
        <v>8373318.8729548203</v>
      </c>
      <c r="O29" s="158">
        <f>Output_EB_RIN_SCS!R35*10^6/Input_Inflation!R$27</f>
        <v>8415695.4132327307</v>
      </c>
      <c r="P29" s="158">
        <f>Output_EB_RIN_SCS!S35*10^6/Input_Inflation!S$27</f>
        <v>7466075.3799774963</v>
      </c>
      <c r="Q29" s="157">
        <f>Output_EB_RIN_SCS!T35*10^6/Input_Inflation!T$27</f>
        <v>7558929.2009604173</v>
      </c>
      <c r="R29" s="131"/>
      <c r="S29" s="156" t="str">
        <f>IFERROR(Output_EB_RIN_ACS!N35*10^6,NA)</f>
        <v>N/A</v>
      </c>
      <c r="T29" s="157" t="str">
        <f>IFERROR(Output_EB_RIN_ACS!O35*10^6,NA)</f>
        <v>N/A</v>
      </c>
      <c r="U29" s="158" t="str">
        <f>IFERROR(Output_EB_RIN_ACS!P35*10^6,NA)</f>
        <v>N/A</v>
      </c>
      <c r="V29" s="158" t="str">
        <f>IFERROR(Output_EB_RIN_ACS!Q35*10^6,NA)</f>
        <v>N/A</v>
      </c>
      <c r="W29" s="158" t="str">
        <f>IFERROR(Output_EB_RIN_ACS!R35*10^6,NA)</f>
        <v>N/A</v>
      </c>
      <c r="X29" s="158" t="str">
        <f>IFERROR(Output_EB_RIN_ACS!S35*10^6,NA)</f>
        <v>N/A</v>
      </c>
      <c r="Y29" s="157" t="str">
        <f>IFERROR(Output_EB_RIN_ACS!T35*10^6,NA)</f>
        <v>N/A</v>
      </c>
      <c r="Z29" s="131"/>
      <c r="AA29" s="131"/>
      <c r="AB29" s="131"/>
      <c r="AC29" s="131"/>
      <c r="AD29" s="131"/>
      <c r="AE29" s="131"/>
      <c r="AF29" s="131"/>
      <c r="AG29" s="131"/>
      <c r="AH29" s="131"/>
      <c r="AI29" s="131"/>
      <c r="AJ29" s="131"/>
      <c r="AK29" s="131"/>
      <c r="AL29" s="131"/>
      <c r="AM29" s="131"/>
      <c r="AN29" s="131"/>
      <c r="AO29" s="131"/>
    </row>
    <row r="30" spans="1:41" outlineLevel="2" x14ac:dyDescent="0.55000000000000004">
      <c r="A30" s="150" t="s">
        <v>235</v>
      </c>
      <c r="B30" s="155" t="s">
        <v>226</v>
      </c>
      <c r="C30" s="156">
        <f>Output_EB_RIN_NS!N36*10^6/Input_Inflation!N$27</f>
        <v>-29131.903534426383</v>
      </c>
      <c r="D30" s="157">
        <f>Output_EB_RIN_NS!O36*10^6/Input_Inflation!O$27</f>
        <v>-28754.239970429244</v>
      </c>
      <c r="E30" s="158">
        <f>Output_EB_RIN_NS!P36*10^6/Input_Inflation!P$27</f>
        <v>-27815.010455954303</v>
      </c>
      <c r="F30" s="158">
        <f>Output_EB_RIN_NS!Q36*10^6/Input_Inflation!Q$27</f>
        <v>-27046.71691653191</v>
      </c>
      <c r="G30" s="158">
        <f>Output_EB_RIN_NS!R36*10^6/Input_Inflation!R$27</f>
        <v>-26299.613845303171</v>
      </c>
      <c r="H30" s="158">
        <f>Output_EB_RIN_NS!S36*10^6/Input_Inflation!S$27</f>
        <v>-25573.117732957598</v>
      </c>
      <c r="I30" s="157">
        <f>Output_EB_RIN_NS!T36*10^6/Input_Inflation!T$27</f>
        <v>-24866.661108725595</v>
      </c>
      <c r="K30" s="156">
        <f>Output_EB_RIN_SCS!N36*10^6/Input_Inflation!N$27</f>
        <v>-31929.872635365602</v>
      </c>
      <c r="L30" s="157">
        <f>Output_EB_RIN_SCS!O36*10^6/Input_Inflation!O$27</f>
        <v>-31515.936433661635</v>
      </c>
      <c r="M30" s="158">
        <f>Output_EB_RIN_SCS!P36*10^6/Input_Inflation!P$27</f>
        <v>-30486.49876793817</v>
      </c>
      <c r="N30" s="158">
        <f>Output_EB_RIN_SCS!Q36*10^6/Input_Inflation!Q$27</f>
        <v>-29644.414596152372</v>
      </c>
      <c r="O30" s="158">
        <f>Output_EB_RIN_SCS!R36*10^6/Input_Inflation!R$27</f>
        <v>-28825.556127750744</v>
      </c>
      <c r="P30" s="158">
        <f>Output_EB_RIN_SCS!S36*10^6/Input_Inflation!S$27</f>
        <v>-28029.283810362707</v>
      </c>
      <c r="Q30" s="157">
        <f>Output_EB_RIN_SCS!T36*10^6/Input_Inflation!T$27</f>
        <v>-27254.975670577704</v>
      </c>
      <c r="R30" s="131"/>
      <c r="S30" s="156" t="str">
        <f>IFERROR(Output_EB_RIN_ACS!N36*10^6,NA)</f>
        <v>N/A</v>
      </c>
      <c r="T30" s="157" t="str">
        <f>IFERROR(Output_EB_RIN_ACS!O36*10^6,NA)</f>
        <v>N/A</v>
      </c>
      <c r="U30" s="158" t="str">
        <f>IFERROR(Output_EB_RIN_ACS!P36*10^6,NA)</f>
        <v>N/A</v>
      </c>
      <c r="V30" s="158" t="str">
        <f>IFERROR(Output_EB_RIN_ACS!Q36*10^6,NA)</f>
        <v>N/A</v>
      </c>
      <c r="W30" s="158" t="str">
        <f>IFERROR(Output_EB_RIN_ACS!R36*10^6,NA)</f>
        <v>N/A</v>
      </c>
      <c r="X30" s="158" t="str">
        <f>IFERROR(Output_EB_RIN_ACS!S36*10^6,NA)</f>
        <v>N/A</v>
      </c>
      <c r="Y30" s="157" t="str">
        <f>IFERROR(Output_EB_RIN_ACS!T36*10^6,NA)</f>
        <v>N/A</v>
      </c>
      <c r="Z30" s="131"/>
      <c r="AA30" s="131"/>
      <c r="AB30" s="131"/>
      <c r="AC30" s="131"/>
      <c r="AD30" s="131"/>
      <c r="AE30" s="131"/>
      <c r="AF30" s="131"/>
      <c r="AG30" s="131"/>
      <c r="AH30" s="131"/>
      <c r="AI30" s="131"/>
      <c r="AJ30" s="131"/>
      <c r="AK30" s="131"/>
      <c r="AL30" s="131"/>
      <c r="AM30" s="131"/>
      <c r="AN30" s="131"/>
      <c r="AO30" s="131"/>
    </row>
    <row r="31" spans="1:41" ht="14.7" outlineLevel="2" thickBot="1" x14ac:dyDescent="0.6">
      <c r="A31" s="150" t="s">
        <v>236</v>
      </c>
      <c r="B31" s="159" t="s">
        <v>228</v>
      </c>
      <c r="C31" s="160">
        <f t="shared" ref="C31:H31" si="5">SUM(C26:C30)</f>
        <v>86341271.477295652</v>
      </c>
      <c r="D31" s="161">
        <f t="shared" si="5"/>
        <v>91274560.842660934</v>
      </c>
      <c r="E31" s="162">
        <f t="shared" si="5"/>
        <v>95146015.248893991</v>
      </c>
      <c r="F31" s="162">
        <f t="shared" si="5"/>
        <v>99489083.762584582</v>
      </c>
      <c r="G31" s="162">
        <f t="shared" si="5"/>
        <v>103724120.90632048</v>
      </c>
      <c r="H31" s="162">
        <f t="shared" si="5"/>
        <v>106945620.57919802</v>
      </c>
      <c r="I31" s="161">
        <f t="shared" ref="I31" si="6">SUM(I26:I30)</f>
        <v>110120581.52596876</v>
      </c>
      <c r="K31" s="160">
        <f t="shared" ref="K31:P31" si="7">SUM(K26:K30)</f>
        <v>109765290.26486662</v>
      </c>
      <c r="L31" s="161">
        <f t="shared" si="7"/>
        <v>114493146.30660011</v>
      </c>
      <c r="M31" s="162">
        <f t="shared" si="7"/>
        <v>118326453.58436853</v>
      </c>
      <c r="N31" s="162">
        <f t="shared" si="7"/>
        <v>122688301.45786695</v>
      </c>
      <c r="O31" s="162">
        <f t="shared" si="7"/>
        <v>126943042.55826926</v>
      </c>
      <c r="P31" s="162">
        <f t="shared" si="7"/>
        <v>130097881.02041508</v>
      </c>
      <c r="Q31" s="161">
        <f t="shared" ref="Q31" si="8">SUM(Q26:Q30)</f>
        <v>133212379.35275967</v>
      </c>
      <c r="R31" s="131"/>
      <c r="S31" s="160">
        <f t="shared" ref="S31:X31" si="9">SUM(S26:S30)</f>
        <v>0</v>
      </c>
      <c r="T31" s="161">
        <f t="shared" si="9"/>
        <v>0</v>
      </c>
      <c r="U31" s="162">
        <f t="shared" si="9"/>
        <v>0</v>
      </c>
      <c r="V31" s="162">
        <f t="shared" si="9"/>
        <v>0</v>
      </c>
      <c r="W31" s="162">
        <f t="shared" si="9"/>
        <v>0</v>
      </c>
      <c r="X31" s="162">
        <f t="shared" si="9"/>
        <v>0</v>
      </c>
      <c r="Y31" s="161">
        <f t="shared" ref="Y31" si="10">SUM(Y26:Y30)</f>
        <v>0</v>
      </c>
      <c r="Z31" s="131"/>
      <c r="AA31" s="131"/>
      <c r="AB31" s="131"/>
      <c r="AC31" s="131"/>
      <c r="AD31" s="131"/>
      <c r="AE31" s="131"/>
      <c r="AF31" s="131"/>
      <c r="AG31" s="131"/>
      <c r="AH31" s="131"/>
      <c r="AI31" s="131"/>
      <c r="AJ31" s="131"/>
      <c r="AK31" s="131"/>
      <c r="AL31" s="131"/>
      <c r="AM31" s="131"/>
      <c r="AN31" s="131"/>
      <c r="AO31" s="131"/>
    </row>
    <row r="32" spans="1:41" ht="20.25" customHeight="1" outlineLevel="1" thickBot="1" x14ac:dyDescent="0.6">
      <c r="A32" s="42">
        <f>IF(SUM(C32:I32,K32:Q32,S32:Y32)&lt;&gt;0,1,0)</f>
        <v>0</v>
      </c>
      <c r="B32" s="165" t="s">
        <v>237</v>
      </c>
      <c r="C32" s="256">
        <f>IF(ROUND(C31-(Output_EB_RIN_NS!N38*10^6/Input_Inflation!N$27),4)=0,0,1)</f>
        <v>0</v>
      </c>
      <c r="D32" s="256">
        <f>IF(ROUND(D31-(Output_EB_RIN_NS!O38*10^6/Input_Inflation!O$27),4)=0,0,1)</f>
        <v>0</v>
      </c>
      <c r="E32" s="256">
        <f>IF(ROUND(E31-(Output_EB_RIN_NS!P38*10^6/Input_Inflation!P$27),4)=0,0,1)</f>
        <v>0</v>
      </c>
      <c r="F32" s="256">
        <f>IF(ROUND(F31-(Output_EB_RIN_NS!Q38*10^6/Input_Inflation!Q$27),4)=0,0,1)</f>
        <v>0</v>
      </c>
      <c r="G32" s="256">
        <f>IF(ROUND(G31-(Output_EB_RIN_NS!R38*10^6/Input_Inflation!R$27),4)=0,0,1)</f>
        <v>0</v>
      </c>
      <c r="H32" s="256">
        <f>IF(ROUND(H31-(Output_EB_RIN_NS!S38*10^6/Input_Inflation!S$27),4)=0,0,1)</f>
        <v>0</v>
      </c>
      <c r="I32" s="256">
        <f>IF(ROUND(I31-(Output_EB_RIN_NS!T38*10^6/Input_Inflation!T$27),4)=0,0,1)</f>
        <v>0</v>
      </c>
      <c r="K32" s="256">
        <f>IF(ROUND(K31-(Output_EB_RIN_SCS!N38*10^6/Input_Inflation!N$27),4)=0,0,1)</f>
        <v>0</v>
      </c>
      <c r="L32" s="256">
        <f>IF(ROUND(L31-(Output_EB_RIN_SCS!O38*10^6/Input_Inflation!O$27),4)=0,0,1)</f>
        <v>0</v>
      </c>
      <c r="M32" s="256">
        <f>IF(ROUND(M31-(Output_EB_RIN_SCS!P38*10^6/Input_Inflation!P$27),4)=0,0,1)</f>
        <v>0</v>
      </c>
      <c r="N32" s="256">
        <f>IF(ROUND(N31-(Output_EB_RIN_SCS!Q38*10^6/Input_Inflation!Q$27),4)=0,0,1)</f>
        <v>0</v>
      </c>
      <c r="O32" s="256">
        <f>IF(ROUND(O31-(Output_EB_RIN_SCS!R38*10^6/Input_Inflation!R$27),4)=0,0,1)</f>
        <v>0</v>
      </c>
      <c r="P32" s="256">
        <f>IF(ROUND(P31-(Output_EB_RIN_SCS!S38*10^6/Input_Inflation!S$27),4)=0,0,1)</f>
        <v>0</v>
      </c>
      <c r="Q32" s="256">
        <f>IF(ROUND(Q31-(Output_EB_RIN_SCS!T38*10^6/Input_Inflation!T$27),4)=0,0,1)</f>
        <v>0</v>
      </c>
      <c r="R32" s="166"/>
      <c r="S32" s="256">
        <f>IF(ROUND(S31-(Output_EB_RIN_ACS!N38*10^6),4)=0,0,1)</f>
        <v>0</v>
      </c>
      <c r="T32" s="256">
        <f>IF(ROUND(T31-(Output_EB_RIN_ACS!O38*10^6),4)=0,0,1)</f>
        <v>0</v>
      </c>
      <c r="U32" s="256">
        <f>IF(ROUND(U31-(Output_EB_RIN_ACS!P38*10^6),4)=0,0,1)</f>
        <v>0</v>
      </c>
      <c r="V32" s="256">
        <f>IF(ROUND(V31-(Output_EB_RIN_ACS!Q38*10^6),4)=0,0,1)</f>
        <v>0</v>
      </c>
      <c r="W32" s="256">
        <f>IF(ROUND(W31-(Output_EB_RIN_ACS!R38*10^6),4)=0,0,1)</f>
        <v>0</v>
      </c>
      <c r="X32" s="256">
        <f>IF(ROUND(X31-(Output_EB_RIN_ACS!S38*10^6),4)=0,0,1)</f>
        <v>0</v>
      </c>
      <c r="Y32" s="256">
        <f>IF(ROUND(Y31-(Output_EB_RIN_ACS!T38*10^6),4)=0,0,1)</f>
        <v>0</v>
      </c>
      <c r="Z32" s="166"/>
      <c r="AA32" s="166"/>
      <c r="AB32" s="166"/>
      <c r="AC32" s="166"/>
      <c r="AD32" s="166"/>
      <c r="AE32" s="166"/>
      <c r="AF32" s="131"/>
      <c r="AG32" s="131"/>
      <c r="AH32" s="131"/>
      <c r="AI32" s="131"/>
      <c r="AJ32" s="131"/>
      <c r="AK32" s="131"/>
      <c r="AL32" s="131"/>
      <c r="AM32" s="131"/>
      <c r="AN32" s="131"/>
      <c r="AO32" s="131"/>
    </row>
    <row r="33" spans="1:41" outlineLevel="2" x14ac:dyDescent="0.55000000000000004">
      <c r="A33" s="150" t="s">
        <v>238</v>
      </c>
      <c r="B33" s="151" t="s">
        <v>218</v>
      </c>
      <c r="C33" s="152">
        <f>Output_EB_RIN_NS!N46*10^6/Input_Inflation!N$27</f>
        <v>152048985.47158194</v>
      </c>
      <c r="D33" s="153">
        <f>Output_EB_RIN_NS!O46*10^6/Input_Inflation!O$27</f>
        <v>170824068.86578572</v>
      </c>
      <c r="E33" s="154">
        <f>Output_EB_RIN_NS!P46*10^6/Input_Inflation!P$27</f>
        <v>183708308.06030002</v>
      </c>
      <c r="F33" s="154">
        <f>Output_EB_RIN_NS!Q46*10^6/Input_Inflation!Q$27</f>
        <v>191500384.32049334</v>
      </c>
      <c r="G33" s="154">
        <f>Output_EB_RIN_NS!R46*10^6/Input_Inflation!R$27</f>
        <v>200241678.29193634</v>
      </c>
      <c r="H33" s="154">
        <f>Output_EB_RIN_NS!S46*10^6/Input_Inflation!S$27</f>
        <v>208765537.52571982</v>
      </c>
      <c r="I33" s="153">
        <f>Output_EB_RIN_NS!T46*10^6/Input_Inflation!T$27</f>
        <v>215249449.89798874</v>
      </c>
      <c r="K33" s="152">
        <f>Output_EB_RIN_SCS!N46*10^6/Input_Inflation!N$27</f>
        <v>197996619.33287409</v>
      </c>
      <c r="L33" s="153">
        <f>Output_EB_RIN_SCS!O46*10^6/Input_Inflation!O$27</f>
        <v>217167910.34527659</v>
      </c>
      <c r="M33" s="154">
        <f>Output_EB_RIN_SCS!P46*10^6/Input_Inflation!P$27</f>
        <v>230440354.88423952</v>
      </c>
      <c r="N33" s="154">
        <f>Output_EB_RIN_SCS!Q46*10^6/Input_Inflation!Q$27</f>
        <v>238155652.41920093</v>
      </c>
      <c r="O33" s="154">
        <f>Output_EB_RIN_SCS!R46*10^6/Input_Inflation!R$27</f>
        <v>246934743.60801652</v>
      </c>
      <c r="P33" s="154">
        <f>Output_EB_RIN_SCS!S46*10^6/Input_Inflation!S$27</f>
        <v>255498260.99526423</v>
      </c>
      <c r="Q33" s="153">
        <f>Output_EB_RIN_SCS!T46*10^6/Input_Inflation!T$27</f>
        <v>261848004.34909347</v>
      </c>
      <c r="R33" s="131"/>
      <c r="S33" s="152" t="str">
        <f>IFERROR(Output_EB_RIN_ACS!N46*10^6,NA)</f>
        <v>N/A</v>
      </c>
      <c r="T33" s="153" t="str">
        <f>IFERROR(Output_EB_RIN_ACS!O46*10^6,NA)</f>
        <v>N/A</v>
      </c>
      <c r="U33" s="154" t="str">
        <f>IFERROR(Output_EB_RIN_ACS!P46*10^6,NA)</f>
        <v>N/A</v>
      </c>
      <c r="V33" s="154" t="str">
        <f>IFERROR(Output_EB_RIN_ACS!Q46*10^6,NA)</f>
        <v>N/A</v>
      </c>
      <c r="W33" s="154" t="str">
        <f>IFERROR(Output_EB_RIN_ACS!R46*10^6,NA)</f>
        <v>N/A</v>
      </c>
      <c r="X33" s="154" t="str">
        <f>IFERROR(Output_EB_RIN_ACS!S46*10^6,NA)</f>
        <v>N/A</v>
      </c>
      <c r="Y33" s="153" t="str">
        <f>IFERROR(Output_EB_RIN_ACS!T46*10^6,NA)</f>
        <v>N/A</v>
      </c>
      <c r="Z33" s="131"/>
      <c r="AA33" s="131"/>
      <c r="AB33" s="131"/>
      <c r="AC33" s="131"/>
      <c r="AD33" s="131"/>
      <c r="AE33" s="131"/>
      <c r="AF33" s="131"/>
      <c r="AG33" s="131"/>
      <c r="AH33" s="131"/>
      <c r="AI33" s="131"/>
      <c r="AJ33" s="131"/>
      <c r="AK33" s="131"/>
      <c r="AL33" s="131"/>
      <c r="AM33" s="131"/>
      <c r="AN33" s="131"/>
      <c r="AO33" s="131"/>
    </row>
    <row r="34" spans="1:41" outlineLevel="2" x14ac:dyDescent="0.55000000000000004">
      <c r="A34" s="150" t="s">
        <v>239</v>
      </c>
      <c r="B34" s="155" t="s">
        <v>220</v>
      </c>
      <c r="C34" s="156">
        <f>Output_EB_RIN_NS!N47*10^6/Input_Inflation!N$27</f>
        <v>14451716.686546776</v>
      </c>
      <c r="D34" s="157">
        <f>Output_EB_RIN_NS!O47*10^6/Input_Inflation!O$27</f>
        <v>9312476.4479449168</v>
      </c>
      <c r="E34" s="158">
        <f>Output_EB_RIN_NS!P47*10^6/Input_Inflation!P$27</f>
        <v>6138461.3369557932</v>
      </c>
      <c r="F34" s="158">
        <f>Output_EB_RIN_NS!Q47*10^6/Input_Inflation!Q$27</f>
        <v>6343981.1368418075</v>
      </c>
      <c r="G34" s="158">
        <f>Output_EB_RIN_NS!R47*10^6/Input_Inflation!R$27</f>
        <v>6577838.2312870296</v>
      </c>
      <c r="H34" s="158">
        <f>Output_EB_RIN_NS!S47*10^6/Input_Inflation!S$27</f>
        <v>6805952.8790724631</v>
      </c>
      <c r="I34" s="157">
        <f>Output_EB_RIN_NS!T47*10^6/Input_Inflation!T$27</f>
        <v>6975097.0990449302</v>
      </c>
      <c r="K34" s="156">
        <f>Output_EB_RIN_SCS!N47*10^6/Input_Inflation!N$27</f>
        <v>15839729.546629928</v>
      </c>
      <c r="L34" s="157">
        <f>Output_EB_RIN_SCS!O47*10^6/Input_Inflation!O$27</f>
        <v>10206891.786228001</v>
      </c>
      <c r="M34" s="158">
        <f>Output_EB_RIN_SCS!P47*10^6/Input_Inflation!P$27</f>
        <v>6728028.8922587167</v>
      </c>
      <c r="N34" s="158">
        <f>Output_EB_RIN_SCS!Q47*10^6/Input_Inflation!Q$27</f>
        <v>6953287.8090559468</v>
      </c>
      <c r="O34" s="158">
        <f>Output_EB_RIN_SCS!R47*10^6/Input_Inflation!R$27</f>
        <v>7209605.6714190599</v>
      </c>
      <c r="P34" s="158">
        <f>Output_EB_RIN_SCS!S47*10^6/Input_Inflation!S$27</f>
        <v>7459629.5547345709</v>
      </c>
      <c r="Q34" s="157">
        <f>Output_EB_RIN_SCS!T47*10^6/Input_Inflation!T$27</f>
        <v>7645019.2047568187</v>
      </c>
      <c r="R34" s="131"/>
      <c r="S34" s="156" t="str">
        <f>IFERROR(Output_EB_RIN_ACS!N47*10^6,NA)</f>
        <v>N/A</v>
      </c>
      <c r="T34" s="157" t="str">
        <f>IFERROR(Output_EB_RIN_ACS!O47*10^6,NA)</f>
        <v>N/A</v>
      </c>
      <c r="U34" s="158" t="str">
        <f>IFERROR(Output_EB_RIN_ACS!P47*10^6,NA)</f>
        <v>N/A</v>
      </c>
      <c r="V34" s="158" t="str">
        <f>IFERROR(Output_EB_RIN_ACS!Q47*10^6,NA)</f>
        <v>N/A</v>
      </c>
      <c r="W34" s="158" t="str">
        <f>IFERROR(Output_EB_RIN_ACS!R47*10^6,NA)</f>
        <v>N/A</v>
      </c>
      <c r="X34" s="158" t="str">
        <f>IFERROR(Output_EB_RIN_ACS!S47*10^6,NA)</f>
        <v>N/A</v>
      </c>
      <c r="Y34" s="157" t="str">
        <f>IFERROR(Output_EB_RIN_ACS!T47*10^6,NA)</f>
        <v>N/A</v>
      </c>
      <c r="Z34" s="131"/>
      <c r="AA34" s="131"/>
      <c r="AB34" s="131"/>
      <c r="AC34" s="131"/>
      <c r="AD34" s="131"/>
      <c r="AE34" s="131"/>
      <c r="AF34" s="131"/>
      <c r="AG34" s="131"/>
      <c r="AH34" s="131"/>
      <c r="AI34" s="131"/>
      <c r="AJ34" s="131"/>
      <c r="AK34" s="131"/>
      <c r="AL34" s="131"/>
      <c r="AM34" s="131"/>
      <c r="AN34" s="131"/>
      <c r="AO34" s="131"/>
    </row>
    <row r="35" spans="1:41" outlineLevel="2" x14ac:dyDescent="0.55000000000000004">
      <c r="A35" s="150" t="s">
        <v>240</v>
      </c>
      <c r="B35" s="155" t="s">
        <v>222</v>
      </c>
      <c r="C35" s="156">
        <f>Output_EB_RIN_NS!N48*10^6/Input_Inflation!N$27</f>
        <v>-6444999.6237274548</v>
      </c>
      <c r="D35" s="157">
        <f>Output_EB_RIN_NS!O48*10^6/Input_Inflation!O$27</f>
        <v>-6844529.0114026396</v>
      </c>
      <c r="E35" s="158">
        <f>Output_EB_RIN_NS!P48*10^6/Input_Inflation!P$27</f>
        <v>-7264086.0780702932</v>
      </c>
      <c r="F35" s="158">
        <f>Output_EB_RIN_NS!Q48*10^6/Input_Inflation!Q$27</f>
        <v>-7525430.0418805825</v>
      </c>
      <c r="G35" s="158">
        <f>Output_EB_RIN_NS!R48*10^6/Input_Inflation!R$27</f>
        <v>-7809492.7591379415</v>
      </c>
      <c r="H35" s="158">
        <f>Output_EB_RIN_NS!S48*10^6/Input_Inflation!S$27</f>
        <v>-8095023.4064017022</v>
      </c>
      <c r="I35" s="157">
        <f>Output_EB_RIN_NS!T48*10^6/Input_Inflation!T$27</f>
        <v>-8348215.9397475822</v>
      </c>
      <c r="K35" s="156">
        <f>Output_EB_RIN_SCS!N48*10^6/Input_Inflation!N$27</f>
        <v>-7064008.6006535273</v>
      </c>
      <c r="L35" s="157">
        <f>Output_EB_RIN_SCS!O48*10^6/Input_Inflation!O$27</f>
        <v>-7501910.7256375281</v>
      </c>
      <c r="M35" s="158">
        <f>Output_EB_RIN_SCS!P48*10^6/Input_Inflation!P$27</f>
        <v>-7961764.0848982688</v>
      </c>
      <c r="N35" s="158">
        <f>Output_EB_RIN_SCS!Q48*10^6/Input_Inflation!Q$27</f>
        <v>-8248208.7886788798</v>
      </c>
      <c r="O35" s="158">
        <f>Output_EB_RIN_SCS!R48*10^6/Input_Inflation!R$27</f>
        <v>-8559554.2650142964</v>
      </c>
      <c r="P35" s="158">
        <f>Output_EB_RIN_SCS!S48*10^6/Input_Inflation!S$27</f>
        <v>-8872508.6584630962</v>
      </c>
      <c r="Q35" s="157">
        <f>Output_EB_RIN_SCS!T48*10^6/Input_Inflation!T$27</f>
        <v>-9150019.0289202072</v>
      </c>
      <c r="R35" s="131"/>
      <c r="S35" s="156" t="str">
        <f>IFERROR(Output_EB_RIN_ACS!N48*10^6,NA)</f>
        <v>N/A</v>
      </c>
      <c r="T35" s="157" t="str">
        <f>IFERROR(Output_EB_RIN_ACS!O48*10^6,NA)</f>
        <v>N/A</v>
      </c>
      <c r="U35" s="158" t="str">
        <f>IFERROR(Output_EB_RIN_ACS!P48*10^6,NA)</f>
        <v>N/A</v>
      </c>
      <c r="V35" s="158" t="str">
        <f>IFERROR(Output_EB_RIN_ACS!Q48*10^6,NA)</f>
        <v>N/A</v>
      </c>
      <c r="W35" s="158" t="str">
        <f>IFERROR(Output_EB_RIN_ACS!R48*10^6,NA)</f>
        <v>N/A</v>
      </c>
      <c r="X35" s="158" t="str">
        <f>IFERROR(Output_EB_RIN_ACS!S48*10^6,NA)</f>
        <v>N/A</v>
      </c>
      <c r="Y35" s="157" t="str">
        <f>IFERROR(Output_EB_RIN_ACS!T48*10^6,NA)</f>
        <v>N/A</v>
      </c>
      <c r="Z35" s="131"/>
      <c r="AA35" s="131"/>
      <c r="AB35" s="131"/>
      <c r="AC35" s="131"/>
      <c r="AD35" s="131"/>
      <c r="AE35" s="131"/>
      <c r="AF35" s="131"/>
      <c r="AG35" s="131"/>
      <c r="AH35" s="131"/>
      <c r="AI35" s="131"/>
      <c r="AJ35" s="131"/>
      <c r="AK35" s="131"/>
      <c r="AL35" s="131"/>
      <c r="AM35" s="131"/>
      <c r="AN35" s="131"/>
      <c r="AO35" s="131"/>
    </row>
    <row r="36" spans="1:41" outlineLevel="2" x14ac:dyDescent="0.55000000000000004">
      <c r="A36" s="150" t="s">
        <v>241</v>
      </c>
      <c r="B36" s="155" t="s">
        <v>224</v>
      </c>
      <c r="C36" s="156">
        <f>Output_EB_RIN_NS!N49*10^6/Input_Inflation!N$27</f>
        <v>18857443.245529324</v>
      </c>
      <c r="D36" s="157">
        <f>Output_EB_RIN_NS!O49*10^6/Input_Inflation!O$27</f>
        <v>15839476.45616708</v>
      </c>
      <c r="E36" s="158">
        <f>Output_EB_RIN_NS!P49*10^6/Input_Inflation!P$27</f>
        <v>14566440.698970644</v>
      </c>
      <c r="F36" s="158">
        <f>Output_EB_RIN_NS!Q49*10^6/Input_Inflation!Q$27</f>
        <v>15825105.401718948</v>
      </c>
      <c r="G36" s="158">
        <f>Output_EB_RIN_NS!R49*10^6/Input_Inflation!R$27</f>
        <v>15905194.698046139</v>
      </c>
      <c r="H36" s="158">
        <f>Output_EB_RIN_NS!S49*10^6/Input_Inflation!S$27</f>
        <v>14110465.828184666</v>
      </c>
      <c r="I36" s="157">
        <f>Output_EB_RIN_NS!T49*10^6/Input_Inflation!T$27</f>
        <v>14285954.368189177</v>
      </c>
      <c r="K36" s="156">
        <f>Output_EB_RIN_SCS!N49*10^6/Input_Inflation!N$27</f>
        <v>20668603.421223108</v>
      </c>
      <c r="L36" s="157">
        <f>Output_EB_RIN_SCS!O49*10^6/Input_Inflation!O$27</f>
        <v>17360776.48543008</v>
      </c>
      <c r="M36" s="158">
        <f>Output_EB_RIN_SCS!P49*10^6/Input_Inflation!P$27</f>
        <v>15965472.208814131</v>
      </c>
      <c r="N36" s="158">
        <f>Output_EB_RIN_SCS!Q49*10^6/Input_Inflation!Q$27</f>
        <v>17345025.165313888</v>
      </c>
      <c r="O36" s="158">
        <f>Output_EB_RIN_SCS!R49*10^6/Input_Inflation!R$27</f>
        <v>17432806.625531934</v>
      </c>
      <c r="P36" s="158">
        <f>Output_EB_RIN_SCS!S49*10^6/Input_Inflation!S$27</f>
        <v>15465703.303156512</v>
      </c>
      <c r="Q36" s="157">
        <f>Output_EB_RIN_SCS!T49*10^6/Input_Inflation!T$27</f>
        <v>15658046.612432154</v>
      </c>
      <c r="R36" s="131"/>
      <c r="S36" s="156" t="str">
        <f>IFERROR(Output_EB_RIN_ACS!N49*10^6,NA)</f>
        <v>N/A</v>
      </c>
      <c r="T36" s="157" t="str">
        <f>IFERROR(Output_EB_RIN_ACS!O49*10^6,NA)</f>
        <v>N/A</v>
      </c>
      <c r="U36" s="158" t="str">
        <f>IFERROR(Output_EB_RIN_ACS!P49*10^6,NA)</f>
        <v>N/A</v>
      </c>
      <c r="V36" s="158" t="str">
        <f>IFERROR(Output_EB_RIN_ACS!Q49*10^6,NA)</f>
        <v>N/A</v>
      </c>
      <c r="W36" s="158" t="str">
        <f>IFERROR(Output_EB_RIN_ACS!R49*10^6,NA)</f>
        <v>N/A</v>
      </c>
      <c r="X36" s="158" t="str">
        <f>IFERROR(Output_EB_RIN_ACS!S49*10^6,NA)</f>
        <v>N/A</v>
      </c>
      <c r="Y36" s="157" t="str">
        <f>IFERROR(Output_EB_RIN_ACS!T49*10^6,NA)</f>
        <v>N/A</v>
      </c>
      <c r="Z36" s="131"/>
      <c r="AA36" s="131"/>
      <c r="AB36" s="131"/>
      <c r="AC36" s="131"/>
      <c r="AD36" s="131"/>
      <c r="AE36" s="131"/>
      <c r="AF36" s="131"/>
      <c r="AG36" s="131"/>
      <c r="AH36" s="131"/>
      <c r="AI36" s="131"/>
      <c r="AJ36" s="131"/>
      <c r="AK36" s="131"/>
      <c r="AL36" s="131"/>
      <c r="AM36" s="131"/>
      <c r="AN36" s="131"/>
      <c r="AO36" s="131"/>
    </row>
    <row r="37" spans="1:41" outlineLevel="2" x14ac:dyDescent="0.55000000000000004">
      <c r="A37" s="150" t="s">
        <v>242</v>
      </c>
      <c r="B37" s="155" t="s">
        <v>226</v>
      </c>
      <c r="C37" s="156">
        <f>Output_EB_RIN_NS!N50*10^6/Input_Inflation!N$27</f>
        <v>-60345.677452960961</v>
      </c>
      <c r="D37" s="157">
        <f>Output_EB_RIN_NS!O50*10^6/Input_Inflation!O$27</f>
        <v>-59563.361131208265</v>
      </c>
      <c r="E37" s="158">
        <f>Output_EB_RIN_NS!P50*10^6/Input_Inflation!P$27</f>
        <v>-57617.781390158161</v>
      </c>
      <c r="F37" s="158">
        <f>Output_EB_RIN_NS!Q50*10^6/Input_Inflation!Q$27</f>
        <v>-56026.28929749802</v>
      </c>
      <c r="G37" s="158">
        <f>Output_EB_RIN_NS!R50*10^6/Input_Inflation!R$27</f>
        <v>-54478.692488137174</v>
      </c>
      <c r="H37" s="158">
        <f>Output_EB_RIN_NS!S50*10^6/Input_Inflation!S$27</f>
        <v>-52973.782243785055</v>
      </c>
      <c r="I37" s="157">
        <f>Output_EB_RIN_NS!T50*10^6/Input_Inflation!T$27</f>
        <v>-51510.383069404561</v>
      </c>
      <c r="K37" s="156">
        <f>Output_EB_RIN_SCS!N50*10^6/Input_Inflation!N$27</f>
        <v>-66141.568569004856</v>
      </c>
      <c r="L37" s="157">
        <f>Output_EB_RIN_SCS!O50*10^6/Input_Inflation!O$27</f>
        <v>-65284.114798961557</v>
      </c>
      <c r="M37" s="158">
        <f>Output_EB_RIN_SCS!P50*10^6/Input_Inflation!P$27</f>
        <v>-63151.672157159424</v>
      </c>
      <c r="N37" s="158">
        <f>Output_EB_RIN_SCS!Q50*10^6/Input_Inflation!Q$27</f>
        <v>-61407.325456341248</v>
      </c>
      <c r="O37" s="158">
        <f>Output_EB_RIN_SCS!R50*10^6/Input_Inflation!R$27</f>
        <v>-59711.08995441482</v>
      </c>
      <c r="P37" s="158">
        <f>Output_EB_RIN_SCS!S50*10^6/Input_Inflation!S$27</f>
        <v>-58061.640841931134</v>
      </c>
      <c r="Q37" s="157">
        <f>Output_EB_RIN_SCS!T50*10^6/Input_Inflation!T$27</f>
        <v>-56457.689723616808</v>
      </c>
      <c r="R37" s="131"/>
      <c r="S37" s="156" t="str">
        <f>IFERROR(Output_EB_RIN_ACS!N50*10^6,NA)</f>
        <v>N/A</v>
      </c>
      <c r="T37" s="157" t="str">
        <f>IFERROR(Output_EB_RIN_ACS!O50*10^6,NA)</f>
        <v>N/A</v>
      </c>
      <c r="U37" s="158" t="str">
        <f>IFERROR(Output_EB_RIN_ACS!P50*10^6,NA)</f>
        <v>N/A</v>
      </c>
      <c r="V37" s="158" t="str">
        <f>IFERROR(Output_EB_RIN_ACS!Q50*10^6,NA)</f>
        <v>N/A</v>
      </c>
      <c r="W37" s="158" t="str">
        <f>IFERROR(Output_EB_RIN_ACS!R50*10^6,NA)</f>
        <v>N/A</v>
      </c>
      <c r="X37" s="158" t="str">
        <f>IFERROR(Output_EB_RIN_ACS!S50*10^6,NA)</f>
        <v>N/A</v>
      </c>
      <c r="Y37" s="157" t="str">
        <f>IFERROR(Output_EB_RIN_ACS!T50*10^6,NA)</f>
        <v>N/A</v>
      </c>
      <c r="Z37" s="131"/>
      <c r="AA37" s="131"/>
      <c r="AB37" s="131"/>
      <c r="AC37" s="131"/>
      <c r="AD37" s="131"/>
      <c r="AE37" s="131"/>
      <c r="AF37" s="131"/>
      <c r="AG37" s="131"/>
      <c r="AH37" s="131"/>
      <c r="AI37" s="131"/>
      <c r="AJ37" s="131"/>
      <c r="AK37" s="131"/>
      <c r="AL37" s="131"/>
      <c r="AM37" s="131"/>
      <c r="AN37" s="131"/>
      <c r="AO37" s="131"/>
    </row>
    <row r="38" spans="1:41" ht="14.7" outlineLevel="2" thickBot="1" x14ac:dyDescent="0.6">
      <c r="A38" s="150" t="s">
        <v>243</v>
      </c>
      <c r="B38" s="159" t="s">
        <v>228</v>
      </c>
      <c r="C38" s="160">
        <f t="shared" ref="C38:H38" si="11">SUM(C33:C37)</f>
        <v>178852800.10247764</v>
      </c>
      <c r="D38" s="161">
        <f t="shared" si="11"/>
        <v>189071929.39736384</v>
      </c>
      <c r="E38" s="162">
        <f t="shared" si="11"/>
        <v>197091506.23676601</v>
      </c>
      <c r="F38" s="162">
        <f t="shared" si="11"/>
        <v>206088014.52787602</v>
      </c>
      <c r="G38" s="162">
        <f t="shared" si="11"/>
        <v>214860739.76964346</v>
      </c>
      <c r="H38" s="162">
        <f t="shared" si="11"/>
        <v>221533959.04433146</v>
      </c>
      <c r="I38" s="161">
        <f t="shared" ref="I38" si="12">SUM(I33:I37)</f>
        <v>228110775.04240587</v>
      </c>
      <c r="K38" s="160">
        <f t="shared" ref="K38:P38" si="13">SUM(K33:K37)</f>
        <v>227374802.1315046</v>
      </c>
      <c r="L38" s="161">
        <f t="shared" si="13"/>
        <v>237168383.7764982</v>
      </c>
      <c r="M38" s="162">
        <f t="shared" si="13"/>
        <v>245108940.22825694</v>
      </c>
      <c r="N38" s="162">
        <f t="shared" si="13"/>
        <v>254144349.27943555</v>
      </c>
      <c r="O38" s="162">
        <f t="shared" si="13"/>
        <v>262957890.54999882</v>
      </c>
      <c r="P38" s="162">
        <f t="shared" si="13"/>
        <v>269493023.55385023</v>
      </c>
      <c r="Q38" s="161">
        <f t="shared" ref="Q38" si="14">SUM(Q33:Q37)</f>
        <v>275944593.44763863</v>
      </c>
      <c r="R38" s="131"/>
      <c r="S38" s="160">
        <f t="shared" ref="S38:X38" si="15">SUM(S33:S37)</f>
        <v>0</v>
      </c>
      <c r="T38" s="161">
        <f t="shared" si="15"/>
        <v>0</v>
      </c>
      <c r="U38" s="162">
        <f t="shared" si="15"/>
        <v>0</v>
      </c>
      <c r="V38" s="162">
        <f t="shared" si="15"/>
        <v>0</v>
      </c>
      <c r="W38" s="162">
        <f t="shared" si="15"/>
        <v>0</v>
      </c>
      <c r="X38" s="162">
        <f t="shared" si="15"/>
        <v>0</v>
      </c>
      <c r="Y38" s="161">
        <f t="shared" ref="Y38" si="16">SUM(Y33:Y37)</f>
        <v>0</v>
      </c>
      <c r="Z38" s="131"/>
      <c r="AA38" s="131"/>
      <c r="AB38" s="131"/>
      <c r="AC38" s="131"/>
      <c r="AD38" s="131"/>
      <c r="AE38" s="131"/>
      <c r="AF38" s="131"/>
      <c r="AG38" s="131"/>
      <c r="AH38" s="131"/>
      <c r="AI38" s="131"/>
      <c r="AJ38" s="131"/>
      <c r="AK38" s="131"/>
      <c r="AL38" s="131"/>
      <c r="AM38" s="131"/>
      <c r="AN38" s="131"/>
      <c r="AO38" s="131"/>
    </row>
    <row r="39" spans="1:41" ht="20.25" customHeight="1" outlineLevel="1" thickBot="1" x14ac:dyDescent="0.6">
      <c r="A39" s="42">
        <f>IF(SUM(C39:I39,K39:Q39,S39:Y39)&lt;&gt;0,1,0)</f>
        <v>0</v>
      </c>
      <c r="B39" s="165" t="s">
        <v>244</v>
      </c>
      <c r="C39" s="256">
        <f>IF(ROUND(C38-(Output_EB_RIN_NS!N52*10^6/Input_Inflation!N$27),4)=0,0,1)</f>
        <v>0</v>
      </c>
      <c r="D39" s="256">
        <f>IF(ROUND(D38-(Output_EB_RIN_NS!O52*10^6/Input_Inflation!O$27),4)=0,0,1)</f>
        <v>0</v>
      </c>
      <c r="E39" s="256">
        <f>IF(ROUND(E38-(Output_EB_RIN_NS!P52*10^6/Input_Inflation!P$27),4)=0,0,1)</f>
        <v>0</v>
      </c>
      <c r="F39" s="256">
        <f>IF(ROUND(F38-(Output_EB_RIN_NS!Q52*10^6/Input_Inflation!Q$27),4)=0,0,1)</f>
        <v>0</v>
      </c>
      <c r="G39" s="256">
        <f>IF(ROUND(G38-(Output_EB_RIN_NS!R52*10^6/Input_Inflation!R$27),4)=0,0,1)</f>
        <v>0</v>
      </c>
      <c r="H39" s="256">
        <f>IF(ROUND(H38-(Output_EB_RIN_NS!S52*10^6/Input_Inflation!S$27),4)=0,0,1)</f>
        <v>0</v>
      </c>
      <c r="I39" s="256">
        <f>IF(ROUND(I38-(Output_EB_RIN_NS!T52*10^6/Input_Inflation!T$27),4)=0,0,1)</f>
        <v>0</v>
      </c>
      <c r="K39" s="256">
        <f>IF(ROUND(K38-(Output_EB_RIN_SCS!N52*10^6/Input_Inflation!N$27),4)=0,0,1)</f>
        <v>0</v>
      </c>
      <c r="L39" s="256">
        <f>IF(ROUND(L38-(Output_EB_RIN_SCS!O52*10^6/Input_Inflation!O$27),4)=0,0,1)</f>
        <v>0</v>
      </c>
      <c r="M39" s="256">
        <f>IF(ROUND(M38-(Output_EB_RIN_SCS!P52*10^6/Input_Inflation!P$27),4)=0,0,1)</f>
        <v>0</v>
      </c>
      <c r="N39" s="256">
        <f>IF(ROUND(N38-(Output_EB_RIN_SCS!Q52*10^6/Input_Inflation!Q$27),4)=0,0,1)</f>
        <v>0</v>
      </c>
      <c r="O39" s="256">
        <f>IF(ROUND(O38-(Output_EB_RIN_SCS!R52*10^6/Input_Inflation!R$27),4)=0,0,1)</f>
        <v>0</v>
      </c>
      <c r="P39" s="256">
        <f>IF(ROUND(P38-(Output_EB_RIN_SCS!S52*10^6/Input_Inflation!S$27),4)=0,0,1)</f>
        <v>0</v>
      </c>
      <c r="Q39" s="256">
        <f>IF(ROUND(Q38-(Output_EB_RIN_SCS!T52*10^6/Input_Inflation!T$27),4)=0,0,1)</f>
        <v>0</v>
      </c>
      <c r="R39" s="131"/>
      <c r="S39" s="256">
        <f>IF(ROUND(S38-(Output_EB_RIN_ACS!N52*10^6),4)=0,0,1)</f>
        <v>0</v>
      </c>
      <c r="T39" s="256">
        <f>IF(ROUND(T38-(Output_EB_RIN_ACS!O52*10^6),4)=0,0,1)</f>
        <v>0</v>
      </c>
      <c r="U39" s="256">
        <f>IF(ROUND(U38-(Output_EB_RIN_ACS!P52*10^6),4)=0,0,1)</f>
        <v>0</v>
      </c>
      <c r="V39" s="256">
        <f>IF(ROUND(V38-(Output_EB_RIN_ACS!Q52*10^6),4)=0,0,1)</f>
        <v>0</v>
      </c>
      <c r="W39" s="256">
        <f>IF(ROUND(W38-(Output_EB_RIN_ACS!R52*10^6),4)=0,0,1)</f>
        <v>0</v>
      </c>
      <c r="X39" s="256">
        <f>IF(ROUND(X38-(Output_EB_RIN_ACS!S52*10^6),4)=0,0,1)</f>
        <v>0</v>
      </c>
      <c r="Y39" s="256">
        <f>IF(ROUND(Y38-(Output_EB_RIN_ACS!T52*10^6),4)=0,0,1)</f>
        <v>0</v>
      </c>
      <c r="Z39" s="131"/>
      <c r="AA39" s="131"/>
      <c r="AB39" s="131"/>
      <c r="AC39" s="131"/>
      <c r="AD39" s="131"/>
      <c r="AE39" s="131"/>
      <c r="AF39" s="131"/>
      <c r="AG39" s="131"/>
      <c r="AH39" s="131"/>
      <c r="AI39" s="131"/>
      <c r="AJ39" s="131"/>
      <c r="AK39" s="131"/>
      <c r="AL39" s="131"/>
      <c r="AM39" s="131"/>
      <c r="AN39" s="131"/>
      <c r="AO39" s="131"/>
    </row>
    <row r="40" spans="1:41" outlineLevel="2" x14ac:dyDescent="0.55000000000000004">
      <c r="A40" s="150" t="s">
        <v>245</v>
      </c>
      <c r="B40" s="151" t="s">
        <v>218</v>
      </c>
      <c r="C40" s="152">
        <f>Output_EB_RIN_NS!N60*10^6/Input_Inflation!N$27</f>
        <v>123230572.60250303</v>
      </c>
      <c r="D40" s="153">
        <f>Output_EB_RIN_NS!O60*10^6/Input_Inflation!O$27</f>
        <v>129587081.50323471</v>
      </c>
      <c r="E40" s="154">
        <f>Output_EB_RIN_NS!P60*10^6/Input_Inflation!P$27</f>
        <v>132060253.6098319</v>
      </c>
      <c r="F40" s="154">
        <f>Output_EB_RIN_NS!Q60*10^6/Input_Inflation!Q$27</f>
        <v>135048023.39814806</v>
      </c>
      <c r="G40" s="154">
        <f>Output_EB_RIN_NS!R60*10^6/Input_Inflation!R$27</f>
        <v>138146908.39454034</v>
      </c>
      <c r="H40" s="154">
        <f>Output_EB_RIN_NS!S60*10^6/Input_Inflation!S$27</f>
        <v>141311903.36996031</v>
      </c>
      <c r="I40" s="153">
        <f>Output_EB_RIN_NS!T60*10^6/Input_Inflation!T$27</f>
        <v>144525306.68330657</v>
      </c>
      <c r="K40" s="152">
        <f>Output_EB_RIN_SCS!N60*10^6/Input_Inflation!N$27</f>
        <v>161395449.52010235</v>
      </c>
      <c r="L40" s="153">
        <f>Output_EB_RIN_SCS!O60*10^6/Input_Inflation!O$27</f>
        <v>167180545.54245165</v>
      </c>
      <c r="M40" s="154">
        <f>Output_EB_RIN_SCS!P60*10^6/Input_Inflation!P$27</f>
        <v>169177870.82748464</v>
      </c>
      <c r="N40" s="154">
        <f>Output_EB_RIN_SCS!Q60*10^6/Input_Inflation!Q$27</f>
        <v>171759455.58422774</v>
      </c>
      <c r="O40" s="154">
        <f>Output_EB_RIN_SCS!R60*10^6/Input_Inflation!R$27</f>
        <v>174482490.83236068</v>
      </c>
      <c r="P40" s="154">
        <f>Output_EB_RIN_SCS!S60*10^6/Input_Inflation!S$27</f>
        <v>177297091.01286829</v>
      </c>
      <c r="Q40" s="153">
        <f>Output_EB_RIN_SCS!T60*10^6/Input_Inflation!T$27</f>
        <v>180183312.34753343</v>
      </c>
      <c r="R40" s="131"/>
      <c r="S40" s="152" t="str">
        <f>IFERROR(Output_EB_RIN_ACS!N60*10^6,NA)</f>
        <v>N/A</v>
      </c>
      <c r="T40" s="153" t="str">
        <f>IFERROR(Output_EB_RIN_ACS!O60*10^6,NA)</f>
        <v>N/A</v>
      </c>
      <c r="U40" s="154" t="str">
        <f>IFERROR(Output_EB_RIN_ACS!P60*10^6,NA)</f>
        <v>N/A</v>
      </c>
      <c r="V40" s="154" t="str">
        <f>IFERROR(Output_EB_RIN_ACS!Q60*10^6,NA)</f>
        <v>N/A</v>
      </c>
      <c r="W40" s="154" t="str">
        <f>IFERROR(Output_EB_RIN_ACS!R60*10^6,NA)</f>
        <v>N/A</v>
      </c>
      <c r="X40" s="154" t="str">
        <f>IFERROR(Output_EB_RIN_ACS!S60*10^6,NA)</f>
        <v>N/A</v>
      </c>
      <c r="Y40" s="153" t="str">
        <f>IFERROR(Output_EB_RIN_ACS!T60*10^6,NA)</f>
        <v>N/A</v>
      </c>
      <c r="Z40" s="131"/>
      <c r="AA40" s="131"/>
      <c r="AB40" s="131"/>
      <c r="AC40" s="131"/>
      <c r="AD40" s="131"/>
      <c r="AE40" s="131"/>
      <c r="AF40" s="131"/>
      <c r="AG40" s="131"/>
      <c r="AH40" s="131"/>
      <c r="AI40" s="131"/>
      <c r="AJ40" s="131"/>
      <c r="AK40" s="131"/>
      <c r="AL40" s="131"/>
      <c r="AM40" s="131"/>
      <c r="AN40" s="131"/>
      <c r="AO40" s="131"/>
    </row>
    <row r="41" spans="1:41" outlineLevel="2" x14ac:dyDescent="0.55000000000000004">
      <c r="A41" s="150" t="s">
        <v>246</v>
      </c>
      <c r="B41" s="155" t="s">
        <v>220</v>
      </c>
      <c r="C41" s="156">
        <f>Output_EB_RIN_NS!N61*10^6/Input_Inflation!N$27</f>
        <v>11780207.757189307</v>
      </c>
      <c r="D41" s="157">
        <f>Output_EB_RIN_NS!O61*10^6/Input_Inflation!O$27</f>
        <v>7168945.404702724</v>
      </c>
      <c r="E41" s="158">
        <f>Output_EB_RIN_NS!P61*10^6/Input_Inflation!P$27</f>
        <v>4506553.635819112</v>
      </c>
      <c r="F41" s="158">
        <f>Output_EB_RIN_NS!Q61*10^6/Input_Inflation!Q$27</f>
        <v>4575321.7915759571</v>
      </c>
      <c r="G41" s="158">
        <f>Output_EB_RIN_NS!R61*10^6/Input_Inflation!R$27</f>
        <v>4647857.9000983937</v>
      </c>
      <c r="H41" s="158">
        <f>Output_EB_RIN_NS!S61*10^6/Input_Inflation!S$27</f>
        <v>4722833.1117782826</v>
      </c>
      <c r="I41" s="157">
        <f>Output_EB_RIN_NS!T61*10^6/Input_Inflation!T$27</f>
        <v>4799716.1650162423</v>
      </c>
      <c r="K41" s="156">
        <f>Output_EB_RIN_SCS!N61*10^6/Input_Inflation!N$27</f>
        <v>12911635.96160819</v>
      </c>
      <c r="L41" s="157">
        <f>Output_EB_RIN_SCS!O61*10^6/Input_Inflation!O$27</f>
        <v>7857485.6404952276</v>
      </c>
      <c r="M41" s="158">
        <f>Output_EB_RIN_SCS!P61*10^6/Input_Inflation!P$27</f>
        <v>4939384.8721935684</v>
      </c>
      <c r="N41" s="158">
        <f>Output_EB_RIN_SCS!Q61*10^6/Input_Inflation!Q$27</f>
        <v>5014757.8546727328</v>
      </c>
      <c r="O41" s="158">
        <f>Output_EB_RIN_SCS!R61*10^6/Input_Inflation!R$27</f>
        <v>5094260.6823492525</v>
      </c>
      <c r="P41" s="158">
        <f>Output_EB_RIN_SCS!S61*10^6/Input_Inflation!S$27</f>
        <v>5176436.8764630156</v>
      </c>
      <c r="Q41" s="157">
        <f>Output_EB_RIN_SCS!T61*10^6/Input_Inflation!T$27</f>
        <v>5260704.1504777409</v>
      </c>
      <c r="R41" s="131"/>
      <c r="S41" s="156" t="str">
        <f>IFERROR(Output_EB_RIN_ACS!N61*10^6,NA)</f>
        <v>N/A</v>
      </c>
      <c r="T41" s="157" t="str">
        <f>IFERROR(Output_EB_RIN_ACS!O61*10^6,NA)</f>
        <v>N/A</v>
      </c>
      <c r="U41" s="158" t="str">
        <f>IFERROR(Output_EB_RIN_ACS!P61*10^6,NA)</f>
        <v>N/A</v>
      </c>
      <c r="V41" s="158" t="str">
        <f>IFERROR(Output_EB_RIN_ACS!Q61*10^6,NA)</f>
        <v>N/A</v>
      </c>
      <c r="W41" s="158" t="str">
        <f>IFERROR(Output_EB_RIN_ACS!R61*10^6,NA)</f>
        <v>N/A</v>
      </c>
      <c r="X41" s="158" t="str">
        <f>IFERROR(Output_EB_RIN_ACS!S61*10^6,NA)</f>
        <v>N/A</v>
      </c>
      <c r="Y41" s="157" t="str">
        <f>IFERROR(Output_EB_RIN_ACS!T61*10^6,NA)</f>
        <v>N/A</v>
      </c>
      <c r="Z41" s="131"/>
      <c r="AA41" s="131"/>
      <c r="AB41" s="131"/>
      <c r="AC41" s="131"/>
      <c r="AD41" s="131"/>
      <c r="AE41" s="131"/>
      <c r="AF41" s="131"/>
      <c r="AG41" s="131"/>
      <c r="AH41" s="131"/>
      <c r="AI41" s="131"/>
      <c r="AJ41" s="131"/>
      <c r="AK41" s="131"/>
      <c r="AL41" s="131"/>
      <c r="AM41" s="131"/>
      <c r="AN41" s="131"/>
      <c r="AO41" s="131"/>
    </row>
    <row r="42" spans="1:41" outlineLevel="2" x14ac:dyDescent="0.55000000000000004">
      <c r="A42" s="150" t="s">
        <v>247</v>
      </c>
      <c r="B42" s="155" t="s">
        <v>222</v>
      </c>
      <c r="C42" s="156">
        <f>Output_EB_RIN_NS!N62*10^6/Input_Inflation!N$27</f>
        <v>-6288087.0121928249</v>
      </c>
      <c r="D42" s="157">
        <f>Output_EB_RIN_NS!O62*10^6/Input_Inflation!O$27</f>
        <v>-6731333.7127300203</v>
      </c>
      <c r="E42" s="158">
        <f>Output_EB_RIN_NS!P62*10^6/Input_Inflation!P$27</f>
        <v>-6792683.3874445995</v>
      </c>
      <c r="F42" s="158">
        <f>Output_EB_RIN_NS!Q62*10^6/Input_Inflation!Q$27</f>
        <v>-6983057.2474601883</v>
      </c>
      <c r="G42" s="158">
        <f>Output_EB_RIN_NS!R62*10^6/Input_Inflation!R$27</f>
        <v>-7180180.828808452</v>
      </c>
      <c r="H42" s="158">
        <f>Output_EB_RIN_NS!S62*10^6/Input_Inflation!S$27</f>
        <v>-7383229.4571909299</v>
      </c>
      <c r="I42" s="157">
        <f>Output_EB_RIN_NS!T62*10^6/Input_Inflation!T$27</f>
        <v>-7591940.8182485588</v>
      </c>
      <c r="K42" s="156">
        <f>Output_EB_RIN_SCS!N62*10^6/Input_Inflation!N$27</f>
        <v>-6892025.3419810357</v>
      </c>
      <c r="L42" s="157">
        <f>Output_EB_RIN_SCS!O62*10^6/Input_Inflation!O$27</f>
        <v>-7377843.6022767872</v>
      </c>
      <c r="M42" s="158">
        <f>Output_EB_RIN_SCS!P62*10^6/Input_Inflation!P$27</f>
        <v>-7445085.5968667632</v>
      </c>
      <c r="N42" s="158">
        <f>Output_EB_RIN_SCS!Q62*10^6/Input_Inflation!Q$27</f>
        <v>-7653743.8843767885</v>
      </c>
      <c r="O42" s="158">
        <f>Output_EB_RIN_SCS!R62*10^6/Input_Inflation!R$27</f>
        <v>-7869800.1691451082</v>
      </c>
      <c r="P42" s="158">
        <f>Output_EB_RIN_SCS!S62*10^6/Input_Inflation!S$27</f>
        <v>-8092350.5711597456</v>
      </c>
      <c r="Q42" s="157">
        <f>Output_EB_RIN_SCS!T62*10^6/Input_Inflation!T$27</f>
        <v>-8321107.5821202043</v>
      </c>
      <c r="R42" s="131"/>
      <c r="S42" s="156" t="str">
        <f>IFERROR(Output_EB_RIN_ACS!N62*10^6,NA)</f>
        <v>N/A</v>
      </c>
      <c r="T42" s="157" t="str">
        <f>IFERROR(Output_EB_RIN_ACS!O62*10^6,NA)</f>
        <v>N/A</v>
      </c>
      <c r="U42" s="158" t="str">
        <f>IFERROR(Output_EB_RIN_ACS!P62*10^6,NA)</f>
        <v>N/A</v>
      </c>
      <c r="V42" s="158" t="str">
        <f>IFERROR(Output_EB_RIN_ACS!Q62*10^6,NA)</f>
        <v>N/A</v>
      </c>
      <c r="W42" s="158" t="str">
        <f>IFERROR(Output_EB_RIN_ACS!R62*10^6,NA)</f>
        <v>N/A</v>
      </c>
      <c r="X42" s="158" t="str">
        <f>IFERROR(Output_EB_RIN_ACS!S62*10^6,NA)</f>
        <v>N/A</v>
      </c>
      <c r="Y42" s="157" t="str">
        <f>IFERROR(Output_EB_RIN_ACS!T62*10^6,NA)</f>
        <v>N/A</v>
      </c>
      <c r="Z42" s="131"/>
      <c r="AA42" s="131"/>
      <c r="AB42" s="131"/>
      <c r="AC42" s="131"/>
      <c r="AD42" s="131"/>
      <c r="AE42" s="131"/>
      <c r="AF42" s="131"/>
      <c r="AG42" s="131"/>
      <c r="AH42" s="131"/>
      <c r="AI42" s="131"/>
      <c r="AJ42" s="131"/>
      <c r="AK42" s="131"/>
      <c r="AL42" s="131"/>
      <c r="AM42" s="131"/>
      <c r="AN42" s="131"/>
      <c r="AO42" s="131"/>
    </row>
    <row r="43" spans="1:41" outlineLevel="2" x14ac:dyDescent="0.55000000000000004">
      <c r="A43" s="150" t="s">
        <v>248</v>
      </c>
      <c r="B43" s="155" t="s">
        <v>224</v>
      </c>
      <c r="C43" s="156">
        <f>Output_EB_RIN_NS!N63*10^6/Input_Inflation!N$27</f>
        <v>6971558.4334908938</v>
      </c>
      <c r="D43" s="157">
        <f>Output_EB_RIN_NS!O63*10^6/Input_Inflation!O$27</f>
        <v>5907607.0074388282</v>
      </c>
      <c r="E43" s="158">
        <f>Output_EB_RIN_NS!P63*10^6/Input_Inflation!P$27</f>
        <v>9232643.7895566076</v>
      </c>
      <c r="F43" s="158">
        <f>Output_EB_RIN_NS!Q63*10^6/Input_Inflation!Q$27</f>
        <v>9555403.7935579792</v>
      </c>
      <c r="G43" s="158">
        <f>Output_EB_RIN_NS!R63*10^6/Input_Inflation!R$27</f>
        <v>9838082.5688930023</v>
      </c>
      <c r="H43" s="158">
        <f>Output_EB_RIN_NS!S63*10^6/Input_Inflation!S$27</f>
        <v>10107970.722570501</v>
      </c>
      <c r="I43" s="157">
        <f>Output_EB_RIN_NS!T63*10^6/Input_Inflation!T$27</f>
        <v>10405146.149736755</v>
      </c>
      <c r="K43" s="156">
        <f>Output_EB_RIN_SCS!N63*10^6/Input_Inflation!N$27</f>
        <v>7641140.6686252514</v>
      </c>
      <c r="L43" s="157">
        <f>Output_EB_RIN_SCS!O63*10^6/Input_Inflation!O$27</f>
        <v>6475002.1949099274</v>
      </c>
      <c r="M43" s="158">
        <f>Output_EB_RIN_SCS!P63*10^6/Input_Inflation!P$27</f>
        <v>10119391.612699376</v>
      </c>
      <c r="N43" s="158">
        <f>Output_EB_RIN_SCS!Q63*10^6/Input_Inflation!Q$27</f>
        <v>10473151.050608242</v>
      </c>
      <c r="O43" s="158">
        <f>Output_EB_RIN_SCS!R63*10^6/Input_Inflation!R$27</f>
        <v>10782979.664536685</v>
      </c>
      <c r="P43" s="158">
        <f>Output_EB_RIN_SCS!S63*10^6/Input_Inflation!S$27</f>
        <v>11078789.183558771</v>
      </c>
      <c r="Q43" s="157">
        <f>Output_EB_RIN_SCS!T63*10^6/Input_Inflation!T$27</f>
        <v>11404506.77796744</v>
      </c>
      <c r="R43" s="131"/>
      <c r="S43" s="156" t="str">
        <f>IFERROR(Output_EB_RIN_ACS!N63*10^6,NA)</f>
        <v>N/A</v>
      </c>
      <c r="T43" s="157" t="str">
        <f>IFERROR(Output_EB_RIN_ACS!O63*10^6,NA)</f>
        <v>N/A</v>
      </c>
      <c r="U43" s="158" t="str">
        <f>IFERROR(Output_EB_RIN_ACS!P63*10^6,NA)</f>
        <v>N/A</v>
      </c>
      <c r="V43" s="158" t="str">
        <f>IFERROR(Output_EB_RIN_ACS!Q63*10^6,NA)</f>
        <v>N/A</v>
      </c>
      <c r="W43" s="158" t="str">
        <f>IFERROR(Output_EB_RIN_ACS!R63*10^6,NA)</f>
        <v>N/A</v>
      </c>
      <c r="X43" s="158" t="str">
        <f>IFERROR(Output_EB_RIN_ACS!S63*10^6,NA)</f>
        <v>N/A</v>
      </c>
      <c r="Y43" s="157" t="str">
        <f>IFERROR(Output_EB_RIN_ACS!T63*10^6,NA)</f>
        <v>N/A</v>
      </c>
      <c r="Z43" s="131"/>
      <c r="AA43" s="131"/>
      <c r="AB43" s="131"/>
      <c r="AC43" s="131"/>
      <c r="AD43" s="131"/>
      <c r="AE43" s="131"/>
      <c r="AF43" s="131"/>
      <c r="AG43" s="131"/>
      <c r="AH43" s="131"/>
      <c r="AI43" s="131"/>
      <c r="AJ43" s="131"/>
      <c r="AK43" s="131"/>
      <c r="AL43" s="131"/>
      <c r="AM43" s="131"/>
      <c r="AN43" s="131"/>
      <c r="AO43" s="131"/>
    </row>
    <row r="44" spans="1:41" outlineLevel="2" x14ac:dyDescent="0.55000000000000004">
      <c r="A44" s="150" t="s">
        <v>249</v>
      </c>
      <c r="B44" s="155" t="s">
        <v>226</v>
      </c>
      <c r="C44" s="156">
        <f>Output_EB_RIN_NS!N64*10^6/Input_Inflation!N$27</f>
        <v>-16577.447103657512</v>
      </c>
      <c r="D44" s="157">
        <f>Output_EB_RIN_NS!O64*10^6/Input_Inflation!O$27</f>
        <v>-16362.538464139916</v>
      </c>
      <c r="E44" s="158">
        <f>Output_EB_RIN_NS!P64*10^6/Input_Inflation!P$27</f>
        <v>-15828.071927272444</v>
      </c>
      <c r="F44" s="158">
        <f>Output_EB_RIN_NS!Q64*10^6/Input_Inflation!Q$27</f>
        <v>-15390.876139678079</v>
      </c>
      <c r="G44" s="158">
        <f>Output_EB_RIN_NS!R64*10^6/Input_Inflation!R$27</f>
        <v>-14965.738742472349</v>
      </c>
      <c r="H44" s="158">
        <f>Output_EB_RIN_NS!S64*10^6/Input_Inflation!S$27</f>
        <v>-14552.327690936039</v>
      </c>
      <c r="I44" s="157">
        <f>Output_EB_RIN_NS!T64*10^6/Input_Inflation!T$27</f>
        <v>-14150.320067047171</v>
      </c>
      <c r="K44" s="156">
        <f>Output_EB_RIN_SCS!N64*10^6/Input_Inflation!N$27</f>
        <v>-18169.625407889336</v>
      </c>
      <c r="L44" s="157">
        <f>Output_EB_RIN_SCS!O64*10^6/Input_Inflation!O$27</f>
        <v>-17934.075901832261</v>
      </c>
      <c r="M44" s="158">
        <f>Output_EB_RIN_SCS!P64*10^6/Input_Inflation!P$27</f>
        <v>-17348.276610348392</v>
      </c>
      <c r="N44" s="158">
        <f>Output_EB_RIN_SCS!Q64*10^6/Input_Inflation!Q$27</f>
        <v>-16869.09042197901</v>
      </c>
      <c r="O44" s="158">
        <f>Output_EB_RIN_SCS!R64*10^6/Input_Inflation!R$27</f>
        <v>-16403.120770209833</v>
      </c>
      <c r="P44" s="158">
        <f>Output_EB_RIN_SCS!S64*10^6/Input_Inflation!S$27</f>
        <v>-15950.003719138736</v>
      </c>
      <c r="Q44" s="157">
        <f>Output_EB_RIN_SCS!T64*10^6/Input_Inflation!T$27</f>
        <v>-15509.38533613302</v>
      </c>
      <c r="R44" s="131"/>
      <c r="S44" s="156" t="str">
        <f>IFERROR(Output_EB_RIN_ACS!N64*10^6,NA)</f>
        <v>N/A</v>
      </c>
      <c r="T44" s="157" t="str">
        <f>IFERROR(Output_EB_RIN_ACS!O64*10^6,NA)</f>
        <v>N/A</v>
      </c>
      <c r="U44" s="158" t="str">
        <f>IFERROR(Output_EB_RIN_ACS!P64*10^6,NA)</f>
        <v>N/A</v>
      </c>
      <c r="V44" s="158" t="str">
        <f>IFERROR(Output_EB_RIN_ACS!Q64*10^6,NA)</f>
        <v>N/A</v>
      </c>
      <c r="W44" s="158" t="str">
        <f>IFERROR(Output_EB_RIN_ACS!R64*10^6,NA)</f>
        <v>N/A</v>
      </c>
      <c r="X44" s="158" t="str">
        <f>IFERROR(Output_EB_RIN_ACS!S64*10^6,NA)</f>
        <v>N/A</v>
      </c>
      <c r="Y44" s="157" t="str">
        <f>IFERROR(Output_EB_RIN_ACS!T64*10^6,NA)</f>
        <v>N/A</v>
      </c>
      <c r="Z44" s="131"/>
      <c r="AA44" s="131"/>
      <c r="AB44" s="131"/>
      <c r="AC44" s="131"/>
      <c r="AD44" s="131"/>
      <c r="AE44" s="131"/>
      <c r="AF44" s="131"/>
      <c r="AG44" s="131"/>
      <c r="AH44" s="131"/>
      <c r="AI44" s="131"/>
      <c r="AJ44" s="131"/>
      <c r="AK44" s="131"/>
      <c r="AL44" s="131"/>
      <c r="AM44" s="131"/>
      <c r="AN44" s="131"/>
      <c r="AO44" s="131"/>
    </row>
    <row r="45" spans="1:41" ht="14.7" outlineLevel="2" thickBot="1" x14ac:dyDescent="0.6">
      <c r="A45" s="150" t="s">
        <v>250</v>
      </c>
      <c r="B45" s="159" t="s">
        <v>228</v>
      </c>
      <c r="C45" s="160">
        <f t="shared" ref="C45:H45" si="17">SUM(C40:C44)</f>
        <v>135677674.33388674</v>
      </c>
      <c r="D45" s="161">
        <f t="shared" si="17"/>
        <v>135915937.66418213</v>
      </c>
      <c r="E45" s="162">
        <f t="shared" si="17"/>
        <v>138990939.57583573</v>
      </c>
      <c r="F45" s="162">
        <f t="shared" si="17"/>
        <v>142180300.85968214</v>
      </c>
      <c r="G45" s="162">
        <f t="shared" si="17"/>
        <v>145437702.29598081</v>
      </c>
      <c r="H45" s="162">
        <f t="shared" si="17"/>
        <v>148744925.41942725</v>
      </c>
      <c r="I45" s="161">
        <f t="shared" ref="I45" si="18">SUM(I40:I44)</f>
        <v>152124077.85974395</v>
      </c>
      <c r="K45" s="160">
        <f t="shared" ref="K45:P45" si="19">SUM(K40:K44)</f>
        <v>175038031.18294692</v>
      </c>
      <c r="L45" s="161">
        <f t="shared" si="19"/>
        <v>174117255.69967821</v>
      </c>
      <c r="M45" s="162">
        <f t="shared" si="19"/>
        <v>176774213.4389005</v>
      </c>
      <c r="N45" s="162">
        <f t="shared" si="19"/>
        <v>179576751.51470995</v>
      </c>
      <c r="O45" s="162">
        <f t="shared" si="19"/>
        <v>182473527.88933131</v>
      </c>
      <c r="P45" s="162">
        <f t="shared" si="19"/>
        <v>185444016.49801117</v>
      </c>
      <c r="Q45" s="161">
        <f t="shared" ref="Q45" si="20">SUM(Q40:Q44)</f>
        <v>188511906.30852228</v>
      </c>
      <c r="R45" s="131"/>
      <c r="S45" s="160">
        <f t="shared" ref="S45:X45" si="21">SUM(S40:S44)</f>
        <v>0</v>
      </c>
      <c r="T45" s="161">
        <f t="shared" si="21"/>
        <v>0</v>
      </c>
      <c r="U45" s="162">
        <f t="shared" si="21"/>
        <v>0</v>
      </c>
      <c r="V45" s="162">
        <f t="shared" si="21"/>
        <v>0</v>
      </c>
      <c r="W45" s="162">
        <f t="shared" si="21"/>
        <v>0</v>
      </c>
      <c r="X45" s="162">
        <f t="shared" si="21"/>
        <v>0</v>
      </c>
      <c r="Y45" s="161">
        <f t="shared" ref="Y45" si="22">SUM(Y40:Y44)</f>
        <v>0</v>
      </c>
      <c r="Z45" s="131"/>
      <c r="AA45" s="131"/>
      <c r="AB45" s="131"/>
      <c r="AC45" s="131"/>
      <c r="AD45" s="131"/>
      <c r="AE45" s="131"/>
      <c r="AF45" s="131"/>
      <c r="AG45" s="131"/>
      <c r="AH45" s="131"/>
      <c r="AI45" s="131"/>
      <c r="AJ45" s="131"/>
      <c r="AK45" s="131"/>
      <c r="AL45" s="131"/>
      <c r="AM45" s="131"/>
      <c r="AN45" s="131"/>
      <c r="AO45" s="131"/>
    </row>
    <row r="46" spans="1:41" ht="20.25" customHeight="1" outlineLevel="1" thickBot="1" x14ac:dyDescent="0.6">
      <c r="A46" s="42">
        <f>IF(SUM(C46:I46,K46:Q46,S46:Y46)&lt;&gt;0,1,0)</f>
        <v>0</v>
      </c>
      <c r="B46" s="165" t="s">
        <v>251</v>
      </c>
      <c r="C46" s="256">
        <f>IF(ROUND(C45-(Output_EB_RIN_NS!N66*10^6/Input_Inflation!N$27),4)=0,0,1)</f>
        <v>0</v>
      </c>
      <c r="D46" s="256">
        <f>IF(ROUND(D45-(Output_EB_RIN_NS!O66*10^6/Input_Inflation!O$27),4)=0,0,1)</f>
        <v>0</v>
      </c>
      <c r="E46" s="256">
        <f>IF(ROUND(E45-(Output_EB_RIN_NS!P66*10^6/Input_Inflation!P$27),4)=0,0,1)</f>
        <v>0</v>
      </c>
      <c r="F46" s="256">
        <f>IF(ROUND(F45-(Output_EB_RIN_NS!Q66*10^6/Input_Inflation!Q$27),4)=0,0,1)</f>
        <v>0</v>
      </c>
      <c r="G46" s="256">
        <f>IF(ROUND(G45-(Output_EB_RIN_NS!R66*10^6/Input_Inflation!R$27),4)=0,0,1)</f>
        <v>0</v>
      </c>
      <c r="H46" s="256">
        <f>IF(ROUND(H45-(Output_EB_RIN_NS!S66*10^6/Input_Inflation!S$27),4)=0,0,1)</f>
        <v>0</v>
      </c>
      <c r="I46" s="256">
        <f>IF(ROUND(I45-(Output_EB_RIN_NS!T66*10^6/Input_Inflation!T$27),4)=0,0,1)</f>
        <v>0</v>
      </c>
      <c r="K46" s="256">
        <f>IF(ROUND(K45-(Output_EB_RIN_SCS!N66*10^6/Input_Inflation!N$27),4)=0,0,1)</f>
        <v>0</v>
      </c>
      <c r="L46" s="256">
        <f>IF(ROUND(L45-(Output_EB_RIN_SCS!O66*10^6/Input_Inflation!O$27),4)=0,0,1)</f>
        <v>0</v>
      </c>
      <c r="M46" s="256">
        <f>IF(ROUND(M45-(Output_EB_RIN_SCS!P66*10^6/Input_Inflation!P$27),4)=0,0,1)</f>
        <v>0</v>
      </c>
      <c r="N46" s="256">
        <f>IF(ROUND(N45-(Output_EB_RIN_SCS!Q66*10^6/Input_Inflation!Q$27),4)=0,0,1)</f>
        <v>0</v>
      </c>
      <c r="O46" s="256">
        <f>IF(ROUND(O45-(Output_EB_RIN_SCS!R66*10^6/Input_Inflation!R$27),4)=0,0,1)</f>
        <v>0</v>
      </c>
      <c r="P46" s="256">
        <f>IF(ROUND(P45-(Output_EB_RIN_SCS!S66*10^6/Input_Inflation!S$27),4)=0,0,1)</f>
        <v>0</v>
      </c>
      <c r="Q46" s="256">
        <f>IF(ROUND(Q45-(Output_EB_RIN_SCS!T66*10^6/Input_Inflation!T$27),4)=0,0,1)</f>
        <v>0</v>
      </c>
      <c r="R46" s="131"/>
      <c r="S46" s="256">
        <f>IF(ROUND(S45-(Output_EB_RIN_ACS!N66*10^6),4)=0,0,1)</f>
        <v>0</v>
      </c>
      <c r="T46" s="256">
        <f>IF(ROUND(T45-(Output_EB_RIN_ACS!O66*10^6),4)=0,0,1)</f>
        <v>0</v>
      </c>
      <c r="U46" s="256">
        <f>IF(ROUND(U45-(Output_EB_RIN_ACS!P66*10^6),4)=0,0,1)</f>
        <v>0</v>
      </c>
      <c r="V46" s="256">
        <f>IF(ROUND(V45-(Output_EB_RIN_ACS!Q66*10^6),4)=0,0,1)</f>
        <v>0</v>
      </c>
      <c r="W46" s="256">
        <f>IF(ROUND(W45-(Output_EB_RIN_ACS!R66*10^6),4)=0,0,1)</f>
        <v>0</v>
      </c>
      <c r="X46" s="256">
        <f>IF(ROUND(X45-(Output_EB_RIN_ACS!S66*10^6),4)=0,0,1)</f>
        <v>0</v>
      </c>
      <c r="Y46" s="256">
        <f>IF(ROUND(Y45-(Output_EB_RIN_ACS!T66*10^6),4)=0,0,1)</f>
        <v>0</v>
      </c>
      <c r="Z46" s="131"/>
      <c r="AA46" s="131"/>
      <c r="AB46" s="131"/>
      <c r="AC46" s="131"/>
      <c r="AD46" s="131"/>
      <c r="AE46" s="131"/>
      <c r="AF46" s="131"/>
      <c r="AG46" s="131"/>
      <c r="AH46" s="131"/>
      <c r="AI46" s="131"/>
      <c r="AJ46" s="131"/>
      <c r="AK46" s="131"/>
      <c r="AL46" s="131"/>
      <c r="AM46" s="131"/>
      <c r="AN46" s="131"/>
      <c r="AO46" s="131"/>
    </row>
    <row r="47" spans="1:41" outlineLevel="2" x14ac:dyDescent="0.55000000000000004">
      <c r="A47" s="150" t="s">
        <v>252</v>
      </c>
      <c r="B47" s="151" t="s">
        <v>218</v>
      </c>
      <c r="C47" s="152">
        <f>Output_EB_RIN_NS!N74*10^6/Input_Inflation!N$27</f>
        <v>121082277.65642171</v>
      </c>
      <c r="D47" s="153">
        <f>Output_EB_RIN_NS!O74*10^6/Input_Inflation!O$27</f>
        <v>122170801.33819033</v>
      </c>
      <c r="E47" s="154">
        <f>Output_EB_RIN_NS!P74*10^6/Input_Inflation!P$27</f>
        <v>125608480.99406415</v>
      </c>
      <c r="F47" s="154">
        <f>Output_EB_RIN_NS!Q74*10^6/Input_Inflation!Q$27</f>
        <v>122674865.16502897</v>
      </c>
      <c r="G47" s="154">
        <f>Output_EB_RIN_NS!R74*10^6/Input_Inflation!R$27</f>
        <v>122082928.74411343</v>
      </c>
      <c r="H47" s="154">
        <f>Output_EB_RIN_NS!S74*10^6/Input_Inflation!S$27</f>
        <v>118677406.15168016</v>
      </c>
      <c r="I47" s="153">
        <f>Output_EB_RIN_NS!T74*10^6/Input_Inflation!T$27</f>
        <v>114599588.17127085</v>
      </c>
      <c r="K47" s="152">
        <f>Output_EB_RIN_SCS!N74*10^6/Input_Inflation!N$27</f>
        <v>121082277.65642171</v>
      </c>
      <c r="L47" s="153">
        <f>Output_EB_RIN_SCS!O74*10^6/Input_Inflation!O$27</f>
        <v>122170801.33819033</v>
      </c>
      <c r="M47" s="154">
        <f>Output_EB_RIN_SCS!P74*10^6/Input_Inflation!P$27</f>
        <v>125608480.99406415</v>
      </c>
      <c r="N47" s="154">
        <f>Output_EB_RIN_SCS!Q74*10^6/Input_Inflation!Q$27</f>
        <v>122674865.16502897</v>
      </c>
      <c r="O47" s="154">
        <f>Output_EB_RIN_SCS!R74*10^6/Input_Inflation!R$27</f>
        <v>122082928.74411343</v>
      </c>
      <c r="P47" s="154">
        <f>Output_EB_RIN_SCS!S74*10^6/Input_Inflation!S$27</f>
        <v>118677406.15168016</v>
      </c>
      <c r="Q47" s="153">
        <f>Output_EB_RIN_SCS!T74*10^6/Input_Inflation!T$27</f>
        <v>114599588.17127085</v>
      </c>
      <c r="R47" s="131"/>
      <c r="S47" s="152" t="str">
        <f>IFERROR(Output_EB_RIN_ACS!N74*10^6,NA)</f>
        <v>N/A</v>
      </c>
      <c r="T47" s="153" t="str">
        <f>IFERROR(Output_EB_RIN_ACS!O74*10^6,NA)</f>
        <v>N/A</v>
      </c>
      <c r="U47" s="154" t="str">
        <f>IFERROR(Output_EB_RIN_ACS!P74*10^6,NA)</f>
        <v>N/A</v>
      </c>
      <c r="V47" s="154" t="str">
        <f>IFERROR(Output_EB_RIN_ACS!Q74*10^6,NA)</f>
        <v>N/A</v>
      </c>
      <c r="W47" s="154" t="str">
        <f>IFERROR(Output_EB_RIN_ACS!R74*10^6,NA)</f>
        <v>N/A</v>
      </c>
      <c r="X47" s="154" t="str">
        <f>IFERROR(Output_EB_RIN_ACS!S74*10^6,NA)</f>
        <v>N/A</v>
      </c>
      <c r="Y47" s="153" t="str">
        <f>IFERROR(Output_EB_RIN_ACS!T74*10^6,NA)</f>
        <v>N/A</v>
      </c>
      <c r="Z47" s="131"/>
      <c r="AA47" s="131"/>
      <c r="AB47" s="131"/>
      <c r="AC47" s="131"/>
      <c r="AD47" s="131"/>
      <c r="AE47" s="131"/>
      <c r="AF47" s="131"/>
      <c r="AG47" s="131"/>
      <c r="AH47" s="131"/>
      <c r="AI47" s="131"/>
      <c r="AJ47" s="131"/>
      <c r="AK47" s="131"/>
      <c r="AL47" s="131"/>
      <c r="AM47" s="131"/>
      <c r="AN47" s="131"/>
      <c r="AO47" s="131"/>
    </row>
    <row r="48" spans="1:41" outlineLevel="2" x14ac:dyDescent="0.55000000000000004">
      <c r="A48" s="150" t="s">
        <v>253</v>
      </c>
      <c r="B48" s="155" t="s">
        <v>220</v>
      </c>
      <c r="C48" s="156">
        <f>Output_EB_RIN_NS!N75*10^6/Input_Inflation!N$27</f>
        <v>9686582.2125137355</v>
      </c>
      <c r="D48" s="157">
        <f>Output_EB_RIN_NS!O75*10^6/Input_Inflation!O$27</f>
        <v>5742027.6628949465</v>
      </c>
      <c r="E48" s="158">
        <f>Output_EB_RIN_NS!P75*10^6/Input_Inflation!P$27</f>
        <v>3667315.5171338106</v>
      </c>
      <c r="F48" s="158">
        <f>Output_EB_RIN_NS!Q75*10^6/Input_Inflation!Q$27</f>
        <v>3581664.494480026</v>
      </c>
      <c r="G48" s="158">
        <f>Output_EB_RIN_NS!R75*10^6/Input_Inflation!R$27</f>
        <v>3564382.0816652183</v>
      </c>
      <c r="H48" s="158">
        <f>Output_EB_RIN_NS!S75*10^6/Input_Inflation!S$27</f>
        <v>3464953.0801492259</v>
      </c>
      <c r="I48" s="157">
        <f>Output_EB_RIN_NS!T75*10^6/Input_Inflation!T$27</f>
        <v>3345895.4732324686</v>
      </c>
      <c r="K48" s="156">
        <f>Output_EB_RIN_SCS!N75*10^6/Input_Inflation!N$27</f>
        <v>9686582.2125137355</v>
      </c>
      <c r="L48" s="157">
        <f>Output_EB_RIN_SCS!O75*10^6/Input_Inflation!O$27</f>
        <v>5742027.6628949465</v>
      </c>
      <c r="M48" s="158">
        <f>Output_EB_RIN_SCS!P75*10^6/Input_Inflation!P$27</f>
        <v>3667315.5171338106</v>
      </c>
      <c r="N48" s="158">
        <f>Output_EB_RIN_SCS!Q75*10^6/Input_Inflation!Q$27</f>
        <v>3581664.494480026</v>
      </c>
      <c r="O48" s="158">
        <f>Output_EB_RIN_SCS!R75*10^6/Input_Inflation!R$27</f>
        <v>3564382.0816652183</v>
      </c>
      <c r="P48" s="158">
        <f>Output_EB_RIN_SCS!S75*10^6/Input_Inflation!S$27</f>
        <v>3464953.0801492259</v>
      </c>
      <c r="Q48" s="157">
        <f>Output_EB_RIN_SCS!T75*10^6/Input_Inflation!T$27</f>
        <v>3345895.4732324686</v>
      </c>
      <c r="R48" s="131"/>
      <c r="S48" s="156" t="str">
        <f>IFERROR(Output_EB_RIN_ACS!N75*10^6,NA)</f>
        <v>N/A</v>
      </c>
      <c r="T48" s="157" t="str">
        <f>IFERROR(Output_EB_RIN_ACS!O75*10^6,NA)</f>
        <v>N/A</v>
      </c>
      <c r="U48" s="158" t="str">
        <f>IFERROR(Output_EB_RIN_ACS!P75*10^6,NA)</f>
        <v>N/A</v>
      </c>
      <c r="V48" s="158" t="str">
        <f>IFERROR(Output_EB_RIN_ACS!Q75*10^6,NA)</f>
        <v>N/A</v>
      </c>
      <c r="W48" s="158" t="str">
        <f>IFERROR(Output_EB_RIN_ACS!R75*10^6,NA)</f>
        <v>N/A</v>
      </c>
      <c r="X48" s="158" t="str">
        <f>IFERROR(Output_EB_RIN_ACS!S75*10^6,NA)</f>
        <v>N/A</v>
      </c>
      <c r="Y48" s="157" t="str">
        <f>IFERROR(Output_EB_RIN_ACS!T75*10^6,NA)</f>
        <v>N/A</v>
      </c>
      <c r="Z48" s="131"/>
      <c r="AA48" s="131"/>
      <c r="AB48" s="131"/>
      <c r="AC48" s="131"/>
      <c r="AD48" s="131"/>
      <c r="AE48" s="131"/>
      <c r="AF48" s="131"/>
      <c r="AG48" s="131"/>
      <c r="AH48" s="131"/>
      <c r="AI48" s="131"/>
      <c r="AJ48" s="131"/>
      <c r="AK48" s="131"/>
      <c r="AL48" s="131"/>
      <c r="AM48" s="131"/>
      <c r="AN48" s="131"/>
      <c r="AO48" s="131"/>
    </row>
    <row r="49" spans="1:41" outlineLevel="2" x14ac:dyDescent="0.55000000000000004">
      <c r="A49" s="150" t="s">
        <v>254</v>
      </c>
      <c r="B49" s="155" t="s">
        <v>222</v>
      </c>
      <c r="C49" s="156">
        <f>Output_EB_RIN_NS!N76*10^6/Input_Inflation!N$27</f>
        <v>-4957889.1574414382</v>
      </c>
      <c r="D49" s="157">
        <f>Output_EB_RIN_NS!O76*10^6/Input_Inflation!O$27</f>
        <v>-5155321.6631726259</v>
      </c>
      <c r="E49" s="158">
        <f>Output_EB_RIN_NS!P76*10^6/Input_Inflation!P$27</f>
        <v>-5384025.1328957332</v>
      </c>
      <c r="F49" s="158">
        <f>Output_EB_RIN_NS!Q76*10^6/Input_Inflation!Q$27</f>
        <v>-5425863.4104563817</v>
      </c>
      <c r="G49" s="158">
        <f>Output_EB_RIN_NS!R76*10^6/Input_Inflation!R$27</f>
        <v>-5511081.4702951321</v>
      </c>
      <c r="H49" s="158">
        <f>Output_EB_RIN_NS!S76*10^6/Input_Inflation!S$27</f>
        <v>-5546574.746397092</v>
      </c>
      <c r="I49" s="157">
        <f>Output_EB_RIN_NS!T76*10^6/Input_Inflation!T$27</f>
        <v>-5570454.1798636587</v>
      </c>
      <c r="K49" s="156">
        <f>Output_EB_RIN_SCS!N76*10^6/Input_Inflation!N$27</f>
        <v>-4957889.1574414382</v>
      </c>
      <c r="L49" s="157">
        <f>Output_EB_RIN_SCS!O76*10^6/Input_Inflation!O$27</f>
        <v>-5155321.6631726259</v>
      </c>
      <c r="M49" s="158">
        <f>Output_EB_RIN_SCS!P76*10^6/Input_Inflation!P$27</f>
        <v>-5384025.1328957332</v>
      </c>
      <c r="N49" s="158">
        <f>Output_EB_RIN_SCS!Q76*10^6/Input_Inflation!Q$27</f>
        <v>-5425863.4104563817</v>
      </c>
      <c r="O49" s="158">
        <f>Output_EB_RIN_SCS!R76*10^6/Input_Inflation!R$27</f>
        <v>-5511081.4702951321</v>
      </c>
      <c r="P49" s="158">
        <f>Output_EB_RIN_SCS!S76*10^6/Input_Inflation!S$27</f>
        <v>-5546574.746397092</v>
      </c>
      <c r="Q49" s="157">
        <f>Output_EB_RIN_SCS!T76*10^6/Input_Inflation!T$27</f>
        <v>-5570454.1798636587</v>
      </c>
      <c r="R49" s="131"/>
      <c r="S49" s="156" t="str">
        <f>IFERROR(Output_EB_RIN_ACS!N76*10^6,NA)</f>
        <v>N/A</v>
      </c>
      <c r="T49" s="157" t="str">
        <f>IFERROR(Output_EB_RIN_ACS!O76*10^6,NA)</f>
        <v>N/A</v>
      </c>
      <c r="U49" s="158" t="str">
        <f>IFERROR(Output_EB_RIN_ACS!P76*10^6,NA)</f>
        <v>N/A</v>
      </c>
      <c r="V49" s="158" t="str">
        <f>IFERROR(Output_EB_RIN_ACS!Q76*10^6,NA)</f>
        <v>N/A</v>
      </c>
      <c r="W49" s="158" t="str">
        <f>IFERROR(Output_EB_RIN_ACS!R76*10^6,NA)</f>
        <v>N/A</v>
      </c>
      <c r="X49" s="158" t="str">
        <f>IFERROR(Output_EB_RIN_ACS!S76*10^6,NA)</f>
        <v>N/A</v>
      </c>
      <c r="Y49" s="157" t="str">
        <f>IFERROR(Output_EB_RIN_ACS!T76*10^6,NA)</f>
        <v>N/A</v>
      </c>
      <c r="Z49" s="131"/>
      <c r="AA49" s="131"/>
      <c r="AB49" s="131"/>
      <c r="AC49" s="131"/>
      <c r="AD49" s="131"/>
      <c r="AE49" s="131"/>
      <c r="AF49" s="131"/>
      <c r="AG49" s="131"/>
      <c r="AH49" s="131"/>
      <c r="AI49" s="131"/>
      <c r="AJ49" s="131"/>
      <c r="AK49" s="131"/>
      <c r="AL49" s="131"/>
      <c r="AM49" s="131"/>
      <c r="AN49" s="131"/>
      <c r="AO49" s="131"/>
    </row>
    <row r="50" spans="1:41" outlineLevel="2" x14ac:dyDescent="0.55000000000000004">
      <c r="A50" s="150" t="s">
        <v>255</v>
      </c>
      <c r="B50" s="155" t="s">
        <v>224</v>
      </c>
      <c r="C50" s="156">
        <f>Output_EB_RIN_NS!N77*10^6/Input_Inflation!N$27</f>
        <v>2110239.4037141493</v>
      </c>
      <c r="D50" s="157">
        <f>Output_EB_RIN_NS!O77*10^6/Input_Inflation!O$27</f>
        <v>6526561.6353447773</v>
      </c>
      <c r="E50" s="158">
        <f>Output_EB_RIN_NS!P77*10^6/Input_Inflation!P$27</f>
        <v>2372760.5312720402</v>
      </c>
      <c r="F50" s="158">
        <f>Output_EB_RIN_NS!Q77*10^6/Input_Inflation!Q$27</f>
        <v>4824425.7922877744</v>
      </c>
      <c r="G50" s="158">
        <f>Output_EB_RIN_NS!R77*10^6/Input_Inflation!R$27</f>
        <v>2013696.153803969</v>
      </c>
      <c r="H50" s="158">
        <f>Output_EB_RIN_NS!S77*10^6/Input_Inflation!S$27</f>
        <v>1357056.4269524035</v>
      </c>
      <c r="I50" s="157">
        <f>Output_EB_RIN_NS!T77*10^6/Input_Inflation!T$27</f>
        <v>1366129.0871605144</v>
      </c>
      <c r="K50" s="156">
        <f>Output_EB_RIN_SCS!N77*10^6/Input_Inflation!N$27</f>
        <v>2110239.4037141493</v>
      </c>
      <c r="L50" s="157">
        <f>Output_EB_RIN_SCS!O77*10^6/Input_Inflation!O$27</f>
        <v>6526561.6353447773</v>
      </c>
      <c r="M50" s="158">
        <f>Output_EB_RIN_SCS!P77*10^6/Input_Inflation!P$27</f>
        <v>2372760.5312720402</v>
      </c>
      <c r="N50" s="158">
        <f>Output_EB_RIN_SCS!Q77*10^6/Input_Inflation!Q$27</f>
        <v>4824425.7922877744</v>
      </c>
      <c r="O50" s="158">
        <f>Output_EB_RIN_SCS!R77*10^6/Input_Inflation!R$27</f>
        <v>2013696.153803969</v>
      </c>
      <c r="P50" s="158">
        <f>Output_EB_RIN_SCS!S77*10^6/Input_Inflation!S$27</f>
        <v>1357056.4269524035</v>
      </c>
      <c r="Q50" s="157">
        <f>Output_EB_RIN_SCS!T77*10^6/Input_Inflation!T$27</f>
        <v>1366129.0871605144</v>
      </c>
      <c r="R50" s="131"/>
      <c r="S50" s="156" t="str">
        <f>IFERROR(Output_EB_RIN_ACS!N77*10^6,NA)</f>
        <v>N/A</v>
      </c>
      <c r="T50" s="157" t="str">
        <f>IFERROR(Output_EB_RIN_ACS!O77*10^6,NA)</f>
        <v>N/A</v>
      </c>
      <c r="U50" s="158" t="str">
        <f>IFERROR(Output_EB_RIN_ACS!P77*10^6,NA)</f>
        <v>N/A</v>
      </c>
      <c r="V50" s="158" t="str">
        <f>IFERROR(Output_EB_RIN_ACS!Q77*10^6,NA)</f>
        <v>N/A</v>
      </c>
      <c r="W50" s="158" t="str">
        <f>IFERROR(Output_EB_RIN_ACS!R77*10^6,NA)</f>
        <v>N/A</v>
      </c>
      <c r="X50" s="158" t="str">
        <f>IFERROR(Output_EB_RIN_ACS!S77*10^6,NA)</f>
        <v>N/A</v>
      </c>
      <c r="Y50" s="157" t="str">
        <f>IFERROR(Output_EB_RIN_ACS!T77*10^6,NA)</f>
        <v>N/A</v>
      </c>
      <c r="Z50" s="131"/>
      <c r="AA50" s="131"/>
      <c r="AB50" s="131"/>
      <c r="AC50" s="131"/>
      <c r="AD50" s="131"/>
      <c r="AE50" s="131"/>
      <c r="AF50" s="131"/>
      <c r="AG50" s="131"/>
      <c r="AH50" s="131"/>
      <c r="AI50" s="131"/>
      <c r="AJ50" s="131"/>
      <c r="AK50" s="131"/>
      <c r="AL50" s="131"/>
      <c r="AM50" s="131"/>
      <c r="AN50" s="131"/>
      <c r="AO50" s="131"/>
    </row>
    <row r="51" spans="1:41" outlineLevel="2" x14ac:dyDescent="0.55000000000000004">
      <c r="A51" s="150" t="s">
        <v>256</v>
      </c>
      <c r="B51" s="155" t="s">
        <v>226</v>
      </c>
      <c r="C51" s="156">
        <f>Output_EB_RIN_NS!N78*10^6/Input_Inflation!N$27</f>
        <v>-8381.1141228523229</v>
      </c>
      <c r="D51" s="157">
        <f>Output_EB_RIN_NS!O78*10^6/Input_Inflation!O$27</f>
        <v>-8272.4620594482731</v>
      </c>
      <c r="E51" s="158">
        <f>Output_EB_RIN_NS!P78*10^6/Input_Inflation!P$27</f>
        <v>-8002.2500652659082</v>
      </c>
      <c r="F51" s="158">
        <f>Output_EB_RIN_NS!Q78*10^6/Input_Inflation!Q$27</f>
        <v>-7781.2155617656545</v>
      </c>
      <c r="G51" s="158">
        <f>Output_EB_RIN_NS!R78*10^6/Input_Inflation!R$27</f>
        <v>-7566.2774581123158</v>
      </c>
      <c r="H51" s="158">
        <f>Output_EB_RIN_NS!S78*10^6/Input_Inflation!S$27</f>
        <v>-7357.267881371773</v>
      </c>
      <c r="I51" s="157">
        <f>Output_EB_RIN_NS!T78*10^6/Input_Inflation!T$27</f>
        <v>-7154.0235728240541</v>
      </c>
      <c r="K51" s="156">
        <f>Output_EB_RIN_SCS!N78*10^6/Input_Inflation!N$27</f>
        <v>-8381.1141228523229</v>
      </c>
      <c r="L51" s="157">
        <f>Output_EB_RIN_SCS!O78*10^6/Input_Inflation!O$27</f>
        <v>-8272.4620594482731</v>
      </c>
      <c r="M51" s="158">
        <f>Output_EB_RIN_SCS!P78*10^6/Input_Inflation!P$27</f>
        <v>-8002.2500652659082</v>
      </c>
      <c r="N51" s="158">
        <f>Output_EB_RIN_SCS!Q78*10^6/Input_Inflation!Q$27</f>
        <v>-7781.2155617656545</v>
      </c>
      <c r="O51" s="158">
        <f>Output_EB_RIN_SCS!R78*10^6/Input_Inflation!R$27</f>
        <v>-7566.2774581123158</v>
      </c>
      <c r="P51" s="158">
        <f>Output_EB_RIN_SCS!S78*10^6/Input_Inflation!S$27</f>
        <v>-7357.267881371773</v>
      </c>
      <c r="Q51" s="157">
        <f>Output_EB_RIN_SCS!T78*10^6/Input_Inflation!T$27</f>
        <v>-7154.0235728240541</v>
      </c>
      <c r="R51" s="131"/>
      <c r="S51" s="156" t="str">
        <f>IFERROR(Output_EB_RIN_ACS!N78*10^6,NA)</f>
        <v>N/A</v>
      </c>
      <c r="T51" s="157" t="str">
        <f>IFERROR(Output_EB_RIN_ACS!O78*10^6,NA)</f>
        <v>N/A</v>
      </c>
      <c r="U51" s="158" t="str">
        <f>IFERROR(Output_EB_RIN_ACS!P78*10^6,NA)</f>
        <v>N/A</v>
      </c>
      <c r="V51" s="158" t="str">
        <f>IFERROR(Output_EB_RIN_ACS!Q78*10^6,NA)</f>
        <v>N/A</v>
      </c>
      <c r="W51" s="158" t="str">
        <f>IFERROR(Output_EB_RIN_ACS!R78*10^6,NA)</f>
        <v>N/A</v>
      </c>
      <c r="X51" s="158" t="str">
        <f>IFERROR(Output_EB_RIN_ACS!S78*10^6,NA)</f>
        <v>N/A</v>
      </c>
      <c r="Y51" s="157" t="str">
        <f>IFERROR(Output_EB_RIN_ACS!T78*10^6,NA)</f>
        <v>N/A</v>
      </c>
      <c r="Z51" s="131"/>
      <c r="AA51" s="131"/>
      <c r="AB51" s="131"/>
      <c r="AC51" s="131"/>
      <c r="AD51" s="131"/>
      <c r="AE51" s="131"/>
      <c r="AF51" s="131"/>
      <c r="AG51" s="131"/>
      <c r="AH51" s="131"/>
      <c r="AI51" s="131"/>
      <c r="AJ51" s="131"/>
      <c r="AK51" s="131"/>
      <c r="AL51" s="131"/>
      <c r="AM51" s="131"/>
      <c r="AN51" s="131"/>
      <c r="AO51" s="131"/>
    </row>
    <row r="52" spans="1:41" ht="14.7" outlineLevel="2" thickBot="1" x14ac:dyDescent="0.6">
      <c r="A52" s="150" t="s">
        <v>257</v>
      </c>
      <c r="B52" s="159" t="s">
        <v>228</v>
      </c>
      <c r="C52" s="160">
        <f t="shared" ref="C52:H52" si="23">SUM(C47:C51)</f>
        <v>127912829.0010853</v>
      </c>
      <c r="D52" s="161">
        <f t="shared" si="23"/>
        <v>129275796.51119797</v>
      </c>
      <c r="E52" s="162">
        <f t="shared" si="23"/>
        <v>126256529.659509</v>
      </c>
      <c r="F52" s="162">
        <f t="shared" si="23"/>
        <v>125647310.82577862</v>
      </c>
      <c r="G52" s="162">
        <f t="shared" si="23"/>
        <v>122142359.23182938</v>
      </c>
      <c r="H52" s="162">
        <f t="shared" si="23"/>
        <v>117945483.64450331</v>
      </c>
      <c r="I52" s="161">
        <f t="shared" ref="I52" si="24">SUM(I47:I51)</f>
        <v>113734004.52822734</v>
      </c>
      <c r="K52" s="160">
        <f t="shared" ref="K52:P52" si="25">SUM(K47:K51)</f>
        <v>127912829.0010853</v>
      </c>
      <c r="L52" s="161">
        <f t="shared" si="25"/>
        <v>129275796.51119797</v>
      </c>
      <c r="M52" s="162">
        <f t="shared" si="25"/>
        <v>126256529.659509</v>
      </c>
      <c r="N52" s="162">
        <f t="shared" si="25"/>
        <v>125647310.82577862</v>
      </c>
      <c r="O52" s="162">
        <f t="shared" si="25"/>
        <v>122142359.23182938</v>
      </c>
      <c r="P52" s="162">
        <f t="shared" si="25"/>
        <v>117945483.64450331</v>
      </c>
      <c r="Q52" s="161">
        <f t="shared" ref="Q52" si="26">SUM(Q47:Q51)</f>
        <v>113734004.52822734</v>
      </c>
      <c r="R52" s="131"/>
      <c r="S52" s="160">
        <f t="shared" ref="S52:X52" si="27">SUM(S47:S51)</f>
        <v>0</v>
      </c>
      <c r="T52" s="161">
        <f t="shared" si="27"/>
        <v>0</v>
      </c>
      <c r="U52" s="162">
        <f t="shared" si="27"/>
        <v>0</v>
      </c>
      <c r="V52" s="162">
        <f t="shared" si="27"/>
        <v>0</v>
      </c>
      <c r="W52" s="162">
        <f t="shared" si="27"/>
        <v>0</v>
      </c>
      <c r="X52" s="162">
        <f t="shared" si="27"/>
        <v>0</v>
      </c>
      <c r="Y52" s="161">
        <f t="shared" ref="Y52" si="28">SUM(Y47:Y51)</f>
        <v>0</v>
      </c>
      <c r="Z52" s="131"/>
      <c r="AA52" s="131"/>
      <c r="AB52" s="131"/>
      <c r="AC52" s="131"/>
      <c r="AD52" s="131"/>
      <c r="AE52" s="131"/>
      <c r="AF52" s="131"/>
      <c r="AG52" s="131"/>
      <c r="AH52" s="131"/>
      <c r="AI52" s="131"/>
      <c r="AJ52" s="131"/>
      <c r="AK52" s="131"/>
      <c r="AL52" s="131"/>
      <c r="AM52" s="131"/>
      <c r="AN52" s="131"/>
      <c r="AO52" s="131"/>
    </row>
    <row r="53" spans="1:41" ht="20.25" customHeight="1" outlineLevel="1" thickBot="1" x14ac:dyDescent="0.6">
      <c r="A53" s="42">
        <f>IF(SUM(C53:I53,K53:Q53,S53:Y53)&lt;&gt;0,1,0)</f>
        <v>0</v>
      </c>
      <c r="B53" s="165" t="s">
        <v>258</v>
      </c>
      <c r="C53" s="256">
        <f>IF(ROUND(C52-(Output_EB_RIN_NS!N80*10^6/Input_Inflation!N$27),4)=0,0,1)</f>
        <v>0</v>
      </c>
      <c r="D53" s="256">
        <f>IF(ROUND(D52-(Output_EB_RIN_NS!O80*10^6/Input_Inflation!O$27),4)=0,0,1)</f>
        <v>0</v>
      </c>
      <c r="E53" s="256">
        <f>IF(ROUND(E52-(Output_EB_RIN_NS!P80*10^6/Input_Inflation!P$27),4)=0,0,1)</f>
        <v>0</v>
      </c>
      <c r="F53" s="256">
        <f>IF(ROUND(F52-(Output_EB_RIN_NS!Q80*10^6/Input_Inflation!Q$27),4)=0,0,1)</f>
        <v>0</v>
      </c>
      <c r="G53" s="256">
        <f>IF(ROUND(G52-(Output_EB_RIN_NS!R80*10^6/Input_Inflation!R$27),4)=0,0,1)</f>
        <v>0</v>
      </c>
      <c r="H53" s="256">
        <f>IF(ROUND(H52-(Output_EB_RIN_NS!S80*10^6/Input_Inflation!S$27),4)=0,0,1)</f>
        <v>0</v>
      </c>
      <c r="I53" s="256">
        <f>IF(ROUND(I52-(Output_EB_RIN_NS!T80*10^6/Input_Inflation!T$27),4)=0,0,1)</f>
        <v>0</v>
      </c>
      <c r="K53" s="256">
        <f>IF(ROUND(K52-(Output_EB_RIN_SCS!N80*10^6/Input_Inflation!N$27),4)=0,0,1)</f>
        <v>0</v>
      </c>
      <c r="L53" s="256">
        <f>IF(ROUND(L52-(Output_EB_RIN_SCS!O80*10^6/Input_Inflation!O$27),4)=0,0,1)</f>
        <v>0</v>
      </c>
      <c r="M53" s="256">
        <f>IF(ROUND(M52-(Output_EB_RIN_SCS!P80*10^6/Input_Inflation!P$27),4)=0,0,1)</f>
        <v>0</v>
      </c>
      <c r="N53" s="256">
        <f>IF(ROUND(N52-(Output_EB_RIN_SCS!Q80*10^6/Input_Inflation!Q$27),4)=0,0,1)</f>
        <v>0</v>
      </c>
      <c r="O53" s="256">
        <f>IF(ROUND(O52-(Output_EB_RIN_SCS!R80*10^6/Input_Inflation!R$27),4)=0,0,1)</f>
        <v>0</v>
      </c>
      <c r="P53" s="256">
        <f>IF(ROUND(P52-(Output_EB_RIN_SCS!S80*10^6/Input_Inflation!S$27),4)=0,0,1)</f>
        <v>0</v>
      </c>
      <c r="Q53" s="256">
        <f>IF(ROUND(Q52-(Output_EB_RIN_SCS!T80*10^6/Input_Inflation!T$27),4)=0,0,1)</f>
        <v>0</v>
      </c>
      <c r="R53" s="131"/>
      <c r="S53" s="256">
        <f>IF(ROUND(S52-(Output_EB_RIN_ACS!N80*10^6),4)=0,0,1)</f>
        <v>0</v>
      </c>
      <c r="T53" s="256">
        <f>IF(ROUND(T52-(Output_EB_RIN_ACS!O80*10^6),4)=0,0,1)</f>
        <v>0</v>
      </c>
      <c r="U53" s="256">
        <f>IF(ROUND(U52-(Output_EB_RIN_ACS!P80*10^6),4)=0,0,1)</f>
        <v>0</v>
      </c>
      <c r="V53" s="256">
        <f>IF(ROUND(V52-(Output_EB_RIN_ACS!Q80*10^6),4)=0,0,1)</f>
        <v>0</v>
      </c>
      <c r="W53" s="256">
        <f>IF(ROUND(W52-(Output_EB_RIN_ACS!R80*10^6),4)=0,0,1)</f>
        <v>0</v>
      </c>
      <c r="X53" s="256">
        <f>IF(ROUND(X52-(Output_EB_RIN_ACS!S80*10^6),4)=0,0,1)</f>
        <v>0</v>
      </c>
      <c r="Y53" s="256">
        <f>IF(ROUND(Y52-(Output_EB_RIN_ACS!T80*10^6),4)=0,0,1)</f>
        <v>0</v>
      </c>
      <c r="Z53" s="131"/>
      <c r="AA53" s="131"/>
      <c r="AB53" s="131"/>
      <c r="AC53" s="131"/>
      <c r="AD53" s="131"/>
      <c r="AE53" s="131"/>
      <c r="AF53" s="131"/>
      <c r="AG53" s="131"/>
      <c r="AH53" s="131"/>
      <c r="AI53" s="131"/>
      <c r="AJ53" s="131"/>
      <c r="AK53" s="131"/>
      <c r="AL53" s="131"/>
      <c r="AM53" s="131"/>
      <c r="AN53" s="131"/>
      <c r="AO53" s="131"/>
    </row>
    <row r="54" spans="1:41" outlineLevel="2" x14ac:dyDescent="0.55000000000000004">
      <c r="A54" s="150" t="s">
        <v>259</v>
      </c>
      <c r="B54" s="151" t="s">
        <v>218</v>
      </c>
      <c r="C54" s="152">
        <f>Output_EB_RIN_NS!N88*10^6/Input_Inflation!N$27</f>
        <v>60587870.116141267</v>
      </c>
      <c r="D54" s="153">
        <f>Output_EB_RIN_NS!O88*10^6/Input_Inflation!O$27</f>
        <v>61132552.068990581</v>
      </c>
      <c r="E54" s="154">
        <f>Output_EB_RIN_NS!P88*10^6/Input_Inflation!P$27</f>
        <v>62852718.657547809</v>
      </c>
      <c r="F54" s="154">
        <f>Output_EB_RIN_NS!Q88*10^6/Input_Inflation!Q$27</f>
        <v>61384778.524107359</v>
      </c>
      <c r="G54" s="154">
        <f>Output_EB_RIN_NS!R88*10^6/Input_Inflation!R$27</f>
        <v>61088581.857827157</v>
      </c>
      <c r="H54" s="154">
        <f>Output_EB_RIN_NS!S88*10^6/Input_Inflation!S$27</f>
        <v>59384506.211898066</v>
      </c>
      <c r="I54" s="153">
        <f>Output_EB_RIN_NS!T88*10^6/Input_Inflation!T$27</f>
        <v>57344023.401892059</v>
      </c>
      <c r="K54" s="152">
        <f>Output_EB_RIN_SCS!N88*10^6/Input_Inflation!N$27</f>
        <v>60587870.116141267</v>
      </c>
      <c r="L54" s="153">
        <f>Output_EB_RIN_SCS!O88*10^6/Input_Inflation!O$27</f>
        <v>61132552.068990581</v>
      </c>
      <c r="M54" s="154">
        <f>Output_EB_RIN_SCS!P88*10^6/Input_Inflation!P$27</f>
        <v>62852718.657547809</v>
      </c>
      <c r="N54" s="154">
        <f>Output_EB_RIN_SCS!Q88*10^6/Input_Inflation!Q$27</f>
        <v>61384778.524107359</v>
      </c>
      <c r="O54" s="154">
        <f>Output_EB_RIN_SCS!R88*10^6/Input_Inflation!R$27</f>
        <v>61088581.857827157</v>
      </c>
      <c r="P54" s="154">
        <f>Output_EB_RIN_SCS!S88*10^6/Input_Inflation!S$27</f>
        <v>59384506.211898066</v>
      </c>
      <c r="Q54" s="153">
        <f>Output_EB_RIN_SCS!T88*10^6/Input_Inflation!T$27</f>
        <v>57344023.401892059</v>
      </c>
      <c r="R54" s="131"/>
      <c r="S54" s="152" t="str">
        <f>IFERROR(Output_EB_RIN_ACS!N88*10^6,NA)</f>
        <v>N/A</v>
      </c>
      <c r="T54" s="153" t="str">
        <f>IFERROR(Output_EB_RIN_ACS!O88*10^6,NA)</f>
        <v>N/A</v>
      </c>
      <c r="U54" s="154" t="str">
        <f>IFERROR(Output_EB_RIN_ACS!P88*10^6,NA)</f>
        <v>N/A</v>
      </c>
      <c r="V54" s="154" t="str">
        <f>IFERROR(Output_EB_RIN_ACS!Q88*10^6,NA)</f>
        <v>N/A</v>
      </c>
      <c r="W54" s="154" t="str">
        <f>IFERROR(Output_EB_RIN_ACS!R88*10^6,NA)</f>
        <v>N/A</v>
      </c>
      <c r="X54" s="154" t="str">
        <f>IFERROR(Output_EB_RIN_ACS!S88*10^6,NA)</f>
        <v>N/A</v>
      </c>
      <c r="Y54" s="153" t="str">
        <f>IFERROR(Output_EB_RIN_ACS!T88*10^6,NA)</f>
        <v>N/A</v>
      </c>
      <c r="Z54" s="131"/>
      <c r="AA54" s="131"/>
      <c r="AB54" s="131"/>
      <c r="AC54" s="131"/>
      <c r="AD54" s="131"/>
      <c r="AE54" s="131"/>
      <c r="AF54" s="131"/>
      <c r="AG54" s="131"/>
      <c r="AH54" s="131"/>
      <c r="AI54" s="131"/>
      <c r="AJ54" s="131"/>
      <c r="AK54" s="131"/>
      <c r="AL54" s="131"/>
      <c r="AM54" s="131"/>
      <c r="AN54" s="131"/>
      <c r="AO54" s="131"/>
    </row>
    <row r="55" spans="1:41" outlineLevel="2" x14ac:dyDescent="0.55000000000000004">
      <c r="A55" s="150" t="s">
        <v>260</v>
      </c>
      <c r="B55" s="155" t="s">
        <v>220</v>
      </c>
      <c r="C55" s="156">
        <f>Output_EB_RIN_NS!N89*10^6/Input_Inflation!N$27</f>
        <v>4847029.6092913011</v>
      </c>
      <c r="D55" s="157">
        <f>Output_EB_RIN_NS!O89*10^6/Input_Inflation!O$27</f>
        <v>2873229.9472425575</v>
      </c>
      <c r="E55" s="158">
        <f>Output_EB_RIN_NS!P89*10^6/Input_Inflation!P$27</f>
        <v>1835073.1463567615</v>
      </c>
      <c r="F55" s="158">
        <f>Output_EB_RIN_NS!Q89*10^6/Input_Inflation!Q$27</f>
        <v>1792214.5783127458</v>
      </c>
      <c r="G55" s="158">
        <f>Output_EB_RIN_NS!R89*10^6/Input_Inflation!R$27</f>
        <v>1783566.7018176545</v>
      </c>
      <c r="H55" s="158">
        <f>Output_EB_RIN_NS!S89*10^6/Input_Inflation!S$27</f>
        <v>1733813.8267790584</v>
      </c>
      <c r="I55" s="157">
        <f>Output_EB_RIN_NS!T89*10^6/Input_Inflation!T$27</f>
        <v>1674239.0734474459</v>
      </c>
      <c r="K55" s="156">
        <f>Output_EB_RIN_SCS!N89*10^6/Input_Inflation!N$27</f>
        <v>4847029.6092913011</v>
      </c>
      <c r="L55" s="157">
        <f>Output_EB_RIN_SCS!O89*10^6/Input_Inflation!O$27</f>
        <v>2873229.9472425575</v>
      </c>
      <c r="M55" s="158">
        <f>Output_EB_RIN_SCS!P89*10^6/Input_Inflation!P$27</f>
        <v>1835073.1463567615</v>
      </c>
      <c r="N55" s="158">
        <f>Output_EB_RIN_SCS!Q89*10^6/Input_Inflation!Q$27</f>
        <v>1792214.5783127458</v>
      </c>
      <c r="O55" s="158">
        <f>Output_EB_RIN_SCS!R89*10^6/Input_Inflation!R$27</f>
        <v>1783566.7018176545</v>
      </c>
      <c r="P55" s="158">
        <f>Output_EB_RIN_SCS!S89*10^6/Input_Inflation!S$27</f>
        <v>1733813.8267790584</v>
      </c>
      <c r="Q55" s="157">
        <f>Output_EB_RIN_SCS!T89*10^6/Input_Inflation!T$27</f>
        <v>1674239.0734474459</v>
      </c>
      <c r="R55" s="131"/>
      <c r="S55" s="156" t="str">
        <f>IFERROR(Output_EB_RIN_ACS!N89*10^6,NA)</f>
        <v>N/A</v>
      </c>
      <c r="T55" s="157" t="str">
        <f>IFERROR(Output_EB_RIN_ACS!O89*10^6,NA)</f>
        <v>N/A</v>
      </c>
      <c r="U55" s="158" t="str">
        <f>IFERROR(Output_EB_RIN_ACS!P89*10^6,NA)</f>
        <v>N/A</v>
      </c>
      <c r="V55" s="158" t="str">
        <f>IFERROR(Output_EB_RIN_ACS!Q89*10^6,NA)</f>
        <v>N/A</v>
      </c>
      <c r="W55" s="158" t="str">
        <f>IFERROR(Output_EB_RIN_ACS!R89*10^6,NA)</f>
        <v>N/A</v>
      </c>
      <c r="X55" s="158" t="str">
        <f>IFERROR(Output_EB_RIN_ACS!S89*10^6,NA)</f>
        <v>N/A</v>
      </c>
      <c r="Y55" s="157" t="str">
        <f>IFERROR(Output_EB_RIN_ACS!T89*10^6,NA)</f>
        <v>N/A</v>
      </c>
      <c r="Z55" s="131"/>
      <c r="AA55" s="131"/>
      <c r="AB55" s="131"/>
      <c r="AC55" s="131"/>
      <c r="AD55" s="131"/>
      <c r="AE55" s="131"/>
      <c r="AF55" s="131"/>
      <c r="AG55" s="131"/>
      <c r="AH55" s="131"/>
      <c r="AI55" s="131"/>
      <c r="AJ55" s="131"/>
      <c r="AK55" s="131"/>
      <c r="AL55" s="131"/>
      <c r="AM55" s="131"/>
      <c r="AN55" s="131"/>
      <c r="AO55" s="131"/>
    </row>
    <row r="56" spans="1:41" outlineLevel="2" x14ac:dyDescent="0.55000000000000004">
      <c r="A56" s="150" t="s">
        <v>261</v>
      </c>
      <c r="B56" s="155" t="s">
        <v>222</v>
      </c>
      <c r="C56" s="156">
        <f>Output_EB_RIN_NS!N90*10^6/Input_Inflation!N$27</f>
        <v>-2480858.058960998</v>
      </c>
      <c r="D56" s="157">
        <f>Output_EB_RIN_NS!O90*10^6/Input_Inflation!O$27</f>
        <v>-2579650.5102220196</v>
      </c>
      <c r="E56" s="158">
        <f>Output_EB_RIN_NS!P90*10^6/Input_Inflation!P$27</f>
        <v>-2694090.5123998248</v>
      </c>
      <c r="F56" s="158">
        <f>Output_EB_RIN_NS!Q90*10^6/Input_Inflation!Q$27</f>
        <v>-2715025.7985192402</v>
      </c>
      <c r="G56" s="158">
        <f>Output_EB_RIN_NS!R90*10^6/Input_Inflation!R$27</f>
        <v>-2757667.7180552315</v>
      </c>
      <c r="H56" s="158">
        <f>Output_EB_RIN_NS!S90*10^6/Input_Inflation!S$27</f>
        <v>-2775428.0546138482</v>
      </c>
      <c r="I56" s="157">
        <f>Output_EB_RIN_NS!T90*10^6/Input_Inflation!T$27</f>
        <v>-2787376.9875322119</v>
      </c>
      <c r="K56" s="156">
        <f>Output_EB_RIN_SCS!N90*10^6/Input_Inflation!N$27</f>
        <v>-2480858.058960998</v>
      </c>
      <c r="L56" s="157">
        <f>Output_EB_RIN_SCS!O90*10^6/Input_Inflation!O$27</f>
        <v>-2579650.5102220196</v>
      </c>
      <c r="M56" s="158">
        <f>Output_EB_RIN_SCS!P90*10^6/Input_Inflation!P$27</f>
        <v>-2694090.5123998248</v>
      </c>
      <c r="N56" s="158">
        <f>Output_EB_RIN_SCS!Q90*10^6/Input_Inflation!Q$27</f>
        <v>-2715025.7985192402</v>
      </c>
      <c r="O56" s="158">
        <f>Output_EB_RIN_SCS!R90*10^6/Input_Inflation!R$27</f>
        <v>-2757667.7180552315</v>
      </c>
      <c r="P56" s="158">
        <f>Output_EB_RIN_SCS!S90*10^6/Input_Inflation!S$27</f>
        <v>-2775428.0546138482</v>
      </c>
      <c r="Q56" s="157">
        <f>Output_EB_RIN_SCS!T90*10^6/Input_Inflation!T$27</f>
        <v>-2787376.9875322119</v>
      </c>
      <c r="R56" s="131"/>
      <c r="S56" s="156" t="str">
        <f>IFERROR(Output_EB_RIN_ACS!N90*10^6,NA)</f>
        <v>N/A</v>
      </c>
      <c r="T56" s="157" t="str">
        <f>IFERROR(Output_EB_RIN_ACS!O90*10^6,NA)</f>
        <v>N/A</v>
      </c>
      <c r="U56" s="158" t="str">
        <f>IFERROR(Output_EB_RIN_ACS!P90*10^6,NA)</f>
        <v>N/A</v>
      </c>
      <c r="V56" s="158" t="str">
        <f>IFERROR(Output_EB_RIN_ACS!Q90*10^6,NA)</f>
        <v>N/A</v>
      </c>
      <c r="W56" s="158" t="str">
        <f>IFERROR(Output_EB_RIN_ACS!R90*10^6,NA)</f>
        <v>N/A</v>
      </c>
      <c r="X56" s="158" t="str">
        <f>IFERROR(Output_EB_RIN_ACS!S90*10^6,NA)</f>
        <v>N/A</v>
      </c>
      <c r="Y56" s="157" t="str">
        <f>IFERROR(Output_EB_RIN_ACS!T90*10^6,NA)</f>
        <v>N/A</v>
      </c>
      <c r="Z56" s="131"/>
      <c r="AA56" s="131"/>
      <c r="AB56" s="131"/>
      <c r="AC56" s="131"/>
      <c r="AD56" s="131"/>
      <c r="AE56" s="131"/>
      <c r="AF56" s="131"/>
      <c r="AG56" s="131"/>
      <c r="AH56" s="131"/>
      <c r="AI56" s="131"/>
      <c r="AJ56" s="131"/>
      <c r="AK56" s="131"/>
      <c r="AL56" s="131"/>
      <c r="AM56" s="131"/>
      <c r="AN56" s="131"/>
      <c r="AO56" s="131"/>
    </row>
    <row r="57" spans="1:41" outlineLevel="2" x14ac:dyDescent="0.55000000000000004">
      <c r="A57" s="150" t="s">
        <v>262</v>
      </c>
      <c r="B57" s="155" t="s">
        <v>224</v>
      </c>
      <c r="C57" s="156">
        <f>Output_EB_RIN_NS!N91*10^6/Input_Inflation!N$27</f>
        <v>1055934.1414851178</v>
      </c>
      <c r="D57" s="157">
        <f>Output_EB_RIN_NS!O91*10^6/Input_Inflation!O$27</f>
        <v>3265799.7216514037</v>
      </c>
      <c r="E57" s="158">
        <f>Output_EB_RIN_NS!P91*10^6/Input_Inflation!P$27</f>
        <v>1187296.0243888532</v>
      </c>
      <c r="F57" s="158">
        <f>Output_EB_RIN_NS!Q91*10^6/Input_Inflation!Q$27</f>
        <v>2414074.8666581693</v>
      </c>
      <c r="G57" s="158">
        <f>Output_EB_RIN_NS!R91*10^6/Input_Inflation!R$27</f>
        <v>1007625.2559953183</v>
      </c>
      <c r="H57" s="158">
        <f>Output_EB_RIN_NS!S91*10^6/Input_Inflation!S$27</f>
        <v>679051.96472909523</v>
      </c>
      <c r="I57" s="157">
        <f>Output_EB_RIN_NS!T91*10^6/Input_Inflation!T$27</f>
        <v>683591.79639510263</v>
      </c>
      <c r="K57" s="156">
        <f>Output_EB_RIN_SCS!N91*10^6/Input_Inflation!N$27</f>
        <v>1055934.1414851178</v>
      </c>
      <c r="L57" s="157">
        <f>Output_EB_RIN_SCS!O91*10^6/Input_Inflation!O$27</f>
        <v>3265799.7216514037</v>
      </c>
      <c r="M57" s="158">
        <f>Output_EB_RIN_SCS!P91*10^6/Input_Inflation!P$27</f>
        <v>1187296.0243888532</v>
      </c>
      <c r="N57" s="158">
        <f>Output_EB_RIN_SCS!Q91*10^6/Input_Inflation!Q$27</f>
        <v>2414074.8666581693</v>
      </c>
      <c r="O57" s="158">
        <f>Output_EB_RIN_SCS!R91*10^6/Input_Inflation!R$27</f>
        <v>1007625.2559953183</v>
      </c>
      <c r="P57" s="158">
        <f>Output_EB_RIN_SCS!S91*10^6/Input_Inflation!S$27</f>
        <v>679051.96472909523</v>
      </c>
      <c r="Q57" s="157">
        <f>Output_EB_RIN_SCS!T91*10^6/Input_Inflation!T$27</f>
        <v>683591.79639510263</v>
      </c>
      <c r="R57" s="131"/>
      <c r="S57" s="156" t="str">
        <f>IFERROR(Output_EB_RIN_ACS!N91*10^6,NA)</f>
        <v>N/A</v>
      </c>
      <c r="T57" s="157" t="str">
        <f>IFERROR(Output_EB_RIN_ACS!O91*10^6,NA)</f>
        <v>N/A</v>
      </c>
      <c r="U57" s="158" t="str">
        <f>IFERROR(Output_EB_RIN_ACS!P91*10^6,NA)</f>
        <v>N/A</v>
      </c>
      <c r="V57" s="158" t="str">
        <f>IFERROR(Output_EB_RIN_ACS!Q91*10^6,NA)</f>
        <v>N/A</v>
      </c>
      <c r="W57" s="158" t="str">
        <f>IFERROR(Output_EB_RIN_ACS!R91*10^6,NA)</f>
        <v>N/A</v>
      </c>
      <c r="X57" s="158" t="str">
        <f>IFERROR(Output_EB_RIN_ACS!S91*10^6,NA)</f>
        <v>N/A</v>
      </c>
      <c r="Y57" s="157" t="str">
        <f>IFERROR(Output_EB_RIN_ACS!T91*10^6,NA)</f>
        <v>N/A</v>
      </c>
      <c r="Z57" s="131"/>
      <c r="AA57" s="131"/>
      <c r="AB57" s="131"/>
      <c r="AC57" s="131"/>
      <c r="AD57" s="131"/>
      <c r="AE57" s="131"/>
      <c r="AF57" s="131"/>
      <c r="AG57" s="131"/>
      <c r="AH57" s="131"/>
      <c r="AI57" s="131"/>
      <c r="AJ57" s="131"/>
      <c r="AK57" s="131"/>
      <c r="AL57" s="131"/>
      <c r="AM57" s="131"/>
      <c r="AN57" s="131"/>
      <c r="AO57" s="131"/>
    </row>
    <row r="58" spans="1:41" outlineLevel="2" x14ac:dyDescent="0.55000000000000004">
      <c r="A58" s="150" t="s">
        <v>263</v>
      </c>
      <c r="B58" s="155" t="s">
        <v>226</v>
      </c>
      <c r="C58" s="156">
        <f>Output_EB_RIN_NS!N92*10^6/Input_Inflation!N$27</f>
        <v>-4193.7917235487566</v>
      </c>
      <c r="D58" s="157">
        <f>Output_EB_RIN_NS!O92*10^6/Input_Inflation!O$27</f>
        <v>-4139.4237579571691</v>
      </c>
      <c r="E58" s="158">
        <f>Output_EB_RIN_NS!P92*10^6/Input_Inflation!P$27</f>
        <v>-4004.2134734777183</v>
      </c>
      <c r="F58" s="158">
        <f>Output_EB_RIN_NS!Q92*10^6/Input_Inflation!Q$27</f>
        <v>-3893.610914222435</v>
      </c>
      <c r="G58" s="158">
        <f>Output_EB_RIN_NS!R92*10^6/Input_Inflation!R$27</f>
        <v>-3786.0589077751274</v>
      </c>
      <c r="H58" s="158">
        <f>Output_EB_RIN_NS!S92*10^6/Input_Inflation!S$27</f>
        <v>-3681.4734528787553</v>
      </c>
      <c r="I58" s="157">
        <f>Output_EB_RIN_NS!T92*10^6/Input_Inflation!T$27</f>
        <v>-3579.7728571641915</v>
      </c>
      <c r="K58" s="156">
        <f>Output_EB_RIN_SCS!N92*10^6/Input_Inflation!N$27</f>
        <v>-4193.7917235487566</v>
      </c>
      <c r="L58" s="157">
        <f>Output_EB_RIN_SCS!O92*10^6/Input_Inflation!O$27</f>
        <v>-4139.4237579571691</v>
      </c>
      <c r="M58" s="158">
        <f>Output_EB_RIN_SCS!P92*10^6/Input_Inflation!P$27</f>
        <v>-4004.2134734777183</v>
      </c>
      <c r="N58" s="158">
        <f>Output_EB_RIN_SCS!Q92*10^6/Input_Inflation!Q$27</f>
        <v>-3893.610914222435</v>
      </c>
      <c r="O58" s="158">
        <f>Output_EB_RIN_SCS!R92*10^6/Input_Inflation!R$27</f>
        <v>-3786.0589077751274</v>
      </c>
      <c r="P58" s="158">
        <f>Output_EB_RIN_SCS!S92*10^6/Input_Inflation!S$27</f>
        <v>-3681.4734528787553</v>
      </c>
      <c r="Q58" s="157">
        <f>Output_EB_RIN_SCS!T92*10^6/Input_Inflation!T$27</f>
        <v>-3579.7728571641915</v>
      </c>
      <c r="R58" s="131"/>
      <c r="S58" s="156" t="str">
        <f>IFERROR(Output_EB_RIN_ACS!N92*10^6,NA)</f>
        <v>N/A</v>
      </c>
      <c r="T58" s="157" t="str">
        <f>IFERROR(Output_EB_RIN_ACS!O92*10^6,NA)</f>
        <v>N/A</v>
      </c>
      <c r="U58" s="158" t="str">
        <f>IFERROR(Output_EB_RIN_ACS!P92*10^6,NA)</f>
        <v>N/A</v>
      </c>
      <c r="V58" s="158" t="str">
        <f>IFERROR(Output_EB_RIN_ACS!Q92*10^6,NA)</f>
        <v>N/A</v>
      </c>
      <c r="W58" s="158" t="str">
        <f>IFERROR(Output_EB_RIN_ACS!R92*10^6,NA)</f>
        <v>N/A</v>
      </c>
      <c r="X58" s="158" t="str">
        <f>IFERROR(Output_EB_RIN_ACS!S92*10^6,NA)</f>
        <v>N/A</v>
      </c>
      <c r="Y58" s="157" t="str">
        <f>IFERROR(Output_EB_RIN_ACS!T92*10^6,NA)</f>
        <v>N/A</v>
      </c>
      <c r="Z58" s="131"/>
      <c r="AA58" s="131"/>
      <c r="AB58" s="131"/>
      <c r="AC58" s="131"/>
      <c r="AD58" s="131"/>
      <c r="AE58" s="131"/>
      <c r="AF58" s="131"/>
      <c r="AG58" s="131"/>
      <c r="AH58" s="131"/>
      <c r="AI58" s="131"/>
      <c r="AJ58" s="131"/>
      <c r="AK58" s="131"/>
      <c r="AL58" s="131"/>
      <c r="AM58" s="131"/>
      <c r="AN58" s="131"/>
      <c r="AO58" s="131"/>
    </row>
    <row r="59" spans="1:41" ht="14.7" outlineLevel="2" thickBot="1" x14ac:dyDescent="0.6">
      <c r="A59" s="150" t="s">
        <v>264</v>
      </c>
      <c r="B59" s="159" t="s">
        <v>228</v>
      </c>
      <c r="C59" s="160">
        <f t="shared" ref="C59:H59" si="29">SUM(C54:C58)</f>
        <v>64005782.016233139</v>
      </c>
      <c r="D59" s="161">
        <f t="shared" si="29"/>
        <v>64687791.803904571</v>
      </c>
      <c r="E59" s="162">
        <f t="shared" si="29"/>
        <v>63176993.102420121</v>
      </c>
      <c r="F59" s="162">
        <f t="shared" si="29"/>
        <v>62872148.559644811</v>
      </c>
      <c r="G59" s="162">
        <f t="shared" si="29"/>
        <v>61118320.038677119</v>
      </c>
      <c r="H59" s="162">
        <f t="shared" si="29"/>
        <v>59018262.475339487</v>
      </c>
      <c r="I59" s="161">
        <f t="shared" ref="I59" si="30">SUM(I54:I58)</f>
        <v>56910897.511345223</v>
      </c>
      <c r="K59" s="160">
        <f t="shared" ref="K59:P59" si="31">SUM(K54:K58)</f>
        <v>64005782.016233139</v>
      </c>
      <c r="L59" s="161">
        <f t="shared" si="31"/>
        <v>64687791.803904571</v>
      </c>
      <c r="M59" s="162">
        <f t="shared" si="31"/>
        <v>63176993.102420121</v>
      </c>
      <c r="N59" s="162">
        <f t="shared" si="31"/>
        <v>62872148.559644811</v>
      </c>
      <c r="O59" s="162">
        <f t="shared" si="31"/>
        <v>61118320.038677119</v>
      </c>
      <c r="P59" s="162">
        <f t="shared" si="31"/>
        <v>59018262.475339487</v>
      </c>
      <c r="Q59" s="161">
        <f t="shared" ref="Q59" si="32">SUM(Q54:Q58)</f>
        <v>56910897.511345223</v>
      </c>
      <c r="R59" s="131"/>
      <c r="S59" s="160">
        <f t="shared" ref="S59:X59" si="33">SUM(S54:S58)</f>
        <v>0</v>
      </c>
      <c r="T59" s="161">
        <f t="shared" si="33"/>
        <v>0</v>
      </c>
      <c r="U59" s="162">
        <f t="shared" si="33"/>
        <v>0</v>
      </c>
      <c r="V59" s="162">
        <f t="shared" si="33"/>
        <v>0</v>
      </c>
      <c r="W59" s="162">
        <f t="shared" si="33"/>
        <v>0</v>
      </c>
      <c r="X59" s="162">
        <f t="shared" si="33"/>
        <v>0</v>
      </c>
      <c r="Y59" s="161">
        <f t="shared" ref="Y59" si="34">SUM(Y54:Y58)</f>
        <v>0</v>
      </c>
      <c r="Z59" s="131"/>
      <c r="AA59" s="131"/>
      <c r="AB59" s="131"/>
      <c r="AC59" s="131"/>
      <c r="AD59" s="131"/>
      <c r="AE59" s="131"/>
      <c r="AF59" s="131"/>
      <c r="AG59" s="131"/>
      <c r="AH59" s="131"/>
      <c r="AI59" s="131"/>
      <c r="AJ59" s="131"/>
      <c r="AK59" s="131"/>
      <c r="AL59" s="131"/>
      <c r="AM59" s="131"/>
      <c r="AN59" s="131"/>
      <c r="AO59" s="131"/>
    </row>
    <row r="60" spans="1:41" ht="20.25" customHeight="1" outlineLevel="1" thickBot="1" x14ac:dyDescent="0.6">
      <c r="A60" s="42">
        <f>IF(SUM(C60:I60,K60:Q60,S60:Y60)&lt;&gt;0,1,0)</f>
        <v>0</v>
      </c>
      <c r="B60" s="165" t="s">
        <v>115</v>
      </c>
      <c r="C60" s="256">
        <f>IF(ROUND(C59-(Output_EB_RIN_NS!N94*10^6/Input_Inflation!N$27),4)=0,0,1)</f>
        <v>0</v>
      </c>
      <c r="D60" s="256">
        <f>IF(ROUND(D59-(Output_EB_RIN_NS!O94*10^6/Input_Inflation!O$27),4)=0,0,1)</f>
        <v>0</v>
      </c>
      <c r="E60" s="256">
        <f>IF(ROUND(E59-(Output_EB_RIN_NS!P94*10^6/Input_Inflation!P$27),4)=0,0,1)</f>
        <v>0</v>
      </c>
      <c r="F60" s="256">
        <f>IF(ROUND(F59-(Output_EB_RIN_NS!Q94*10^6/Input_Inflation!Q$27),4)=0,0,1)</f>
        <v>0</v>
      </c>
      <c r="G60" s="256">
        <f>IF(ROUND(G59-(Output_EB_RIN_NS!R94*10^6/Input_Inflation!R$27),4)=0,0,1)</f>
        <v>0</v>
      </c>
      <c r="H60" s="256">
        <f>IF(ROUND(H59-(Output_EB_RIN_NS!S94*10^6/Input_Inflation!S$27),4)=0,0,1)</f>
        <v>0</v>
      </c>
      <c r="I60" s="256">
        <f>IF(ROUND(I59-(Output_EB_RIN_NS!T94*10^6/Input_Inflation!T$27),4)=0,0,1)</f>
        <v>0</v>
      </c>
      <c r="K60" s="256">
        <f>IF(ROUND(K59-(Output_EB_RIN_SCS!N94*10^6/Input_Inflation!N$27),4)=0,0,1)</f>
        <v>0</v>
      </c>
      <c r="L60" s="256">
        <f>IF(ROUND(L59-(Output_EB_RIN_SCS!O94*10^6/Input_Inflation!O$27),4)=0,0,1)</f>
        <v>0</v>
      </c>
      <c r="M60" s="256">
        <f>IF(ROUND(M59-(Output_EB_RIN_SCS!P94*10^6/Input_Inflation!P$27),4)=0,0,1)</f>
        <v>0</v>
      </c>
      <c r="N60" s="256">
        <f>IF(ROUND(N59-(Output_EB_RIN_SCS!Q94*10^6/Input_Inflation!Q$27),4)=0,0,1)</f>
        <v>0</v>
      </c>
      <c r="O60" s="256">
        <f>IF(ROUND(O59-(Output_EB_RIN_SCS!R94*10^6/Input_Inflation!R$27),4)=0,0,1)</f>
        <v>0</v>
      </c>
      <c r="P60" s="256">
        <f>IF(ROUND(P59-(Output_EB_RIN_SCS!S94*10^6/Input_Inflation!S$27),4)=0,0,1)</f>
        <v>0</v>
      </c>
      <c r="Q60" s="256">
        <f>IF(ROUND(Q59-(Output_EB_RIN_SCS!T94*10^6/Input_Inflation!T$27),4)=0,0,1)</f>
        <v>0</v>
      </c>
      <c r="R60" s="131"/>
      <c r="S60" s="256">
        <f>IF(ROUND(S59-(Output_EB_RIN_ACS!N94*10^6),4)=0,0,1)</f>
        <v>0</v>
      </c>
      <c r="T60" s="256">
        <f>IF(ROUND(T59-(Output_EB_RIN_ACS!O94*10^6),4)=0,0,1)</f>
        <v>0</v>
      </c>
      <c r="U60" s="256">
        <f>IF(ROUND(U59-(Output_EB_RIN_ACS!P94*10^6),4)=0,0,1)</f>
        <v>0</v>
      </c>
      <c r="V60" s="256">
        <f>IF(ROUND(V59-(Output_EB_RIN_ACS!Q94*10^6),4)=0,0,1)</f>
        <v>0</v>
      </c>
      <c r="W60" s="256">
        <f>IF(ROUND(W59-(Output_EB_RIN_ACS!R94*10^6),4)=0,0,1)</f>
        <v>0</v>
      </c>
      <c r="X60" s="256">
        <f>IF(ROUND(X59-(Output_EB_RIN_ACS!S94*10^6),4)=0,0,1)</f>
        <v>0</v>
      </c>
      <c r="Y60" s="256">
        <f>IF(ROUND(Y59-(Output_EB_RIN_ACS!T94*10^6),4)=0,0,1)</f>
        <v>0</v>
      </c>
      <c r="Z60" s="131"/>
      <c r="AA60" s="131"/>
      <c r="AB60" s="131"/>
      <c r="AC60" s="131"/>
      <c r="AD60" s="131"/>
      <c r="AE60" s="131"/>
      <c r="AF60" s="131"/>
      <c r="AG60" s="131"/>
      <c r="AH60" s="131"/>
      <c r="AI60" s="131"/>
      <c r="AJ60" s="131"/>
      <c r="AK60" s="131"/>
      <c r="AL60" s="131"/>
      <c r="AM60" s="131"/>
      <c r="AN60" s="131"/>
      <c r="AO60" s="131"/>
    </row>
    <row r="61" spans="1:41" outlineLevel="2" x14ac:dyDescent="0.55000000000000004">
      <c r="A61" s="150" t="s">
        <v>265</v>
      </c>
      <c r="B61" s="151" t="s">
        <v>218</v>
      </c>
      <c r="C61" s="152">
        <f>Output_EB_RIN_NS!N102*10^6/Input_Inflation!N$27</f>
        <v>347994354.97277731</v>
      </c>
      <c r="D61" s="153">
        <f>Output_EB_RIN_NS!O102*10^6/Input_Inflation!O$27</f>
        <v>358677926.3658036</v>
      </c>
      <c r="E61" s="154">
        <f>Output_EB_RIN_NS!P102*10^6/Input_Inflation!P$27</f>
        <v>370257725.66143417</v>
      </c>
      <c r="F61" s="154">
        <f>Output_EB_RIN_NS!Q102*10^6/Input_Inflation!Q$27</f>
        <v>380423606.45519209</v>
      </c>
      <c r="G61" s="154">
        <f>Output_EB_RIN_NS!R102*10^6/Input_Inflation!R$27</f>
        <v>379004032.98961341</v>
      </c>
      <c r="H61" s="154">
        <f>Output_EB_RIN_NS!S102*10^6/Input_Inflation!S$27</f>
        <v>364208905.05189818</v>
      </c>
      <c r="I61" s="153">
        <f>Output_EB_RIN_NS!T102*10^6/Input_Inflation!T$27</f>
        <v>346027101.68040866</v>
      </c>
      <c r="K61" s="152">
        <f>Output_EB_RIN_SCS!N102*10^6/Input_Inflation!N$27</f>
        <v>347994354.97277731</v>
      </c>
      <c r="L61" s="153">
        <f>Output_EB_RIN_SCS!O102*10^6/Input_Inflation!O$27</f>
        <v>358677926.3658036</v>
      </c>
      <c r="M61" s="154">
        <f>Output_EB_RIN_SCS!P102*10^6/Input_Inflation!P$27</f>
        <v>370257725.66143417</v>
      </c>
      <c r="N61" s="154">
        <f>Output_EB_RIN_SCS!Q102*10^6/Input_Inflation!Q$27</f>
        <v>380423606.45519209</v>
      </c>
      <c r="O61" s="154">
        <f>Output_EB_RIN_SCS!R102*10^6/Input_Inflation!R$27</f>
        <v>379004032.98961341</v>
      </c>
      <c r="P61" s="154">
        <f>Output_EB_RIN_SCS!S102*10^6/Input_Inflation!S$27</f>
        <v>364208905.05189818</v>
      </c>
      <c r="Q61" s="153">
        <f>Output_EB_RIN_SCS!T102*10^6/Input_Inflation!T$27</f>
        <v>346027101.68040866</v>
      </c>
      <c r="R61" s="131"/>
      <c r="S61" s="152" t="str">
        <f>IFERROR(Output_EB_RIN_ACS!N102*10^6,NA)</f>
        <v>N/A</v>
      </c>
      <c r="T61" s="153" t="str">
        <f>IFERROR(Output_EB_RIN_ACS!O102*10^6,NA)</f>
        <v>N/A</v>
      </c>
      <c r="U61" s="154" t="str">
        <f>IFERROR(Output_EB_RIN_ACS!P102*10^6,NA)</f>
        <v>N/A</v>
      </c>
      <c r="V61" s="154" t="str">
        <f>IFERROR(Output_EB_RIN_ACS!Q102*10^6,NA)</f>
        <v>N/A</v>
      </c>
      <c r="W61" s="154" t="str">
        <f>IFERROR(Output_EB_RIN_ACS!R102*10^6,NA)</f>
        <v>N/A</v>
      </c>
      <c r="X61" s="154" t="str">
        <f>IFERROR(Output_EB_RIN_ACS!S102*10^6,NA)</f>
        <v>N/A</v>
      </c>
      <c r="Y61" s="153" t="str">
        <f>IFERROR(Output_EB_RIN_ACS!T102*10^6,NA)</f>
        <v>N/A</v>
      </c>
      <c r="Z61" s="131"/>
      <c r="AA61" s="131"/>
      <c r="AB61" s="131"/>
      <c r="AC61" s="131"/>
      <c r="AD61" s="131"/>
      <c r="AE61" s="131"/>
      <c r="AF61" s="131"/>
      <c r="AG61" s="131"/>
      <c r="AH61" s="131"/>
      <c r="AI61" s="131"/>
      <c r="AJ61" s="131"/>
      <c r="AK61" s="131"/>
      <c r="AL61" s="131"/>
      <c r="AM61" s="131"/>
      <c r="AN61" s="131"/>
      <c r="AO61" s="131"/>
    </row>
    <row r="62" spans="1:41" outlineLevel="2" x14ac:dyDescent="0.55000000000000004">
      <c r="A62" s="150" t="s">
        <v>266</v>
      </c>
      <c r="B62" s="155" t="s">
        <v>220</v>
      </c>
      <c r="C62" s="156">
        <f>Output_EB_RIN_NS!N103*10^6/Input_Inflation!N$27</f>
        <v>27839548.397822198</v>
      </c>
      <c r="D62" s="157">
        <f>Output_EB_RIN_NS!O103*10^6/Input_Inflation!O$27</f>
        <v>16857862.539192781</v>
      </c>
      <c r="E62" s="158">
        <f>Output_EB_RIN_NS!P103*10^6/Input_Inflation!P$27</f>
        <v>10810192.846142443</v>
      </c>
      <c r="F62" s="158">
        <f>Output_EB_RIN_NS!Q103*10^6/Input_Inflation!Q$27</f>
        <v>11106999.973218864</v>
      </c>
      <c r="G62" s="158">
        <f>Output_EB_RIN_NS!R103*10^6/Input_Inflation!R$27</f>
        <v>11065553.537780527</v>
      </c>
      <c r="H62" s="158">
        <f>Output_EB_RIN_NS!S103*10^6/Input_Inflation!S$27</f>
        <v>10633589.057081752</v>
      </c>
      <c r="I62" s="157">
        <f>Output_EB_RIN_NS!T103*10^6/Input_Inflation!T$27</f>
        <v>10102745.844059451</v>
      </c>
      <c r="K62" s="156">
        <f>Output_EB_RIN_SCS!N103*10^6/Input_Inflation!N$27</f>
        <v>27839548.397822198</v>
      </c>
      <c r="L62" s="157">
        <f>Output_EB_RIN_SCS!O103*10^6/Input_Inflation!O$27</f>
        <v>16857862.539192781</v>
      </c>
      <c r="M62" s="158">
        <f>Output_EB_RIN_SCS!P103*10^6/Input_Inflation!P$27</f>
        <v>10810192.846142443</v>
      </c>
      <c r="N62" s="158">
        <f>Output_EB_RIN_SCS!Q103*10^6/Input_Inflation!Q$27</f>
        <v>11106999.973218864</v>
      </c>
      <c r="O62" s="158">
        <f>Output_EB_RIN_SCS!R103*10^6/Input_Inflation!R$27</f>
        <v>11065553.537780527</v>
      </c>
      <c r="P62" s="158">
        <f>Output_EB_RIN_SCS!S103*10^6/Input_Inflation!S$27</f>
        <v>10633589.057081752</v>
      </c>
      <c r="Q62" s="157">
        <f>Output_EB_RIN_SCS!T103*10^6/Input_Inflation!T$27</f>
        <v>10102745.844059451</v>
      </c>
      <c r="R62" s="131"/>
      <c r="S62" s="156" t="str">
        <f>IFERROR(Output_EB_RIN_ACS!N103*10^6,NA)</f>
        <v>N/A</v>
      </c>
      <c r="T62" s="157" t="str">
        <f>IFERROR(Output_EB_RIN_ACS!O103*10^6,NA)</f>
        <v>N/A</v>
      </c>
      <c r="U62" s="158" t="str">
        <f>IFERROR(Output_EB_RIN_ACS!P103*10^6,NA)</f>
        <v>N/A</v>
      </c>
      <c r="V62" s="158" t="str">
        <f>IFERROR(Output_EB_RIN_ACS!Q103*10^6,NA)</f>
        <v>N/A</v>
      </c>
      <c r="W62" s="158" t="str">
        <f>IFERROR(Output_EB_RIN_ACS!R103*10^6,NA)</f>
        <v>N/A</v>
      </c>
      <c r="X62" s="158" t="str">
        <f>IFERROR(Output_EB_RIN_ACS!S103*10^6,NA)</f>
        <v>N/A</v>
      </c>
      <c r="Y62" s="157" t="str">
        <f>IFERROR(Output_EB_RIN_ACS!T103*10^6,NA)</f>
        <v>N/A</v>
      </c>
      <c r="Z62" s="131"/>
      <c r="AA62" s="131"/>
      <c r="AB62" s="131"/>
      <c r="AC62" s="131"/>
      <c r="AD62" s="131"/>
      <c r="AE62" s="131"/>
      <c r="AF62" s="131"/>
      <c r="AG62" s="131"/>
      <c r="AH62" s="131"/>
      <c r="AI62" s="131"/>
      <c r="AJ62" s="131"/>
      <c r="AK62" s="131"/>
      <c r="AL62" s="131"/>
      <c r="AM62" s="131"/>
      <c r="AN62" s="131"/>
      <c r="AO62" s="131"/>
    </row>
    <row r="63" spans="1:41" outlineLevel="2" x14ac:dyDescent="0.55000000000000004">
      <c r="A63" s="150" t="s">
        <v>267</v>
      </c>
      <c r="B63" s="155" t="s">
        <v>222</v>
      </c>
      <c r="C63" s="156">
        <f>Output_EB_RIN_NS!N104*10^6/Input_Inflation!N$27</f>
        <v>-22348285.535282984</v>
      </c>
      <c r="D63" s="157">
        <f>Output_EB_RIN_NS!O104*10^6/Input_Inflation!O$27</f>
        <v>-23427732.582046077</v>
      </c>
      <c r="E63" s="158">
        <f>Output_EB_RIN_NS!P104*10^6/Input_Inflation!P$27</f>
        <v>-26611222.548982546</v>
      </c>
      <c r="F63" s="158">
        <f>Output_EB_RIN_NS!Q104*10^6/Input_Inflation!Q$27</f>
        <v>-27851243.101890091</v>
      </c>
      <c r="G63" s="158">
        <f>Output_EB_RIN_NS!R104*10^6/Input_Inflation!R$27</f>
        <v>-28595254.996794142</v>
      </c>
      <c r="H63" s="158">
        <f>Output_EB_RIN_NS!S104*10^6/Input_Inflation!S$27</f>
        <v>-29096027.890583135</v>
      </c>
      <c r="I63" s="157">
        <f>Output_EB_RIN_NS!T104*10^6/Input_Inflation!T$27</f>
        <v>-29391030.705994993</v>
      </c>
      <c r="K63" s="156">
        <f>Output_EB_RIN_SCS!N104*10^6/Input_Inflation!N$27</f>
        <v>-22348285.535282984</v>
      </c>
      <c r="L63" s="157">
        <f>Output_EB_RIN_SCS!O104*10^6/Input_Inflation!O$27</f>
        <v>-23427732.582046077</v>
      </c>
      <c r="M63" s="158">
        <f>Output_EB_RIN_SCS!P104*10^6/Input_Inflation!P$27</f>
        <v>-26611222.548982546</v>
      </c>
      <c r="N63" s="158">
        <f>Output_EB_RIN_SCS!Q104*10^6/Input_Inflation!Q$27</f>
        <v>-27851243.101890091</v>
      </c>
      <c r="O63" s="158">
        <f>Output_EB_RIN_SCS!R104*10^6/Input_Inflation!R$27</f>
        <v>-28595254.996794142</v>
      </c>
      <c r="P63" s="158">
        <f>Output_EB_RIN_SCS!S104*10^6/Input_Inflation!S$27</f>
        <v>-29096027.890583135</v>
      </c>
      <c r="Q63" s="157">
        <f>Output_EB_RIN_SCS!T104*10^6/Input_Inflation!T$27</f>
        <v>-29391030.705994993</v>
      </c>
      <c r="R63" s="131"/>
      <c r="S63" s="156" t="str">
        <f>IFERROR(Output_EB_RIN_ACS!N104*10^6,NA)</f>
        <v>N/A</v>
      </c>
      <c r="T63" s="157" t="str">
        <f>IFERROR(Output_EB_RIN_ACS!O104*10^6,NA)</f>
        <v>N/A</v>
      </c>
      <c r="U63" s="158" t="str">
        <f>IFERROR(Output_EB_RIN_ACS!P104*10^6,NA)</f>
        <v>N/A</v>
      </c>
      <c r="V63" s="158" t="str">
        <f>IFERROR(Output_EB_RIN_ACS!Q104*10^6,NA)</f>
        <v>N/A</v>
      </c>
      <c r="W63" s="158" t="str">
        <f>IFERROR(Output_EB_RIN_ACS!R104*10^6,NA)</f>
        <v>N/A</v>
      </c>
      <c r="X63" s="158" t="str">
        <f>IFERROR(Output_EB_RIN_ACS!S104*10^6,NA)</f>
        <v>N/A</v>
      </c>
      <c r="Y63" s="157" t="str">
        <f>IFERROR(Output_EB_RIN_ACS!T104*10^6,NA)</f>
        <v>N/A</v>
      </c>
      <c r="Z63" s="131"/>
      <c r="AA63" s="131"/>
      <c r="AB63" s="131"/>
      <c r="AC63" s="131"/>
      <c r="AD63" s="131"/>
      <c r="AE63" s="131"/>
      <c r="AF63" s="131"/>
      <c r="AG63" s="131"/>
      <c r="AH63" s="131"/>
      <c r="AI63" s="131"/>
      <c r="AJ63" s="131"/>
      <c r="AK63" s="131"/>
      <c r="AL63" s="131"/>
      <c r="AM63" s="131"/>
      <c r="AN63" s="131"/>
      <c r="AO63" s="131"/>
    </row>
    <row r="64" spans="1:41" outlineLevel="2" x14ac:dyDescent="0.55000000000000004">
      <c r="A64" s="150" t="s">
        <v>268</v>
      </c>
      <c r="B64" s="155" t="s">
        <v>224</v>
      </c>
      <c r="C64" s="156">
        <f>Output_EB_RIN_NS!N105*10^6/Input_Inflation!N$27</f>
        <v>22094667.667706184</v>
      </c>
      <c r="D64" s="157">
        <f>Output_EB_RIN_NS!O105*10^6/Input_Inflation!O$27</f>
        <v>29003781.932472613</v>
      </c>
      <c r="E64" s="158">
        <f>Output_EB_RIN_NS!P105*10^6/Input_Inflation!P$27</f>
        <v>37116395.621461548</v>
      </c>
      <c r="F64" s="158">
        <f>Output_EB_RIN_NS!Q105*10^6/Input_Inflation!Q$27</f>
        <v>26431534.847025726</v>
      </c>
      <c r="G64" s="158">
        <f>Output_EB_RIN_NS!R105*10^6/Input_Inflation!R$27</f>
        <v>13408333.085746367</v>
      </c>
      <c r="H64" s="158">
        <f>Output_EB_RIN_NS!S105*10^6/Input_Inflation!S$27</f>
        <v>10422442.150094057</v>
      </c>
      <c r="I64" s="157">
        <f>Output_EB_RIN_NS!T105*10^6/Input_Inflation!T$27</f>
        <v>8936948.3772441745</v>
      </c>
      <c r="K64" s="156">
        <f>Output_EB_RIN_SCS!N105*10^6/Input_Inflation!N$27</f>
        <v>22094667.667706184</v>
      </c>
      <c r="L64" s="157">
        <f>Output_EB_RIN_SCS!O105*10^6/Input_Inflation!O$27</f>
        <v>29003781.932472613</v>
      </c>
      <c r="M64" s="158">
        <f>Output_EB_RIN_SCS!P105*10^6/Input_Inflation!P$27</f>
        <v>37116395.621461548</v>
      </c>
      <c r="N64" s="158">
        <f>Output_EB_RIN_SCS!Q105*10^6/Input_Inflation!Q$27</f>
        <v>26431534.847025726</v>
      </c>
      <c r="O64" s="158">
        <f>Output_EB_RIN_SCS!R105*10^6/Input_Inflation!R$27</f>
        <v>13408333.085746367</v>
      </c>
      <c r="P64" s="158">
        <f>Output_EB_RIN_SCS!S105*10^6/Input_Inflation!S$27</f>
        <v>10422442.150094057</v>
      </c>
      <c r="Q64" s="157">
        <f>Output_EB_RIN_SCS!T105*10^6/Input_Inflation!T$27</f>
        <v>8936948.3772441745</v>
      </c>
      <c r="R64" s="131"/>
      <c r="S64" s="156" t="str">
        <f>IFERROR(Output_EB_RIN_ACS!N105*10^6,NA)</f>
        <v>N/A</v>
      </c>
      <c r="T64" s="157" t="str">
        <f>IFERROR(Output_EB_RIN_ACS!O105*10^6,NA)</f>
        <v>N/A</v>
      </c>
      <c r="U64" s="158" t="str">
        <f>IFERROR(Output_EB_RIN_ACS!P105*10^6,NA)</f>
        <v>N/A</v>
      </c>
      <c r="V64" s="158" t="str">
        <f>IFERROR(Output_EB_RIN_ACS!Q105*10^6,NA)</f>
        <v>N/A</v>
      </c>
      <c r="W64" s="158" t="str">
        <f>IFERROR(Output_EB_RIN_ACS!R105*10^6,NA)</f>
        <v>N/A</v>
      </c>
      <c r="X64" s="158" t="str">
        <f>IFERROR(Output_EB_RIN_ACS!S105*10^6,NA)</f>
        <v>N/A</v>
      </c>
      <c r="Y64" s="157" t="str">
        <f>IFERROR(Output_EB_RIN_ACS!T105*10^6,NA)</f>
        <v>N/A</v>
      </c>
      <c r="Z64" s="131"/>
      <c r="AA64" s="131"/>
      <c r="AB64" s="131"/>
      <c r="AC64" s="131"/>
      <c r="AD64" s="131"/>
      <c r="AE64" s="131"/>
      <c r="AF64" s="131"/>
      <c r="AG64" s="131"/>
      <c r="AH64" s="131"/>
      <c r="AI64" s="131"/>
      <c r="AJ64" s="131"/>
      <c r="AK64" s="131"/>
      <c r="AL64" s="131"/>
      <c r="AM64" s="131"/>
      <c r="AN64" s="131"/>
      <c r="AO64" s="131"/>
    </row>
    <row r="65" spans="1:41" outlineLevel="2" x14ac:dyDescent="0.55000000000000004">
      <c r="A65" s="150" t="s">
        <v>269</v>
      </c>
      <c r="B65" s="155" t="s">
        <v>226</v>
      </c>
      <c r="C65" s="156">
        <f>Output_EB_RIN_NS!N106*10^6/Input_Inflation!N$27</f>
        <v>-44496.598026346197</v>
      </c>
      <c r="D65" s="157">
        <f>Output_EB_RIN_NS!O106*10^6/Input_Inflation!O$27</f>
        <v>-43919.747846387327</v>
      </c>
      <c r="E65" s="158">
        <f>Output_EB_RIN_NS!P106*10^6/Input_Inflation!P$27</f>
        <v>-42485.151644642952</v>
      </c>
      <c r="F65" s="158">
        <f>Output_EB_RIN_NS!Q106*10^6/Input_Inflation!Q$27</f>
        <v>-41311.646152647983</v>
      </c>
      <c r="G65" s="158">
        <f>Output_EB_RIN_NS!R106*10^6/Input_Inflation!R$27</f>
        <v>-40170.507366250837</v>
      </c>
      <c r="H65" s="158">
        <f>Output_EB_RIN_NS!S106*10^6/Input_Inflation!S$27</f>
        <v>-39060.84402274352</v>
      </c>
      <c r="I65" s="157">
        <f>Output_EB_RIN_NS!T106*10^6/Input_Inflation!T$27</f>
        <v>-37981.789356976391</v>
      </c>
      <c r="K65" s="156">
        <f>Output_EB_RIN_SCS!N106*10^6/Input_Inflation!N$27</f>
        <v>-44496.598026346197</v>
      </c>
      <c r="L65" s="157">
        <f>Output_EB_RIN_SCS!O106*10^6/Input_Inflation!O$27</f>
        <v>-43919.747846387327</v>
      </c>
      <c r="M65" s="158">
        <f>Output_EB_RIN_SCS!P106*10^6/Input_Inflation!P$27</f>
        <v>-42485.151644642952</v>
      </c>
      <c r="N65" s="158">
        <f>Output_EB_RIN_SCS!Q106*10^6/Input_Inflation!Q$27</f>
        <v>-41311.646152647983</v>
      </c>
      <c r="O65" s="158">
        <f>Output_EB_RIN_SCS!R106*10^6/Input_Inflation!R$27</f>
        <v>-40170.507366250837</v>
      </c>
      <c r="P65" s="158">
        <f>Output_EB_RIN_SCS!S106*10^6/Input_Inflation!S$27</f>
        <v>-39060.84402274352</v>
      </c>
      <c r="Q65" s="157">
        <f>Output_EB_RIN_SCS!T106*10^6/Input_Inflation!T$27</f>
        <v>-37981.789356976391</v>
      </c>
      <c r="R65" s="131"/>
      <c r="S65" s="156" t="str">
        <f>IFERROR(Output_EB_RIN_ACS!N106*10^6,NA)</f>
        <v>N/A</v>
      </c>
      <c r="T65" s="157" t="str">
        <f>IFERROR(Output_EB_RIN_ACS!O106*10^6,NA)</f>
        <v>N/A</v>
      </c>
      <c r="U65" s="158" t="str">
        <f>IFERROR(Output_EB_RIN_ACS!P106*10^6,NA)</f>
        <v>N/A</v>
      </c>
      <c r="V65" s="158" t="str">
        <f>IFERROR(Output_EB_RIN_ACS!Q106*10^6,NA)</f>
        <v>N/A</v>
      </c>
      <c r="W65" s="158" t="str">
        <f>IFERROR(Output_EB_RIN_ACS!R106*10^6,NA)</f>
        <v>N/A</v>
      </c>
      <c r="X65" s="158" t="str">
        <f>IFERROR(Output_EB_RIN_ACS!S106*10^6,NA)</f>
        <v>N/A</v>
      </c>
      <c r="Y65" s="157" t="str">
        <f>IFERROR(Output_EB_RIN_ACS!T106*10^6,NA)</f>
        <v>N/A</v>
      </c>
      <c r="Z65" s="131"/>
      <c r="AA65" s="131"/>
      <c r="AB65" s="131"/>
      <c r="AC65" s="131"/>
      <c r="AD65" s="131"/>
      <c r="AE65" s="131"/>
      <c r="AF65" s="131"/>
      <c r="AG65" s="131"/>
      <c r="AH65" s="131"/>
      <c r="AI65" s="131"/>
      <c r="AJ65" s="131"/>
      <c r="AK65" s="131"/>
      <c r="AL65" s="131"/>
      <c r="AM65" s="131"/>
      <c r="AN65" s="131"/>
      <c r="AO65" s="131"/>
    </row>
    <row r="66" spans="1:41" ht="14.7" outlineLevel="2" thickBot="1" x14ac:dyDescent="0.6">
      <c r="A66" s="150" t="s">
        <v>270</v>
      </c>
      <c r="B66" s="159" t="s">
        <v>228</v>
      </c>
      <c r="C66" s="160">
        <f t="shared" ref="C66:H66" si="35">SUM(C61:C65)</f>
        <v>375535788.9049964</v>
      </c>
      <c r="D66" s="161">
        <f t="shared" si="35"/>
        <v>381067918.50757653</v>
      </c>
      <c r="E66" s="162">
        <f t="shared" si="35"/>
        <v>391530606.42841101</v>
      </c>
      <c r="F66" s="162">
        <f t="shared" si="35"/>
        <v>390069586.52739394</v>
      </c>
      <c r="G66" s="162">
        <f t="shared" si="35"/>
        <v>374842494.10897988</v>
      </c>
      <c r="H66" s="162">
        <f t="shared" si="35"/>
        <v>356129847.52446806</v>
      </c>
      <c r="I66" s="161">
        <f t="shared" ref="I66" si="36">SUM(I61:I65)</f>
        <v>335637783.40636033</v>
      </c>
      <c r="K66" s="160">
        <f t="shared" ref="K66:P66" si="37">SUM(K61:K65)</f>
        <v>375535788.9049964</v>
      </c>
      <c r="L66" s="161">
        <f t="shared" si="37"/>
        <v>381067918.50757653</v>
      </c>
      <c r="M66" s="162">
        <f t="shared" si="37"/>
        <v>391530606.42841101</v>
      </c>
      <c r="N66" s="162">
        <f t="shared" si="37"/>
        <v>390069586.52739394</v>
      </c>
      <c r="O66" s="162">
        <f t="shared" si="37"/>
        <v>374842494.10897988</v>
      </c>
      <c r="P66" s="162">
        <f t="shared" si="37"/>
        <v>356129847.52446806</v>
      </c>
      <c r="Q66" s="161">
        <f t="shared" ref="Q66" si="38">SUM(Q61:Q65)</f>
        <v>335637783.40636033</v>
      </c>
      <c r="R66" s="131"/>
      <c r="S66" s="160">
        <f t="shared" ref="S66:X66" si="39">SUM(S61:S65)</f>
        <v>0</v>
      </c>
      <c r="T66" s="161">
        <f t="shared" si="39"/>
        <v>0</v>
      </c>
      <c r="U66" s="162">
        <f t="shared" si="39"/>
        <v>0</v>
      </c>
      <c r="V66" s="162">
        <f t="shared" si="39"/>
        <v>0</v>
      </c>
      <c r="W66" s="162">
        <f t="shared" si="39"/>
        <v>0</v>
      </c>
      <c r="X66" s="162">
        <f t="shared" si="39"/>
        <v>0</v>
      </c>
      <c r="Y66" s="161">
        <f t="shared" ref="Y66" si="40">SUM(Y61:Y65)</f>
        <v>0</v>
      </c>
      <c r="Z66" s="131"/>
      <c r="AA66" s="131"/>
      <c r="AB66" s="131"/>
      <c r="AC66" s="131"/>
      <c r="AD66" s="131"/>
      <c r="AE66" s="131"/>
      <c r="AF66" s="131"/>
      <c r="AG66" s="131"/>
      <c r="AH66" s="131"/>
      <c r="AI66" s="131"/>
      <c r="AJ66" s="131"/>
      <c r="AK66" s="131"/>
      <c r="AL66" s="131"/>
      <c r="AM66" s="131"/>
      <c r="AN66" s="131"/>
      <c r="AO66" s="131"/>
    </row>
    <row r="67" spans="1:41" ht="20.25" customHeight="1" outlineLevel="1" thickBot="1" x14ac:dyDescent="0.6">
      <c r="A67" s="42">
        <f>IF(SUM(C67:I67,K67:Q67,S67:Y67)&lt;&gt;0,1,0)</f>
        <v>0</v>
      </c>
      <c r="B67" s="165" t="s">
        <v>271</v>
      </c>
      <c r="C67" s="256">
        <f>IF(ROUND(C66-(Output_EB_RIN_NS!N108*10^6/Input_Inflation!N$27),4)=0,0,1)</f>
        <v>0</v>
      </c>
      <c r="D67" s="256">
        <f>IF(ROUND(D66-(Output_EB_RIN_NS!O108*10^6/Input_Inflation!O$27),4)=0,0,1)</f>
        <v>0</v>
      </c>
      <c r="E67" s="256">
        <f>IF(ROUND(E66-(Output_EB_RIN_NS!P108*10^6/Input_Inflation!P$27),4)=0,0,1)</f>
        <v>0</v>
      </c>
      <c r="F67" s="256">
        <f>IF(ROUND(F66-(Output_EB_RIN_NS!Q108*10^6/Input_Inflation!Q$27),4)=0,0,1)</f>
        <v>0</v>
      </c>
      <c r="G67" s="256">
        <f>IF(ROUND(G66-(Output_EB_RIN_NS!R108*10^6/Input_Inflation!R$27),4)=0,0,1)</f>
        <v>0</v>
      </c>
      <c r="H67" s="256">
        <f>IF(ROUND(H66-(Output_EB_RIN_NS!S108*10^6/Input_Inflation!S$27),4)=0,0,1)</f>
        <v>0</v>
      </c>
      <c r="I67" s="256">
        <f>IF(ROUND(I66-(Output_EB_RIN_NS!T108*10^6/Input_Inflation!T$27),4)=0,0,1)</f>
        <v>0</v>
      </c>
      <c r="K67" s="256">
        <f>IF(ROUND(K66-(Output_EB_RIN_SCS!N108*10^6/Input_Inflation!N$27),4)=0,0,1)</f>
        <v>0</v>
      </c>
      <c r="L67" s="256">
        <f>IF(ROUND(L66-(Output_EB_RIN_SCS!O108*10^6/Input_Inflation!O$27),4)=0,0,1)</f>
        <v>0</v>
      </c>
      <c r="M67" s="256">
        <f>IF(ROUND(M66-(Output_EB_RIN_SCS!P108*10^6/Input_Inflation!P$27),4)=0,0,1)</f>
        <v>0</v>
      </c>
      <c r="N67" s="256">
        <f>IF(ROUND(N66-(Output_EB_RIN_SCS!Q108*10^6/Input_Inflation!Q$27),4)=0,0,1)</f>
        <v>0</v>
      </c>
      <c r="O67" s="256">
        <f>IF(ROUND(O66-(Output_EB_RIN_SCS!R108*10^6/Input_Inflation!R$27),4)=0,0,1)</f>
        <v>0</v>
      </c>
      <c r="P67" s="256">
        <f>IF(ROUND(P66-(Output_EB_RIN_SCS!S108*10^6/Input_Inflation!S$27),4)=0,0,1)</f>
        <v>0</v>
      </c>
      <c r="Q67" s="256">
        <f>IF(ROUND(Q66-(Output_EB_RIN_SCS!T108*10^6/Input_Inflation!T$27),4)=0,0,1)</f>
        <v>0</v>
      </c>
      <c r="R67" s="131"/>
      <c r="S67" s="256">
        <f>IF(ROUND(S66-(Output_EB_RIN_ACS!N108*10^6),4)=0,0,1)</f>
        <v>0</v>
      </c>
      <c r="T67" s="256">
        <f>IF(ROUND(T66-(Output_EB_RIN_ACS!O108*10^6),4)=0,0,1)</f>
        <v>0</v>
      </c>
      <c r="U67" s="256">
        <f>IF(ROUND(U66-(Output_EB_RIN_ACS!P108*10^6),4)=0,0,1)</f>
        <v>0</v>
      </c>
      <c r="V67" s="256">
        <f>IF(ROUND(V66-(Output_EB_RIN_ACS!Q108*10^6),4)=0,0,1)</f>
        <v>0</v>
      </c>
      <c r="W67" s="256">
        <f>IF(ROUND(W66-(Output_EB_RIN_ACS!R108*10^6),4)=0,0,1)</f>
        <v>0</v>
      </c>
      <c r="X67" s="256">
        <f>IF(ROUND(X66-(Output_EB_RIN_ACS!S108*10^6),4)=0,0,1)</f>
        <v>0</v>
      </c>
      <c r="Y67" s="256">
        <f>IF(ROUND(Y66-(Output_EB_RIN_ACS!T108*10^6),4)=0,0,1)</f>
        <v>0</v>
      </c>
      <c r="Z67" s="131"/>
      <c r="AA67" s="131"/>
      <c r="AB67" s="131"/>
      <c r="AC67" s="131"/>
      <c r="AD67" s="131"/>
      <c r="AE67" s="131"/>
      <c r="AF67" s="131"/>
      <c r="AG67" s="131"/>
      <c r="AH67" s="131"/>
      <c r="AI67" s="131"/>
      <c r="AJ67" s="131"/>
      <c r="AK67" s="131"/>
      <c r="AL67" s="131"/>
      <c r="AM67" s="131"/>
      <c r="AN67" s="131"/>
      <c r="AO67" s="131"/>
    </row>
    <row r="68" spans="1:41" outlineLevel="2" x14ac:dyDescent="0.55000000000000004">
      <c r="A68" s="150" t="s">
        <v>272</v>
      </c>
      <c r="B68" s="151" t="s">
        <v>218</v>
      </c>
      <c r="C68" s="167">
        <f>Output_EB_RIN_NS!N116*10^6/Input_Inflation!N$27</f>
        <v>50996073.921066396</v>
      </c>
      <c r="D68" s="168">
        <f>Output_EB_RIN_NS!O116*10^6/Input_Inflation!O$27</f>
        <v>52603400.033191696</v>
      </c>
      <c r="E68" s="169">
        <f>Output_EB_RIN_NS!P116*10^6/Input_Inflation!P$27</f>
        <v>53684008.843402699</v>
      </c>
      <c r="F68" s="169">
        <f>Output_EB_RIN_NS!Q116*10^6/Input_Inflation!Q$27</f>
        <v>53684008.843402699</v>
      </c>
      <c r="G68" s="169">
        <f>Output_EB_RIN_NS!R116*10^6/Input_Inflation!R$27</f>
        <v>53684008.843402699</v>
      </c>
      <c r="H68" s="169">
        <f>Output_EB_RIN_NS!S116*10^6/Input_Inflation!S$27</f>
        <v>53684008.843402706</v>
      </c>
      <c r="I68" s="168">
        <f>Output_EB_RIN_NS!T116*10^6/Input_Inflation!T$27</f>
        <v>53684008.843402706</v>
      </c>
      <c r="K68" s="167">
        <f>Output_EB_RIN_SCS!N116*10^6/Input_Inflation!N$27</f>
        <v>50996073.921066396</v>
      </c>
      <c r="L68" s="168">
        <f>Output_EB_RIN_SCS!O116*10^6/Input_Inflation!O$27</f>
        <v>52603400.033191696</v>
      </c>
      <c r="M68" s="169">
        <f>Output_EB_RIN_SCS!P116*10^6/Input_Inflation!P$27</f>
        <v>53684008.843402699</v>
      </c>
      <c r="N68" s="169">
        <f>Output_EB_RIN_SCS!Q116*10^6/Input_Inflation!Q$27</f>
        <v>53684008.843402699</v>
      </c>
      <c r="O68" s="169">
        <f>Output_EB_RIN_SCS!R116*10^6/Input_Inflation!R$27</f>
        <v>53684008.843402699</v>
      </c>
      <c r="P68" s="169">
        <f>Output_EB_RIN_SCS!S116*10^6/Input_Inflation!S$27</f>
        <v>53684008.843402706</v>
      </c>
      <c r="Q68" s="168">
        <f>Output_EB_RIN_SCS!T116*10^6/Input_Inflation!T$27</f>
        <v>53684008.843402706</v>
      </c>
      <c r="R68" s="131"/>
      <c r="S68" s="167" t="str">
        <f>IFERROR(Output_EB_RIN_ACS!N116*10^6,NA)</f>
        <v>N/A</v>
      </c>
      <c r="T68" s="168" t="str">
        <f>IFERROR(Output_EB_RIN_ACS!O116*10^6,NA)</f>
        <v>N/A</v>
      </c>
      <c r="U68" s="169" t="str">
        <f>IFERROR(Output_EB_RIN_ACS!P116*10^6,NA)</f>
        <v>N/A</v>
      </c>
      <c r="V68" s="169" t="str">
        <f>IFERROR(Output_EB_RIN_ACS!Q116*10^6,NA)</f>
        <v>N/A</v>
      </c>
      <c r="W68" s="169" t="str">
        <f>IFERROR(Output_EB_RIN_ACS!R116*10^6,NA)</f>
        <v>N/A</v>
      </c>
      <c r="X68" s="169" t="str">
        <f>IFERROR(Output_EB_RIN_ACS!S116*10^6,NA)</f>
        <v>N/A</v>
      </c>
      <c r="Y68" s="168" t="str">
        <f>IFERROR(Output_EB_RIN_ACS!T116*10^6,NA)</f>
        <v>N/A</v>
      </c>
      <c r="Z68" s="131"/>
      <c r="AA68" s="131"/>
      <c r="AB68" s="131"/>
      <c r="AC68" s="131"/>
      <c r="AD68" s="131"/>
      <c r="AE68" s="131"/>
      <c r="AF68" s="131"/>
      <c r="AG68" s="131"/>
      <c r="AH68" s="131"/>
      <c r="AI68" s="131"/>
      <c r="AJ68" s="131"/>
      <c r="AK68" s="131"/>
      <c r="AL68" s="131"/>
      <c r="AM68" s="131"/>
      <c r="AN68" s="131"/>
      <c r="AO68" s="131"/>
    </row>
    <row r="69" spans="1:41" outlineLevel="2" x14ac:dyDescent="0.55000000000000004">
      <c r="A69" s="150" t="s">
        <v>273</v>
      </c>
      <c r="B69" s="155" t="s">
        <v>220</v>
      </c>
      <c r="C69" s="170">
        <f>Output_EB_RIN_NS!N117*10^6/Input_Inflation!N$27</f>
        <v>4079685.9136853116</v>
      </c>
      <c r="D69" s="171">
        <f>Output_EB_RIN_NS!O117*10^6/Input_Inflation!O$27</f>
        <v>2472359.8015600098</v>
      </c>
      <c r="E69" s="172">
        <f>Output_EB_RIN_NS!P117*10^6/Input_Inflation!P$27</f>
        <v>1567379.8225667833</v>
      </c>
      <c r="F69" s="172">
        <f>Output_EB_RIN_NS!Q117*10^6/Input_Inflation!Q$27</f>
        <v>1567379.8225667833</v>
      </c>
      <c r="G69" s="172">
        <f>Output_EB_RIN_NS!R117*10^6/Input_Inflation!R$27</f>
        <v>1567379.8225667831</v>
      </c>
      <c r="H69" s="172">
        <f>Output_EB_RIN_NS!S117*10^6/Input_Inflation!S$27</f>
        <v>1567379.8225667833</v>
      </c>
      <c r="I69" s="171">
        <f>Output_EB_RIN_NS!T117*10^6/Input_Inflation!T$27</f>
        <v>1567379.8225667835</v>
      </c>
      <c r="K69" s="170">
        <f>Output_EB_RIN_SCS!N117*10^6/Input_Inflation!N$27</f>
        <v>4079685.9136853116</v>
      </c>
      <c r="L69" s="171">
        <f>Output_EB_RIN_SCS!O117*10^6/Input_Inflation!O$27</f>
        <v>2472359.8015600098</v>
      </c>
      <c r="M69" s="172">
        <f>Output_EB_RIN_SCS!P117*10^6/Input_Inflation!P$27</f>
        <v>1567379.8225667833</v>
      </c>
      <c r="N69" s="172">
        <f>Output_EB_RIN_SCS!Q117*10^6/Input_Inflation!Q$27</f>
        <v>1567379.8225667833</v>
      </c>
      <c r="O69" s="172">
        <f>Output_EB_RIN_SCS!R117*10^6/Input_Inflation!R$27</f>
        <v>1567379.8225667831</v>
      </c>
      <c r="P69" s="172">
        <f>Output_EB_RIN_SCS!S117*10^6/Input_Inflation!S$27</f>
        <v>1567379.8225667833</v>
      </c>
      <c r="Q69" s="171">
        <f>Output_EB_RIN_SCS!T117*10^6/Input_Inflation!T$27</f>
        <v>1567379.8225667835</v>
      </c>
      <c r="R69" s="131"/>
      <c r="S69" s="170" t="str">
        <f>IFERROR(Output_EB_RIN_ACS!N117*10^6,NA)</f>
        <v>N/A</v>
      </c>
      <c r="T69" s="171" t="str">
        <f>IFERROR(Output_EB_RIN_ACS!O117*10^6,NA)</f>
        <v>N/A</v>
      </c>
      <c r="U69" s="172" t="str">
        <f>IFERROR(Output_EB_RIN_ACS!P117*10^6,NA)</f>
        <v>N/A</v>
      </c>
      <c r="V69" s="172" t="str">
        <f>IFERROR(Output_EB_RIN_ACS!Q117*10^6,NA)</f>
        <v>N/A</v>
      </c>
      <c r="W69" s="172" t="str">
        <f>IFERROR(Output_EB_RIN_ACS!R117*10^6,NA)</f>
        <v>N/A</v>
      </c>
      <c r="X69" s="172" t="str">
        <f>IFERROR(Output_EB_RIN_ACS!S117*10^6,NA)</f>
        <v>N/A</v>
      </c>
      <c r="Y69" s="171" t="str">
        <f>IFERROR(Output_EB_RIN_ACS!T117*10^6,NA)</f>
        <v>N/A</v>
      </c>
      <c r="Z69" s="131"/>
      <c r="AA69" s="131"/>
      <c r="AB69" s="131"/>
      <c r="AC69" s="131"/>
      <c r="AD69" s="131"/>
      <c r="AE69" s="131"/>
      <c r="AF69" s="131"/>
      <c r="AG69" s="131"/>
      <c r="AH69" s="131"/>
      <c r="AI69" s="131"/>
      <c r="AJ69" s="131"/>
      <c r="AK69" s="131"/>
      <c r="AL69" s="131"/>
      <c r="AM69" s="131"/>
      <c r="AN69" s="131"/>
      <c r="AO69" s="131"/>
    </row>
    <row r="70" spans="1:41" outlineLevel="2" x14ac:dyDescent="0.55000000000000004">
      <c r="A70" s="150" t="s">
        <v>274</v>
      </c>
      <c r="B70" s="155" t="s">
        <v>224</v>
      </c>
      <c r="C70" s="170">
        <f>Output_EB_RIN_NS!N118*10^6/Input_Inflation!N$27</f>
        <v>0</v>
      </c>
      <c r="D70" s="171">
        <f>Output_EB_RIN_NS!O118*10^6/Input_Inflation!O$27</f>
        <v>0</v>
      </c>
      <c r="E70" s="172">
        <f>Output_EB_RIN_NS!P118*10^6/Input_Inflation!P$27</f>
        <v>0</v>
      </c>
      <c r="F70" s="172">
        <f>Output_EB_RIN_NS!Q118*10^6/Input_Inflation!Q$27</f>
        <v>0</v>
      </c>
      <c r="G70" s="172">
        <f>Output_EB_RIN_NS!R118*10^6/Input_Inflation!R$27</f>
        <v>0</v>
      </c>
      <c r="H70" s="172">
        <f>Output_EB_RIN_NS!S118*10^6/Input_Inflation!S$27</f>
        <v>0</v>
      </c>
      <c r="I70" s="171">
        <f>Output_EB_RIN_NS!T118*10^6/Input_Inflation!T$27</f>
        <v>0</v>
      </c>
      <c r="K70" s="170">
        <f>Output_EB_RIN_SCS!N118*10^6/Input_Inflation!N$27</f>
        <v>0</v>
      </c>
      <c r="L70" s="171">
        <f>Output_EB_RIN_SCS!O118*10^6/Input_Inflation!O$27</f>
        <v>0</v>
      </c>
      <c r="M70" s="172">
        <f>Output_EB_RIN_SCS!P118*10^6/Input_Inflation!P$27</f>
        <v>0</v>
      </c>
      <c r="N70" s="172">
        <f>Output_EB_RIN_SCS!Q118*10^6/Input_Inflation!Q$27</f>
        <v>0</v>
      </c>
      <c r="O70" s="172">
        <f>Output_EB_RIN_SCS!R118*10^6/Input_Inflation!R$27</f>
        <v>0</v>
      </c>
      <c r="P70" s="172">
        <f>Output_EB_RIN_SCS!S118*10^6/Input_Inflation!S$27</f>
        <v>0</v>
      </c>
      <c r="Q70" s="171">
        <f>Output_EB_RIN_SCS!T118*10^6/Input_Inflation!T$27</f>
        <v>0</v>
      </c>
      <c r="R70" s="131"/>
      <c r="S70" s="170" t="str">
        <f>IFERROR(Output_EB_RIN_ACS!N118*10^6,NA)</f>
        <v>N/A</v>
      </c>
      <c r="T70" s="171" t="str">
        <f>IFERROR(Output_EB_RIN_ACS!O118*10^6,NA)</f>
        <v>N/A</v>
      </c>
      <c r="U70" s="172" t="str">
        <f>IFERROR(Output_EB_RIN_ACS!P118*10^6,NA)</f>
        <v>N/A</v>
      </c>
      <c r="V70" s="172" t="str">
        <f>IFERROR(Output_EB_RIN_ACS!Q118*10^6,NA)</f>
        <v>N/A</v>
      </c>
      <c r="W70" s="172" t="str">
        <f>IFERROR(Output_EB_RIN_ACS!R118*10^6,NA)</f>
        <v>N/A</v>
      </c>
      <c r="X70" s="172" t="str">
        <f>IFERROR(Output_EB_RIN_ACS!S118*10^6,NA)</f>
        <v>N/A</v>
      </c>
      <c r="Y70" s="171" t="str">
        <f>IFERROR(Output_EB_RIN_ACS!T118*10^6,NA)</f>
        <v>N/A</v>
      </c>
      <c r="Z70" s="131"/>
      <c r="AA70" s="131"/>
      <c r="AB70" s="131"/>
      <c r="AC70" s="131"/>
      <c r="AD70" s="131"/>
      <c r="AE70" s="131"/>
      <c r="AF70" s="131"/>
      <c r="AG70" s="131"/>
      <c r="AH70" s="131"/>
      <c r="AI70" s="131"/>
      <c r="AJ70" s="131"/>
      <c r="AK70" s="131"/>
      <c r="AL70" s="131"/>
      <c r="AM70" s="131"/>
      <c r="AN70" s="131"/>
      <c r="AO70" s="131"/>
    </row>
    <row r="71" spans="1:41" outlineLevel="2" x14ac:dyDescent="0.55000000000000004">
      <c r="A71" s="150" t="s">
        <v>275</v>
      </c>
      <c r="B71" s="155" t="s">
        <v>226</v>
      </c>
      <c r="C71" s="170">
        <f>Output_EB_RIN_NS!N119*10^6/Input_Inflation!N$27</f>
        <v>0</v>
      </c>
      <c r="D71" s="171">
        <f>Output_EB_RIN_NS!O119*10^6/Input_Inflation!O$27</f>
        <v>175628.83121777981</v>
      </c>
      <c r="E71" s="172">
        <f>Output_EB_RIN_NS!P119*10^6/Input_Inflation!P$27</f>
        <v>0</v>
      </c>
      <c r="F71" s="172">
        <f>Output_EB_RIN_NS!Q119*10^6/Input_Inflation!Q$27</f>
        <v>0</v>
      </c>
      <c r="G71" s="172">
        <f>Output_EB_RIN_NS!R119*10^6/Input_Inflation!R$27</f>
        <v>0</v>
      </c>
      <c r="H71" s="172">
        <f>Output_EB_RIN_NS!S119*10^6/Input_Inflation!S$27</f>
        <v>0</v>
      </c>
      <c r="I71" s="171">
        <f>Output_EB_RIN_NS!T119*10^6/Input_Inflation!T$27</f>
        <v>0</v>
      </c>
      <c r="K71" s="170">
        <f>Output_EB_RIN_SCS!N119*10^6/Input_Inflation!N$27</f>
        <v>0</v>
      </c>
      <c r="L71" s="171">
        <f>Output_EB_RIN_SCS!O119*10^6/Input_Inflation!O$27</f>
        <v>175628.83121777981</v>
      </c>
      <c r="M71" s="172">
        <f>Output_EB_RIN_SCS!P119*10^6/Input_Inflation!P$27</f>
        <v>0</v>
      </c>
      <c r="N71" s="172">
        <f>Output_EB_RIN_SCS!Q119*10^6/Input_Inflation!Q$27</f>
        <v>0</v>
      </c>
      <c r="O71" s="172">
        <f>Output_EB_RIN_SCS!R119*10^6/Input_Inflation!R$27</f>
        <v>0</v>
      </c>
      <c r="P71" s="172">
        <f>Output_EB_RIN_SCS!S119*10^6/Input_Inflation!S$27</f>
        <v>0</v>
      </c>
      <c r="Q71" s="171">
        <f>Output_EB_RIN_SCS!T119*10^6/Input_Inflation!T$27</f>
        <v>0</v>
      </c>
      <c r="R71" s="131"/>
      <c r="S71" s="170" t="str">
        <f>IFERROR(Output_EB_RIN_ACS!N119*10^6,NA)</f>
        <v>N/A</v>
      </c>
      <c r="T71" s="171" t="str">
        <f>IFERROR(Output_EB_RIN_ACS!O119*10^6,NA)</f>
        <v>N/A</v>
      </c>
      <c r="U71" s="172" t="str">
        <f>IFERROR(Output_EB_RIN_ACS!P119*10^6,NA)</f>
        <v>N/A</v>
      </c>
      <c r="V71" s="172" t="str">
        <f>IFERROR(Output_EB_RIN_ACS!Q119*10^6,NA)</f>
        <v>N/A</v>
      </c>
      <c r="W71" s="172" t="str">
        <f>IFERROR(Output_EB_RIN_ACS!R119*10^6,NA)</f>
        <v>N/A</v>
      </c>
      <c r="X71" s="172" t="str">
        <f>IFERROR(Output_EB_RIN_ACS!S119*10^6,NA)</f>
        <v>N/A</v>
      </c>
      <c r="Y71" s="171" t="str">
        <f>IFERROR(Output_EB_RIN_ACS!T119*10^6,NA)</f>
        <v>N/A</v>
      </c>
      <c r="Z71" s="131"/>
      <c r="AA71" s="131"/>
      <c r="AB71" s="131"/>
      <c r="AC71" s="131"/>
      <c r="AD71" s="131"/>
      <c r="AE71" s="131"/>
      <c r="AF71" s="131"/>
      <c r="AG71" s="131"/>
      <c r="AH71" s="131"/>
      <c r="AI71" s="131"/>
      <c r="AJ71" s="131"/>
      <c r="AK71" s="131"/>
      <c r="AL71" s="131"/>
      <c r="AM71" s="131"/>
      <c r="AN71" s="131"/>
      <c r="AO71" s="131"/>
    </row>
    <row r="72" spans="1:41" ht="14.7" outlineLevel="2" thickBot="1" x14ac:dyDescent="0.6">
      <c r="A72" s="150" t="s">
        <v>276</v>
      </c>
      <c r="B72" s="159" t="s">
        <v>228</v>
      </c>
      <c r="C72" s="160">
        <f t="shared" ref="C72:H72" si="41">SUM(C68:C71)</f>
        <v>55075759.83475171</v>
      </c>
      <c r="D72" s="161">
        <f t="shared" si="41"/>
        <v>55251388.665969484</v>
      </c>
      <c r="E72" s="162">
        <f t="shared" si="41"/>
        <v>55251388.665969484</v>
      </c>
      <c r="F72" s="162">
        <f t="shared" si="41"/>
        <v>55251388.665969484</v>
      </c>
      <c r="G72" s="162">
        <f t="shared" si="41"/>
        <v>55251388.665969484</v>
      </c>
      <c r="H72" s="162">
        <f t="shared" si="41"/>
        <v>55251388.665969491</v>
      </c>
      <c r="I72" s="161">
        <f t="shared" ref="I72" si="42">SUM(I68:I71)</f>
        <v>55251388.665969491</v>
      </c>
      <c r="K72" s="160">
        <f t="shared" ref="K72:P72" si="43">SUM(K68:K71)</f>
        <v>55075759.83475171</v>
      </c>
      <c r="L72" s="161">
        <f t="shared" si="43"/>
        <v>55251388.665969484</v>
      </c>
      <c r="M72" s="162">
        <f t="shared" si="43"/>
        <v>55251388.665969484</v>
      </c>
      <c r="N72" s="162">
        <f t="shared" si="43"/>
        <v>55251388.665969484</v>
      </c>
      <c r="O72" s="162">
        <f t="shared" si="43"/>
        <v>55251388.665969484</v>
      </c>
      <c r="P72" s="162">
        <f t="shared" si="43"/>
        <v>55251388.665969491</v>
      </c>
      <c r="Q72" s="161">
        <f t="shared" ref="Q72" si="44">SUM(Q68:Q71)</f>
        <v>55251388.665969491</v>
      </c>
      <c r="R72" s="131"/>
      <c r="S72" s="160">
        <f t="shared" ref="S72:X72" si="45">SUM(S68:S71)</f>
        <v>0</v>
      </c>
      <c r="T72" s="161">
        <f t="shared" si="45"/>
        <v>0</v>
      </c>
      <c r="U72" s="162">
        <f t="shared" si="45"/>
        <v>0</v>
      </c>
      <c r="V72" s="162">
        <f t="shared" si="45"/>
        <v>0</v>
      </c>
      <c r="W72" s="162">
        <f t="shared" si="45"/>
        <v>0</v>
      </c>
      <c r="X72" s="162">
        <f t="shared" si="45"/>
        <v>0</v>
      </c>
      <c r="Y72" s="161">
        <f t="shared" ref="Y72" si="46">SUM(Y68:Y71)</f>
        <v>0</v>
      </c>
      <c r="Z72" s="131"/>
      <c r="AA72" s="131"/>
      <c r="AB72" s="131"/>
      <c r="AC72" s="131"/>
      <c r="AD72" s="131"/>
      <c r="AE72" s="131"/>
      <c r="AF72" s="131"/>
      <c r="AG72" s="131"/>
      <c r="AH72" s="131"/>
      <c r="AI72" s="131"/>
      <c r="AJ72" s="131"/>
      <c r="AK72" s="131"/>
      <c r="AL72" s="131"/>
      <c r="AM72" s="131"/>
      <c r="AN72" s="131"/>
      <c r="AO72" s="131"/>
    </row>
    <row r="73" spans="1:41" ht="20.25" customHeight="1" outlineLevel="1" thickBot="1" x14ac:dyDescent="0.6">
      <c r="A73" s="42">
        <f>IF(SUM(C73:I73,K73:Q73,S73:Y73)&lt;&gt;0,1,0)</f>
        <v>0</v>
      </c>
      <c r="B73" s="165" t="s">
        <v>277</v>
      </c>
      <c r="C73" s="256">
        <f>IF(ROUND(C72-(Output_EB_RIN_NS!N122*10^6/Input_Inflation!N$27),4)=0,0,1)</f>
        <v>0</v>
      </c>
      <c r="D73" s="256">
        <f>IF(ROUND(D72-(Output_EB_RIN_NS!O122*10^6/Input_Inflation!O$27),4)=0,0,1)</f>
        <v>0</v>
      </c>
      <c r="E73" s="256">
        <f>IF(ROUND(E72-(Output_EB_RIN_NS!P122*10^6/Input_Inflation!P$27),4)=0,0,1)</f>
        <v>0</v>
      </c>
      <c r="F73" s="256">
        <f>IF(ROUND(F72-(Output_EB_RIN_NS!Q122*10^6/Input_Inflation!Q$27),4)=0,0,1)</f>
        <v>0</v>
      </c>
      <c r="G73" s="256">
        <f>IF(ROUND(G72-(Output_EB_RIN_NS!R122*10^6/Input_Inflation!R$27),4)=0,0,1)</f>
        <v>0</v>
      </c>
      <c r="H73" s="256">
        <f>IF(ROUND(H72-(Output_EB_RIN_NS!S122*10^6/Input_Inflation!S$27),4)=0,0,1)</f>
        <v>0</v>
      </c>
      <c r="I73" s="256">
        <f>IF(ROUND(I72-(Output_EB_RIN_NS!T122*10^6/Input_Inflation!T$27),4)=0,0,1)</f>
        <v>0</v>
      </c>
      <c r="K73" s="256">
        <f>IF(ROUND(K72-(Output_EB_RIN_SCS!N122*10^6/Input_Inflation!N$27),4)=0,0,1)</f>
        <v>0</v>
      </c>
      <c r="L73" s="256">
        <f>IF(ROUND(L72-(Output_EB_RIN_SCS!O122*10^6/Input_Inflation!O$27),4)=0,0,1)</f>
        <v>0</v>
      </c>
      <c r="M73" s="256">
        <f>IF(ROUND(M72-(Output_EB_RIN_SCS!P122*10^6/Input_Inflation!P$27),4)=0,0,1)</f>
        <v>0</v>
      </c>
      <c r="N73" s="256">
        <f>IF(ROUND(N72-(Output_EB_RIN_SCS!Q122*10^6/Input_Inflation!Q$27),4)=0,0,1)</f>
        <v>0</v>
      </c>
      <c r="O73" s="256">
        <f>IF(ROUND(O72-(Output_EB_RIN_SCS!R122*10^6/Input_Inflation!R$27),4)=0,0,1)</f>
        <v>0</v>
      </c>
      <c r="P73" s="256">
        <f>IF(ROUND(P72-(Output_EB_RIN_SCS!S122*10^6/Input_Inflation!S$27),4)=0,0,1)</f>
        <v>0</v>
      </c>
      <c r="Q73" s="256">
        <f>IF(ROUND(Q72-(Output_EB_RIN_SCS!T122*10^6/Input_Inflation!T$27),4)=0,0,1)</f>
        <v>0</v>
      </c>
      <c r="R73" s="131"/>
      <c r="S73" s="256">
        <f>IF(ROUND(S72-(Output_EB_RIN_ACS!N122*10^6),4)=0,0,1)</f>
        <v>0</v>
      </c>
      <c r="T73" s="256">
        <f>IF(ROUND(T72-(Output_EB_RIN_ACS!O122*10^6),4)=0,0,1)</f>
        <v>0</v>
      </c>
      <c r="U73" s="256">
        <f>IF(ROUND(U72-(Output_EB_RIN_ACS!P122*10^6),4)=0,0,1)</f>
        <v>0</v>
      </c>
      <c r="V73" s="256">
        <f>IF(ROUND(V72-(Output_EB_RIN_ACS!Q122*10^6),4)=0,0,1)</f>
        <v>0</v>
      </c>
      <c r="W73" s="256">
        <f>IF(ROUND(W72-(Output_EB_RIN_ACS!R122*10^6),4)=0,0,1)</f>
        <v>0</v>
      </c>
      <c r="X73" s="256">
        <f>IF(ROUND(X72-(Output_EB_RIN_ACS!S122*10^6),4)=0,0,1)</f>
        <v>0</v>
      </c>
      <c r="Y73" s="256">
        <f>IF(ROUND(Y72-(Output_EB_RIN_ACS!T122*10^6),4)=0,0,1)</f>
        <v>0</v>
      </c>
      <c r="Z73" s="131"/>
      <c r="AA73" s="131"/>
      <c r="AB73" s="131"/>
      <c r="AC73" s="131"/>
      <c r="AD73" s="131"/>
      <c r="AE73" s="131"/>
      <c r="AF73" s="131"/>
      <c r="AG73" s="131"/>
      <c r="AH73" s="131"/>
      <c r="AI73" s="131"/>
      <c r="AJ73" s="131"/>
      <c r="AK73" s="131"/>
      <c r="AL73" s="131"/>
      <c r="AM73" s="131"/>
      <c r="AN73" s="131"/>
      <c r="AO73" s="131"/>
    </row>
    <row r="74" spans="1:41" outlineLevel="2" x14ac:dyDescent="0.55000000000000004">
      <c r="A74" s="150" t="s">
        <v>278</v>
      </c>
      <c r="B74" s="151" t="s">
        <v>218</v>
      </c>
      <c r="C74" s="152">
        <f>Output_EB_RIN_NS!N130*10^6/Input_Inflation!N$27</f>
        <v>0</v>
      </c>
      <c r="D74" s="153">
        <f>Output_EB_RIN_NS!O130*10^6/Input_Inflation!O$27</f>
        <v>0</v>
      </c>
      <c r="E74" s="154">
        <f>Output_EB_RIN_NS!P130*10^6/Input_Inflation!P$27</f>
        <v>0</v>
      </c>
      <c r="F74" s="154">
        <f>Output_EB_RIN_NS!Q130*10^6/Input_Inflation!Q$27</f>
        <v>0</v>
      </c>
      <c r="G74" s="154">
        <f>Output_EB_RIN_NS!R130*10^6/Input_Inflation!R$27</f>
        <v>0</v>
      </c>
      <c r="H74" s="154">
        <f>Output_EB_RIN_NS!S130*10^6/Input_Inflation!S$27</f>
        <v>0</v>
      </c>
      <c r="I74" s="153">
        <f>Output_EB_RIN_NS!T130*10^6/Input_Inflation!T$27</f>
        <v>0</v>
      </c>
      <c r="K74" s="152">
        <f>Output_EB_RIN_SCS!N130*10^6/Input_Inflation!N$27</f>
        <v>0</v>
      </c>
      <c r="L74" s="153">
        <f>Output_EB_RIN_SCS!O130*10^6/Input_Inflation!O$27</f>
        <v>0</v>
      </c>
      <c r="M74" s="154">
        <f>Output_EB_RIN_SCS!P130*10^6/Input_Inflation!P$27</f>
        <v>0</v>
      </c>
      <c r="N74" s="154">
        <f>Output_EB_RIN_SCS!Q130*10^6/Input_Inflation!Q$27</f>
        <v>0</v>
      </c>
      <c r="O74" s="154">
        <f>Output_EB_RIN_SCS!R130*10^6/Input_Inflation!R$27</f>
        <v>0</v>
      </c>
      <c r="P74" s="154">
        <f>Output_EB_RIN_SCS!S130*10^6/Input_Inflation!S$27</f>
        <v>0</v>
      </c>
      <c r="Q74" s="153">
        <f>Output_EB_RIN_SCS!T130*10^6/Input_Inflation!T$27</f>
        <v>0</v>
      </c>
      <c r="R74" s="131"/>
      <c r="S74" s="152">
        <f>IFERROR(Output_EB_RIN_ACS!N130*10^6/Input_Inflation!N$27,NA)</f>
        <v>18459324.479427431</v>
      </c>
      <c r="T74" s="153">
        <f>IFERROR(Output_EB_RIN_ACS!O130*10^6/Input_Inflation!O$27,NA)</f>
        <v>28081094.405855302</v>
      </c>
      <c r="U74" s="154">
        <f>IFERROR(Output_EB_RIN_ACS!P130*10^6/Input_Inflation!P$27,NA)</f>
        <v>42790587.358375885</v>
      </c>
      <c r="V74" s="154">
        <f>IFERROR(Output_EB_RIN_ACS!Q130*10^6/Input_Inflation!Q$27,NA)</f>
        <v>44619267.086901158</v>
      </c>
      <c r="W74" s="154">
        <f>IFERROR(Output_EB_RIN_ACS!R130*10^6/Input_Inflation!R$27,NA)</f>
        <v>46119853.141687013</v>
      </c>
      <c r="X74" s="154">
        <f>IFERROR(Output_EB_RIN_ACS!S130*10^6/Input_Inflation!S$27,NA)</f>
        <v>49913683.843872972</v>
      </c>
      <c r="Y74" s="153">
        <f>IFERROR(Output_EB_RIN_ACS!T130*10^6/Input_Inflation!T$27,NA)</f>
        <v>54447828.311267108</v>
      </c>
      <c r="Z74" s="131"/>
      <c r="AA74" s="131"/>
      <c r="AB74" s="131"/>
      <c r="AC74" s="131"/>
      <c r="AD74" s="131"/>
      <c r="AE74" s="131"/>
      <c r="AF74" s="131"/>
      <c r="AG74" s="131"/>
      <c r="AH74" s="131"/>
      <c r="AI74" s="131"/>
      <c r="AJ74" s="131"/>
      <c r="AK74" s="131"/>
      <c r="AL74" s="131"/>
      <c r="AM74" s="131"/>
      <c r="AN74" s="131"/>
      <c r="AO74" s="131"/>
    </row>
    <row r="75" spans="1:41" outlineLevel="2" x14ac:dyDescent="0.55000000000000004">
      <c r="A75" s="150" t="s">
        <v>279</v>
      </c>
      <c r="B75" s="155" t="s">
        <v>220</v>
      </c>
      <c r="C75" s="156">
        <f>Output_EB_RIN_NS!N131*10^6/Input_Inflation!N$27</f>
        <v>0</v>
      </c>
      <c r="D75" s="157">
        <f>Output_EB_RIN_NS!O131*10^6/Input_Inflation!O$27</f>
        <v>0</v>
      </c>
      <c r="E75" s="158">
        <f>Output_EB_RIN_NS!P131*10^6/Input_Inflation!P$27</f>
        <v>0</v>
      </c>
      <c r="F75" s="158">
        <f>Output_EB_RIN_NS!Q131*10^6/Input_Inflation!Q$27</f>
        <v>0</v>
      </c>
      <c r="G75" s="158">
        <f>Output_EB_RIN_NS!R131*10^6/Input_Inflation!R$27</f>
        <v>0</v>
      </c>
      <c r="H75" s="158">
        <f>Output_EB_RIN_NS!S131*10^6/Input_Inflation!S$27</f>
        <v>0</v>
      </c>
      <c r="I75" s="157">
        <f>Output_EB_RIN_NS!T131*10^6/Input_Inflation!T$27</f>
        <v>0</v>
      </c>
      <c r="K75" s="156">
        <f>Output_EB_RIN_SCS!N131*10^6/Input_Inflation!N$27</f>
        <v>0</v>
      </c>
      <c r="L75" s="157">
        <f>Output_EB_RIN_SCS!O131*10^6/Input_Inflation!O$27</f>
        <v>0</v>
      </c>
      <c r="M75" s="158">
        <f>Output_EB_RIN_SCS!P131*10^6/Input_Inflation!P$27</f>
        <v>0</v>
      </c>
      <c r="N75" s="158">
        <f>Output_EB_RIN_SCS!Q131*10^6/Input_Inflation!Q$27</f>
        <v>0</v>
      </c>
      <c r="O75" s="158">
        <f>Output_EB_RIN_SCS!R131*10^6/Input_Inflation!R$27</f>
        <v>0</v>
      </c>
      <c r="P75" s="158">
        <f>Output_EB_RIN_SCS!S131*10^6/Input_Inflation!S$27</f>
        <v>0</v>
      </c>
      <c r="Q75" s="157">
        <f>Output_EB_RIN_SCS!T131*10^6/Input_Inflation!T$27</f>
        <v>0</v>
      </c>
      <c r="R75" s="131"/>
      <c r="S75" s="156">
        <f>IFERROR(Output_EB_RIN_ACS!N131*10^6/Input_Inflation!N$27,NA)</f>
        <v>1476745.9583541946</v>
      </c>
      <c r="T75" s="157">
        <f>IFERROR(Output_EB_RIN_ACS!O131*10^6/Input_Inflation!O$27,NA)</f>
        <v>1319811.4370751993</v>
      </c>
      <c r="U75" s="158">
        <f>IFERROR(Output_EB_RIN_ACS!P131*10^6/Input_Inflation!P$27,NA)</f>
        <v>1249331.1260889908</v>
      </c>
      <c r="V75" s="158">
        <f>IFERROR(Output_EB_RIN_ACS!Q131*10^6/Input_Inflation!Q$27,NA)</f>
        <v>1302721.9918268358</v>
      </c>
      <c r="W75" s="158">
        <f>IFERROR(Output_EB_RIN_ACS!R131*10^6/Input_Inflation!R$27,NA)</f>
        <v>1346533.7032651012</v>
      </c>
      <c r="X75" s="158">
        <f>IFERROR(Output_EB_RIN_ACS!S131*10^6/Input_Inflation!S$27,NA)</f>
        <v>1457299.9038703195</v>
      </c>
      <c r="Y75" s="157">
        <f>IFERROR(Output_EB_RIN_ACS!T131*10^6/Input_Inflation!T$27,NA)</f>
        <v>1589680.601659243</v>
      </c>
      <c r="Z75" s="131"/>
      <c r="AA75" s="131"/>
      <c r="AB75" s="131"/>
      <c r="AC75" s="131"/>
      <c r="AD75" s="131"/>
      <c r="AE75" s="131"/>
      <c r="AF75" s="131"/>
      <c r="AG75" s="131"/>
      <c r="AH75" s="131"/>
      <c r="AI75" s="131"/>
      <c r="AJ75" s="131"/>
      <c r="AK75" s="131"/>
      <c r="AL75" s="131"/>
      <c r="AM75" s="131"/>
      <c r="AN75" s="131"/>
      <c r="AO75" s="131"/>
    </row>
    <row r="76" spans="1:41" outlineLevel="2" x14ac:dyDescent="0.55000000000000004">
      <c r="A76" s="150" t="s">
        <v>280</v>
      </c>
      <c r="B76" s="155" t="s">
        <v>222</v>
      </c>
      <c r="C76" s="156">
        <f>Output_EB_RIN_NS!N132*10^6/Input_Inflation!N$27</f>
        <v>0</v>
      </c>
      <c r="D76" s="157">
        <f>Output_EB_RIN_NS!O132*10^6/Input_Inflation!O$27</f>
        <v>0</v>
      </c>
      <c r="E76" s="158">
        <f>Output_EB_RIN_NS!P132*10^6/Input_Inflation!P$27</f>
        <v>0</v>
      </c>
      <c r="F76" s="158">
        <f>Output_EB_RIN_NS!Q132*10^6/Input_Inflation!Q$27</f>
        <v>0</v>
      </c>
      <c r="G76" s="158">
        <f>Output_EB_RIN_NS!R132*10^6/Input_Inflation!R$27</f>
        <v>0</v>
      </c>
      <c r="H76" s="158">
        <f>Output_EB_RIN_NS!S132*10^6/Input_Inflation!S$27</f>
        <v>0</v>
      </c>
      <c r="I76" s="157">
        <f>Output_EB_RIN_NS!T132*10^6/Input_Inflation!T$27</f>
        <v>0</v>
      </c>
      <c r="K76" s="156">
        <f>Output_EB_RIN_SCS!N132*10^6/Input_Inflation!N$27</f>
        <v>0</v>
      </c>
      <c r="L76" s="157">
        <f>Output_EB_RIN_SCS!O132*10^6/Input_Inflation!O$27</f>
        <v>0</v>
      </c>
      <c r="M76" s="158">
        <f>Output_EB_RIN_SCS!P132*10^6/Input_Inflation!P$27</f>
        <v>0</v>
      </c>
      <c r="N76" s="158">
        <f>Output_EB_RIN_SCS!Q132*10^6/Input_Inflation!Q$27</f>
        <v>0</v>
      </c>
      <c r="O76" s="158">
        <f>Output_EB_RIN_SCS!R132*10^6/Input_Inflation!R$27</f>
        <v>0</v>
      </c>
      <c r="P76" s="158">
        <f>Output_EB_RIN_SCS!S132*10^6/Input_Inflation!S$27</f>
        <v>0</v>
      </c>
      <c r="Q76" s="157">
        <f>Output_EB_RIN_SCS!T132*10^6/Input_Inflation!T$27</f>
        <v>0</v>
      </c>
      <c r="R76" s="131"/>
      <c r="S76" s="156">
        <f>IFERROR(Output_EB_RIN_ACS!N132*10^6/Input_Inflation!N$27,NA)</f>
        <v>-1454018.3589732125</v>
      </c>
      <c r="T76" s="157">
        <f>IFERROR(Output_EB_RIN_ACS!O132*10^6/Input_Inflation!O$27,NA)</f>
        <v>-2283683.6733874837</v>
      </c>
      <c r="U76" s="158">
        <f>IFERROR(Output_EB_RIN_ACS!P132*10^6/Input_Inflation!P$27,NA)</f>
        <v>-3282000.7722394676</v>
      </c>
      <c r="V76" s="158">
        <f>IFERROR(Output_EB_RIN_ACS!Q132*10^6/Input_Inflation!Q$27,NA)</f>
        <v>-3611527.8950727554</v>
      </c>
      <c r="W76" s="158">
        <f>IFERROR(Output_EB_RIN_ACS!R132*10^6/Input_Inflation!R$27,NA)</f>
        <v>-3909425.4077047058</v>
      </c>
      <c r="X76" s="158">
        <f>IFERROR(Output_EB_RIN_ACS!S132*10^6/Input_Inflation!S$27,NA)</f>
        <v>-4466144.8574625971</v>
      </c>
      <c r="Y76" s="157">
        <f>IFERROR(Output_EB_RIN_ACS!T132*10^6/Input_Inflation!T$27,NA)</f>
        <v>-5006720.853241791</v>
      </c>
      <c r="Z76" s="131"/>
      <c r="AA76" s="131"/>
      <c r="AB76" s="131"/>
      <c r="AC76" s="131"/>
      <c r="AD76" s="131"/>
      <c r="AE76" s="131"/>
      <c r="AF76" s="131"/>
      <c r="AG76" s="131"/>
      <c r="AH76" s="131"/>
      <c r="AI76" s="131"/>
      <c r="AJ76" s="131"/>
      <c r="AK76" s="131"/>
      <c r="AL76" s="131"/>
      <c r="AM76" s="131"/>
      <c r="AN76" s="131"/>
      <c r="AO76" s="131"/>
    </row>
    <row r="77" spans="1:41" outlineLevel="2" x14ac:dyDescent="0.55000000000000004">
      <c r="A77" s="150" t="s">
        <v>281</v>
      </c>
      <c r="B77" s="155" t="s">
        <v>224</v>
      </c>
      <c r="C77" s="156">
        <f>Output_EB_RIN_NS!N133*10^6/Input_Inflation!N$27</f>
        <v>0</v>
      </c>
      <c r="D77" s="157">
        <f>Output_EB_RIN_NS!O133*10^6/Input_Inflation!O$27</f>
        <v>0</v>
      </c>
      <c r="E77" s="158">
        <f>Output_EB_RIN_NS!P133*10^6/Input_Inflation!P$27</f>
        <v>0</v>
      </c>
      <c r="F77" s="158">
        <f>Output_EB_RIN_NS!Q133*10^6/Input_Inflation!Q$27</f>
        <v>0</v>
      </c>
      <c r="G77" s="158">
        <f>Output_EB_RIN_NS!R133*10^6/Input_Inflation!R$27</f>
        <v>0</v>
      </c>
      <c r="H77" s="158">
        <f>Output_EB_RIN_NS!S133*10^6/Input_Inflation!S$27</f>
        <v>0</v>
      </c>
      <c r="I77" s="157">
        <f>Output_EB_RIN_NS!T133*10^6/Input_Inflation!T$27</f>
        <v>0</v>
      </c>
      <c r="K77" s="156">
        <f>Output_EB_RIN_SCS!N133*10^6/Input_Inflation!N$27</f>
        <v>0</v>
      </c>
      <c r="L77" s="157">
        <f>Output_EB_RIN_SCS!O133*10^6/Input_Inflation!O$27</f>
        <v>0</v>
      </c>
      <c r="M77" s="158">
        <f>Output_EB_RIN_SCS!P133*10^6/Input_Inflation!P$27</f>
        <v>0</v>
      </c>
      <c r="N77" s="158">
        <f>Output_EB_RIN_SCS!Q133*10^6/Input_Inflation!Q$27</f>
        <v>0</v>
      </c>
      <c r="O77" s="158">
        <f>Output_EB_RIN_SCS!R133*10^6/Input_Inflation!R$27</f>
        <v>0</v>
      </c>
      <c r="P77" s="158">
        <f>Output_EB_RIN_SCS!S133*10^6/Input_Inflation!S$27</f>
        <v>0</v>
      </c>
      <c r="Q77" s="157">
        <f>Output_EB_RIN_SCS!T133*10^6/Input_Inflation!T$27</f>
        <v>0</v>
      </c>
      <c r="R77" s="131"/>
      <c r="S77" s="156">
        <f>IFERROR(Output_EB_RIN_ACS!N133*10^6/Input_Inflation!N$27,NA)</f>
        <v>10918853.764122089</v>
      </c>
      <c r="T77" s="157">
        <f>IFERROR(Output_EB_RIN_ACS!O133*10^6/Input_Inflation!O$27,NA)</f>
        <v>16922696.31492186</v>
      </c>
      <c r="U77" s="158">
        <f>IFERROR(Output_EB_RIN_ACS!P133*10^6/Input_Inflation!P$27,NA)</f>
        <v>5164071.3665025849</v>
      </c>
      <c r="V77" s="158">
        <f>IFERROR(Output_EB_RIN_ACS!Q133*10^6/Input_Inflation!Q$27,NA)</f>
        <v>5155925.6612968706</v>
      </c>
      <c r="W77" s="158">
        <f>IFERROR(Output_EB_RIN_ACS!R133*10^6/Input_Inflation!R$27,NA)</f>
        <v>7814022.3104958842</v>
      </c>
      <c r="X77" s="158">
        <f>IFERROR(Output_EB_RIN_ACS!S133*10^6/Input_Inflation!S$27,NA)</f>
        <v>9132670.0226456523</v>
      </c>
      <c r="Y77" s="157">
        <f>IFERROR(Output_EB_RIN_ACS!T133*10^6/Input_Inflation!T$27,NA)</f>
        <v>9943505.0259624533</v>
      </c>
      <c r="Z77" s="131"/>
      <c r="AA77" s="131"/>
      <c r="AB77" s="131"/>
      <c r="AC77" s="131"/>
      <c r="AD77" s="131"/>
      <c r="AE77" s="131"/>
      <c r="AF77" s="131"/>
      <c r="AG77" s="131"/>
      <c r="AH77" s="131"/>
      <c r="AI77" s="131"/>
      <c r="AJ77" s="131"/>
      <c r="AK77" s="131"/>
      <c r="AL77" s="131"/>
      <c r="AM77" s="131"/>
      <c r="AN77" s="131"/>
      <c r="AO77" s="131"/>
    </row>
    <row r="78" spans="1:41" outlineLevel="2" x14ac:dyDescent="0.55000000000000004">
      <c r="A78" s="150" t="s">
        <v>282</v>
      </c>
      <c r="B78" s="155" t="s">
        <v>226</v>
      </c>
      <c r="C78" s="156">
        <f>Output_EB_RIN_NS!N134*10^6/Input_Inflation!N$27</f>
        <v>0</v>
      </c>
      <c r="D78" s="157">
        <f>Output_EB_RIN_NS!O134*10^6/Input_Inflation!O$27</f>
        <v>0</v>
      </c>
      <c r="E78" s="158">
        <f>Output_EB_RIN_NS!P134*10^6/Input_Inflation!P$27</f>
        <v>0</v>
      </c>
      <c r="F78" s="158">
        <f>Output_EB_RIN_NS!Q134*10^6/Input_Inflation!Q$27</f>
        <v>0</v>
      </c>
      <c r="G78" s="158">
        <f>Output_EB_RIN_NS!R134*10^6/Input_Inflation!R$27</f>
        <v>0</v>
      </c>
      <c r="H78" s="158">
        <f>Output_EB_RIN_NS!S134*10^6/Input_Inflation!S$27</f>
        <v>0</v>
      </c>
      <c r="I78" s="157">
        <f>Output_EB_RIN_NS!T134*10^6/Input_Inflation!T$27</f>
        <v>0</v>
      </c>
      <c r="K78" s="156">
        <f>Output_EB_RIN_SCS!N134*10^6/Input_Inflation!N$27</f>
        <v>0</v>
      </c>
      <c r="L78" s="157">
        <f>Output_EB_RIN_SCS!O134*10^6/Input_Inflation!O$27</f>
        <v>0</v>
      </c>
      <c r="M78" s="158">
        <f>Output_EB_RIN_SCS!P134*10^6/Input_Inflation!P$27</f>
        <v>0</v>
      </c>
      <c r="N78" s="158">
        <f>Output_EB_RIN_SCS!Q134*10^6/Input_Inflation!Q$27</f>
        <v>0</v>
      </c>
      <c r="O78" s="158">
        <f>Output_EB_RIN_SCS!R134*10^6/Input_Inflation!R$27</f>
        <v>0</v>
      </c>
      <c r="P78" s="158">
        <f>Output_EB_RIN_SCS!S134*10^6/Input_Inflation!S$27</f>
        <v>0</v>
      </c>
      <c r="Q78" s="157">
        <f>Output_EB_RIN_SCS!T134*10^6/Input_Inflation!T$27</f>
        <v>0</v>
      </c>
      <c r="R78" s="131"/>
      <c r="S78" s="156">
        <f>IFERROR(Output_EB_RIN_ACS!N134*10^6/Input_Inflation!N$27,NA)</f>
        <v>0</v>
      </c>
      <c r="T78" s="157">
        <f>IFERROR(Output_EB_RIN_ACS!O134*10^6/Input_Inflation!O$27,NA)</f>
        <v>0</v>
      </c>
      <c r="U78" s="158">
        <f>IFERROR(Output_EB_RIN_ACS!P134*10^6/Input_Inflation!P$27,NA)</f>
        <v>0</v>
      </c>
      <c r="V78" s="158">
        <f>IFERROR(Output_EB_RIN_ACS!Q134*10^6/Input_Inflation!Q$27,NA)</f>
        <v>0</v>
      </c>
      <c r="W78" s="158">
        <f>IFERROR(Output_EB_RIN_ACS!R134*10^6/Input_Inflation!R$27,NA)</f>
        <v>0</v>
      </c>
      <c r="X78" s="158">
        <f>IFERROR(Output_EB_RIN_ACS!S134*10^6/Input_Inflation!S$27,NA)</f>
        <v>0</v>
      </c>
      <c r="Y78" s="157">
        <f>IFERROR(Output_EB_RIN_ACS!T134*10^6/Input_Inflation!T$27,NA)</f>
        <v>0</v>
      </c>
      <c r="Z78" s="131"/>
      <c r="AA78" s="131"/>
      <c r="AB78" s="131"/>
      <c r="AC78" s="131"/>
      <c r="AD78" s="131"/>
      <c r="AE78" s="131"/>
      <c r="AF78" s="131"/>
      <c r="AG78" s="131"/>
      <c r="AH78" s="131"/>
      <c r="AI78" s="131"/>
      <c r="AJ78" s="131"/>
      <c r="AK78" s="131"/>
      <c r="AL78" s="131"/>
      <c r="AM78" s="131"/>
      <c r="AN78" s="131"/>
      <c r="AO78" s="131"/>
    </row>
    <row r="79" spans="1:41" ht="14.7" outlineLevel="2" thickBot="1" x14ac:dyDescent="0.6">
      <c r="A79" s="150" t="s">
        <v>283</v>
      </c>
      <c r="B79" s="159" t="s">
        <v>228</v>
      </c>
      <c r="C79" s="160">
        <f t="shared" ref="C79:H79" si="47">SUM(C74:C78)</f>
        <v>0</v>
      </c>
      <c r="D79" s="161">
        <f t="shared" si="47"/>
        <v>0</v>
      </c>
      <c r="E79" s="162">
        <f t="shared" si="47"/>
        <v>0</v>
      </c>
      <c r="F79" s="162">
        <f t="shared" si="47"/>
        <v>0</v>
      </c>
      <c r="G79" s="162">
        <f t="shared" si="47"/>
        <v>0</v>
      </c>
      <c r="H79" s="162">
        <f t="shared" si="47"/>
        <v>0</v>
      </c>
      <c r="I79" s="161">
        <f t="shared" ref="I79" si="48">SUM(I74:I78)</f>
        <v>0</v>
      </c>
      <c r="K79" s="160">
        <f t="shared" ref="K79:P79" si="49">SUM(K74:K78)</f>
        <v>0</v>
      </c>
      <c r="L79" s="161">
        <f t="shared" si="49"/>
        <v>0</v>
      </c>
      <c r="M79" s="162">
        <f t="shared" si="49"/>
        <v>0</v>
      </c>
      <c r="N79" s="162">
        <f t="shared" si="49"/>
        <v>0</v>
      </c>
      <c r="O79" s="162">
        <f t="shared" si="49"/>
        <v>0</v>
      </c>
      <c r="P79" s="162">
        <f t="shared" si="49"/>
        <v>0</v>
      </c>
      <c r="Q79" s="161">
        <f t="shared" ref="Q79" si="50">SUM(Q74:Q78)</f>
        <v>0</v>
      </c>
      <c r="R79" s="131"/>
      <c r="S79" s="160">
        <f t="shared" ref="S79:X79" si="51">SUM(S74:S78)</f>
        <v>29400905.842930503</v>
      </c>
      <c r="T79" s="161">
        <f t="shared" si="51"/>
        <v>44039918.484464876</v>
      </c>
      <c r="U79" s="162">
        <f t="shared" si="51"/>
        <v>45921989.07872799</v>
      </c>
      <c r="V79" s="162">
        <f t="shared" si="51"/>
        <v>47466386.844952106</v>
      </c>
      <c r="W79" s="162">
        <f t="shared" si="51"/>
        <v>51370983.747743294</v>
      </c>
      <c r="X79" s="162">
        <f t="shared" si="51"/>
        <v>56037508.912926346</v>
      </c>
      <c r="Y79" s="161">
        <f t="shared" ref="Y79" si="52">SUM(Y74:Y78)</f>
        <v>60974293.085647017</v>
      </c>
      <c r="Z79" s="131"/>
      <c r="AA79" s="131"/>
      <c r="AB79" s="131"/>
      <c r="AC79" s="131"/>
      <c r="AD79" s="131"/>
      <c r="AE79" s="131"/>
      <c r="AF79" s="131"/>
      <c r="AG79" s="131"/>
      <c r="AH79" s="131"/>
      <c r="AI79" s="131"/>
      <c r="AJ79" s="131"/>
      <c r="AK79" s="131"/>
      <c r="AL79" s="131"/>
      <c r="AM79" s="131"/>
      <c r="AN79" s="131"/>
      <c r="AO79" s="131"/>
    </row>
    <row r="80" spans="1:41" ht="20.25" customHeight="1" outlineLevel="1" thickBot="1" x14ac:dyDescent="0.6">
      <c r="A80" s="42">
        <f>IF(SUM(C80:I80,K80:Q80,S80:Y80)&lt;&gt;0,1,0)</f>
        <v>0</v>
      </c>
      <c r="B80" s="165" t="s">
        <v>284</v>
      </c>
      <c r="C80" s="256">
        <f>IF(ROUND(C79-(Output_EB_RIN_NS!N136*10^6/Input_Inflation!N$27),4)=0,0,1)</f>
        <v>0</v>
      </c>
      <c r="D80" s="256">
        <f>IF(ROUND(D79-(Output_EB_RIN_NS!O136*10^6/Input_Inflation!O$27),4)=0,0,1)</f>
        <v>0</v>
      </c>
      <c r="E80" s="256">
        <f>IF(ROUND(E79-(Output_EB_RIN_NS!P136*10^6/Input_Inflation!P$27),4)=0,0,1)</f>
        <v>0</v>
      </c>
      <c r="F80" s="256">
        <f>IF(ROUND(F79-(Output_EB_RIN_NS!Q136*10^6/Input_Inflation!Q$27),4)=0,0,1)</f>
        <v>0</v>
      </c>
      <c r="G80" s="256">
        <f>IF(ROUND(G79-(Output_EB_RIN_NS!R136*10^6/Input_Inflation!R$27),4)=0,0,1)</f>
        <v>0</v>
      </c>
      <c r="H80" s="256">
        <f>IF(ROUND(H79-(Output_EB_RIN_NS!S136*10^6/Input_Inflation!S$27),4)=0,0,1)</f>
        <v>0</v>
      </c>
      <c r="I80" s="256">
        <f>IF(ROUND(I79-(Output_EB_RIN_NS!T136*10^6/Input_Inflation!T$27),4)=0,0,1)</f>
        <v>0</v>
      </c>
      <c r="K80" s="256">
        <f>IF(ROUND(K79-(Output_EB_RIN_SCS!N136*10^6/Input_Inflation!N$27),4)=0,0,1)</f>
        <v>0</v>
      </c>
      <c r="L80" s="256">
        <f>IF(ROUND(L79-(Output_EB_RIN_SCS!O136*10^6/Input_Inflation!O$27),4)=0,0,1)</f>
        <v>0</v>
      </c>
      <c r="M80" s="256">
        <f>IF(ROUND(M79-(Output_EB_RIN_SCS!P136*10^6/Input_Inflation!P$27),4)=0,0,1)</f>
        <v>0</v>
      </c>
      <c r="N80" s="256">
        <f>IF(ROUND(N79-(Output_EB_RIN_SCS!Q136*10^6/Input_Inflation!Q$27),4)=0,0,1)</f>
        <v>0</v>
      </c>
      <c r="O80" s="256">
        <f>IF(ROUND(O79-(Output_EB_RIN_SCS!R136*10^6/Input_Inflation!R$27),4)=0,0,1)</f>
        <v>0</v>
      </c>
      <c r="P80" s="256">
        <f>IF(ROUND(P79-(Output_EB_RIN_SCS!S136*10^6/Input_Inflation!S$27),4)=0,0,1)</f>
        <v>0</v>
      </c>
      <c r="Q80" s="256">
        <f>IF(ROUND(Q79-(Output_EB_RIN_SCS!T136*10^6/Input_Inflation!T$27),4)=0,0,1)</f>
        <v>0</v>
      </c>
      <c r="R80" s="131"/>
      <c r="S80" s="256">
        <f>IF(ROUND(S79-(Output_EB_RIN_ACS!N136*10^6/Input_Inflation!N$27),4)=0,0,1)</f>
        <v>0</v>
      </c>
      <c r="T80" s="256">
        <f>IF(ROUND(T79-(Output_EB_RIN_ACS!O136*10^6/Input_Inflation!O$27),4)=0,0,1)</f>
        <v>0</v>
      </c>
      <c r="U80" s="256">
        <f>IF(ROUND(U79-(Output_EB_RIN_ACS!P136*10^6/Input_Inflation!P$27),4)=0,0,1)</f>
        <v>0</v>
      </c>
      <c r="V80" s="256">
        <f>IF(ROUND(V79-(Output_EB_RIN_ACS!Q136*10^6/Input_Inflation!Q$27),4)=0,0,1)</f>
        <v>0</v>
      </c>
      <c r="W80" s="256">
        <f>IF(ROUND(W79-(Output_EB_RIN_ACS!R136*10^6/Input_Inflation!R$27),4)=0,0,1)</f>
        <v>0</v>
      </c>
      <c r="X80" s="256">
        <f>IF(ROUND(X79-(Output_EB_RIN_ACS!S136*10^6/Input_Inflation!S$27),4)=0,0,1)</f>
        <v>0</v>
      </c>
      <c r="Y80" s="256">
        <f>IF(ROUND(Y79-(Output_EB_RIN_ACS!T136*10^6/Input_Inflation!T$27),4)=0,0,1)</f>
        <v>0</v>
      </c>
      <c r="Z80" s="131"/>
      <c r="AA80" s="131"/>
      <c r="AB80" s="131"/>
      <c r="AC80" s="131"/>
      <c r="AD80" s="131"/>
      <c r="AE80" s="131"/>
      <c r="AF80" s="131"/>
      <c r="AG80" s="131"/>
      <c r="AH80" s="131"/>
      <c r="AI80" s="131"/>
      <c r="AJ80" s="131"/>
      <c r="AK80" s="131"/>
      <c r="AL80" s="131"/>
      <c r="AM80" s="131"/>
      <c r="AN80" s="131"/>
      <c r="AO80" s="131"/>
    </row>
    <row r="81" spans="1:41" outlineLevel="2" x14ac:dyDescent="0.55000000000000004">
      <c r="A81" s="150" t="s">
        <v>285</v>
      </c>
      <c r="B81" s="151" t="s">
        <v>218</v>
      </c>
      <c r="C81" s="152">
        <f>Output_EB_RIN_NS!N144*10^6/Input_Inflation!N$27</f>
        <v>36329288.343468398</v>
      </c>
      <c r="D81" s="153">
        <f>Output_EB_RIN_NS!O144*10^6/Input_Inflation!O$27</f>
        <v>57958728.795606546</v>
      </c>
      <c r="E81" s="154">
        <f>Output_EB_RIN_NS!P144*10^6/Input_Inflation!P$27</f>
        <v>83047127.300026506</v>
      </c>
      <c r="F81" s="154">
        <f>Output_EB_RIN_NS!Q144*10^6/Input_Inflation!Q$27</f>
        <v>96425784.924518213</v>
      </c>
      <c r="G81" s="154">
        <f>Output_EB_RIN_NS!R144*10^6/Input_Inflation!R$27</f>
        <v>114949649.50492749</v>
      </c>
      <c r="H81" s="154">
        <f>Output_EB_RIN_NS!S144*10^6/Input_Inflation!S$27</f>
        <v>129465284.13793604</v>
      </c>
      <c r="I81" s="153">
        <f>Output_EB_RIN_NS!T144*10^6/Input_Inflation!T$27</f>
        <v>185947242.69553289</v>
      </c>
      <c r="K81" s="152">
        <f>Output_EB_RIN_SCS!N144*10^6/Input_Inflation!N$27</f>
        <v>36329288.343468398</v>
      </c>
      <c r="L81" s="153">
        <f>Output_EB_RIN_SCS!O144*10^6/Input_Inflation!O$27</f>
        <v>57958728.795606546</v>
      </c>
      <c r="M81" s="154">
        <f>Output_EB_RIN_SCS!P144*10^6/Input_Inflation!P$27</f>
        <v>83047127.300026506</v>
      </c>
      <c r="N81" s="154">
        <f>Output_EB_RIN_SCS!Q144*10^6/Input_Inflation!Q$27</f>
        <v>96425784.924518213</v>
      </c>
      <c r="O81" s="154">
        <f>Output_EB_RIN_SCS!R144*10^6/Input_Inflation!R$27</f>
        <v>114949649.50492749</v>
      </c>
      <c r="P81" s="154">
        <f>Output_EB_RIN_SCS!S144*10^6/Input_Inflation!S$27</f>
        <v>129465284.13793604</v>
      </c>
      <c r="Q81" s="153">
        <f>Output_EB_RIN_SCS!T144*10^6/Input_Inflation!T$27</f>
        <v>185947242.69553289</v>
      </c>
      <c r="R81" s="131"/>
      <c r="S81" s="152">
        <f>IFERROR(Output_EB_RIN_ACS!N144*10^6/Input_Inflation!N$27,NA)</f>
        <v>1172830.2420887772</v>
      </c>
      <c r="T81" s="153">
        <f>IFERROR(Output_EB_RIN_ACS!O144*10^6/Input_Inflation!O$27,NA)</f>
        <v>1784158.2874195534</v>
      </c>
      <c r="U81" s="154">
        <f>IFERROR(Output_EB_RIN_ACS!P144*10^6/Input_Inflation!P$27,NA)</f>
        <v>2718739.5176121653</v>
      </c>
      <c r="V81" s="154">
        <f>IFERROR(Output_EB_RIN_ACS!Q144*10^6/Input_Inflation!Q$27,NA)</f>
        <v>2834926.3743467871</v>
      </c>
      <c r="W81" s="154">
        <f>IFERROR(Output_EB_RIN_ACS!R144*10^6/Input_Inflation!R$27,NA)</f>
        <v>2930267.4962752168</v>
      </c>
      <c r="X81" s="154">
        <f>IFERROR(Output_EB_RIN_ACS!S144*10^6/Input_Inflation!S$27,NA)</f>
        <v>3171312.036439593</v>
      </c>
      <c r="Y81" s="153">
        <f>IFERROR(Output_EB_RIN_ACS!T144*10^6/Input_Inflation!T$27,NA)</f>
        <v>3459393.0959218028</v>
      </c>
      <c r="Z81" s="131"/>
      <c r="AA81" s="131"/>
      <c r="AB81" s="131"/>
      <c r="AC81" s="131"/>
      <c r="AD81" s="131"/>
      <c r="AE81" s="131"/>
      <c r="AF81" s="131"/>
      <c r="AG81" s="131"/>
      <c r="AH81" s="131"/>
      <c r="AI81" s="131"/>
      <c r="AJ81" s="131"/>
      <c r="AK81" s="131"/>
      <c r="AL81" s="131"/>
      <c r="AM81" s="131"/>
      <c r="AN81" s="131"/>
      <c r="AO81" s="131"/>
    </row>
    <row r="82" spans="1:41" outlineLevel="2" x14ac:dyDescent="0.55000000000000004">
      <c r="A82" s="150" t="s">
        <v>286</v>
      </c>
      <c r="B82" s="155" t="s">
        <v>220</v>
      </c>
      <c r="C82" s="156">
        <f>Output_EB_RIN_NS!N145*10^6/Input_Inflation!N$27</f>
        <v>2906343.0674774712</v>
      </c>
      <c r="D82" s="157">
        <f>Output_EB_RIN_NS!O145*10^6/Input_Inflation!O$27</f>
        <v>2724060.2533935071</v>
      </c>
      <c r="E82" s="158">
        <f>Output_EB_RIN_NS!P145*10^6/Input_Inflation!P$27</f>
        <v>2424677.1889166189</v>
      </c>
      <c r="F82" s="158">
        <f>Output_EB_RIN_NS!Q145*10^6/Input_Inflation!Q$27</f>
        <v>2815285.8350560269</v>
      </c>
      <c r="G82" s="158">
        <f>Output_EB_RIN_NS!R145*10^6/Input_Inflation!R$27</f>
        <v>3356116.0041290103</v>
      </c>
      <c r="H82" s="158">
        <f>Output_EB_RIN_NS!S145*10^6/Input_Inflation!S$27</f>
        <v>3779920.2863668711</v>
      </c>
      <c r="I82" s="157">
        <f>Output_EB_RIN_NS!T145*10^6/Input_Inflation!T$27</f>
        <v>5428990.1693644403</v>
      </c>
      <c r="K82" s="156">
        <f>Output_EB_RIN_SCS!N145*10^6/Input_Inflation!N$27</f>
        <v>2906343.0674774712</v>
      </c>
      <c r="L82" s="157">
        <f>Output_EB_RIN_SCS!O145*10^6/Input_Inflation!O$27</f>
        <v>2724060.2533935071</v>
      </c>
      <c r="M82" s="158">
        <f>Output_EB_RIN_SCS!P145*10^6/Input_Inflation!P$27</f>
        <v>2424677.1889166189</v>
      </c>
      <c r="N82" s="158">
        <f>Output_EB_RIN_SCS!Q145*10^6/Input_Inflation!Q$27</f>
        <v>2815285.8350560269</v>
      </c>
      <c r="O82" s="158">
        <f>Output_EB_RIN_SCS!R145*10^6/Input_Inflation!R$27</f>
        <v>3356116.0041290103</v>
      </c>
      <c r="P82" s="158">
        <f>Output_EB_RIN_SCS!S145*10^6/Input_Inflation!S$27</f>
        <v>3779920.2863668711</v>
      </c>
      <c r="Q82" s="157">
        <f>Output_EB_RIN_SCS!T145*10^6/Input_Inflation!T$27</f>
        <v>5428990.1693644403</v>
      </c>
      <c r="R82" s="131"/>
      <c r="S82" s="156">
        <f>IFERROR(Output_EB_RIN_ACS!N145*10^6/Input_Inflation!N$27,NA)</f>
        <v>93826.419367102193</v>
      </c>
      <c r="T82" s="157">
        <f>IFERROR(Output_EB_RIN_ACS!O145*10^6/Input_Inflation!O$27,NA)</f>
        <v>83855.439508719021</v>
      </c>
      <c r="U82" s="158">
        <f>IFERROR(Output_EB_RIN_ACS!P145*10^6/Input_Inflation!P$27,NA)</f>
        <v>79377.407807798852</v>
      </c>
      <c r="V82" s="158">
        <f>IFERROR(Output_EB_RIN_ACS!Q145*10^6/Input_Inflation!Q$27,NA)</f>
        <v>82769.645809705893</v>
      </c>
      <c r="W82" s="158">
        <f>IFERROR(Output_EB_RIN_ACS!R145*10^6/Input_Inflation!R$27,NA)</f>
        <v>85553.263389522021</v>
      </c>
      <c r="X82" s="158">
        <f>IFERROR(Output_EB_RIN_ACS!S145*10^6/Input_Inflation!S$27,NA)</f>
        <v>92590.896322181841</v>
      </c>
      <c r="Y82" s="157">
        <f>IFERROR(Output_EB_RIN_ACS!T145*10^6/Input_Inflation!T$27,NA)</f>
        <v>101001.82631090915</v>
      </c>
      <c r="Z82" s="131"/>
      <c r="AA82" s="131"/>
      <c r="AB82" s="131"/>
      <c r="AC82" s="131"/>
      <c r="AD82" s="131"/>
      <c r="AE82" s="131"/>
      <c r="AF82" s="131"/>
      <c r="AG82" s="131"/>
      <c r="AH82" s="131"/>
      <c r="AI82" s="131"/>
      <c r="AJ82" s="131"/>
      <c r="AK82" s="131"/>
      <c r="AL82" s="131"/>
      <c r="AM82" s="131"/>
      <c r="AN82" s="131"/>
      <c r="AO82" s="131"/>
    </row>
    <row r="83" spans="1:41" outlineLevel="2" x14ac:dyDescent="0.55000000000000004">
      <c r="A83" s="150" t="s">
        <v>287</v>
      </c>
      <c r="B83" s="155" t="s">
        <v>222</v>
      </c>
      <c r="C83" s="156">
        <f>Output_EB_RIN_NS!N146*10^6/Input_Inflation!N$27</f>
        <v>-4965803.8049874427</v>
      </c>
      <c r="D83" s="157">
        <f>Output_EB_RIN_NS!O146*10^6/Input_Inflation!O$27</f>
        <v>-5965735.1271392852</v>
      </c>
      <c r="E83" s="158">
        <f>Output_EB_RIN_NS!P146*10^6/Input_Inflation!P$27</f>
        <v>-10728265.567784952</v>
      </c>
      <c r="F83" s="158">
        <f>Output_EB_RIN_NS!Q146*10^6/Input_Inflation!Q$27</f>
        <v>-9102722.5127220806</v>
      </c>
      <c r="G83" s="158">
        <f>Output_EB_RIN_NS!R146*10^6/Input_Inflation!R$27</f>
        <v>-11253711.861318009</v>
      </c>
      <c r="H83" s="158">
        <f>Output_EB_RIN_NS!S146*10^6/Input_Inflation!S$27</f>
        <v>-13167010.301418211</v>
      </c>
      <c r="I83" s="157">
        <f>Output_EB_RIN_NS!T146*10^6/Input_Inflation!T$27</f>
        <v>-15958701.519060312</v>
      </c>
      <c r="K83" s="156">
        <f>Output_EB_RIN_SCS!N146*10^6/Input_Inflation!N$27</f>
        <v>-4965803.8049874427</v>
      </c>
      <c r="L83" s="157">
        <f>Output_EB_RIN_SCS!O146*10^6/Input_Inflation!O$27</f>
        <v>-5965735.1271392852</v>
      </c>
      <c r="M83" s="158">
        <f>Output_EB_RIN_SCS!P146*10^6/Input_Inflation!P$27</f>
        <v>-10728265.567784952</v>
      </c>
      <c r="N83" s="158">
        <f>Output_EB_RIN_SCS!Q146*10^6/Input_Inflation!Q$27</f>
        <v>-9102722.5127220806</v>
      </c>
      <c r="O83" s="158">
        <f>Output_EB_RIN_SCS!R146*10^6/Input_Inflation!R$27</f>
        <v>-11253711.861318009</v>
      </c>
      <c r="P83" s="158">
        <f>Output_EB_RIN_SCS!S146*10^6/Input_Inflation!S$27</f>
        <v>-13167010.301418211</v>
      </c>
      <c r="Q83" s="157">
        <f>Output_EB_RIN_SCS!T146*10^6/Input_Inflation!T$27</f>
        <v>-15958701.519060312</v>
      </c>
      <c r="R83" s="131"/>
      <c r="S83" s="156">
        <f>IFERROR(Output_EB_RIN_ACS!N146*10^6/Input_Inflation!N$27,NA)</f>
        <v>-92382.400334130478</v>
      </c>
      <c r="T83" s="157">
        <f>IFERROR(Output_EB_RIN_ACS!O146*10^6/Input_Inflation!O$27,NA)</f>
        <v>-145095.95291519075</v>
      </c>
      <c r="U83" s="158">
        <f>IFERROR(Output_EB_RIN_ACS!P146*10^6/Input_Inflation!P$27,NA)</f>
        <v>-208524.95249926735</v>
      </c>
      <c r="V83" s="158">
        <f>IFERROR(Output_EB_RIN_ACS!Q146*10^6/Input_Inflation!Q$27,NA)</f>
        <v>-229461.76281852403</v>
      </c>
      <c r="W83" s="158">
        <f>IFERROR(Output_EB_RIN_ACS!R146*10^6/Input_Inflation!R$27,NA)</f>
        <v>-248388.9566195299</v>
      </c>
      <c r="X83" s="158">
        <f>IFERROR(Output_EB_RIN_ACS!S146*10^6/Input_Inflation!S$27,NA)</f>
        <v>-283760.64141562115</v>
      </c>
      <c r="Y83" s="157">
        <f>IFERROR(Output_EB_RIN_ACS!T146*10^6/Input_Inflation!T$27,NA)</f>
        <v>-318106.63694236323</v>
      </c>
      <c r="Z83" s="131"/>
      <c r="AA83" s="131"/>
      <c r="AB83" s="131"/>
      <c r="AC83" s="131"/>
      <c r="AD83" s="131"/>
      <c r="AE83" s="131"/>
      <c r="AF83" s="131"/>
      <c r="AG83" s="131"/>
      <c r="AH83" s="131"/>
      <c r="AI83" s="131"/>
      <c r="AJ83" s="131"/>
      <c r="AK83" s="131"/>
      <c r="AL83" s="131"/>
      <c r="AM83" s="131"/>
      <c r="AN83" s="131"/>
      <c r="AO83" s="131"/>
    </row>
    <row r="84" spans="1:41" outlineLevel="2" x14ac:dyDescent="0.55000000000000004">
      <c r="A84" s="150" t="s">
        <v>288</v>
      </c>
      <c r="B84" s="155" t="s">
        <v>224</v>
      </c>
      <c r="C84" s="156">
        <f>Output_EB_RIN_NS!N147*10^6/Input_Inflation!N$27</f>
        <v>26412961.44304163</v>
      </c>
      <c r="D84" s="157">
        <f>Output_EB_RIN_NS!O147*10^6/Input_Inflation!O$27</f>
        <v>30754750.56708236</v>
      </c>
      <c r="E84" s="158">
        <f>Output_EB_RIN_NS!P147*10^6/Input_Inflation!P$27</f>
        <v>24497531.838416077</v>
      </c>
      <c r="F84" s="158">
        <f>Output_EB_RIN_NS!Q147*10^6/Input_Inflation!Q$27</f>
        <v>28167417.26220433</v>
      </c>
      <c r="G84" s="158">
        <f>Output_EB_RIN_NS!R147*10^6/Input_Inflation!R$27</f>
        <v>26193150.776564442</v>
      </c>
      <c r="H84" s="158">
        <f>Output_EB_RIN_NS!S147*10^6/Input_Inflation!S$27</f>
        <v>71298038.742012605</v>
      </c>
      <c r="I84" s="157">
        <f>Output_EB_RIN_NS!T147*10^6/Input_Inflation!T$27</f>
        <v>98043719.17405352</v>
      </c>
      <c r="K84" s="156">
        <f>Output_EB_RIN_SCS!N147*10^6/Input_Inflation!N$27</f>
        <v>26412961.44304163</v>
      </c>
      <c r="L84" s="157">
        <f>Output_EB_RIN_SCS!O147*10^6/Input_Inflation!O$27</f>
        <v>30754750.56708236</v>
      </c>
      <c r="M84" s="158">
        <f>Output_EB_RIN_SCS!P147*10^6/Input_Inflation!P$27</f>
        <v>24497531.838416077</v>
      </c>
      <c r="N84" s="158">
        <f>Output_EB_RIN_SCS!Q147*10^6/Input_Inflation!Q$27</f>
        <v>28167417.26220433</v>
      </c>
      <c r="O84" s="158">
        <f>Output_EB_RIN_SCS!R147*10^6/Input_Inflation!R$27</f>
        <v>26193150.776564442</v>
      </c>
      <c r="P84" s="158">
        <f>Output_EB_RIN_SCS!S147*10^6/Input_Inflation!S$27</f>
        <v>71298038.742012605</v>
      </c>
      <c r="Q84" s="157">
        <f>Output_EB_RIN_SCS!T147*10^6/Input_Inflation!T$27</f>
        <v>98043719.17405352</v>
      </c>
      <c r="R84" s="131"/>
      <c r="S84" s="156">
        <f>IFERROR(Output_EB_RIN_ACS!N147*10^6/Input_Inflation!N$27,NA)</f>
        <v>693739.46580652345</v>
      </c>
      <c r="T84" s="157">
        <f>IFERROR(Output_EB_RIN_ACS!O147*10^6/Input_Inflation!O$27,NA)</f>
        <v>1075199.1514068823</v>
      </c>
      <c r="U84" s="158">
        <f>IFERROR(Output_EB_RIN_ACS!P147*10^6/Input_Inflation!P$27,NA)</f>
        <v>328104.04723579629</v>
      </c>
      <c r="V84" s="158">
        <f>IFERROR(Output_EB_RIN_ACS!Q147*10^6/Input_Inflation!Q$27,NA)</f>
        <v>327586.50232676946</v>
      </c>
      <c r="W84" s="158">
        <f>IFERROR(Output_EB_RIN_ACS!R147*10^6/Input_Inflation!R$27,NA)</f>
        <v>496471.12971656572</v>
      </c>
      <c r="X84" s="158">
        <f>IFERROR(Output_EB_RIN_ACS!S147*10^6/Input_Inflation!S$27,NA)</f>
        <v>580252.63088655856</v>
      </c>
      <c r="Y84" s="157">
        <f>IFERROR(Output_EB_RIN_ACS!T147*10^6/Input_Inflation!T$27,NA)</f>
        <v>631769.78224786301</v>
      </c>
      <c r="Z84" s="131"/>
      <c r="AA84" s="131"/>
      <c r="AB84" s="131"/>
      <c r="AC84" s="131"/>
      <c r="AD84" s="131"/>
      <c r="AE84" s="131"/>
      <c r="AF84" s="131"/>
      <c r="AG84" s="131"/>
      <c r="AH84" s="131"/>
      <c r="AI84" s="131"/>
      <c r="AJ84" s="131"/>
      <c r="AK84" s="131"/>
      <c r="AL84" s="131"/>
      <c r="AM84" s="131"/>
      <c r="AN84" s="131"/>
      <c r="AO84" s="131"/>
    </row>
    <row r="85" spans="1:41" outlineLevel="2" x14ac:dyDescent="0.55000000000000004">
      <c r="A85" s="150" t="s">
        <v>289</v>
      </c>
      <c r="B85" s="155" t="s">
        <v>226</v>
      </c>
      <c r="C85" s="156">
        <f>Output_EB_RIN_NS!N148*10^6/Input_Inflation!N$27</f>
        <v>0</v>
      </c>
      <c r="D85" s="157">
        <f>Output_EB_RIN_NS!O148*10^6/Input_Inflation!O$27</f>
        <v>0</v>
      </c>
      <c r="E85" s="158">
        <f>Output_EB_RIN_NS!P148*10^6/Input_Inflation!P$27</f>
        <v>0</v>
      </c>
      <c r="F85" s="158">
        <f>Output_EB_RIN_NS!Q148*10^6/Input_Inflation!Q$27</f>
        <v>0</v>
      </c>
      <c r="G85" s="158">
        <f>Output_EB_RIN_NS!R148*10^6/Input_Inflation!R$27</f>
        <v>0</v>
      </c>
      <c r="H85" s="158">
        <f>Output_EB_RIN_NS!S148*10^6/Input_Inflation!S$27</f>
        <v>0</v>
      </c>
      <c r="I85" s="157">
        <f>Output_EB_RIN_NS!T148*10^6/Input_Inflation!T$27</f>
        <v>0</v>
      </c>
      <c r="K85" s="156">
        <f>Output_EB_RIN_SCS!N148*10^6/Input_Inflation!N$27</f>
        <v>0</v>
      </c>
      <c r="L85" s="157">
        <f>Output_EB_RIN_SCS!O148*10^6/Input_Inflation!O$27</f>
        <v>0</v>
      </c>
      <c r="M85" s="158">
        <f>Output_EB_RIN_SCS!P148*10^6/Input_Inflation!P$27</f>
        <v>0</v>
      </c>
      <c r="N85" s="158">
        <f>Output_EB_RIN_SCS!Q148*10^6/Input_Inflation!Q$27</f>
        <v>0</v>
      </c>
      <c r="O85" s="158">
        <f>Output_EB_RIN_SCS!R148*10^6/Input_Inflation!R$27</f>
        <v>0</v>
      </c>
      <c r="P85" s="158">
        <f>Output_EB_RIN_SCS!S148*10^6/Input_Inflation!S$27</f>
        <v>0</v>
      </c>
      <c r="Q85" s="157">
        <f>Output_EB_RIN_SCS!T148*10^6/Input_Inflation!T$27</f>
        <v>0</v>
      </c>
      <c r="R85" s="131"/>
      <c r="S85" s="156">
        <f>IFERROR(Output_EB_RIN_ACS!N148*10^6/Input_Inflation!N$27,NA)</f>
        <v>0</v>
      </c>
      <c r="T85" s="157">
        <f>IFERROR(Output_EB_RIN_ACS!O148*10^6/Input_Inflation!O$27,NA)</f>
        <v>0</v>
      </c>
      <c r="U85" s="158">
        <f>IFERROR(Output_EB_RIN_ACS!P148*10^6/Input_Inflation!P$27,NA)</f>
        <v>0</v>
      </c>
      <c r="V85" s="158">
        <f>IFERROR(Output_EB_RIN_ACS!Q148*10^6/Input_Inflation!Q$27,NA)</f>
        <v>0</v>
      </c>
      <c r="W85" s="158">
        <f>IFERROR(Output_EB_RIN_ACS!R148*10^6/Input_Inflation!R$27,NA)</f>
        <v>0</v>
      </c>
      <c r="X85" s="158">
        <f>IFERROR(Output_EB_RIN_ACS!S148*10^6/Input_Inflation!S$27,NA)</f>
        <v>0</v>
      </c>
      <c r="Y85" s="157">
        <f>IFERROR(Output_EB_RIN_ACS!T148*10^6/Input_Inflation!T$27,NA)</f>
        <v>0</v>
      </c>
      <c r="Z85" s="131"/>
      <c r="AA85" s="131"/>
      <c r="AB85" s="131"/>
      <c r="AC85" s="131"/>
      <c r="AD85" s="131"/>
      <c r="AE85" s="131"/>
      <c r="AF85" s="131"/>
      <c r="AG85" s="131"/>
      <c r="AH85" s="131"/>
      <c r="AI85" s="131"/>
      <c r="AJ85" s="131"/>
      <c r="AK85" s="131"/>
      <c r="AL85" s="131"/>
      <c r="AM85" s="131"/>
      <c r="AN85" s="131"/>
      <c r="AO85" s="131"/>
    </row>
    <row r="86" spans="1:41" ht="14.7" outlineLevel="2" thickBot="1" x14ac:dyDescent="0.6">
      <c r="A86" s="150" t="s">
        <v>290</v>
      </c>
      <c r="B86" s="159" t="s">
        <v>228</v>
      </c>
      <c r="C86" s="160">
        <f t="shared" ref="C86:H86" si="53">SUM(C81:C85)</f>
        <v>60682789.049000055</v>
      </c>
      <c r="D86" s="161">
        <f t="shared" si="53"/>
        <v>85471804.48894313</v>
      </c>
      <c r="E86" s="162">
        <f t="shared" si="53"/>
        <v>99241070.759574264</v>
      </c>
      <c r="F86" s="162">
        <f t="shared" si="53"/>
        <v>118305765.50905649</v>
      </c>
      <c r="G86" s="162">
        <f t="shared" si="53"/>
        <v>133245204.42430294</v>
      </c>
      <c r="H86" s="162">
        <f t="shared" si="53"/>
        <v>191376232.86489731</v>
      </c>
      <c r="I86" s="161">
        <f t="shared" ref="I86" si="54">SUM(I81:I85)</f>
        <v>273461250.51989055</v>
      </c>
      <c r="K86" s="160">
        <f t="shared" ref="K86:P86" si="55">SUM(K81:K85)</f>
        <v>60682789.049000055</v>
      </c>
      <c r="L86" s="161">
        <f t="shared" si="55"/>
        <v>85471804.48894313</v>
      </c>
      <c r="M86" s="162">
        <f t="shared" si="55"/>
        <v>99241070.759574264</v>
      </c>
      <c r="N86" s="162">
        <f t="shared" si="55"/>
        <v>118305765.50905649</v>
      </c>
      <c r="O86" s="162">
        <f t="shared" si="55"/>
        <v>133245204.42430294</v>
      </c>
      <c r="P86" s="162">
        <f t="shared" si="55"/>
        <v>191376232.86489731</v>
      </c>
      <c r="Q86" s="161">
        <f t="shared" ref="Q86" si="56">SUM(Q81:Q85)</f>
        <v>273461250.51989055</v>
      </c>
      <c r="R86" s="131"/>
      <c r="S86" s="160">
        <f t="shared" ref="S86:X86" si="57">SUM(S81:S85)</f>
        <v>1868013.7269282723</v>
      </c>
      <c r="T86" s="161">
        <f t="shared" si="57"/>
        <v>2798116.9254199639</v>
      </c>
      <c r="U86" s="162">
        <f t="shared" si="57"/>
        <v>2917696.0201564934</v>
      </c>
      <c r="V86" s="162">
        <f t="shared" si="57"/>
        <v>3015820.7596647381</v>
      </c>
      <c r="W86" s="162">
        <f t="shared" si="57"/>
        <v>3263902.9327617749</v>
      </c>
      <c r="X86" s="162">
        <f t="shared" si="57"/>
        <v>3560394.9222327122</v>
      </c>
      <c r="Y86" s="161">
        <f t="shared" ref="Y86" si="58">SUM(Y81:Y85)</f>
        <v>3874058.0675382121</v>
      </c>
      <c r="Z86" s="131"/>
      <c r="AA86" s="131"/>
      <c r="AB86" s="131"/>
      <c r="AC86" s="131"/>
      <c r="AD86" s="131"/>
      <c r="AE86" s="131"/>
      <c r="AF86" s="131"/>
      <c r="AG86" s="131"/>
      <c r="AH86" s="131"/>
      <c r="AI86" s="131"/>
      <c r="AJ86" s="131"/>
      <c r="AK86" s="131"/>
      <c r="AL86" s="131"/>
      <c r="AM86" s="131"/>
      <c r="AN86" s="131"/>
      <c r="AO86" s="131"/>
    </row>
    <row r="87" spans="1:41" ht="20.25" customHeight="1" outlineLevel="1" thickBot="1" x14ac:dyDescent="0.6">
      <c r="A87" s="42">
        <f>IF(SUM(C87:I87,K87:Q87,S87:Y87)&lt;&gt;0,1,0)</f>
        <v>0</v>
      </c>
      <c r="B87" s="165" t="s">
        <v>291</v>
      </c>
      <c r="C87" s="256">
        <f>IF(ROUND(C86-(Output_EB_RIN_NS!N150*10^6/Input_Inflation!N$27),4)=0,0,1)</f>
        <v>0</v>
      </c>
      <c r="D87" s="256">
        <f>IF(ROUND(D86-(Output_EB_RIN_NS!O150*10^6/Input_Inflation!O$27),4)=0,0,1)</f>
        <v>0</v>
      </c>
      <c r="E87" s="256">
        <f>IF(ROUND(E86-(Output_EB_RIN_NS!P150*10^6/Input_Inflation!P$27),4)=0,0,1)</f>
        <v>0</v>
      </c>
      <c r="F87" s="256">
        <f>IF(ROUND(F86-(Output_EB_RIN_NS!Q150*10^6/Input_Inflation!Q$27),4)=0,0,1)</f>
        <v>0</v>
      </c>
      <c r="G87" s="256">
        <f>IF(ROUND(G86-(Output_EB_RIN_NS!R150*10^6/Input_Inflation!R$27),4)=0,0,1)</f>
        <v>0</v>
      </c>
      <c r="H87" s="256">
        <f>IF(ROUND(H86-(Output_EB_RIN_NS!S150*10^6/Input_Inflation!S$27),4)=0,0,1)</f>
        <v>0</v>
      </c>
      <c r="I87" s="256">
        <f>IF(ROUND(I86-(Output_EB_RIN_NS!T150*10^6/Input_Inflation!T$27),4)=0,0,1)</f>
        <v>0</v>
      </c>
      <c r="K87" s="256">
        <f>IF(ROUND(K86-(Output_EB_RIN_SCS!N150*10^6/Input_Inflation!N$27),4)=0,0,1)</f>
        <v>0</v>
      </c>
      <c r="L87" s="256">
        <f>IF(ROUND(L86-(Output_EB_RIN_SCS!O150*10^6/Input_Inflation!O$27),4)=0,0,1)</f>
        <v>0</v>
      </c>
      <c r="M87" s="256">
        <f>IF(ROUND(M86-(Output_EB_RIN_SCS!P150*10^6/Input_Inflation!P$27),4)=0,0,1)</f>
        <v>0</v>
      </c>
      <c r="N87" s="256">
        <f>IF(ROUND(N86-(Output_EB_RIN_SCS!Q150*10^6/Input_Inflation!Q$27),4)=0,0,1)</f>
        <v>0</v>
      </c>
      <c r="O87" s="256">
        <f>IF(ROUND(O86-(Output_EB_RIN_SCS!R150*10^6/Input_Inflation!R$27),4)=0,0,1)</f>
        <v>0</v>
      </c>
      <c r="P87" s="256">
        <f>IF(ROUND(P86-(Output_EB_RIN_SCS!S150*10^6/Input_Inflation!S$27),4)=0,0,1)</f>
        <v>0</v>
      </c>
      <c r="Q87" s="256">
        <f>IF(ROUND(Q86-(Output_EB_RIN_SCS!T150*10^6/Input_Inflation!T$27),4)=0,0,1)</f>
        <v>0</v>
      </c>
      <c r="R87" s="131"/>
      <c r="S87" s="256">
        <f>IF(ROUND(S86-(Output_EB_RIN_ACS!N150*10^6/Input_Inflation!N$27),4)=0,0,1)</f>
        <v>0</v>
      </c>
      <c r="T87" s="256">
        <f>IF(ROUND(T86-(Output_EB_RIN_ACS!O150*10^6/Input_Inflation!O$27),4)=0,0,1)</f>
        <v>0</v>
      </c>
      <c r="U87" s="256">
        <f>IF(ROUND(U86-(Output_EB_RIN_ACS!P150*10^6/Input_Inflation!P$27),4)=0,0,1)</f>
        <v>0</v>
      </c>
      <c r="V87" s="256">
        <f>IF(ROUND(V86-(Output_EB_RIN_ACS!Q150*10^6/Input_Inflation!Q$27),4)=0,0,1)</f>
        <v>0</v>
      </c>
      <c r="W87" s="256">
        <f>IF(ROUND(W86-(Output_EB_RIN_ACS!R150*10^6/Input_Inflation!R$27),4)=0,0,1)</f>
        <v>0</v>
      </c>
      <c r="X87" s="256">
        <f>IF(ROUND(X86-(Output_EB_RIN_ACS!S150*10^6/Input_Inflation!S$27),4)=0,0,1)</f>
        <v>0</v>
      </c>
      <c r="Y87" s="256">
        <f>IF(ROUND(Y86-(Output_EB_RIN_ACS!T150*10^6/Input_Inflation!T$27),4)=0,0,1)</f>
        <v>0</v>
      </c>
      <c r="Z87" s="131"/>
      <c r="AA87" s="131"/>
      <c r="AB87" s="131"/>
      <c r="AC87" s="131"/>
      <c r="AD87" s="131"/>
      <c r="AE87" s="131"/>
      <c r="AF87" s="131"/>
      <c r="AG87" s="131"/>
      <c r="AH87" s="131"/>
      <c r="AI87" s="131"/>
      <c r="AJ87" s="131"/>
      <c r="AK87" s="131"/>
      <c r="AL87" s="131"/>
      <c r="AM87" s="131"/>
      <c r="AN87" s="131"/>
      <c r="AO87" s="131"/>
    </row>
    <row r="88" spans="1:41" outlineLevel="2" x14ac:dyDescent="0.55000000000000004">
      <c r="A88" s="150" t="s">
        <v>292</v>
      </c>
      <c r="B88" s="151" t="s">
        <v>218</v>
      </c>
      <c r="C88" s="152">
        <f>Output_EB_RIN_NS!N158*10^6/Input_Inflation!N$27</f>
        <v>36767702.08260341</v>
      </c>
      <c r="D88" s="153">
        <f>Output_EB_RIN_NS!O158*10^6/Input_Inflation!O$27</f>
        <v>35458557.884292945</v>
      </c>
      <c r="E88" s="154">
        <f>Output_EB_RIN_NS!P158*10^6/Input_Inflation!P$27</f>
        <v>36915715.194246948</v>
      </c>
      <c r="F88" s="154">
        <f>Output_EB_RIN_NS!Q158*10^6/Input_Inflation!Q$27</f>
        <v>36380440.554242469</v>
      </c>
      <c r="G88" s="154">
        <f>Output_EB_RIN_NS!R158*10^6/Input_Inflation!R$27</f>
        <v>37610837.414410971</v>
      </c>
      <c r="H88" s="154">
        <f>Output_EB_RIN_NS!S158*10^6/Input_Inflation!S$27</f>
        <v>46703303.674800634</v>
      </c>
      <c r="I88" s="153">
        <f>Output_EB_RIN_NS!T158*10^6/Input_Inflation!T$27</f>
        <v>45583549.218572013</v>
      </c>
      <c r="K88" s="152">
        <f>Output_EB_RIN_SCS!N158*10^6/Input_Inflation!N$27</f>
        <v>36767702.08260341</v>
      </c>
      <c r="L88" s="153">
        <f>Output_EB_RIN_SCS!O158*10^6/Input_Inflation!O$27</f>
        <v>35458557.884292945</v>
      </c>
      <c r="M88" s="154">
        <f>Output_EB_RIN_SCS!P158*10^6/Input_Inflation!P$27</f>
        <v>36915715.194246948</v>
      </c>
      <c r="N88" s="154">
        <f>Output_EB_RIN_SCS!Q158*10^6/Input_Inflation!Q$27</f>
        <v>36380440.554242469</v>
      </c>
      <c r="O88" s="154">
        <f>Output_EB_RIN_SCS!R158*10^6/Input_Inflation!R$27</f>
        <v>37610837.414410971</v>
      </c>
      <c r="P88" s="154">
        <f>Output_EB_RIN_SCS!S158*10^6/Input_Inflation!S$27</f>
        <v>46703303.674800634</v>
      </c>
      <c r="Q88" s="153">
        <f>Output_EB_RIN_SCS!T158*10^6/Input_Inflation!T$27</f>
        <v>45583549.218572013</v>
      </c>
      <c r="R88" s="131"/>
      <c r="S88" s="152">
        <f>IFERROR(Output_EB_RIN_ACS!N158*10^6/Input_Inflation!N$27,NA)</f>
        <v>1282563.1656967106</v>
      </c>
      <c r="T88" s="153">
        <f>IFERROR(Output_EB_RIN_ACS!O158*10^6/Input_Inflation!O$27,NA)</f>
        <v>1951088.588184301</v>
      </c>
      <c r="U88" s="154">
        <f>IFERROR(Output_EB_RIN_ACS!P158*10^6/Input_Inflation!P$27,NA)</f>
        <v>2973111.5700113932</v>
      </c>
      <c r="V88" s="154">
        <f>IFERROR(Output_EB_RIN_ACS!Q158*10^6/Input_Inflation!Q$27,NA)</f>
        <v>3100169.1589430291</v>
      </c>
      <c r="W88" s="154">
        <f>IFERROR(Output_EB_RIN_ACS!R158*10^6/Input_Inflation!R$27,NA)</f>
        <v>3204430.6341108447</v>
      </c>
      <c r="X88" s="154">
        <f>IFERROR(Output_EB_RIN_ACS!S158*10^6/Input_Inflation!S$27,NA)</f>
        <v>3468027.9028481632</v>
      </c>
      <c r="Y88" s="153">
        <f>IFERROR(Output_EB_RIN_ACS!T158*10^6/Input_Inflation!T$27,NA)</f>
        <v>3783062.5450046691</v>
      </c>
      <c r="Z88" s="131"/>
      <c r="AA88" s="131"/>
      <c r="AB88" s="131"/>
      <c r="AC88" s="131"/>
      <c r="AD88" s="131"/>
      <c r="AE88" s="131"/>
      <c r="AF88" s="131"/>
      <c r="AG88" s="131"/>
      <c r="AH88" s="131"/>
      <c r="AI88" s="131"/>
      <c r="AJ88" s="131"/>
      <c r="AK88" s="131"/>
      <c r="AL88" s="131"/>
      <c r="AM88" s="131"/>
      <c r="AN88" s="131"/>
      <c r="AO88" s="131"/>
    </row>
    <row r="89" spans="1:41" outlineLevel="2" x14ac:dyDescent="0.55000000000000004">
      <c r="A89" s="150" t="s">
        <v>293</v>
      </c>
      <c r="B89" s="155" t="s">
        <v>220</v>
      </c>
      <c r="C89" s="156">
        <f>Output_EB_RIN_NS!N159*10^6/Input_Inflation!N$27</f>
        <v>2941416.166608274</v>
      </c>
      <c r="D89" s="157">
        <f>Output_EB_RIN_NS!O159*10^6/Input_Inflation!O$27</f>
        <v>1666552.2205617684</v>
      </c>
      <c r="E89" s="158">
        <f>Output_EB_RIN_NS!P159*10^6/Input_Inflation!P$27</f>
        <v>1077806.0055065227</v>
      </c>
      <c r="F89" s="158">
        <f>Output_EB_RIN_NS!Q159*10^6/Input_Inflation!Q$27</f>
        <v>1062177.912740164</v>
      </c>
      <c r="G89" s="158">
        <f>Output_EB_RIN_NS!R159*10^6/Input_Inflation!R$27</f>
        <v>1098101.0722419645</v>
      </c>
      <c r="H89" s="158">
        <f>Output_EB_RIN_NS!S159*10^6/Input_Inflation!S$27</f>
        <v>1363568.3587010568</v>
      </c>
      <c r="I89" s="157">
        <f>Output_EB_RIN_NS!T159*10^6/Input_Inflation!T$27</f>
        <v>1330875.5591368221</v>
      </c>
      <c r="K89" s="156">
        <f>Output_EB_RIN_SCS!N159*10^6/Input_Inflation!N$27</f>
        <v>2941416.166608274</v>
      </c>
      <c r="L89" s="157">
        <f>Output_EB_RIN_SCS!O159*10^6/Input_Inflation!O$27</f>
        <v>1666552.2205617684</v>
      </c>
      <c r="M89" s="158">
        <f>Output_EB_RIN_SCS!P159*10^6/Input_Inflation!P$27</f>
        <v>1077806.0055065227</v>
      </c>
      <c r="N89" s="158">
        <f>Output_EB_RIN_SCS!Q159*10^6/Input_Inflation!Q$27</f>
        <v>1062177.912740164</v>
      </c>
      <c r="O89" s="158">
        <f>Output_EB_RIN_SCS!R159*10^6/Input_Inflation!R$27</f>
        <v>1098101.0722419645</v>
      </c>
      <c r="P89" s="158">
        <f>Output_EB_RIN_SCS!S159*10^6/Input_Inflation!S$27</f>
        <v>1363568.3587010568</v>
      </c>
      <c r="Q89" s="157">
        <f>Output_EB_RIN_SCS!T159*10^6/Input_Inflation!T$27</f>
        <v>1330875.5591368221</v>
      </c>
      <c r="R89" s="131"/>
      <c r="S89" s="156">
        <f>IFERROR(Output_EB_RIN_ACS!N159*10^6/Input_Inflation!N$27,NA)</f>
        <v>102605.05325573687</v>
      </c>
      <c r="T89" s="157">
        <f>IFERROR(Output_EB_RIN_ACS!O159*10^6/Input_Inflation!O$27,NA)</f>
        <v>91701.163644662141</v>
      </c>
      <c r="U89" s="158">
        <f>IFERROR(Output_EB_RIN_ACS!P159*10^6/Input_Inflation!P$27,NA)</f>
        <v>86804.156125318492</v>
      </c>
      <c r="V89" s="158">
        <f>IFERROR(Output_EB_RIN_ACS!Q159*10^6/Input_Inflation!Q$27,NA)</f>
        <v>90513.780378163457</v>
      </c>
      <c r="W89" s="158">
        <f>IFERROR(Output_EB_RIN_ACS!R159*10^6/Input_Inflation!R$27,NA)</f>
        <v>93557.840163746441</v>
      </c>
      <c r="X89" s="158">
        <f>IFERROR(Output_EB_RIN_ACS!S159*10^6/Input_Inflation!S$27,NA)</f>
        <v>101253.93159215996</v>
      </c>
      <c r="Y89" s="157">
        <f>IFERROR(Output_EB_RIN_ACS!T159*10^6/Input_Inflation!T$27,NA)</f>
        <v>110451.80917552038</v>
      </c>
      <c r="Z89" s="131"/>
      <c r="AA89" s="131"/>
      <c r="AB89" s="131"/>
      <c r="AC89" s="131"/>
      <c r="AD89" s="131"/>
      <c r="AE89" s="131"/>
      <c r="AF89" s="131"/>
      <c r="AG89" s="131"/>
      <c r="AH89" s="131"/>
      <c r="AI89" s="131"/>
      <c r="AJ89" s="131"/>
      <c r="AK89" s="131"/>
      <c r="AL89" s="131"/>
      <c r="AM89" s="131"/>
      <c r="AN89" s="131"/>
      <c r="AO89" s="131"/>
    </row>
    <row r="90" spans="1:41" outlineLevel="2" x14ac:dyDescent="0.55000000000000004">
      <c r="A90" s="150" t="s">
        <v>294</v>
      </c>
      <c r="B90" s="155" t="s">
        <v>222</v>
      </c>
      <c r="C90" s="156">
        <f>Output_EB_RIN_NS!N160*10^6/Input_Inflation!N$27</f>
        <v>-8297346.3001993988</v>
      </c>
      <c r="D90" s="157">
        <f>Output_EB_RIN_NS!O160*10^6/Input_Inflation!O$27</f>
        <v>-9238667.2065994553</v>
      </c>
      <c r="E90" s="158">
        <f>Output_EB_RIN_NS!P160*10^6/Input_Inflation!P$27</f>
        <v>-5286762.1001709132</v>
      </c>
      <c r="F90" s="158">
        <f>Output_EB_RIN_NS!Q160*10^6/Input_Inflation!Q$27</f>
        <v>-6230073.3329015775</v>
      </c>
      <c r="G90" s="158">
        <f>Output_EB_RIN_NS!R160*10^6/Input_Inflation!R$27</f>
        <v>-5285539.2401193436</v>
      </c>
      <c r="H90" s="158">
        <f>Output_EB_RIN_NS!S160*10^6/Input_Inflation!S$27</f>
        <v>-7435642.050708659</v>
      </c>
      <c r="I90" s="157">
        <f>Output_EB_RIN_NS!T160*10^6/Input_Inflation!T$27</f>
        <v>-7680294.5017673615</v>
      </c>
      <c r="K90" s="156">
        <f>Output_EB_RIN_SCS!N160*10^6/Input_Inflation!N$27</f>
        <v>-8297346.3001993988</v>
      </c>
      <c r="L90" s="157">
        <f>Output_EB_RIN_SCS!O160*10^6/Input_Inflation!O$27</f>
        <v>-9238667.2065994553</v>
      </c>
      <c r="M90" s="158">
        <f>Output_EB_RIN_SCS!P160*10^6/Input_Inflation!P$27</f>
        <v>-5286762.1001709132</v>
      </c>
      <c r="N90" s="158">
        <f>Output_EB_RIN_SCS!Q160*10^6/Input_Inflation!Q$27</f>
        <v>-6230073.3329015775</v>
      </c>
      <c r="O90" s="158">
        <f>Output_EB_RIN_SCS!R160*10^6/Input_Inflation!R$27</f>
        <v>-5285539.2401193436</v>
      </c>
      <c r="P90" s="158">
        <f>Output_EB_RIN_SCS!S160*10^6/Input_Inflation!S$27</f>
        <v>-7435642.050708659</v>
      </c>
      <c r="Q90" s="157">
        <f>Output_EB_RIN_SCS!T160*10^6/Input_Inflation!T$27</f>
        <v>-7680294.5017673615</v>
      </c>
      <c r="R90" s="131"/>
      <c r="S90" s="156">
        <f>IFERROR(Output_EB_RIN_ACS!N160*10^6/Input_Inflation!N$27,NA)</f>
        <v>-101025.9281992785</v>
      </c>
      <c r="T90" s="157">
        <f>IFERROR(Output_EB_RIN_ACS!O160*10^6/Input_Inflation!O$27,NA)</f>
        <v>-158671.49227773878</v>
      </c>
      <c r="U90" s="158">
        <f>IFERROR(Output_EB_RIN_ACS!P160*10^6/Input_Inflation!P$27,NA)</f>
        <v>-228035.06731537048</v>
      </c>
      <c r="V90" s="158">
        <f>IFERROR(Output_EB_RIN_ACS!Q160*10^6/Input_Inflation!Q$27,NA)</f>
        <v>-250930.77784448621</v>
      </c>
      <c r="W90" s="158">
        <f>IFERROR(Output_EB_RIN_ACS!R160*10^6/Input_Inflation!R$27,NA)</f>
        <v>-271628.8471200018</v>
      </c>
      <c r="X90" s="158">
        <f>IFERROR(Output_EB_RIN_ACS!S160*10^6/Input_Inflation!S$27,NA)</f>
        <v>-310309.9949963601</v>
      </c>
      <c r="Y90" s="157">
        <f>IFERROR(Output_EB_RIN_ACS!T160*10^6/Input_Inflation!T$27,NA)</f>
        <v>-347869.48755628074</v>
      </c>
      <c r="Z90" s="131"/>
      <c r="AA90" s="131"/>
      <c r="AB90" s="131"/>
      <c r="AC90" s="131"/>
      <c r="AD90" s="131"/>
      <c r="AE90" s="131"/>
      <c r="AF90" s="131"/>
      <c r="AG90" s="131"/>
      <c r="AH90" s="131"/>
      <c r="AI90" s="131"/>
      <c r="AJ90" s="131"/>
      <c r="AK90" s="131"/>
      <c r="AL90" s="131"/>
      <c r="AM90" s="131"/>
      <c r="AN90" s="131"/>
      <c r="AO90" s="131"/>
    </row>
    <row r="91" spans="1:41" outlineLevel="2" x14ac:dyDescent="0.55000000000000004">
      <c r="A91" s="150" t="s">
        <v>295</v>
      </c>
      <c r="B91" s="155" t="s">
        <v>224</v>
      </c>
      <c r="C91" s="156">
        <f>Output_EB_RIN_NS!N161*10^6/Input_Inflation!N$27</f>
        <v>5713338.1558424197</v>
      </c>
      <c r="D91" s="157">
        <f>Output_EB_RIN_NS!O161*10^6/Input_Inflation!O$27</f>
        <v>10107078.301498223</v>
      </c>
      <c r="E91" s="158">
        <f>Output_EB_RIN_NS!P161*10^6/Input_Inflation!P$27</f>
        <v>4735859.367400079</v>
      </c>
      <c r="F91" s="158">
        <f>Output_EB_RIN_NS!Q161*10^6/Input_Inflation!Q$27</f>
        <v>7496393.3525718749</v>
      </c>
      <c r="G91" s="158">
        <f>Output_EB_RIN_NS!R161*10^6/Input_Inflation!R$27</f>
        <v>14643472.78696811</v>
      </c>
      <c r="H91" s="158">
        <f>Output_EB_RIN_NS!S161*10^6/Input_Inflation!S$27</f>
        <v>6283194.7949157953</v>
      </c>
      <c r="I91" s="157">
        <f>Output_EB_RIN_NS!T161*10^6/Input_Inflation!T$27</f>
        <v>6479410.9158108933</v>
      </c>
      <c r="K91" s="156">
        <f>Output_EB_RIN_SCS!N161*10^6/Input_Inflation!N$27</f>
        <v>5713338.1558424197</v>
      </c>
      <c r="L91" s="157">
        <f>Output_EB_RIN_SCS!O161*10^6/Input_Inflation!O$27</f>
        <v>10107078.301498223</v>
      </c>
      <c r="M91" s="158">
        <f>Output_EB_RIN_SCS!P161*10^6/Input_Inflation!P$27</f>
        <v>4735859.367400079</v>
      </c>
      <c r="N91" s="158">
        <f>Output_EB_RIN_SCS!Q161*10^6/Input_Inflation!Q$27</f>
        <v>7496393.3525718749</v>
      </c>
      <c r="O91" s="158">
        <f>Output_EB_RIN_SCS!R161*10^6/Input_Inflation!R$27</f>
        <v>14643472.78696811</v>
      </c>
      <c r="P91" s="158">
        <f>Output_EB_RIN_SCS!S161*10^6/Input_Inflation!S$27</f>
        <v>6283194.7949157953</v>
      </c>
      <c r="Q91" s="157">
        <f>Output_EB_RIN_SCS!T161*10^6/Input_Inflation!T$27</f>
        <v>6479410.9158108933</v>
      </c>
      <c r="R91" s="131"/>
      <c r="S91" s="156">
        <f>IFERROR(Output_EB_RIN_ACS!N161*10^6/Input_Inflation!N$27,NA)</f>
        <v>758647.46107579395</v>
      </c>
      <c r="T91" s="157">
        <f>IFERROR(Output_EB_RIN_ACS!O161*10^6/Input_Inflation!O$27,NA)</f>
        <v>1175797.4665854874</v>
      </c>
      <c r="U91" s="158">
        <f>IFERROR(Output_EB_RIN_ACS!P161*10^6/Input_Inflation!P$27,NA)</f>
        <v>358802.28049985133</v>
      </c>
      <c r="V91" s="158">
        <f>IFERROR(Output_EB_RIN_ACS!Q161*10^6/Input_Inflation!Q$27,NA)</f>
        <v>358236.31279788486</v>
      </c>
      <c r="W91" s="158">
        <f>IFERROR(Output_EB_RIN_ACS!R161*10^6/Input_Inflation!R$27,NA)</f>
        <v>542922.20728573413</v>
      </c>
      <c r="X91" s="158">
        <f>IFERROR(Output_EB_RIN_ACS!S161*10^6/Input_Inflation!S$27,NA)</f>
        <v>634542.51473622606</v>
      </c>
      <c r="Y91" s="157">
        <f>IFERROR(Output_EB_RIN_ACS!T161*10^6/Input_Inflation!T$27,NA)</f>
        <v>690879.73931184353</v>
      </c>
      <c r="Z91" s="131"/>
      <c r="AA91" s="131"/>
      <c r="AB91" s="131"/>
      <c r="AC91" s="131"/>
      <c r="AD91" s="131"/>
      <c r="AE91" s="131"/>
      <c r="AF91" s="131"/>
      <c r="AG91" s="131"/>
      <c r="AH91" s="131"/>
      <c r="AI91" s="131"/>
      <c r="AJ91" s="131"/>
      <c r="AK91" s="131"/>
      <c r="AL91" s="131"/>
      <c r="AM91" s="131"/>
      <c r="AN91" s="131"/>
      <c r="AO91" s="131"/>
    </row>
    <row r="92" spans="1:41" outlineLevel="2" x14ac:dyDescent="0.55000000000000004">
      <c r="A92" s="150" t="s">
        <v>296</v>
      </c>
      <c r="B92" s="155" t="s">
        <v>226</v>
      </c>
      <c r="C92" s="156">
        <f>Output_EB_RIN_NS!N162*10^6/Input_Inflation!N$27</f>
        <v>0</v>
      </c>
      <c r="D92" s="157">
        <f>Output_EB_RIN_NS!O162*10^6/Input_Inflation!O$27</f>
        <v>0</v>
      </c>
      <c r="E92" s="158">
        <f>Output_EB_RIN_NS!P162*10^6/Input_Inflation!P$27</f>
        <v>0</v>
      </c>
      <c r="F92" s="158">
        <f>Output_EB_RIN_NS!Q162*10^6/Input_Inflation!Q$27</f>
        <v>0</v>
      </c>
      <c r="G92" s="158">
        <f>Output_EB_RIN_NS!R162*10^6/Input_Inflation!R$27</f>
        <v>0</v>
      </c>
      <c r="H92" s="158">
        <f>Output_EB_RIN_NS!S162*10^6/Input_Inflation!S$27</f>
        <v>0</v>
      </c>
      <c r="I92" s="157">
        <f>Output_EB_RIN_NS!T162*10^6/Input_Inflation!T$27</f>
        <v>0</v>
      </c>
      <c r="K92" s="156">
        <f>Output_EB_RIN_SCS!N162*10^6/Input_Inflation!N$27</f>
        <v>0</v>
      </c>
      <c r="L92" s="157">
        <f>Output_EB_RIN_SCS!O162*10^6/Input_Inflation!O$27</f>
        <v>0</v>
      </c>
      <c r="M92" s="158">
        <f>Output_EB_RIN_SCS!P162*10^6/Input_Inflation!P$27</f>
        <v>0</v>
      </c>
      <c r="N92" s="158">
        <f>Output_EB_RIN_SCS!Q162*10^6/Input_Inflation!Q$27</f>
        <v>0</v>
      </c>
      <c r="O92" s="158">
        <f>Output_EB_RIN_SCS!R162*10^6/Input_Inflation!R$27</f>
        <v>0</v>
      </c>
      <c r="P92" s="158">
        <f>Output_EB_RIN_SCS!S162*10^6/Input_Inflation!S$27</f>
        <v>0</v>
      </c>
      <c r="Q92" s="157">
        <f>Output_EB_RIN_SCS!T162*10^6/Input_Inflation!T$27</f>
        <v>0</v>
      </c>
      <c r="R92" s="131"/>
      <c r="S92" s="156">
        <f>IFERROR(Output_EB_RIN_ACS!N162*10^6/Input_Inflation!N$27,NA)</f>
        <v>0</v>
      </c>
      <c r="T92" s="157">
        <f>IFERROR(Output_EB_RIN_ACS!O162*10^6/Input_Inflation!O$27,NA)</f>
        <v>0</v>
      </c>
      <c r="U92" s="158">
        <f>IFERROR(Output_EB_RIN_ACS!P162*10^6/Input_Inflation!P$27,NA)</f>
        <v>0</v>
      </c>
      <c r="V92" s="158">
        <f>IFERROR(Output_EB_RIN_ACS!Q162*10^6/Input_Inflation!Q$27,NA)</f>
        <v>0</v>
      </c>
      <c r="W92" s="158">
        <f>IFERROR(Output_EB_RIN_ACS!R162*10^6/Input_Inflation!R$27,NA)</f>
        <v>0</v>
      </c>
      <c r="X92" s="158">
        <f>IFERROR(Output_EB_RIN_ACS!S162*10^6/Input_Inflation!S$27,NA)</f>
        <v>0</v>
      </c>
      <c r="Y92" s="157">
        <f>IFERROR(Output_EB_RIN_ACS!T162*10^6/Input_Inflation!T$27,NA)</f>
        <v>0</v>
      </c>
      <c r="Z92" s="131"/>
      <c r="AA92" s="131"/>
      <c r="AB92" s="131"/>
      <c r="AC92" s="131"/>
      <c r="AD92" s="131"/>
      <c r="AE92" s="131"/>
      <c r="AF92" s="131"/>
      <c r="AG92" s="131"/>
      <c r="AH92" s="131"/>
      <c r="AI92" s="131"/>
      <c r="AJ92" s="131"/>
      <c r="AK92" s="131"/>
      <c r="AL92" s="131"/>
      <c r="AM92" s="131"/>
      <c r="AN92" s="131"/>
      <c r="AO92" s="131"/>
    </row>
    <row r="93" spans="1:41" ht="14.7" outlineLevel="2" thickBot="1" x14ac:dyDescent="0.6">
      <c r="A93" s="150" t="s">
        <v>297</v>
      </c>
      <c r="B93" s="159" t="s">
        <v>228</v>
      </c>
      <c r="C93" s="160">
        <f t="shared" ref="C93:H93" si="59">SUM(C88:C92)</f>
        <v>37125110.104854703</v>
      </c>
      <c r="D93" s="161">
        <f t="shared" si="59"/>
        <v>37993521.199753478</v>
      </c>
      <c r="E93" s="162">
        <f t="shared" si="59"/>
        <v>37442618.466982633</v>
      </c>
      <c r="F93" s="162">
        <f t="shared" si="59"/>
        <v>38708938.486652926</v>
      </c>
      <c r="G93" s="162">
        <f t="shared" si="59"/>
        <v>48066872.0335017</v>
      </c>
      <c r="H93" s="162">
        <f t="shared" si="59"/>
        <v>46914424.777708828</v>
      </c>
      <c r="I93" s="161">
        <f t="shared" ref="I93" si="60">SUM(I88:I92)</f>
        <v>45713541.191752367</v>
      </c>
      <c r="K93" s="160">
        <f t="shared" ref="K93:P93" si="61">SUM(K88:K92)</f>
        <v>37125110.104854703</v>
      </c>
      <c r="L93" s="161">
        <f t="shared" si="61"/>
        <v>37993521.199753478</v>
      </c>
      <c r="M93" s="162">
        <f t="shared" si="61"/>
        <v>37442618.466982633</v>
      </c>
      <c r="N93" s="162">
        <f t="shared" si="61"/>
        <v>38708938.486652926</v>
      </c>
      <c r="O93" s="162">
        <f t="shared" si="61"/>
        <v>48066872.0335017</v>
      </c>
      <c r="P93" s="162">
        <f t="shared" si="61"/>
        <v>46914424.777708828</v>
      </c>
      <c r="Q93" s="161">
        <f t="shared" ref="Q93" si="62">SUM(Q88:Q92)</f>
        <v>45713541.191752367</v>
      </c>
      <c r="R93" s="131"/>
      <c r="S93" s="160">
        <f t="shared" ref="S93:X93" si="63">SUM(S88:S92)</f>
        <v>2042789.7518289629</v>
      </c>
      <c r="T93" s="161">
        <f t="shared" si="63"/>
        <v>3059915.7261367114</v>
      </c>
      <c r="U93" s="162">
        <f t="shared" si="63"/>
        <v>3190682.9393211924</v>
      </c>
      <c r="V93" s="162">
        <f t="shared" si="63"/>
        <v>3297988.4742745911</v>
      </c>
      <c r="W93" s="162">
        <f t="shared" si="63"/>
        <v>3569281.8344403235</v>
      </c>
      <c r="X93" s="162">
        <f t="shared" si="63"/>
        <v>3893514.3541801888</v>
      </c>
      <c r="Y93" s="161">
        <f t="shared" ref="Y93" si="64">SUM(Y88:Y92)</f>
        <v>4236524.6059357524</v>
      </c>
      <c r="Z93" s="131"/>
      <c r="AA93" s="131"/>
      <c r="AB93" s="131"/>
      <c r="AC93" s="131"/>
      <c r="AD93" s="131"/>
      <c r="AE93" s="131"/>
      <c r="AF93" s="131"/>
      <c r="AG93" s="131"/>
      <c r="AH93" s="131"/>
      <c r="AI93" s="131"/>
      <c r="AJ93" s="131"/>
      <c r="AK93" s="131"/>
      <c r="AL93" s="131"/>
      <c r="AM93" s="131"/>
      <c r="AN93" s="131"/>
      <c r="AO93" s="131"/>
    </row>
    <row r="94" spans="1:41" outlineLevel="1" x14ac:dyDescent="0.55000000000000004">
      <c r="A94" s="150"/>
      <c r="C94" s="256">
        <f>IF(ROUND(C93-(Output_EB_RIN_NS!N164*10^6/Input_Inflation!N$27),4)=0,0,1)</f>
        <v>0</v>
      </c>
      <c r="D94" s="256">
        <f>IF(ROUND(D93-(Output_EB_RIN_NS!O164*10^6/Input_Inflation!O$27),4)=0,0,1)</f>
        <v>0</v>
      </c>
      <c r="E94" s="256">
        <f>IF(ROUND(E93-(Output_EB_RIN_NS!P164*10^6/Input_Inflation!P$27),4)=0,0,1)</f>
        <v>0</v>
      </c>
      <c r="F94" s="256">
        <f>IF(ROUND(F93-(Output_EB_RIN_NS!Q164*10^6/Input_Inflation!Q$27),4)=0,0,1)</f>
        <v>0</v>
      </c>
      <c r="G94" s="256">
        <f>IF(ROUND(G93-(Output_EB_RIN_NS!R164*10^6/Input_Inflation!R$27),4)=0,0,1)</f>
        <v>0</v>
      </c>
      <c r="H94" s="256">
        <f>IF(ROUND(H93-(Output_EB_RIN_NS!S164*10^6/Input_Inflation!S$27),4)=0,0,1)</f>
        <v>0</v>
      </c>
      <c r="I94" s="256">
        <f>IF(ROUND(I93-(Output_EB_RIN_NS!T164*10^6/Input_Inflation!T$27),4)=0,0,1)</f>
        <v>0</v>
      </c>
      <c r="K94" s="256">
        <f>IF(ROUND(K93-(Output_EB_RIN_SCS!N164*10^6/Input_Inflation!N$27),4)=0,0,1)</f>
        <v>0</v>
      </c>
      <c r="L94" s="256">
        <f>IF(ROUND(L93-(Output_EB_RIN_SCS!O164*10^6/Input_Inflation!O$27),4)=0,0,1)</f>
        <v>0</v>
      </c>
      <c r="M94" s="256">
        <f>IF(ROUND(M93-(Output_EB_RIN_SCS!P164*10^6/Input_Inflation!P$27),4)=0,0,1)</f>
        <v>0</v>
      </c>
      <c r="N94" s="256">
        <f>IF(ROUND(N93-(Output_EB_RIN_SCS!Q164*10^6/Input_Inflation!Q$27),4)=0,0,1)</f>
        <v>0</v>
      </c>
      <c r="O94" s="256">
        <f>IF(ROUND(O93-(Output_EB_RIN_SCS!R164*10^6/Input_Inflation!R$27),4)=0,0,1)</f>
        <v>0</v>
      </c>
      <c r="P94" s="256">
        <f>IF(ROUND(P93-(Output_EB_RIN_SCS!S164*10^6/Input_Inflation!S$27),4)=0,0,1)</f>
        <v>0</v>
      </c>
      <c r="Q94" s="256">
        <f>IF(ROUND(Q93-(Output_EB_RIN_SCS!T164*10^6/Input_Inflation!T$27),4)=0,0,1)</f>
        <v>0</v>
      </c>
      <c r="S94" s="256">
        <f>IF(ROUND(S93-(Output_EB_RIN_ACS!N164*10^6/Input_Inflation!N$27),4)=0,0,1)</f>
        <v>0</v>
      </c>
      <c r="T94" s="256">
        <f>IF(ROUND(T93-(Output_EB_RIN_ACS!O164*10^6/Input_Inflation!O$27),4)=0,0,1)</f>
        <v>0</v>
      </c>
      <c r="U94" s="256">
        <f>IF(ROUND(U93-(Output_EB_RIN_ACS!P164*10^6/Input_Inflation!P$27),4)=0,0,1)</f>
        <v>0</v>
      </c>
      <c r="V94" s="256">
        <f>IF(ROUND(V93-(Output_EB_RIN_ACS!Q164*10^6/Input_Inflation!Q$27),4)=0,0,1)</f>
        <v>0</v>
      </c>
      <c r="W94" s="256">
        <f>IF(ROUND(W93-(Output_EB_RIN_ACS!R164*10^6/Input_Inflation!R$27),4)=0,0,1)</f>
        <v>0</v>
      </c>
      <c r="X94" s="256">
        <f>IF(ROUND(X93-(Output_EB_RIN_ACS!S164*10^6/Input_Inflation!S$27),4)=0,0,1)</f>
        <v>0</v>
      </c>
      <c r="Y94" s="256">
        <f>IF(ROUND(Y93-(Output_EB_RIN_ACS!T164*10^6/Input_Inflation!T$27),4)=0,0,1)</f>
        <v>0</v>
      </c>
    </row>
    <row r="95" spans="1:41" outlineLevel="1" x14ac:dyDescent="0.55000000000000004">
      <c r="A95" s="150"/>
    </row>
    <row r="96" spans="1:41" x14ac:dyDescent="0.55000000000000004">
      <c r="A96" s="150"/>
    </row>
    <row r="97" spans="1:41" x14ac:dyDescent="0.55000000000000004">
      <c r="A97" s="150"/>
    </row>
    <row r="98" spans="1:41" ht="18.600000000000001" thickBot="1" x14ac:dyDescent="0.6">
      <c r="A98" s="150"/>
      <c r="B98" s="138" t="s">
        <v>298</v>
      </c>
      <c r="C98" s="138"/>
      <c r="D98" s="138"/>
      <c r="E98" s="138"/>
      <c r="F98" s="138"/>
      <c r="G98" s="138"/>
      <c r="H98" s="138"/>
      <c r="I98" s="138"/>
      <c r="J98" s="138"/>
      <c r="K98" s="138"/>
      <c r="L98" s="138"/>
      <c r="M98" s="138"/>
      <c r="N98" s="138"/>
      <c r="O98" s="138"/>
      <c r="P98" s="138"/>
      <c r="Q98" s="138"/>
      <c r="R98" s="138"/>
      <c r="S98" s="138"/>
      <c r="T98" s="138"/>
      <c r="U98" s="138"/>
      <c r="V98" s="138"/>
      <c r="W98" s="138"/>
      <c r="X98" s="138"/>
      <c r="Y98" s="138"/>
      <c r="AA98" s="131"/>
      <c r="AB98" s="131"/>
      <c r="AC98" s="131"/>
      <c r="AD98" s="131"/>
      <c r="AE98" s="131"/>
      <c r="AF98" s="131"/>
      <c r="AG98" s="131"/>
      <c r="AH98" s="131"/>
      <c r="AI98" s="131"/>
      <c r="AJ98" s="131"/>
      <c r="AK98" s="131"/>
      <c r="AL98" s="131"/>
      <c r="AM98" s="131"/>
      <c r="AN98" s="131"/>
      <c r="AO98" s="131"/>
    </row>
    <row r="99" spans="1:41" ht="20.399999999999999" outlineLevel="2" x14ac:dyDescent="0.75">
      <c r="A99" s="137"/>
      <c r="B99" s="139"/>
      <c r="C99" s="314" t="str">
        <f>C$9</f>
        <v>Network Services</v>
      </c>
      <c r="D99" s="314"/>
      <c r="E99" s="314"/>
      <c r="F99" s="314"/>
      <c r="G99" s="314"/>
      <c r="H99" s="314"/>
      <c r="I99" s="315"/>
      <c r="J99" s="140"/>
      <c r="K99" s="314" t="str">
        <f>K$9</f>
        <v>Standard Control Services</v>
      </c>
      <c r="L99" s="314"/>
      <c r="M99" s="314"/>
      <c r="N99" s="314"/>
      <c r="O99" s="314"/>
      <c r="P99" s="314"/>
      <c r="Q99" s="315"/>
      <c r="R99" s="141"/>
      <c r="S99" s="314" t="str">
        <f>S$9</f>
        <v>Alternative Control Services</v>
      </c>
      <c r="T99" s="314"/>
      <c r="U99" s="314"/>
      <c r="V99" s="314"/>
      <c r="W99" s="314"/>
      <c r="X99" s="314"/>
      <c r="Y99" s="315"/>
      <c r="Z99" s="131"/>
      <c r="AA99" s="131"/>
      <c r="AB99" s="131"/>
      <c r="AC99" s="131"/>
      <c r="AD99" s="131"/>
      <c r="AE99" s="131"/>
      <c r="AF99" s="131"/>
      <c r="AG99" s="131"/>
      <c r="AH99" s="131"/>
      <c r="AI99" s="131"/>
      <c r="AJ99" s="131"/>
      <c r="AK99" s="131"/>
      <c r="AL99" s="131"/>
      <c r="AM99" s="131"/>
      <c r="AN99" s="131"/>
      <c r="AO99" s="131"/>
    </row>
    <row r="100" spans="1:41" s="143" customFormat="1" ht="14.7" outlineLevel="2" thickBot="1" x14ac:dyDescent="0.6">
      <c r="A100" s="137"/>
      <c r="B100" s="142"/>
      <c r="C100" s="316" t="str">
        <f>C$10</f>
        <v>Forecast ($0's, real June 2024)</v>
      </c>
      <c r="D100" s="316"/>
      <c r="E100" s="316"/>
      <c r="F100" s="316"/>
      <c r="G100" s="316"/>
      <c r="H100" s="316"/>
      <c r="I100" s="317"/>
      <c r="J100" s="132"/>
      <c r="K100" s="316" t="str">
        <f>K$10</f>
        <v>Forecast ($0's, real June 2024)</v>
      </c>
      <c r="L100" s="316"/>
      <c r="M100" s="316"/>
      <c r="N100" s="316"/>
      <c r="O100" s="316"/>
      <c r="P100" s="316"/>
      <c r="Q100" s="317"/>
      <c r="R100" s="142"/>
      <c r="S100" s="316" t="str">
        <f>S$10</f>
        <v>Forecast ($0's, real June 2024)</v>
      </c>
      <c r="T100" s="316"/>
      <c r="U100" s="316"/>
      <c r="V100" s="316"/>
      <c r="W100" s="316"/>
      <c r="X100" s="316"/>
      <c r="Y100" s="317"/>
      <c r="Z100" s="142"/>
      <c r="AA100" s="142"/>
      <c r="AB100" s="142"/>
      <c r="AC100" s="142"/>
      <c r="AD100" s="142"/>
      <c r="AE100" s="142"/>
      <c r="AF100" s="142"/>
      <c r="AG100" s="142"/>
      <c r="AH100" s="142"/>
      <c r="AI100" s="142"/>
      <c r="AJ100" s="142"/>
      <c r="AK100" s="142"/>
      <c r="AL100" s="142"/>
      <c r="AM100" s="142"/>
      <c r="AN100" s="142"/>
      <c r="AO100" s="142"/>
    </row>
    <row r="101" spans="1:41" ht="14.7" outlineLevel="2" thickBot="1" x14ac:dyDescent="0.6">
      <c r="A101" s="144"/>
      <c r="B101" s="131"/>
      <c r="C101" s="311" t="str">
        <f t="shared" ref="C101:Y101" si="65">C$11</f>
        <v>2022-23</v>
      </c>
      <c r="D101" s="311" t="str">
        <f t="shared" si="65"/>
        <v>2023-24</v>
      </c>
      <c r="E101" s="311" t="str">
        <f t="shared" si="65"/>
        <v>2024-25</v>
      </c>
      <c r="F101" s="312" t="str">
        <f t="shared" si="65"/>
        <v>2025-26</v>
      </c>
      <c r="G101" s="312" t="str">
        <f t="shared" si="65"/>
        <v>2026-27</v>
      </c>
      <c r="H101" s="312" t="str">
        <f t="shared" si="65"/>
        <v>2027-28</v>
      </c>
      <c r="I101" s="313" t="str">
        <f t="shared" si="65"/>
        <v>2028-29</v>
      </c>
      <c r="K101" s="311" t="str">
        <f t="shared" si="65"/>
        <v>2022-23</v>
      </c>
      <c r="L101" s="311" t="str">
        <f t="shared" si="65"/>
        <v>2023-24</v>
      </c>
      <c r="M101" s="311" t="str">
        <f t="shared" si="65"/>
        <v>2024-25</v>
      </c>
      <c r="N101" s="312" t="str">
        <f t="shared" si="65"/>
        <v>2025-26</v>
      </c>
      <c r="O101" s="312" t="str">
        <f t="shared" si="65"/>
        <v>2026-27</v>
      </c>
      <c r="P101" s="312" t="str">
        <f t="shared" si="65"/>
        <v>2027-28</v>
      </c>
      <c r="Q101" s="313" t="str">
        <f t="shared" si="65"/>
        <v>2028-29</v>
      </c>
      <c r="S101" s="311" t="str">
        <f t="shared" si="65"/>
        <v>2022-23</v>
      </c>
      <c r="T101" s="311" t="str">
        <f t="shared" si="65"/>
        <v>2023-24</v>
      </c>
      <c r="U101" s="311" t="str">
        <f t="shared" si="65"/>
        <v>2024-25</v>
      </c>
      <c r="V101" s="312" t="str">
        <f t="shared" si="65"/>
        <v>2025-26</v>
      </c>
      <c r="W101" s="312" t="str">
        <f t="shared" si="65"/>
        <v>2026-27</v>
      </c>
      <c r="X101" s="312" t="str">
        <f t="shared" si="65"/>
        <v>2027-28</v>
      </c>
      <c r="Y101" s="313" t="str">
        <f t="shared" si="65"/>
        <v>2028-29</v>
      </c>
      <c r="Z101" s="131"/>
      <c r="AA101" s="131"/>
      <c r="AB101" s="131"/>
      <c r="AC101" s="131"/>
      <c r="AD101" s="131"/>
      <c r="AE101" s="131"/>
      <c r="AF101" s="131"/>
      <c r="AG101" s="131"/>
      <c r="AH101" s="131"/>
      <c r="AI101" s="131"/>
      <c r="AJ101" s="131"/>
      <c r="AK101" s="131"/>
      <c r="AL101" s="131"/>
      <c r="AM101" s="131"/>
      <c r="AN101" s="131"/>
      <c r="AO101" s="131"/>
    </row>
    <row r="102" spans="1:41" outlineLevel="2" x14ac:dyDescent="0.55000000000000004">
      <c r="A102" s="150" t="s">
        <v>299</v>
      </c>
      <c r="B102" s="151" t="s">
        <v>300</v>
      </c>
      <c r="C102" s="173">
        <f t="shared" ref="C102" si="66">AVERAGE(C31,C26)</f>
        <v>79871494.559217602</v>
      </c>
      <c r="D102" s="174">
        <f t="shared" ref="D102:I102" si="67">AVERAGE(D31,D26)</f>
        <v>86869979.312111586</v>
      </c>
      <c r="E102" s="173">
        <f t="shared" si="67"/>
        <v>91915642.712577492</v>
      </c>
      <c r="F102" s="302">
        <f t="shared" si="67"/>
        <v>95967991.167935908</v>
      </c>
      <c r="G102" s="302">
        <f t="shared" si="67"/>
        <v>100195441.58157197</v>
      </c>
      <c r="H102" s="302">
        <f t="shared" si="67"/>
        <v>103863639.89999333</v>
      </c>
      <c r="I102" s="174">
        <f t="shared" si="67"/>
        <v>107016176.21272898</v>
      </c>
      <c r="K102" s="152">
        <f t="shared" ref="K102" si="68">AVERAGE(K31,K26)</f>
        <v>102674124.6385169</v>
      </c>
      <c r="L102" s="153">
        <f t="shared" ref="L102:Q102" si="69">AVERAGE(L31,L26)</f>
        <v>109665527.43451619</v>
      </c>
      <c r="M102" s="154">
        <f t="shared" si="69"/>
        <v>114785820.42500503</v>
      </c>
      <c r="N102" s="154">
        <f t="shared" si="69"/>
        <v>118829026.07781497</v>
      </c>
      <c r="O102" s="154">
        <f t="shared" si="69"/>
        <v>123075451.7818162</v>
      </c>
      <c r="P102" s="154">
        <f t="shared" si="69"/>
        <v>126719891.99078056</v>
      </c>
      <c r="Q102" s="153">
        <f t="shared" si="69"/>
        <v>129809811.91863507</v>
      </c>
      <c r="R102" s="131"/>
      <c r="S102" s="152">
        <f t="shared" ref="S102" si="70">AVERAGE(S31,S26)</f>
        <v>0</v>
      </c>
      <c r="T102" s="153">
        <f t="shared" ref="T102:Y102" si="71">AVERAGE(T31,T26)</f>
        <v>0</v>
      </c>
      <c r="U102" s="154">
        <f t="shared" si="71"/>
        <v>0</v>
      </c>
      <c r="V102" s="154">
        <f t="shared" si="71"/>
        <v>0</v>
      </c>
      <c r="W102" s="154">
        <f t="shared" si="71"/>
        <v>0</v>
      </c>
      <c r="X102" s="154">
        <f t="shared" si="71"/>
        <v>0</v>
      </c>
      <c r="Y102" s="153">
        <f t="shared" si="71"/>
        <v>0</v>
      </c>
      <c r="Z102" s="131"/>
      <c r="AA102" s="131"/>
      <c r="AB102" s="131"/>
      <c r="AC102" s="131"/>
      <c r="AD102" s="131"/>
      <c r="AE102" s="131"/>
      <c r="AF102" s="131"/>
      <c r="AG102" s="131"/>
      <c r="AH102" s="131"/>
      <c r="AI102" s="131"/>
      <c r="AJ102" s="131"/>
      <c r="AK102" s="131"/>
      <c r="AL102" s="131"/>
      <c r="AM102" s="131"/>
      <c r="AN102" s="131"/>
      <c r="AO102" s="131"/>
    </row>
    <row r="103" spans="1:41" outlineLevel="2" x14ac:dyDescent="0.55000000000000004">
      <c r="A103" s="150" t="s">
        <v>301</v>
      </c>
      <c r="B103" s="175" t="s">
        <v>302</v>
      </c>
      <c r="C103" s="156">
        <f t="shared" ref="C103" si="72">AVERAGE(C38,C33)</f>
        <v>165450892.7870298</v>
      </c>
      <c r="D103" s="157">
        <f t="shared" ref="D103:I103" si="73">AVERAGE(D38,D33)</f>
        <v>179947999.13157478</v>
      </c>
      <c r="E103" s="156">
        <f t="shared" si="73"/>
        <v>190399907.14853302</v>
      </c>
      <c r="F103" s="158">
        <f t="shared" si="73"/>
        <v>198794199.42418468</v>
      </c>
      <c r="G103" s="158">
        <f t="shared" si="73"/>
        <v>207551209.03078991</v>
      </c>
      <c r="H103" s="158">
        <f t="shared" si="73"/>
        <v>215149748.28502566</v>
      </c>
      <c r="I103" s="157">
        <f t="shared" si="73"/>
        <v>221680112.47019732</v>
      </c>
      <c r="K103" s="156">
        <f t="shared" ref="K103" si="74">AVERAGE(K38,K33)</f>
        <v>212685710.73218936</v>
      </c>
      <c r="L103" s="157">
        <f t="shared" ref="L103:Q103" si="75">AVERAGE(L38,L33)</f>
        <v>227168147.0608874</v>
      </c>
      <c r="M103" s="158">
        <f t="shared" si="75"/>
        <v>237774647.55624825</v>
      </c>
      <c r="N103" s="158">
        <f t="shared" si="75"/>
        <v>246150000.84931824</v>
      </c>
      <c r="O103" s="158">
        <f t="shared" si="75"/>
        <v>254946317.07900769</v>
      </c>
      <c r="P103" s="158">
        <f t="shared" si="75"/>
        <v>262495642.27455723</v>
      </c>
      <c r="Q103" s="157">
        <f t="shared" si="75"/>
        <v>268896298.89836603</v>
      </c>
      <c r="R103" s="131"/>
      <c r="S103" s="156">
        <f t="shared" ref="S103" si="76">AVERAGE(S38,S33)</f>
        <v>0</v>
      </c>
      <c r="T103" s="157">
        <f t="shared" ref="T103:Y103" si="77">AVERAGE(T38,T33)</f>
        <v>0</v>
      </c>
      <c r="U103" s="158">
        <f t="shared" si="77"/>
        <v>0</v>
      </c>
      <c r="V103" s="158">
        <f t="shared" si="77"/>
        <v>0</v>
      </c>
      <c r="W103" s="158">
        <f t="shared" si="77"/>
        <v>0</v>
      </c>
      <c r="X103" s="158">
        <f t="shared" si="77"/>
        <v>0</v>
      </c>
      <c r="Y103" s="157">
        <f t="shared" si="77"/>
        <v>0</v>
      </c>
      <c r="Z103" s="131"/>
      <c r="AA103" s="131"/>
      <c r="AB103" s="131"/>
      <c r="AC103" s="131"/>
      <c r="AD103" s="131"/>
      <c r="AE103" s="131"/>
      <c r="AF103" s="131"/>
      <c r="AG103" s="131"/>
      <c r="AH103" s="131"/>
      <c r="AI103" s="131"/>
      <c r="AJ103" s="131"/>
      <c r="AK103" s="131"/>
      <c r="AL103" s="131"/>
      <c r="AM103" s="131"/>
      <c r="AN103" s="131"/>
      <c r="AO103" s="131"/>
    </row>
    <row r="104" spans="1:41" outlineLevel="2" x14ac:dyDescent="0.55000000000000004">
      <c r="A104" s="150" t="s">
        <v>303</v>
      </c>
      <c r="B104" s="175" t="s">
        <v>304</v>
      </c>
      <c r="C104" s="156">
        <f t="shared" ref="C104" si="78">AVERAGE(C45,C40)</f>
        <v>129454123.46819489</v>
      </c>
      <c r="D104" s="157">
        <f t="shared" ref="D104:I104" si="79">AVERAGE(D45,D40)</f>
        <v>132751509.58370842</v>
      </c>
      <c r="E104" s="156">
        <f t="shared" si="79"/>
        <v>135525596.59283382</v>
      </c>
      <c r="F104" s="158">
        <f t="shared" si="79"/>
        <v>138614162.1289151</v>
      </c>
      <c r="G104" s="158">
        <f t="shared" si="79"/>
        <v>141792305.34526056</v>
      </c>
      <c r="H104" s="158">
        <f t="shared" si="79"/>
        <v>145028414.39469379</v>
      </c>
      <c r="I104" s="157">
        <f t="shared" si="79"/>
        <v>148324692.27152526</v>
      </c>
      <c r="K104" s="156">
        <f t="shared" ref="K104" si="80">AVERAGE(K45,K40)</f>
        <v>168216740.35152465</v>
      </c>
      <c r="L104" s="157">
        <f t="shared" ref="L104:Q104" si="81">AVERAGE(L45,L40)</f>
        <v>170648900.62106493</v>
      </c>
      <c r="M104" s="158">
        <f t="shared" si="81"/>
        <v>172976042.13319257</v>
      </c>
      <c r="N104" s="158">
        <f t="shared" si="81"/>
        <v>175668103.54946885</v>
      </c>
      <c r="O104" s="158">
        <f t="shared" si="81"/>
        <v>178478009.36084598</v>
      </c>
      <c r="P104" s="158">
        <f t="shared" si="81"/>
        <v>181370553.75543973</v>
      </c>
      <c r="Q104" s="157">
        <f t="shared" si="81"/>
        <v>184347609.32802784</v>
      </c>
      <c r="R104" s="131"/>
      <c r="S104" s="156">
        <f t="shared" ref="S104" si="82">AVERAGE(S45,S40)</f>
        <v>0</v>
      </c>
      <c r="T104" s="157">
        <f t="shared" ref="T104:Y104" si="83">AVERAGE(T45,T40)</f>
        <v>0</v>
      </c>
      <c r="U104" s="158">
        <f t="shared" si="83"/>
        <v>0</v>
      </c>
      <c r="V104" s="158">
        <f t="shared" si="83"/>
        <v>0</v>
      </c>
      <c r="W104" s="158">
        <f t="shared" si="83"/>
        <v>0</v>
      </c>
      <c r="X104" s="158">
        <f t="shared" si="83"/>
        <v>0</v>
      </c>
      <c r="Y104" s="157">
        <f t="shared" si="83"/>
        <v>0</v>
      </c>
      <c r="Z104" s="131"/>
      <c r="AA104" s="131"/>
      <c r="AB104" s="131"/>
      <c r="AC104" s="131"/>
      <c r="AD104" s="131"/>
      <c r="AE104" s="131"/>
      <c r="AF104" s="131"/>
      <c r="AG104" s="131"/>
      <c r="AH104" s="131"/>
      <c r="AI104" s="131"/>
      <c r="AJ104" s="131"/>
      <c r="AK104" s="131"/>
      <c r="AL104" s="131"/>
      <c r="AM104" s="131"/>
      <c r="AN104" s="131"/>
      <c r="AO104" s="131"/>
    </row>
    <row r="105" spans="1:41" outlineLevel="2" x14ac:dyDescent="0.55000000000000004">
      <c r="A105" s="150" t="s">
        <v>305</v>
      </c>
      <c r="B105" s="175" t="s">
        <v>306</v>
      </c>
      <c r="C105" s="156">
        <f t="shared" ref="C105:S105" si="84">AVERAGE(C52,C47)</f>
        <v>124497553.3287535</v>
      </c>
      <c r="D105" s="157">
        <f t="shared" ref="D105:I105" si="85">AVERAGE(D52,D47)</f>
        <v>125723298.92469415</v>
      </c>
      <c r="E105" s="156">
        <f t="shared" si="85"/>
        <v>125932505.32678658</v>
      </c>
      <c r="F105" s="158">
        <f t="shared" si="85"/>
        <v>124161087.9954038</v>
      </c>
      <c r="G105" s="158">
        <f t="shared" si="85"/>
        <v>122112643.9879714</v>
      </c>
      <c r="H105" s="158">
        <f t="shared" si="85"/>
        <v>118311444.89809173</v>
      </c>
      <c r="I105" s="157">
        <f t="shared" si="85"/>
        <v>114166796.34974909</v>
      </c>
      <c r="K105" s="156">
        <f t="shared" si="84"/>
        <v>124497553.3287535</v>
      </c>
      <c r="L105" s="157">
        <f t="shared" ref="L105:Q105" si="86">AVERAGE(L52,L47)</f>
        <v>125723298.92469415</v>
      </c>
      <c r="M105" s="158">
        <f t="shared" si="86"/>
        <v>125932505.32678658</v>
      </c>
      <c r="N105" s="158">
        <f t="shared" si="86"/>
        <v>124161087.9954038</v>
      </c>
      <c r="O105" s="158">
        <f t="shared" si="86"/>
        <v>122112643.9879714</v>
      </c>
      <c r="P105" s="158">
        <f t="shared" si="86"/>
        <v>118311444.89809173</v>
      </c>
      <c r="Q105" s="157">
        <f t="shared" si="86"/>
        <v>114166796.34974909</v>
      </c>
      <c r="R105" s="131"/>
      <c r="S105" s="156">
        <f t="shared" si="84"/>
        <v>0</v>
      </c>
      <c r="T105" s="157">
        <f t="shared" ref="T105:Y105" si="87">AVERAGE(T52,T47)</f>
        <v>0</v>
      </c>
      <c r="U105" s="158">
        <f t="shared" si="87"/>
        <v>0</v>
      </c>
      <c r="V105" s="158">
        <f t="shared" si="87"/>
        <v>0</v>
      </c>
      <c r="W105" s="158">
        <f t="shared" si="87"/>
        <v>0</v>
      </c>
      <c r="X105" s="158">
        <f t="shared" si="87"/>
        <v>0</v>
      </c>
      <c r="Y105" s="157">
        <f t="shared" si="87"/>
        <v>0</v>
      </c>
      <c r="Z105" s="131"/>
      <c r="AA105" s="131"/>
      <c r="AB105" s="131"/>
      <c r="AC105" s="131"/>
      <c r="AD105" s="131"/>
      <c r="AE105" s="131"/>
      <c r="AF105" s="131"/>
      <c r="AG105" s="131"/>
      <c r="AH105" s="131"/>
      <c r="AI105" s="131"/>
      <c r="AJ105" s="131"/>
      <c r="AK105" s="131"/>
      <c r="AL105" s="131"/>
      <c r="AM105" s="131"/>
      <c r="AN105" s="131"/>
      <c r="AO105" s="131"/>
    </row>
    <row r="106" spans="1:41" outlineLevel="2" x14ac:dyDescent="0.55000000000000004">
      <c r="A106" s="150" t="s">
        <v>307</v>
      </c>
      <c r="B106" s="175" t="s">
        <v>308</v>
      </c>
      <c r="C106" s="156">
        <f t="shared" ref="C106" si="88">AVERAGE(C59,C54)</f>
        <v>62296826.066187203</v>
      </c>
      <c r="D106" s="157">
        <f t="shared" ref="D106:I106" si="89">AVERAGE(D59,D54)</f>
        <v>62910171.936447576</v>
      </c>
      <c r="E106" s="156">
        <f t="shared" si="89"/>
        <v>63014855.879983962</v>
      </c>
      <c r="F106" s="158">
        <f t="shared" si="89"/>
        <v>62128463.541876085</v>
      </c>
      <c r="G106" s="158">
        <f t="shared" si="89"/>
        <v>61103450.948252141</v>
      </c>
      <c r="H106" s="158">
        <f t="shared" si="89"/>
        <v>59201384.34361878</v>
      </c>
      <c r="I106" s="157">
        <f t="shared" si="89"/>
        <v>57127460.456618637</v>
      </c>
      <c r="K106" s="156">
        <f t="shared" ref="K106" si="90">AVERAGE(K59,K54)</f>
        <v>62296826.066187203</v>
      </c>
      <c r="L106" s="157">
        <f t="shared" ref="L106:Q106" si="91">AVERAGE(L59,L54)</f>
        <v>62910171.936447576</v>
      </c>
      <c r="M106" s="158">
        <f t="shared" si="91"/>
        <v>63014855.879983962</v>
      </c>
      <c r="N106" s="158">
        <f t="shared" si="91"/>
        <v>62128463.541876085</v>
      </c>
      <c r="O106" s="158">
        <f t="shared" si="91"/>
        <v>61103450.948252141</v>
      </c>
      <c r="P106" s="158">
        <f t="shared" si="91"/>
        <v>59201384.34361878</v>
      </c>
      <c r="Q106" s="157">
        <f t="shared" si="91"/>
        <v>57127460.456618637</v>
      </c>
      <c r="R106" s="131"/>
      <c r="S106" s="156">
        <f t="shared" ref="S106" si="92">AVERAGE(S59,S54)</f>
        <v>0</v>
      </c>
      <c r="T106" s="157">
        <f t="shared" ref="T106:Y106" si="93">AVERAGE(T59,T54)</f>
        <v>0</v>
      </c>
      <c r="U106" s="158">
        <f t="shared" si="93"/>
        <v>0</v>
      </c>
      <c r="V106" s="158">
        <f t="shared" si="93"/>
        <v>0</v>
      </c>
      <c r="W106" s="158">
        <f t="shared" si="93"/>
        <v>0</v>
      </c>
      <c r="X106" s="158">
        <f t="shared" si="93"/>
        <v>0</v>
      </c>
      <c r="Y106" s="157">
        <f t="shared" si="93"/>
        <v>0</v>
      </c>
      <c r="Z106" s="131"/>
      <c r="AA106" s="131"/>
      <c r="AB106" s="131"/>
      <c r="AC106" s="131"/>
      <c r="AD106" s="131"/>
      <c r="AE106" s="131"/>
      <c r="AF106" s="131"/>
      <c r="AG106" s="131"/>
      <c r="AH106" s="131"/>
      <c r="AI106" s="131"/>
      <c r="AJ106" s="131"/>
      <c r="AK106" s="131"/>
      <c r="AL106" s="131"/>
      <c r="AM106" s="131"/>
      <c r="AN106" s="131"/>
      <c r="AO106" s="131"/>
    </row>
    <row r="107" spans="1:41" outlineLevel="2" x14ac:dyDescent="0.55000000000000004">
      <c r="A107" s="150" t="s">
        <v>309</v>
      </c>
      <c r="B107" s="175" t="s">
        <v>179</v>
      </c>
      <c r="C107" s="156">
        <f t="shared" ref="C107" si="94">AVERAGE(C66,C61)</f>
        <v>361765071.93888688</v>
      </c>
      <c r="D107" s="157">
        <f t="shared" ref="D107:I107" si="95">AVERAGE(D66,D61)</f>
        <v>369872922.43669009</v>
      </c>
      <c r="E107" s="156">
        <f t="shared" si="95"/>
        <v>380894166.04492259</v>
      </c>
      <c r="F107" s="158">
        <f t="shared" si="95"/>
        <v>385246596.49129301</v>
      </c>
      <c r="G107" s="158">
        <f t="shared" si="95"/>
        <v>376923263.54929662</v>
      </c>
      <c r="H107" s="158">
        <f t="shared" si="95"/>
        <v>360169376.28818309</v>
      </c>
      <c r="I107" s="157">
        <f t="shared" si="95"/>
        <v>340832442.54338449</v>
      </c>
      <c r="K107" s="156">
        <f t="shared" ref="K107" si="96">AVERAGE(K66,K61)</f>
        <v>361765071.93888688</v>
      </c>
      <c r="L107" s="157">
        <f t="shared" ref="L107:Q107" si="97">AVERAGE(L66,L61)</f>
        <v>369872922.43669009</v>
      </c>
      <c r="M107" s="158">
        <f t="shared" si="97"/>
        <v>380894166.04492259</v>
      </c>
      <c r="N107" s="158">
        <f t="shared" si="97"/>
        <v>385246596.49129301</v>
      </c>
      <c r="O107" s="158">
        <f t="shared" si="97"/>
        <v>376923263.54929662</v>
      </c>
      <c r="P107" s="158">
        <f t="shared" si="97"/>
        <v>360169376.28818309</v>
      </c>
      <c r="Q107" s="157">
        <f t="shared" si="97"/>
        <v>340832442.54338449</v>
      </c>
      <c r="R107" s="131"/>
      <c r="S107" s="156">
        <f t="shared" ref="S107" si="98">AVERAGE(S66,S61)</f>
        <v>0</v>
      </c>
      <c r="T107" s="157">
        <f t="shared" ref="T107:Y107" si="99">AVERAGE(T66,T61)</f>
        <v>0</v>
      </c>
      <c r="U107" s="158">
        <f t="shared" si="99"/>
        <v>0</v>
      </c>
      <c r="V107" s="158">
        <f t="shared" si="99"/>
        <v>0</v>
      </c>
      <c r="W107" s="158">
        <f t="shared" si="99"/>
        <v>0</v>
      </c>
      <c r="X107" s="158">
        <f t="shared" si="99"/>
        <v>0</v>
      </c>
      <c r="Y107" s="157">
        <f t="shared" si="99"/>
        <v>0</v>
      </c>
      <c r="Z107" s="131"/>
      <c r="AA107" s="131"/>
      <c r="AB107" s="131"/>
      <c r="AC107" s="131"/>
      <c r="AD107" s="131"/>
      <c r="AE107" s="131"/>
      <c r="AF107" s="131"/>
      <c r="AG107" s="131"/>
      <c r="AH107" s="131"/>
      <c r="AI107" s="131"/>
      <c r="AJ107" s="131"/>
      <c r="AK107" s="131"/>
      <c r="AL107" s="131"/>
      <c r="AM107" s="131"/>
      <c r="AN107" s="131"/>
      <c r="AO107" s="131"/>
    </row>
    <row r="108" spans="1:41" outlineLevel="2" x14ac:dyDescent="0.55000000000000004">
      <c r="A108" s="150" t="s">
        <v>310</v>
      </c>
      <c r="B108" s="175" t="s">
        <v>311</v>
      </c>
      <c r="C108" s="170">
        <f t="shared" ref="C108" si="100">AVERAGE(C72,C68)</f>
        <v>53035916.877909049</v>
      </c>
      <c r="D108" s="171">
        <f t="shared" ref="D108:I108" si="101">AVERAGE(D72,D68)</f>
        <v>53927394.349580586</v>
      </c>
      <c r="E108" s="170">
        <f t="shared" si="101"/>
        <v>54467698.754686087</v>
      </c>
      <c r="F108" s="172">
        <f t="shared" si="101"/>
        <v>54467698.754686087</v>
      </c>
      <c r="G108" s="172">
        <f t="shared" si="101"/>
        <v>54467698.754686087</v>
      </c>
      <c r="H108" s="172">
        <f t="shared" si="101"/>
        <v>54467698.754686102</v>
      </c>
      <c r="I108" s="171">
        <f t="shared" si="101"/>
        <v>54467698.754686102</v>
      </c>
      <c r="K108" s="170">
        <f t="shared" ref="K108" si="102">AVERAGE(K72,K68)</f>
        <v>53035916.877909049</v>
      </c>
      <c r="L108" s="171">
        <f t="shared" ref="L108:Q108" si="103">AVERAGE(L72,L68)</f>
        <v>53927394.349580586</v>
      </c>
      <c r="M108" s="172">
        <f t="shared" si="103"/>
        <v>54467698.754686087</v>
      </c>
      <c r="N108" s="172">
        <f t="shared" si="103"/>
        <v>54467698.754686087</v>
      </c>
      <c r="O108" s="172">
        <f t="shared" si="103"/>
        <v>54467698.754686087</v>
      </c>
      <c r="P108" s="172">
        <f t="shared" si="103"/>
        <v>54467698.754686102</v>
      </c>
      <c r="Q108" s="171">
        <f t="shared" si="103"/>
        <v>54467698.754686102</v>
      </c>
      <c r="R108" s="131"/>
      <c r="S108" s="170">
        <f t="shared" ref="S108" si="104">AVERAGE(S72,S68)</f>
        <v>0</v>
      </c>
      <c r="T108" s="171">
        <f t="shared" ref="T108:Y108" si="105">AVERAGE(T72,T68)</f>
        <v>0</v>
      </c>
      <c r="U108" s="172">
        <f t="shared" si="105"/>
        <v>0</v>
      </c>
      <c r="V108" s="172">
        <f t="shared" si="105"/>
        <v>0</v>
      </c>
      <c r="W108" s="172">
        <f t="shared" si="105"/>
        <v>0</v>
      </c>
      <c r="X108" s="172">
        <f t="shared" si="105"/>
        <v>0</v>
      </c>
      <c r="Y108" s="171">
        <f t="shared" si="105"/>
        <v>0</v>
      </c>
      <c r="Z108" s="131"/>
      <c r="AA108" s="131"/>
      <c r="AB108" s="131"/>
      <c r="AC108" s="131"/>
      <c r="AD108" s="131"/>
      <c r="AE108" s="131"/>
      <c r="AF108" s="131"/>
      <c r="AG108" s="131"/>
      <c r="AH108" s="131"/>
      <c r="AI108" s="131"/>
      <c r="AJ108" s="131"/>
      <c r="AK108" s="131"/>
      <c r="AL108" s="131"/>
      <c r="AM108" s="131"/>
      <c r="AN108" s="131"/>
      <c r="AO108" s="131"/>
    </row>
    <row r="109" spans="1:41" outlineLevel="2" x14ac:dyDescent="0.55000000000000004">
      <c r="A109" s="150" t="s">
        <v>312</v>
      </c>
      <c r="B109" s="175" t="s">
        <v>122</v>
      </c>
      <c r="C109" s="156">
        <f t="shared" ref="C109" si="106">AVERAGE(C79,C74)</f>
        <v>0</v>
      </c>
      <c r="D109" s="157">
        <f t="shared" ref="D109:I109" si="107">AVERAGE(D79,D74)</f>
        <v>0</v>
      </c>
      <c r="E109" s="156">
        <f t="shared" si="107"/>
        <v>0</v>
      </c>
      <c r="F109" s="158">
        <f t="shared" si="107"/>
        <v>0</v>
      </c>
      <c r="G109" s="158">
        <f t="shared" si="107"/>
        <v>0</v>
      </c>
      <c r="H109" s="158">
        <f t="shared" si="107"/>
        <v>0</v>
      </c>
      <c r="I109" s="157">
        <f t="shared" si="107"/>
        <v>0</v>
      </c>
      <c r="K109" s="156">
        <f t="shared" ref="K109" si="108">AVERAGE(K79,K74)</f>
        <v>0</v>
      </c>
      <c r="L109" s="157">
        <f t="shared" ref="L109:Q109" si="109">AVERAGE(L79,L74)</f>
        <v>0</v>
      </c>
      <c r="M109" s="158">
        <f t="shared" si="109"/>
        <v>0</v>
      </c>
      <c r="N109" s="158">
        <f t="shared" si="109"/>
        <v>0</v>
      </c>
      <c r="O109" s="158">
        <f t="shared" si="109"/>
        <v>0</v>
      </c>
      <c r="P109" s="158">
        <f t="shared" si="109"/>
        <v>0</v>
      </c>
      <c r="Q109" s="157">
        <f t="shared" si="109"/>
        <v>0</v>
      </c>
      <c r="R109" s="131"/>
      <c r="S109" s="156">
        <f t="shared" ref="S109" si="110">AVERAGE(S79,S74)</f>
        <v>23930115.161178969</v>
      </c>
      <c r="T109" s="157">
        <f t="shared" ref="T109:Y109" si="111">AVERAGE(T79,T74)</f>
        <v>36060506.445160091</v>
      </c>
      <c r="U109" s="158">
        <f t="shared" si="111"/>
        <v>44356288.218551934</v>
      </c>
      <c r="V109" s="158">
        <f t="shared" si="111"/>
        <v>46042826.965926632</v>
      </c>
      <c r="W109" s="158">
        <f t="shared" si="111"/>
        <v>48745418.444715157</v>
      </c>
      <c r="X109" s="158">
        <f t="shared" si="111"/>
        <v>52975596.378399655</v>
      </c>
      <c r="Y109" s="157">
        <f t="shared" si="111"/>
        <v>57711060.698457062</v>
      </c>
      <c r="Z109" s="131"/>
      <c r="AA109" s="131"/>
      <c r="AB109" s="131"/>
      <c r="AC109" s="131"/>
      <c r="AD109" s="131"/>
      <c r="AE109" s="131"/>
      <c r="AF109" s="131"/>
      <c r="AG109" s="131"/>
      <c r="AH109" s="131"/>
      <c r="AI109" s="131"/>
      <c r="AJ109" s="131"/>
      <c r="AK109" s="131"/>
      <c r="AL109" s="131"/>
      <c r="AM109" s="131"/>
      <c r="AN109" s="131"/>
      <c r="AO109" s="131"/>
    </row>
    <row r="110" spans="1:41" outlineLevel="2" x14ac:dyDescent="0.55000000000000004">
      <c r="A110" s="150" t="s">
        <v>313</v>
      </c>
      <c r="B110" s="175" t="s">
        <v>314</v>
      </c>
      <c r="C110" s="156">
        <f t="shared" ref="C110" si="112">AVERAGE(C86,C81)</f>
        <v>48506038.696234226</v>
      </c>
      <c r="D110" s="157">
        <f t="shared" ref="D110:I110" si="113">AVERAGE(D86,D81)</f>
        <v>71715266.642274842</v>
      </c>
      <c r="E110" s="156">
        <f t="shared" si="113"/>
        <v>91144099.029800385</v>
      </c>
      <c r="F110" s="158">
        <f t="shared" si="113"/>
        <v>107365775.21678735</v>
      </c>
      <c r="G110" s="158">
        <f t="shared" si="113"/>
        <v>124097426.96461521</v>
      </c>
      <c r="H110" s="158">
        <f t="shared" si="113"/>
        <v>160420758.50141668</v>
      </c>
      <c r="I110" s="157">
        <f t="shared" si="113"/>
        <v>229704246.60771173</v>
      </c>
      <c r="K110" s="156">
        <f t="shared" ref="K110" si="114">AVERAGE(K86,K81)</f>
        <v>48506038.696234226</v>
      </c>
      <c r="L110" s="157">
        <f t="shared" ref="L110:Q110" si="115">AVERAGE(L86,L81)</f>
        <v>71715266.642274842</v>
      </c>
      <c r="M110" s="158">
        <f t="shared" si="115"/>
        <v>91144099.029800385</v>
      </c>
      <c r="N110" s="158">
        <f t="shared" si="115"/>
        <v>107365775.21678735</v>
      </c>
      <c r="O110" s="158">
        <f t="shared" si="115"/>
        <v>124097426.96461521</v>
      </c>
      <c r="P110" s="158">
        <f t="shared" si="115"/>
        <v>160420758.50141668</v>
      </c>
      <c r="Q110" s="157">
        <f t="shared" si="115"/>
        <v>229704246.60771173</v>
      </c>
      <c r="R110" s="131"/>
      <c r="S110" s="156">
        <f t="shared" ref="S110" si="116">AVERAGE(S86,S81)</f>
        <v>1520421.9845085246</v>
      </c>
      <c r="T110" s="157">
        <f t="shared" ref="T110:Y110" si="117">AVERAGE(T86,T81)</f>
        <v>2291137.6064197589</v>
      </c>
      <c r="U110" s="158">
        <f t="shared" si="117"/>
        <v>2818217.7688843291</v>
      </c>
      <c r="V110" s="158">
        <f t="shared" si="117"/>
        <v>2925373.5670057628</v>
      </c>
      <c r="W110" s="158">
        <f t="shared" si="117"/>
        <v>3097085.2145184958</v>
      </c>
      <c r="X110" s="158">
        <f t="shared" si="117"/>
        <v>3365853.4793361528</v>
      </c>
      <c r="Y110" s="157">
        <f t="shared" si="117"/>
        <v>3666725.5817300072</v>
      </c>
      <c r="Z110" s="131"/>
      <c r="AA110" s="131"/>
      <c r="AB110" s="131"/>
      <c r="AC110" s="131"/>
      <c r="AD110" s="131"/>
      <c r="AE110" s="131"/>
      <c r="AF110" s="131"/>
      <c r="AG110" s="131"/>
      <c r="AH110" s="131"/>
      <c r="AI110" s="131"/>
      <c r="AJ110" s="131"/>
      <c r="AK110" s="131"/>
      <c r="AL110" s="131"/>
      <c r="AM110" s="131"/>
      <c r="AN110" s="131"/>
      <c r="AO110" s="131"/>
    </row>
    <row r="111" spans="1:41" outlineLevel="2" x14ac:dyDescent="0.55000000000000004">
      <c r="A111" s="150" t="s">
        <v>315</v>
      </c>
      <c r="B111" s="175" t="s">
        <v>316</v>
      </c>
      <c r="C111" s="176">
        <f t="shared" ref="C111" si="118">AVERAGE(C93,C88)</f>
        <v>36946406.093729056</v>
      </c>
      <c r="D111" s="177">
        <f t="shared" ref="D111:I111" si="119">AVERAGE(D93,D88)</f>
        <v>36726039.542023212</v>
      </c>
      <c r="E111" s="176">
        <f t="shared" si="119"/>
        <v>37179166.83061479</v>
      </c>
      <c r="F111" s="178">
        <f t="shared" si="119"/>
        <v>37544689.520447701</v>
      </c>
      <c r="G111" s="178">
        <f t="shared" si="119"/>
        <v>42838854.723956332</v>
      </c>
      <c r="H111" s="178">
        <f t="shared" si="119"/>
        <v>46808864.226254731</v>
      </c>
      <c r="I111" s="177">
        <f t="shared" si="119"/>
        <v>45648545.20516219</v>
      </c>
      <c r="K111" s="176">
        <f t="shared" ref="K111" si="120">AVERAGE(K93,K88)</f>
        <v>36946406.093729056</v>
      </c>
      <c r="L111" s="177">
        <f t="shared" ref="L111:Q111" si="121">AVERAGE(L93,L88)</f>
        <v>36726039.542023212</v>
      </c>
      <c r="M111" s="178">
        <f t="shared" si="121"/>
        <v>37179166.83061479</v>
      </c>
      <c r="N111" s="178">
        <f t="shared" si="121"/>
        <v>37544689.520447701</v>
      </c>
      <c r="O111" s="178">
        <f t="shared" si="121"/>
        <v>42838854.723956332</v>
      </c>
      <c r="P111" s="178">
        <f t="shared" si="121"/>
        <v>46808864.226254731</v>
      </c>
      <c r="Q111" s="177">
        <f t="shared" si="121"/>
        <v>45648545.20516219</v>
      </c>
      <c r="R111" s="131"/>
      <c r="S111" s="176">
        <f t="shared" ref="S111" si="122">AVERAGE(S93,S88)</f>
        <v>1662676.4587628366</v>
      </c>
      <c r="T111" s="177">
        <f t="shared" ref="T111:Y111" si="123">AVERAGE(T93,T88)</f>
        <v>2505502.1571605061</v>
      </c>
      <c r="U111" s="178">
        <f t="shared" si="123"/>
        <v>3081897.254666293</v>
      </c>
      <c r="V111" s="178">
        <f t="shared" si="123"/>
        <v>3199078.8166088099</v>
      </c>
      <c r="W111" s="178">
        <f t="shared" si="123"/>
        <v>3386856.2342755841</v>
      </c>
      <c r="X111" s="178">
        <f t="shared" si="123"/>
        <v>3680771.1285141762</v>
      </c>
      <c r="Y111" s="177">
        <f t="shared" si="123"/>
        <v>4009793.575470211</v>
      </c>
      <c r="Z111" s="131"/>
      <c r="AA111" s="131"/>
      <c r="AB111" s="131"/>
      <c r="AC111" s="131"/>
      <c r="AD111" s="131"/>
      <c r="AE111" s="131"/>
      <c r="AF111" s="131"/>
      <c r="AG111" s="131"/>
      <c r="AH111" s="131"/>
      <c r="AI111" s="131"/>
      <c r="AJ111" s="131"/>
      <c r="AK111" s="131"/>
      <c r="AL111" s="131"/>
      <c r="AM111" s="131"/>
      <c r="AN111" s="131"/>
      <c r="AO111" s="131"/>
    </row>
    <row r="112" spans="1:41" ht="14.7" outlineLevel="2" thickBot="1" x14ac:dyDescent="0.6">
      <c r="A112" s="150" t="s">
        <v>317</v>
      </c>
      <c r="B112" s="179" t="s">
        <v>318</v>
      </c>
      <c r="C112" s="180">
        <v>0</v>
      </c>
      <c r="D112" s="181">
        <v>0</v>
      </c>
      <c r="E112" s="180">
        <v>0</v>
      </c>
      <c r="F112" s="183">
        <v>0</v>
      </c>
      <c r="G112" s="183">
        <v>0</v>
      </c>
      <c r="H112" s="183">
        <v>0</v>
      </c>
      <c r="I112" s="181">
        <v>0</v>
      </c>
      <c r="J112" s="182"/>
      <c r="K112" s="180">
        <f>Input_RAB_SCS!N269*10^6/Input_Inflation!N$27</f>
        <v>-6415341.617651633</v>
      </c>
      <c r="L112" s="181">
        <f>Input_RAB_SCS!O269*10^6/Input_Inflation!O$27</f>
        <v>-14039473.671079667</v>
      </c>
      <c r="M112" s="183">
        <f>Input_RAB_SCS!P269*10^6/Input_Inflation!P$27</f>
        <v>-4830604.7236713273</v>
      </c>
      <c r="N112" s="183">
        <f>Input_RAB_SCS!Q269*10^6/Input_Inflation!Q$27</f>
        <v>-243726.99101115938</v>
      </c>
      <c r="O112" s="183">
        <f>Input_RAB_SCS!R269*10^6/Input_Inflation!R$27</f>
        <v>-239129.56606432417</v>
      </c>
      <c r="P112" s="183">
        <f>Input_RAB_SCS!S269*10^6/Input_Inflation!S$27</f>
        <v>-234194.83054661637</v>
      </c>
      <c r="Q112" s="181">
        <f>Input_RAB_SCS!T269*10^6/Input_Inflation!T$27</f>
        <v>-229866.14077328573</v>
      </c>
      <c r="R112" s="184"/>
      <c r="S112" s="180">
        <f>Input_RAB_ACS!N197*10^6/Input_Inflation!N$27</f>
        <v>0</v>
      </c>
      <c r="T112" s="181">
        <f>Input_RAB_ACS!O197*10^6/Input_Inflation!O$27</f>
        <v>0</v>
      </c>
      <c r="U112" s="183">
        <f>Input_RAB_ACS!P197*10^6/Input_Inflation!P$27</f>
        <v>0</v>
      </c>
      <c r="V112" s="183">
        <f>Input_RAB_ACS!Q197*10^6/Input_Inflation!Q$27</f>
        <v>0</v>
      </c>
      <c r="W112" s="183">
        <f>Input_RAB_ACS!R197*10^6/Input_Inflation!R$27</f>
        <v>0</v>
      </c>
      <c r="X112" s="183">
        <f>Input_RAB_ACS!S197*10^6/Input_Inflation!S$27</f>
        <v>0</v>
      </c>
      <c r="Y112" s="181">
        <f>Input_RAB_ACS!T197*10^6/Input_Inflation!T$27</f>
        <v>0</v>
      </c>
      <c r="Z112" s="131"/>
      <c r="AA112" s="131"/>
      <c r="AB112" s="131"/>
      <c r="AC112" s="131"/>
      <c r="AD112" s="131"/>
      <c r="AE112" s="131"/>
      <c r="AF112" s="131"/>
      <c r="AG112" s="131"/>
      <c r="AH112" s="131"/>
      <c r="AI112" s="131"/>
      <c r="AJ112" s="131"/>
      <c r="AK112" s="131"/>
      <c r="AL112" s="131"/>
      <c r="AM112" s="131"/>
      <c r="AN112" s="131"/>
      <c r="AO112" s="131"/>
    </row>
    <row r="113" spans="1:41" x14ac:dyDescent="0.55000000000000004">
      <c r="A113" s="150"/>
      <c r="S113" s="185"/>
      <c r="T113" s="185"/>
      <c r="U113" s="185"/>
      <c r="V113" s="185"/>
      <c r="W113" s="185"/>
      <c r="X113" s="185"/>
      <c r="Y113" s="185"/>
      <c r="Z113" s="131"/>
      <c r="AA113" s="131"/>
      <c r="AB113" s="131"/>
      <c r="AC113" s="131"/>
      <c r="AD113" s="131"/>
      <c r="AE113" s="131"/>
      <c r="AF113" s="131"/>
      <c r="AG113" s="131"/>
      <c r="AH113" s="131"/>
      <c r="AI113" s="131"/>
      <c r="AJ113" s="131"/>
      <c r="AK113" s="131"/>
      <c r="AL113" s="131"/>
      <c r="AM113" s="131"/>
      <c r="AN113" s="131"/>
      <c r="AO113" s="131"/>
    </row>
    <row r="114" spans="1:41" x14ac:dyDescent="0.55000000000000004">
      <c r="A114" s="150"/>
      <c r="C114" s="185"/>
      <c r="D114" s="185"/>
      <c r="E114" s="185"/>
      <c r="F114" s="185"/>
      <c r="G114" s="185"/>
      <c r="H114" s="185"/>
      <c r="I114" s="185"/>
      <c r="K114" s="185"/>
      <c r="L114" s="185"/>
      <c r="M114" s="185"/>
      <c r="N114" s="185"/>
      <c r="O114" s="185"/>
      <c r="P114" s="185"/>
      <c r="Q114" s="185"/>
      <c r="R114" s="131"/>
      <c r="S114" s="185"/>
      <c r="T114" s="185"/>
      <c r="U114" s="185"/>
      <c r="V114" s="185"/>
      <c r="W114" s="185"/>
      <c r="X114" s="185"/>
      <c r="Y114" s="185"/>
      <c r="Z114" s="131"/>
      <c r="AA114" s="131"/>
      <c r="AB114" s="131"/>
      <c r="AC114" s="131"/>
      <c r="AD114" s="131"/>
      <c r="AE114" s="131"/>
      <c r="AF114" s="131"/>
      <c r="AG114" s="131"/>
      <c r="AH114" s="131"/>
      <c r="AI114" s="131"/>
      <c r="AJ114" s="131"/>
      <c r="AK114" s="131"/>
      <c r="AL114" s="131"/>
      <c r="AM114" s="131"/>
      <c r="AN114" s="131"/>
      <c r="AO114" s="131"/>
    </row>
    <row r="115" spans="1:41" ht="18.600000000000001" thickBot="1" x14ac:dyDescent="0.6">
      <c r="A115" s="150"/>
      <c r="B115" s="138" t="s">
        <v>319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AA115" s="131"/>
      <c r="AB115" s="131"/>
      <c r="AC115" s="131"/>
      <c r="AD115" s="131"/>
      <c r="AE115" s="131"/>
      <c r="AF115" s="131"/>
      <c r="AG115" s="131"/>
      <c r="AH115" s="131"/>
      <c r="AI115" s="131"/>
      <c r="AJ115" s="131"/>
      <c r="AK115" s="131"/>
      <c r="AL115" s="131"/>
      <c r="AM115" s="131"/>
      <c r="AN115" s="131"/>
      <c r="AO115" s="131"/>
    </row>
    <row r="116" spans="1:41" ht="21.75" customHeight="1" outlineLevel="1" x14ac:dyDescent="0.55000000000000004">
      <c r="A116" s="150"/>
      <c r="C116" s="329" t="str">
        <f>C$9</f>
        <v>Network Services</v>
      </c>
      <c r="D116" s="329"/>
      <c r="E116" s="329"/>
      <c r="F116" s="329"/>
      <c r="G116" s="329"/>
      <c r="H116" s="329"/>
      <c r="I116" s="330"/>
      <c r="K116" s="329" t="str">
        <f>K$9</f>
        <v>Standard Control Services</v>
      </c>
      <c r="L116" s="329"/>
      <c r="M116" s="329"/>
      <c r="N116" s="329"/>
      <c r="O116" s="329"/>
      <c r="P116" s="329"/>
      <c r="Q116" s="330"/>
      <c r="S116" s="329" t="str">
        <f>S$9</f>
        <v>Alternative Control Services</v>
      </c>
      <c r="T116" s="329"/>
      <c r="U116" s="329"/>
      <c r="V116" s="329"/>
      <c r="W116" s="329"/>
      <c r="X116" s="329"/>
      <c r="Y116" s="330"/>
      <c r="Z116" s="131"/>
      <c r="AA116" s="131"/>
      <c r="AB116" s="131"/>
      <c r="AC116" s="131"/>
      <c r="AD116" s="131"/>
      <c r="AE116" s="131"/>
      <c r="AF116" s="131"/>
      <c r="AG116" s="131"/>
      <c r="AH116" s="131"/>
      <c r="AI116" s="131"/>
      <c r="AJ116" s="131"/>
      <c r="AK116" s="131"/>
      <c r="AL116" s="131"/>
      <c r="AM116" s="131"/>
      <c r="AN116" s="131"/>
      <c r="AO116" s="131"/>
    </row>
    <row r="117" spans="1:41" ht="21.75" customHeight="1" outlineLevel="1" thickBot="1" x14ac:dyDescent="0.6">
      <c r="A117" s="150"/>
      <c r="C117" s="331" t="s">
        <v>204</v>
      </c>
      <c r="D117" s="331"/>
      <c r="E117" s="331"/>
      <c r="F117" s="331"/>
      <c r="G117" s="331"/>
      <c r="H117" s="331"/>
      <c r="I117" s="332"/>
      <c r="K117" s="331" t="s">
        <v>204</v>
      </c>
      <c r="L117" s="331"/>
      <c r="M117" s="331"/>
      <c r="N117" s="331"/>
      <c r="O117" s="331"/>
      <c r="P117" s="331"/>
      <c r="Q117" s="332"/>
      <c r="S117" s="331" t="s">
        <v>204</v>
      </c>
      <c r="T117" s="331"/>
      <c r="U117" s="331"/>
      <c r="V117" s="331"/>
      <c r="W117" s="331"/>
      <c r="X117" s="331"/>
      <c r="Y117" s="332"/>
      <c r="Z117" s="131"/>
      <c r="AA117" s="131"/>
      <c r="AB117" s="131"/>
      <c r="AC117" s="131"/>
      <c r="AD117" s="131"/>
      <c r="AE117" s="131"/>
      <c r="AF117" s="131"/>
      <c r="AG117" s="131"/>
      <c r="AH117" s="131"/>
      <c r="AI117" s="131"/>
      <c r="AJ117" s="131"/>
      <c r="AK117" s="131"/>
      <c r="AL117" s="131"/>
      <c r="AM117" s="131"/>
      <c r="AN117" s="131"/>
      <c r="AO117" s="131"/>
    </row>
    <row r="118" spans="1:41" ht="21.75" customHeight="1" outlineLevel="1" thickBot="1" x14ac:dyDescent="0.6">
      <c r="A118" s="150"/>
      <c r="C118" s="308" t="str">
        <f t="shared" ref="C118:Y118" si="124">C$11</f>
        <v>2022-23</v>
      </c>
      <c r="D118" s="308" t="str">
        <f t="shared" si="124"/>
        <v>2023-24</v>
      </c>
      <c r="E118" s="308" t="str">
        <f t="shared" si="124"/>
        <v>2024-25</v>
      </c>
      <c r="F118" s="309" t="str">
        <f t="shared" si="124"/>
        <v>2025-26</v>
      </c>
      <c r="G118" s="309" t="str">
        <f t="shared" si="124"/>
        <v>2026-27</v>
      </c>
      <c r="H118" s="309" t="str">
        <f t="shared" si="124"/>
        <v>2027-28</v>
      </c>
      <c r="I118" s="310" t="str">
        <f t="shared" si="124"/>
        <v>2028-29</v>
      </c>
      <c r="K118" s="308" t="str">
        <f t="shared" si="124"/>
        <v>2022-23</v>
      </c>
      <c r="L118" s="308" t="str">
        <f t="shared" si="124"/>
        <v>2023-24</v>
      </c>
      <c r="M118" s="308" t="str">
        <f t="shared" si="124"/>
        <v>2024-25</v>
      </c>
      <c r="N118" s="309" t="str">
        <f t="shared" si="124"/>
        <v>2025-26</v>
      </c>
      <c r="O118" s="309" t="str">
        <f t="shared" si="124"/>
        <v>2026-27</v>
      </c>
      <c r="P118" s="309" t="str">
        <f t="shared" si="124"/>
        <v>2027-28</v>
      </c>
      <c r="Q118" s="310" t="str">
        <f t="shared" si="124"/>
        <v>2028-29</v>
      </c>
      <c r="S118" s="308" t="str">
        <f t="shared" si="124"/>
        <v>2022-23</v>
      </c>
      <c r="T118" s="308" t="str">
        <f t="shared" si="124"/>
        <v>2023-24</v>
      </c>
      <c r="U118" s="308" t="str">
        <f t="shared" si="124"/>
        <v>2024-25</v>
      </c>
      <c r="V118" s="309" t="str">
        <f t="shared" si="124"/>
        <v>2025-26</v>
      </c>
      <c r="W118" s="309" t="str">
        <f t="shared" si="124"/>
        <v>2026-27</v>
      </c>
      <c r="X118" s="309" t="str">
        <f t="shared" si="124"/>
        <v>2027-28</v>
      </c>
      <c r="Y118" s="310" t="str">
        <f t="shared" si="124"/>
        <v>2028-29</v>
      </c>
      <c r="Z118" s="131"/>
      <c r="AA118" s="131"/>
      <c r="AB118" s="131"/>
      <c r="AC118" s="131"/>
      <c r="AD118" s="131"/>
      <c r="AE118" s="131"/>
      <c r="AF118" s="131"/>
      <c r="AG118" s="131"/>
      <c r="AH118" s="131"/>
      <c r="AI118" s="131"/>
      <c r="AJ118" s="131"/>
      <c r="AK118" s="131"/>
      <c r="AL118" s="131"/>
      <c r="AM118" s="131"/>
      <c r="AN118" s="131"/>
      <c r="AO118" s="131"/>
    </row>
    <row r="119" spans="1:41" ht="20.25" customHeight="1" outlineLevel="1" thickBot="1" x14ac:dyDescent="0.6">
      <c r="A119" s="150"/>
      <c r="B119" s="186" t="s">
        <v>320</v>
      </c>
      <c r="C119" s="187"/>
      <c r="D119" s="187"/>
      <c r="E119" s="187"/>
      <c r="F119" s="187"/>
      <c r="G119" s="187"/>
      <c r="H119" s="187"/>
      <c r="I119" s="187"/>
      <c r="K119" s="149"/>
      <c r="L119" s="149"/>
      <c r="M119" s="149"/>
      <c r="N119" s="149"/>
      <c r="O119" s="149"/>
      <c r="P119" s="149"/>
      <c r="Q119" s="149"/>
      <c r="S119" s="149"/>
      <c r="T119" s="149"/>
      <c r="U119" s="149"/>
      <c r="V119" s="149"/>
      <c r="W119" s="149"/>
      <c r="X119" s="149"/>
      <c r="Y119" s="149"/>
      <c r="Z119" s="131"/>
      <c r="AA119" s="131"/>
      <c r="AB119" s="131"/>
      <c r="AC119" s="131"/>
      <c r="AD119" s="131"/>
      <c r="AE119" s="131"/>
      <c r="AF119" s="131"/>
      <c r="AG119" s="131"/>
      <c r="AH119" s="131"/>
      <c r="AI119" s="131"/>
      <c r="AJ119" s="131"/>
      <c r="AK119" s="131"/>
      <c r="AL119" s="131"/>
      <c r="AM119" s="131"/>
      <c r="AN119" s="131"/>
      <c r="AO119" s="131"/>
    </row>
    <row r="120" spans="1:41" outlineLevel="2" x14ac:dyDescent="0.55000000000000004">
      <c r="A120" s="150" t="s">
        <v>321</v>
      </c>
      <c r="B120" s="151" t="s">
        <v>322</v>
      </c>
      <c r="C120" s="188">
        <f>Input_DRC!$U76</f>
        <v>49.792725031645205</v>
      </c>
      <c r="D120" s="189">
        <f>Input_DRC!$U76</f>
        <v>49.792725031645205</v>
      </c>
      <c r="E120" s="188">
        <f>Input_DRC!$U76</f>
        <v>49.792725031645205</v>
      </c>
      <c r="F120" s="303">
        <f>Input_DRC!$U76</f>
        <v>49.792725031645205</v>
      </c>
      <c r="G120" s="303">
        <f>Input_DRC!$U76</f>
        <v>49.792725031645205</v>
      </c>
      <c r="H120" s="303">
        <f>Input_DRC!$U76</f>
        <v>49.792725031645205</v>
      </c>
      <c r="I120" s="189">
        <f>Input_DRC!$U76</f>
        <v>49.792725031645205</v>
      </c>
      <c r="K120" s="188">
        <f>Input_DRC!$U76</f>
        <v>49.792725031645205</v>
      </c>
      <c r="L120" s="189">
        <f>Input_DRC!$U76</f>
        <v>49.792725031645205</v>
      </c>
      <c r="M120" s="188">
        <f>Input_DRC!$U76</f>
        <v>49.792725031645205</v>
      </c>
      <c r="N120" s="303">
        <f>Input_DRC!$U76</f>
        <v>49.792725031645205</v>
      </c>
      <c r="O120" s="303">
        <f>Input_DRC!$U76</f>
        <v>49.792725031645205</v>
      </c>
      <c r="P120" s="303">
        <f>Input_DRC!$U76</f>
        <v>49.792725031645205</v>
      </c>
      <c r="Q120" s="189">
        <f>Input_DRC!$U76</f>
        <v>49.792725031645205</v>
      </c>
      <c r="S120" s="188"/>
      <c r="T120" s="189"/>
      <c r="U120" s="188"/>
      <c r="V120" s="303"/>
      <c r="W120" s="303"/>
      <c r="X120" s="303"/>
      <c r="Y120" s="189"/>
      <c r="Z120" s="131"/>
      <c r="AA120" s="131"/>
      <c r="AB120" s="131"/>
      <c r="AC120" s="131"/>
      <c r="AD120" s="131"/>
      <c r="AE120" s="131"/>
      <c r="AF120" s="131"/>
      <c r="AG120" s="131"/>
      <c r="AH120" s="131"/>
      <c r="AI120" s="131"/>
      <c r="AJ120" s="131"/>
      <c r="AK120" s="131"/>
      <c r="AL120" s="131"/>
      <c r="AM120" s="131"/>
      <c r="AN120" s="131"/>
      <c r="AO120" s="131"/>
    </row>
    <row r="121" spans="1:41" outlineLevel="2" x14ac:dyDescent="0.55000000000000004">
      <c r="A121" s="150" t="s">
        <v>323</v>
      </c>
      <c r="B121" s="175" t="s">
        <v>324</v>
      </c>
      <c r="C121" s="190">
        <f>Input_DRC!$U77</f>
        <v>52.300284796833004</v>
      </c>
      <c r="D121" s="191">
        <f>Input_DRC!$U77</f>
        <v>52.300284796833004</v>
      </c>
      <c r="E121" s="190">
        <f>Input_DRC!$U77</f>
        <v>52.300284796833004</v>
      </c>
      <c r="F121" s="304">
        <f>Input_DRC!$U77</f>
        <v>52.300284796833004</v>
      </c>
      <c r="G121" s="304">
        <f>Input_DRC!$U77</f>
        <v>52.300284796833004</v>
      </c>
      <c r="H121" s="304">
        <f>Input_DRC!$U77</f>
        <v>52.300284796833004</v>
      </c>
      <c r="I121" s="191">
        <f>Input_DRC!$U77</f>
        <v>52.300284796833004</v>
      </c>
      <c r="K121" s="190">
        <f>Input_DRC!$U77</f>
        <v>52.300284796833004</v>
      </c>
      <c r="L121" s="191">
        <f>Input_DRC!$U77</f>
        <v>52.300284796833004</v>
      </c>
      <c r="M121" s="190">
        <f>Input_DRC!$U77</f>
        <v>52.300284796833004</v>
      </c>
      <c r="N121" s="304">
        <f>Input_DRC!$U77</f>
        <v>52.300284796833004</v>
      </c>
      <c r="O121" s="304">
        <f>Input_DRC!$U77</f>
        <v>52.300284796833004</v>
      </c>
      <c r="P121" s="304">
        <f>Input_DRC!$U77</f>
        <v>52.300284796833004</v>
      </c>
      <c r="Q121" s="191">
        <f>Input_DRC!$U77</f>
        <v>52.300284796833004</v>
      </c>
      <c r="S121" s="190"/>
      <c r="T121" s="191"/>
      <c r="U121" s="190"/>
      <c r="V121" s="304"/>
      <c r="W121" s="304"/>
      <c r="X121" s="304"/>
      <c r="Y121" s="191"/>
      <c r="Z121" s="131"/>
      <c r="AA121" s="131"/>
      <c r="AB121" s="131"/>
      <c r="AC121" s="131"/>
      <c r="AD121" s="131"/>
      <c r="AE121" s="131"/>
      <c r="AF121" s="131"/>
      <c r="AG121" s="131"/>
      <c r="AH121" s="131"/>
      <c r="AI121" s="131"/>
      <c r="AJ121" s="131"/>
      <c r="AK121" s="131"/>
      <c r="AL121" s="131"/>
      <c r="AM121" s="131"/>
      <c r="AN121" s="131"/>
      <c r="AO121" s="131"/>
    </row>
    <row r="122" spans="1:41" outlineLevel="2" x14ac:dyDescent="0.55000000000000004">
      <c r="A122" s="150" t="s">
        <v>325</v>
      </c>
      <c r="B122" s="175" t="s">
        <v>304</v>
      </c>
      <c r="C122" s="190">
        <f>Input_DRC!$U78</f>
        <v>44.555321903731347</v>
      </c>
      <c r="D122" s="191">
        <f>Input_DRC!$U78</f>
        <v>44.555321903731347</v>
      </c>
      <c r="E122" s="190">
        <f>Input_DRC!$U78</f>
        <v>44.555321903731347</v>
      </c>
      <c r="F122" s="304">
        <f>Input_DRC!$U78</f>
        <v>44.555321903731347</v>
      </c>
      <c r="G122" s="304">
        <f>Input_DRC!$U78</f>
        <v>44.555321903731347</v>
      </c>
      <c r="H122" s="304">
        <f>Input_DRC!$U78</f>
        <v>44.555321903731347</v>
      </c>
      <c r="I122" s="191">
        <f>Input_DRC!$U78</f>
        <v>44.555321903731347</v>
      </c>
      <c r="K122" s="190">
        <f>Input_DRC!$U78</f>
        <v>44.555321903731347</v>
      </c>
      <c r="L122" s="191">
        <f>Input_DRC!$U78</f>
        <v>44.555321903731347</v>
      </c>
      <c r="M122" s="190">
        <f>Input_DRC!$U78</f>
        <v>44.555321903731347</v>
      </c>
      <c r="N122" s="304">
        <f>Input_DRC!$U78</f>
        <v>44.555321903731347</v>
      </c>
      <c r="O122" s="304">
        <f>Input_DRC!$U78</f>
        <v>44.555321903731347</v>
      </c>
      <c r="P122" s="304">
        <f>Input_DRC!$U78</f>
        <v>44.555321903731347</v>
      </c>
      <c r="Q122" s="191">
        <f>Input_DRC!$U78</f>
        <v>44.555321903731347</v>
      </c>
      <c r="S122" s="190"/>
      <c r="T122" s="191"/>
      <c r="U122" s="190"/>
      <c r="V122" s="304"/>
      <c r="W122" s="304"/>
      <c r="X122" s="304"/>
      <c r="Y122" s="191"/>
      <c r="Z122" s="131"/>
      <c r="AA122" s="131"/>
      <c r="AB122" s="131"/>
      <c r="AC122" s="131"/>
      <c r="AD122" s="131"/>
      <c r="AE122" s="131"/>
      <c r="AF122" s="131"/>
      <c r="AG122" s="131"/>
      <c r="AH122" s="131"/>
      <c r="AI122" s="131"/>
      <c r="AJ122" s="131"/>
      <c r="AK122" s="131"/>
      <c r="AL122" s="131"/>
      <c r="AM122" s="131"/>
      <c r="AN122" s="131"/>
      <c r="AO122" s="131"/>
    </row>
    <row r="123" spans="1:41" outlineLevel="2" x14ac:dyDescent="0.55000000000000004">
      <c r="A123" s="150" t="s">
        <v>326</v>
      </c>
      <c r="B123" s="175" t="s">
        <v>327</v>
      </c>
      <c r="C123" s="190">
        <f>Input_DRC!$U79</f>
        <v>54.343924174110775</v>
      </c>
      <c r="D123" s="191">
        <f>Input_DRC!$U79</f>
        <v>54.343924174110775</v>
      </c>
      <c r="E123" s="190">
        <f>Input_DRC!$U79</f>
        <v>54.343924174110775</v>
      </c>
      <c r="F123" s="304">
        <f>Input_DRC!$U79</f>
        <v>54.343924174110775</v>
      </c>
      <c r="G123" s="304">
        <f>Input_DRC!$U79</f>
        <v>54.343924174110775</v>
      </c>
      <c r="H123" s="304">
        <f>Input_DRC!$U79</f>
        <v>54.343924174110775</v>
      </c>
      <c r="I123" s="191">
        <f>Input_DRC!$U79</f>
        <v>54.343924174110775</v>
      </c>
      <c r="K123" s="190">
        <f>Input_DRC!$U79</f>
        <v>54.343924174110775</v>
      </c>
      <c r="L123" s="191">
        <f>Input_DRC!$U79</f>
        <v>54.343924174110775</v>
      </c>
      <c r="M123" s="190">
        <f>Input_DRC!$U79</f>
        <v>54.343924174110775</v>
      </c>
      <c r="N123" s="304">
        <f>Input_DRC!$U79</f>
        <v>54.343924174110775</v>
      </c>
      <c r="O123" s="304">
        <f>Input_DRC!$U79</f>
        <v>54.343924174110775</v>
      </c>
      <c r="P123" s="304">
        <f>Input_DRC!$U79</f>
        <v>54.343924174110775</v>
      </c>
      <c r="Q123" s="191">
        <f>Input_DRC!$U79</f>
        <v>54.343924174110775</v>
      </c>
      <c r="S123" s="190"/>
      <c r="T123" s="191"/>
      <c r="U123" s="190"/>
      <c r="V123" s="304"/>
      <c r="W123" s="304"/>
      <c r="X123" s="304"/>
      <c r="Y123" s="191"/>
      <c r="Z123" s="131"/>
      <c r="AA123" s="131"/>
      <c r="AB123" s="131"/>
      <c r="AC123" s="131"/>
      <c r="AD123" s="131"/>
      <c r="AE123" s="131"/>
      <c r="AF123" s="131"/>
      <c r="AG123" s="131"/>
      <c r="AH123" s="131"/>
      <c r="AI123" s="131"/>
      <c r="AJ123" s="131"/>
      <c r="AK123" s="131"/>
      <c r="AL123" s="131"/>
      <c r="AM123" s="131"/>
      <c r="AN123" s="131"/>
      <c r="AO123" s="131"/>
    </row>
    <row r="124" spans="1:41" outlineLevel="2" x14ac:dyDescent="0.55000000000000004">
      <c r="A124" s="150" t="s">
        <v>328</v>
      </c>
      <c r="B124" s="175" t="s">
        <v>329</v>
      </c>
      <c r="C124" s="190">
        <f>Input_DRC!$U80</f>
        <v>49.613725933874562</v>
      </c>
      <c r="D124" s="191">
        <f>Input_DRC!$U80</f>
        <v>49.613725933874562</v>
      </c>
      <c r="E124" s="190">
        <f>Input_DRC!$U80</f>
        <v>49.613725933874562</v>
      </c>
      <c r="F124" s="304">
        <f>Input_DRC!$U80</f>
        <v>49.613725933874562</v>
      </c>
      <c r="G124" s="304">
        <f>Input_DRC!$U80</f>
        <v>49.613725933874562</v>
      </c>
      <c r="H124" s="304">
        <f>Input_DRC!$U80</f>
        <v>49.613725933874562</v>
      </c>
      <c r="I124" s="191">
        <f>Input_DRC!$U80</f>
        <v>49.613725933874562</v>
      </c>
      <c r="K124" s="190">
        <f>Input_DRC!$U80</f>
        <v>49.613725933874562</v>
      </c>
      <c r="L124" s="191">
        <f>Input_DRC!$U80</f>
        <v>49.613725933874562</v>
      </c>
      <c r="M124" s="190">
        <f>Input_DRC!$U80</f>
        <v>49.613725933874562</v>
      </c>
      <c r="N124" s="304">
        <f>Input_DRC!$U80</f>
        <v>49.613725933874562</v>
      </c>
      <c r="O124" s="304">
        <f>Input_DRC!$U80</f>
        <v>49.613725933874562</v>
      </c>
      <c r="P124" s="304">
        <f>Input_DRC!$U80</f>
        <v>49.613725933874562</v>
      </c>
      <c r="Q124" s="191">
        <f>Input_DRC!$U80</f>
        <v>49.613725933874562</v>
      </c>
      <c r="S124" s="190"/>
      <c r="T124" s="191"/>
      <c r="U124" s="190"/>
      <c r="V124" s="304"/>
      <c r="W124" s="304"/>
      <c r="X124" s="304"/>
      <c r="Y124" s="191"/>
      <c r="Z124" s="131"/>
      <c r="AA124" s="131"/>
      <c r="AB124" s="131"/>
      <c r="AC124" s="131"/>
      <c r="AD124" s="131"/>
      <c r="AE124" s="131"/>
      <c r="AF124" s="131"/>
      <c r="AG124" s="131"/>
      <c r="AH124" s="131"/>
      <c r="AI124" s="131"/>
      <c r="AJ124" s="131"/>
      <c r="AK124" s="131"/>
      <c r="AL124" s="131"/>
      <c r="AM124" s="131"/>
      <c r="AN124" s="131"/>
      <c r="AO124" s="131"/>
    </row>
    <row r="125" spans="1:41" outlineLevel="2" x14ac:dyDescent="0.55000000000000004">
      <c r="A125" s="150" t="s">
        <v>330</v>
      </c>
      <c r="B125" s="175" t="s">
        <v>115</v>
      </c>
      <c r="C125" s="190">
        <f>Input_DRC!$U81</f>
        <v>45.619061322390586</v>
      </c>
      <c r="D125" s="191">
        <f>Input_DRC!$U81</f>
        <v>45.619061322390586</v>
      </c>
      <c r="E125" s="190">
        <f>Input_DRC!$U81</f>
        <v>45.619061322390586</v>
      </c>
      <c r="F125" s="304">
        <f>Input_DRC!$U81</f>
        <v>45.619061322390586</v>
      </c>
      <c r="G125" s="304">
        <f>Input_DRC!$U81</f>
        <v>45.619061322390586</v>
      </c>
      <c r="H125" s="304">
        <f>Input_DRC!$U81</f>
        <v>45.619061322390586</v>
      </c>
      <c r="I125" s="191">
        <f>Input_DRC!$U81</f>
        <v>45.619061322390586</v>
      </c>
      <c r="K125" s="190">
        <f>Input_DRC!$U81</f>
        <v>45.619061322390586</v>
      </c>
      <c r="L125" s="191">
        <f>Input_DRC!$U81</f>
        <v>45.619061322390586</v>
      </c>
      <c r="M125" s="190">
        <f>Input_DRC!$U81</f>
        <v>45.619061322390586</v>
      </c>
      <c r="N125" s="304">
        <f>Input_DRC!$U81</f>
        <v>45.619061322390586</v>
      </c>
      <c r="O125" s="304">
        <f>Input_DRC!$U81</f>
        <v>45.619061322390586</v>
      </c>
      <c r="P125" s="304">
        <f>Input_DRC!$U81</f>
        <v>45.619061322390586</v>
      </c>
      <c r="Q125" s="191">
        <f>Input_DRC!$U81</f>
        <v>45.619061322390586</v>
      </c>
      <c r="S125" s="190"/>
      <c r="T125" s="191"/>
      <c r="U125" s="190"/>
      <c r="V125" s="304"/>
      <c r="W125" s="304"/>
      <c r="X125" s="304"/>
      <c r="Y125" s="191"/>
      <c r="Z125" s="131"/>
      <c r="AA125" s="131"/>
      <c r="AB125" s="131"/>
      <c r="AC125" s="131"/>
      <c r="AD125" s="131"/>
      <c r="AE125" s="131"/>
      <c r="AF125" s="131"/>
      <c r="AG125" s="131"/>
      <c r="AH125" s="131"/>
      <c r="AI125" s="131"/>
      <c r="AJ125" s="131"/>
      <c r="AK125" s="131"/>
      <c r="AL125" s="131"/>
      <c r="AM125" s="131"/>
      <c r="AN125" s="131"/>
      <c r="AO125" s="131"/>
    </row>
    <row r="126" spans="1:41" outlineLevel="2" x14ac:dyDescent="0.55000000000000004">
      <c r="A126" s="150" t="s">
        <v>331</v>
      </c>
      <c r="B126" s="175" t="s">
        <v>122</v>
      </c>
      <c r="C126" s="190">
        <f>Input_DRC!$U83</f>
        <v>16</v>
      </c>
      <c r="D126" s="191">
        <f>Input_DRC!$U83</f>
        <v>16</v>
      </c>
      <c r="E126" s="190">
        <f>Input_DRC!$U83</f>
        <v>16</v>
      </c>
      <c r="F126" s="304">
        <f>Input_DRC!$U83</f>
        <v>16</v>
      </c>
      <c r="G126" s="304">
        <f>Input_DRC!$U83</f>
        <v>16</v>
      </c>
      <c r="H126" s="304">
        <f>Input_DRC!$U83</f>
        <v>16</v>
      </c>
      <c r="I126" s="191">
        <f>Input_DRC!$U83</f>
        <v>16</v>
      </c>
      <c r="K126" s="190">
        <f>Input_DRC!$U83</f>
        <v>16</v>
      </c>
      <c r="L126" s="191">
        <f>Input_DRC!$U83</f>
        <v>16</v>
      </c>
      <c r="M126" s="190">
        <f>Input_DRC!$U83</f>
        <v>16</v>
      </c>
      <c r="N126" s="304">
        <f>Input_DRC!$U83</f>
        <v>16</v>
      </c>
      <c r="O126" s="304">
        <f>Input_DRC!$U83</f>
        <v>16</v>
      </c>
      <c r="P126" s="304">
        <f>Input_DRC!$U83</f>
        <v>16</v>
      </c>
      <c r="Q126" s="191">
        <f>Input_DRC!$U83</f>
        <v>16</v>
      </c>
      <c r="S126" s="190">
        <f>Input_DRC!$U83</f>
        <v>16</v>
      </c>
      <c r="T126" s="191">
        <f>Input_DRC!$U83</f>
        <v>16</v>
      </c>
      <c r="U126" s="190">
        <f>Input_DRC!$U83</f>
        <v>16</v>
      </c>
      <c r="V126" s="304">
        <f>Input_DRC!$U83</f>
        <v>16</v>
      </c>
      <c r="W126" s="304">
        <f>Input_DRC!$U83</f>
        <v>16</v>
      </c>
      <c r="X126" s="304">
        <f>Input_DRC!$U83</f>
        <v>16</v>
      </c>
      <c r="Y126" s="191">
        <f>Input_DRC!$U83</f>
        <v>16</v>
      </c>
      <c r="Z126" s="131"/>
      <c r="AA126" s="131"/>
      <c r="AB126" s="131"/>
      <c r="AC126" s="131"/>
      <c r="AD126" s="131"/>
      <c r="AE126" s="131"/>
      <c r="AF126" s="131"/>
      <c r="AG126" s="131"/>
      <c r="AH126" s="131"/>
      <c r="AI126" s="131"/>
      <c r="AJ126" s="131"/>
      <c r="AK126" s="131"/>
      <c r="AL126" s="131"/>
      <c r="AM126" s="131"/>
      <c r="AN126" s="131"/>
      <c r="AO126" s="131"/>
    </row>
    <row r="127" spans="1:41" outlineLevel="2" x14ac:dyDescent="0.55000000000000004">
      <c r="A127" s="150" t="s">
        <v>332</v>
      </c>
      <c r="B127" s="175" t="s">
        <v>333</v>
      </c>
      <c r="C127" s="190">
        <f>Input_DRC!$U84</f>
        <v>29.023808433625259</v>
      </c>
      <c r="D127" s="191">
        <f>Input_DRC!$U84</f>
        <v>29.023808433625259</v>
      </c>
      <c r="E127" s="190">
        <f>Input_DRC!$U84</f>
        <v>29.023808433625259</v>
      </c>
      <c r="F127" s="304">
        <f>Input_DRC!$U84</f>
        <v>29.023808433625259</v>
      </c>
      <c r="G127" s="304">
        <f>Input_DRC!$U84</f>
        <v>29.023808433625259</v>
      </c>
      <c r="H127" s="304">
        <f>Input_DRC!$U84</f>
        <v>29.023808433625259</v>
      </c>
      <c r="I127" s="191">
        <f>Input_DRC!$U84</f>
        <v>29.023808433625259</v>
      </c>
      <c r="K127" s="190">
        <f>Input_DRC!$U84</f>
        <v>29.023808433625259</v>
      </c>
      <c r="L127" s="191">
        <f>Input_DRC!$U84</f>
        <v>29.023808433625259</v>
      </c>
      <c r="M127" s="190">
        <f>Input_DRC!$U84</f>
        <v>29.023808433625259</v>
      </c>
      <c r="N127" s="304">
        <f>Input_DRC!$U84</f>
        <v>29.023808433625259</v>
      </c>
      <c r="O127" s="304">
        <f>Input_DRC!$U84</f>
        <v>29.023808433625259</v>
      </c>
      <c r="P127" s="304">
        <f>Input_DRC!$U84</f>
        <v>29.023808433625259</v>
      </c>
      <c r="Q127" s="191">
        <f>Input_DRC!$U84</f>
        <v>29.023808433625259</v>
      </c>
      <c r="S127" s="190">
        <f>Input_DRC!$U84</f>
        <v>29.023808433625259</v>
      </c>
      <c r="T127" s="191">
        <f>Input_DRC!$U84</f>
        <v>29.023808433625259</v>
      </c>
      <c r="U127" s="190">
        <f>Input_DRC!$U84</f>
        <v>29.023808433625259</v>
      </c>
      <c r="V127" s="304">
        <f>Input_DRC!$U84</f>
        <v>29.023808433625259</v>
      </c>
      <c r="W127" s="304">
        <f>Input_DRC!$U84</f>
        <v>29.023808433625259</v>
      </c>
      <c r="X127" s="304">
        <f>Input_DRC!$U84</f>
        <v>29.023808433625259</v>
      </c>
      <c r="Y127" s="191">
        <f>Input_DRC!$U84</f>
        <v>29.023808433625259</v>
      </c>
      <c r="Z127" s="131"/>
      <c r="AA127" s="131"/>
      <c r="AB127" s="131"/>
      <c r="AC127" s="131"/>
      <c r="AD127" s="131"/>
      <c r="AE127" s="131"/>
      <c r="AF127" s="131"/>
      <c r="AG127" s="131"/>
      <c r="AH127" s="131"/>
      <c r="AI127" s="131"/>
      <c r="AJ127" s="131"/>
      <c r="AK127" s="131"/>
      <c r="AL127" s="131"/>
      <c r="AM127" s="131"/>
      <c r="AN127" s="131"/>
      <c r="AO127" s="131"/>
    </row>
    <row r="128" spans="1:41" ht="14.7" outlineLevel="2" thickBot="1" x14ac:dyDescent="0.6">
      <c r="A128" s="150" t="s">
        <v>334</v>
      </c>
      <c r="B128" s="159" t="s">
        <v>335</v>
      </c>
      <c r="C128" s="192">
        <f>Input_DRC!$U85</f>
        <v>6.9300161354856167</v>
      </c>
      <c r="D128" s="193">
        <f>Input_DRC!$U85</f>
        <v>6.9300161354856167</v>
      </c>
      <c r="E128" s="192">
        <f>Input_DRC!$U85</f>
        <v>6.9300161354856167</v>
      </c>
      <c r="F128" s="305">
        <f>Input_DRC!$U85</f>
        <v>6.9300161354856167</v>
      </c>
      <c r="G128" s="305">
        <f>Input_DRC!$U85</f>
        <v>6.9300161354856167</v>
      </c>
      <c r="H128" s="305">
        <f>Input_DRC!$U85</f>
        <v>6.9300161354856167</v>
      </c>
      <c r="I128" s="193">
        <f>Input_DRC!$U85</f>
        <v>6.9300161354856167</v>
      </c>
      <c r="K128" s="192">
        <f>Input_DRC!$U85</f>
        <v>6.9300161354856167</v>
      </c>
      <c r="L128" s="193">
        <f>Input_DRC!$U85</f>
        <v>6.9300161354856167</v>
      </c>
      <c r="M128" s="192">
        <f>Input_DRC!$U85</f>
        <v>6.9300161354856167</v>
      </c>
      <c r="N128" s="305">
        <f>Input_DRC!$U85</f>
        <v>6.9300161354856167</v>
      </c>
      <c r="O128" s="305">
        <f>Input_DRC!$U85</f>
        <v>6.9300161354856167</v>
      </c>
      <c r="P128" s="305">
        <f>Input_DRC!$U85</f>
        <v>6.9300161354856167</v>
      </c>
      <c r="Q128" s="193">
        <f>Input_DRC!$U85</f>
        <v>6.9300161354856167</v>
      </c>
      <c r="S128" s="192">
        <f>Input_DRC!$U85</f>
        <v>6.9300161354856167</v>
      </c>
      <c r="T128" s="193">
        <f>Input_DRC!$U85</f>
        <v>6.9300161354856167</v>
      </c>
      <c r="U128" s="192">
        <f>Input_DRC!$U85</f>
        <v>6.9300161354856167</v>
      </c>
      <c r="V128" s="305">
        <f>Input_DRC!$U85</f>
        <v>6.9300161354856167</v>
      </c>
      <c r="W128" s="305">
        <f>Input_DRC!$U85</f>
        <v>6.9300161354856167</v>
      </c>
      <c r="X128" s="305">
        <f>Input_DRC!$U85</f>
        <v>6.9300161354856167</v>
      </c>
      <c r="Y128" s="193">
        <f>Input_DRC!$U85</f>
        <v>6.9300161354856167</v>
      </c>
      <c r="Z128" s="131"/>
      <c r="AA128" s="131"/>
      <c r="AB128" s="131"/>
      <c r="AC128" s="131"/>
      <c r="AD128" s="131"/>
      <c r="AE128" s="131"/>
      <c r="AF128" s="131"/>
      <c r="AG128" s="131"/>
      <c r="AH128" s="131"/>
      <c r="AI128" s="131"/>
      <c r="AJ128" s="131"/>
      <c r="AK128" s="131"/>
      <c r="AL128" s="131"/>
      <c r="AM128" s="131"/>
      <c r="AN128" s="131"/>
      <c r="AO128" s="131"/>
    </row>
    <row r="129" spans="1:41" ht="14.7" outlineLevel="1" thickBot="1" x14ac:dyDescent="0.6">
      <c r="A129" s="132"/>
      <c r="C129" s="185"/>
      <c r="D129" s="185"/>
      <c r="E129" s="185"/>
      <c r="F129" s="185"/>
      <c r="G129" s="185"/>
      <c r="H129" s="185"/>
      <c r="I129" s="185"/>
      <c r="K129" s="185"/>
      <c r="L129" s="185"/>
      <c r="M129" s="185"/>
      <c r="N129" s="185"/>
      <c r="O129" s="185"/>
      <c r="P129" s="185"/>
      <c r="Q129" s="185"/>
      <c r="S129" s="185"/>
      <c r="T129" s="185"/>
      <c r="U129" s="185"/>
      <c r="V129" s="185"/>
      <c r="W129" s="185"/>
      <c r="X129" s="185"/>
      <c r="Y129" s="185"/>
      <c r="Z129" s="131"/>
      <c r="AA129" s="131"/>
      <c r="AB129" s="131"/>
      <c r="AC129" s="131"/>
      <c r="AD129" s="131"/>
      <c r="AE129" s="131"/>
      <c r="AF129" s="131"/>
      <c r="AG129" s="131"/>
      <c r="AH129" s="131"/>
      <c r="AI129" s="131"/>
      <c r="AJ129" s="131"/>
      <c r="AK129" s="131"/>
      <c r="AL129" s="131"/>
      <c r="AM129" s="131"/>
      <c r="AN129" s="131"/>
      <c r="AO129" s="131"/>
    </row>
    <row r="130" spans="1:41" ht="20.25" customHeight="1" outlineLevel="1" thickBot="1" x14ac:dyDescent="0.6">
      <c r="A130" s="150"/>
      <c r="B130" s="186" t="s">
        <v>336</v>
      </c>
      <c r="C130" s="149"/>
      <c r="D130" s="149"/>
      <c r="E130" s="149"/>
      <c r="F130" s="149"/>
      <c r="G130" s="149"/>
      <c r="H130" s="149"/>
      <c r="I130" s="149"/>
      <c r="K130" s="149"/>
      <c r="L130" s="149"/>
      <c r="M130" s="149"/>
      <c r="N130" s="149"/>
      <c r="O130" s="149"/>
      <c r="P130" s="149"/>
      <c r="Q130" s="149"/>
      <c r="S130" s="149"/>
      <c r="T130" s="149"/>
      <c r="U130" s="149"/>
      <c r="V130" s="149"/>
      <c r="W130" s="149"/>
      <c r="X130" s="149"/>
      <c r="Y130" s="149"/>
      <c r="Z130" s="131"/>
      <c r="AA130" s="131"/>
      <c r="AB130" s="131"/>
      <c r="AC130" s="131"/>
      <c r="AD130" s="131"/>
      <c r="AE130" s="131"/>
      <c r="AF130" s="131"/>
      <c r="AG130" s="131"/>
      <c r="AH130" s="131"/>
      <c r="AI130" s="131"/>
      <c r="AJ130" s="131"/>
      <c r="AK130" s="131"/>
      <c r="AL130" s="131"/>
      <c r="AM130" s="131"/>
      <c r="AN130" s="131"/>
      <c r="AO130" s="131"/>
    </row>
    <row r="131" spans="1:41" outlineLevel="2" x14ac:dyDescent="0.55000000000000004">
      <c r="A131" s="150" t="s">
        <v>337</v>
      </c>
      <c r="B131" s="151" t="s">
        <v>322</v>
      </c>
      <c r="C131" s="194">
        <f t="shared" ref="C131" si="125">IFERROR(MAX(MIN(-C31/C28,C120),0),"")</f>
        <v>27.750630030143952</v>
      </c>
      <c r="D131" s="195">
        <f t="shared" ref="D131:I131" si="126">IFERROR(MAX(MIN(-D31/D28,D120),0),"")</f>
        <v>27.623804221207845</v>
      </c>
      <c r="E131" s="194">
        <f t="shared" si="126"/>
        <v>27.13231976033018</v>
      </c>
      <c r="F131" s="306">
        <f t="shared" si="126"/>
        <v>27.385546524378451</v>
      </c>
      <c r="G131" s="306">
        <f t="shared" si="126"/>
        <v>27.51276509197519</v>
      </c>
      <c r="H131" s="306">
        <f t="shared" si="126"/>
        <v>27.366685421704656</v>
      </c>
      <c r="I131" s="195">
        <f t="shared" si="126"/>
        <v>27.324493842609325</v>
      </c>
      <c r="K131" s="194">
        <f t="shared" ref="K131" si="127">IFERROR(MAX(MIN(-K31/K28,K120),0),"")</f>
        <v>32.187786706611455</v>
      </c>
      <c r="L131" s="195">
        <f t="shared" ref="L131:Q131" si="128">IFERROR(MAX(MIN(-L31/L28,L120),0),"")</f>
        <v>31.614396978356876</v>
      </c>
      <c r="M131" s="194">
        <f t="shared" si="128"/>
        <v>30.78575773089975</v>
      </c>
      <c r="N131" s="306">
        <f t="shared" si="128"/>
        <v>30.812065478781605</v>
      </c>
      <c r="O131" s="306">
        <f t="shared" si="128"/>
        <v>30.720979435201876</v>
      </c>
      <c r="P131" s="306">
        <f t="shared" si="128"/>
        <v>30.373937510536287</v>
      </c>
      <c r="Q131" s="195">
        <f t="shared" si="128"/>
        <v>30.157816347208485</v>
      </c>
      <c r="S131" s="194" t="str">
        <f t="shared" ref="S131" si="129">IFERROR(MAX(MIN(-S31/S28,S120),0),"")</f>
        <v/>
      </c>
      <c r="T131" s="195" t="str">
        <f t="shared" ref="T131:Y131" si="130">IFERROR(MAX(MIN(-T31/T28,T120),0),"")</f>
        <v/>
      </c>
      <c r="U131" s="194" t="str">
        <f t="shared" si="130"/>
        <v/>
      </c>
      <c r="V131" s="306" t="str">
        <f t="shared" si="130"/>
        <v/>
      </c>
      <c r="W131" s="306" t="str">
        <f t="shared" si="130"/>
        <v/>
      </c>
      <c r="X131" s="306" t="str">
        <f t="shared" si="130"/>
        <v/>
      </c>
      <c r="Y131" s="195" t="str">
        <f t="shared" si="130"/>
        <v/>
      </c>
      <c r="Z131" s="131"/>
      <c r="AA131" s="131"/>
      <c r="AB131" s="131"/>
      <c r="AC131" s="131"/>
      <c r="AD131" s="131"/>
      <c r="AE131" s="131"/>
      <c r="AF131" s="131"/>
      <c r="AG131" s="131"/>
      <c r="AH131" s="131"/>
      <c r="AI131" s="131"/>
      <c r="AJ131" s="131"/>
      <c r="AK131" s="131"/>
      <c r="AL131" s="131"/>
      <c r="AM131" s="131"/>
      <c r="AN131" s="131"/>
      <c r="AO131" s="131"/>
    </row>
    <row r="132" spans="1:41" outlineLevel="2" x14ac:dyDescent="0.55000000000000004">
      <c r="A132" s="150" t="s">
        <v>338</v>
      </c>
      <c r="B132" s="175" t="s">
        <v>324</v>
      </c>
      <c r="C132" s="190">
        <f t="shared" ref="C132" si="131">IFERROR(MAX(MIN(-C38/C35,C121),0),"")</f>
        <v>27.750630030143963</v>
      </c>
      <c r="D132" s="191">
        <f t="shared" ref="D132:I132" si="132">IFERROR(MAX(MIN(-D38/D35,D121),0),"")</f>
        <v>27.623804221207852</v>
      </c>
      <c r="E132" s="190">
        <f t="shared" si="132"/>
        <v>27.132319760330184</v>
      </c>
      <c r="F132" s="304">
        <f t="shared" si="132"/>
        <v>27.385546524378459</v>
      </c>
      <c r="G132" s="304">
        <f t="shared" si="132"/>
        <v>27.512765091975201</v>
      </c>
      <c r="H132" s="304">
        <f t="shared" si="132"/>
        <v>27.366685421704659</v>
      </c>
      <c r="I132" s="191">
        <f t="shared" si="132"/>
        <v>27.324493842609332</v>
      </c>
      <c r="K132" s="190">
        <f t="shared" ref="K132" si="133">IFERROR(MAX(MIN(-K38/K35,K121),0),"")</f>
        <v>32.187786706611455</v>
      </c>
      <c r="L132" s="191">
        <f t="shared" ref="L132:Q132" si="134">IFERROR(MAX(MIN(-L38/L35,L121),0),"")</f>
        <v>31.614396978356886</v>
      </c>
      <c r="M132" s="190">
        <f t="shared" si="134"/>
        <v>30.785757730899761</v>
      </c>
      <c r="N132" s="304">
        <f t="shared" si="134"/>
        <v>30.812065478781605</v>
      </c>
      <c r="O132" s="304">
        <f t="shared" si="134"/>
        <v>30.72097943520189</v>
      </c>
      <c r="P132" s="304">
        <f t="shared" si="134"/>
        <v>30.373937510536287</v>
      </c>
      <c r="Q132" s="191">
        <f t="shared" si="134"/>
        <v>30.157816347208495</v>
      </c>
      <c r="S132" s="190" t="str">
        <f t="shared" ref="S132" si="135">IFERROR(MAX(MIN(-S38/S35,S121),0),"")</f>
        <v/>
      </c>
      <c r="T132" s="191" t="str">
        <f t="shared" ref="T132:Y132" si="136">IFERROR(MAX(MIN(-T38/T35,T121),0),"")</f>
        <v/>
      </c>
      <c r="U132" s="190" t="str">
        <f t="shared" si="136"/>
        <v/>
      </c>
      <c r="V132" s="304" t="str">
        <f t="shared" si="136"/>
        <v/>
      </c>
      <c r="W132" s="304" t="str">
        <f t="shared" si="136"/>
        <v/>
      </c>
      <c r="X132" s="304" t="str">
        <f t="shared" si="136"/>
        <v/>
      </c>
      <c r="Y132" s="191" t="str">
        <f t="shared" si="136"/>
        <v/>
      </c>
      <c r="Z132" s="131"/>
      <c r="AA132" s="131"/>
      <c r="AB132" s="131"/>
      <c r="AC132" s="131"/>
      <c r="AD132" s="131"/>
      <c r="AE132" s="131"/>
      <c r="AF132" s="131"/>
      <c r="AG132" s="131"/>
      <c r="AH132" s="131"/>
      <c r="AI132" s="131"/>
      <c r="AJ132" s="131"/>
      <c r="AK132" s="131"/>
      <c r="AL132" s="131"/>
      <c r="AM132" s="131"/>
      <c r="AN132" s="131"/>
      <c r="AO132" s="131"/>
    </row>
    <row r="133" spans="1:41" outlineLevel="2" x14ac:dyDescent="0.55000000000000004">
      <c r="A133" s="150" t="s">
        <v>339</v>
      </c>
      <c r="B133" s="175" t="s">
        <v>304</v>
      </c>
      <c r="C133" s="190">
        <f t="shared" ref="C133" si="137">IFERROR(MAX(MIN(-C45/C42,C122),0),"")</f>
        <v>21.576939706909734</v>
      </c>
      <c r="D133" s="191">
        <f t="shared" ref="D133:I133" si="138">IFERROR(MAX(MIN(-D45/D42,D122),0),"")</f>
        <v>20.19153164359442</v>
      </c>
      <c r="E133" s="190">
        <f t="shared" si="138"/>
        <v>20.461860453078469</v>
      </c>
      <c r="F133" s="304">
        <f t="shared" si="138"/>
        <v>20.360752578878632</v>
      </c>
      <c r="G133" s="304">
        <f t="shared" si="138"/>
        <v>20.255437260361607</v>
      </c>
      <c r="H133" s="304">
        <f t="shared" si="138"/>
        <v>20.146322998881804</v>
      </c>
      <c r="I133" s="191">
        <f t="shared" si="138"/>
        <v>20.037574251644205</v>
      </c>
      <c r="K133" s="190">
        <f t="shared" ref="K133" si="139">IFERROR(MAX(MIN(-K45/K42,K122),0),"")</f>
        <v>25.397183338364538</v>
      </c>
      <c r="L133" s="191">
        <f t="shared" ref="L133:Q133" si="140">IFERROR(MAX(MIN(-L45/L42,L122),0),"")</f>
        <v>23.600019881953852</v>
      </c>
      <c r="M133" s="190">
        <f t="shared" si="140"/>
        <v>23.74374493602804</v>
      </c>
      <c r="N133" s="304">
        <f t="shared" si="140"/>
        <v>23.462602646173092</v>
      </c>
      <c r="O133" s="304">
        <f t="shared" si="140"/>
        <v>23.186551623604096</v>
      </c>
      <c r="P133" s="304">
        <f t="shared" si="140"/>
        <v>22.915964263697795</v>
      </c>
      <c r="Q133" s="191">
        <f t="shared" si="140"/>
        <v>22.654665193078753</v>
      </c>
      <c r="S133" s="190" t="str">
        <f t="shared" ref="S133" si="141">IFERROR(MAX(MIN(-S45/S42,S122),0),"")</f>
        <v/>
      </c>
      <c r="T133" s="191" t="str">
        <f t="shared" ref="T133:Y133" si="142">IFERROR(MAX(MIN(-T45/T42,T122),0),"")</f>
        <v/>
      </c>
      <c r="U133" s="190" t="str">
        <f t="shared" si="142"/>
        <v/>
      </c>
      <c r="V133" s="304" t="str">
        <f t="shared" si="142"/>
        <v/>
      </c>
      <c r="W133" s="304" t="str">
        <f t="shared" si="142"/>
        <v/>
      </c>
      <c r="X133" s="304" t="str">
        <f t="shared" si="142"/>
        <v/>
      </c>
      <c r="Y133" s="191" t="str">
        <f t="shared" si="142"/>
        <v/>
      </c>
      <c r="Z133" s="131"/>
      <c r="AA133" s="131"/>
      <c r="AB133" s="131"/>
      <c r="AC133" s="131"/>
      <c r="AD133" s="131"/>
      <c r="AE133" s="131"/>
      <c r="AF133" s="131"/>
      <c r="AG133" s="131"/>
      <c r="AH133" s="131"/>
      <c r="AI133" s="131"/>
      <c r="AJ133" s="131"/>
      <c r="AK133" s="131"/>
      <c r="AL133" s="131"/>
      <c r="AM133" s="131"/>
      <c r="AN133" s="131"/>
      <c r="AO133" s="131"/>
    </row>
    <row r="134" spans="1:41" outlineLevel="2" x14ac:dyDescent="0.55000000000000004">
      <c r="A134" s="150" t="s">
        <v>340</v>
      </c>
      <c r="B134" s="175" t="s">
        <v>327</v>
      </c>
      <c r="C134" s="190">
        <f t="shared" ref="C134" si="143">IFERROR(MAX(MIN(-C52/C49,C123),0),"")</f>
        <v>25.799856539571334</v>
      </c>
      <c r="D134" s="191">
        <f t="shared" ref="D134:I134" si="144">IFERROR(MAX(MIN(-D52/D49,D123),0),"")</f>
        <v>25.076184369772307</v>
      </c>
      <c r="E134" s="190">
        <f t="shared" si="144"/>
        <v>23.450211791935573</v>
      </c>
      <c r="F134" s="304">
        <f t="shared" si="144"/>
        <v>23.157109075698266</v>
      </c>
      <c r="G134" s="304">
        <f t="shared" si="144"/>
        <v>22.163047287575001</v>
      </c>
      <c r="H134" s="304">
        <f t="shared" si="144"/>
        <v>21.264562191489002</v>
      </c>
      <c r="I134" s="191">
        <f t="shared" si="144"/>
        <v>20.417366493985071</v>
      </c>
      <c r="K134" s="190">
        <f t="shared" ref="K134" si="145">IFERROR(MAX(MIN(-K52/K49,K123),0),"")</f>
        <v>25.799856539571334</v>
      </c>
      <c r="L134" s="191">
        <f t="shared" ref="L134:Q134" si="146">IFERROR(MAX(MIN(-L52/L49,L123),0),"")</f>
        <v>25.076184369772307</v>
      </c>
      <c r="M134" s="190">
        <f t="shared" si="146"/>
        <v>23.450211791935573</v>
      </c>
      <c r="N134" s="304">
        <f t="shared" si="146"/>
        <v>23.157109075698266</v>
      </c>
      <c r="O134" s="304">
        <f t="shared" si="146"/>
        <v>22.163047287575001</v>
      </c>
      <c r="P134" s="304">
        <f t="shared" si="146"/>
        <v>21.264562191489002</v>
      </c>
      <c r="Q134" s="191">
        <f t="shared" si="146"/>
        <v>20.417366493985071</v>
      </c>
      <c r="S134" s="190" t="str">
        <f t="shared" ref="S134" si="147">IFERROR(MAX(MIN(-S52/S49,S123),0),"")</f>
        <v/>
      </c>
      <c r="T134" s="191" t="str">
        <f t="shared" ref="T134:Y134" si="148">IFERROR(MAX(MIN(-T52/T49,T123),0),"")</f>
        <v/>
      </c>
      <c r="U134" s="190" t="str">
        <f t="shared" si="148"/>
        <v/>
      </c>
      <c r="V134" s="304" t="str">
        <f t="shared" si="148"/>
        <v/>
      </c>
      <c r="W134" s="304" t="str">
        <f t="shared" si="148"/>
        <v/>
      </c>
      <c r="X134" s="304" t="str">
        <f t="shared" si="148"/>
        <v/>
      </c>
      <c r="Y134" s="191" t="str">
        <f t="shared" si="148"/>
        <v/>
      </c>
      <c r="Z134" s="131"/>
      <c r="AA134" s="131"/>
      <c r="AB134" s="131"/>
      <c r="AC134" s="131"/>
      <c r="AD134" s="131"/>
      <c r="AE134" s="131"/>
      <c r="AF134" s="131"/>
      <c r="AG134" s="131"/>
      <c r="AH134" s="131"/>
      <c r="AI134" s="131"/>
      <c r="AJ134" s="131"/>
      <c r="AK134" s="131"/>
      <c r="AL134" s="131"/>
      <c r="AM134" s="131"/>
      <c r="AN134" s="131"/>
      <c r="AO134" s="131"/>
    </row>
    <row r="135" spans="1:41" outlineLevel="2" x14ac:dyDescent="0.55000000000000004">
      <c r="A135" s="150" t="s">
        <v>341</v>
      </c>
      <c r="B135" s="175" t="s">
        <v>342</v>
      </c>
      <c r="C135" s="190">
        <f t="shared" ref="C135" si="149">IFERROR(MAX(MIN(-C59/C56,C124),0),"")</f>
        <v>25.79985653957133</v>
      </c>
      <c r="D135" s="191">
        <f t="shared" ref="D135:I135" si="150">IFERROR(MAX(MIN(-D59/D56,D124),0),"")</f>
        <v>25.07618436977231</v>
      </c>
      <c r="E135" s="190">
        <f t="shared" si="150"/>
        <v>23.450211791935573</v>
      </c>
      <c r="F135" s="304">
        <f t="shared" si="150"/>
        <v>23.157109075698258</v>
      </c>
      <c r="G135" s="304">
        <f t="shared" si="150"/>
        <v>22.163047287574994</v>
      </c>
      <c r="H135" s="304">
        <f t="shared" si="150"/>
        <v>21.264562191488995</v>
      </c>
      <c r="I135" s="191">
        <f t="shared" si="150"/>
        <v>20.417366493985071</v>
      </c>
      <c r="K135" s="190">
        <f t="shared" ref="K135" si="151">IFERROR(MAX(MIN(-K59/K56,K124),0),"")</f>
        <v>25.79985653957133</v>
      </c>
      <c r="L135" s="191">
        <f t="shared" ref="L135:Q135" si="152">IFERROR(MAX(MIN(-L59/L56,L124),0),"")</f>
        <v>25.07618436977231</v>
      </c>
      <c r="M135" s="190">
        <f t="shared" si="152"/>
        <v>23.450211791935573</v>
      </c>
      <c r="N135" s="304">
        <f t="shared" si="152"/>
        <v>23.157109075698258</v>
      </c>
      <c r="O135" s="304">
        <f t="shared" si="152"/>
        <v>22.163047287574994</v>
      </c>
      <c r="P135" s="304">
        <f t="shared" si="152"/>
        <v>21.264562191488995</v>
      </c>
      <c r="Q135" s="191">
        <f t="shared" si="152"/>
        <v>20.417366493985071</v>
      </c>
      <c r="S135" s="190" t="str">
        <f t="shared" ref="S135" si="153">IFERROR(MAX(MIN(-S59/S56,S124),0),"")</f>
        <v/>
      </c>
      <c r="T135" s="191" t="str">
        <f t="shared" ref="T135:Y135" si="154">IFERROR(MAX(MIN(-T59/T56,T124),0),"")</f>
        <v/>
      </c>
      <c r="U135" s="190" t="str">
        <f t="shared" si="154"/>
        <v/>
      </c>
      <c r="V135" s="304" t="str">
        <f t="shared" si="154"/>
        <v/>
      </c>
      <c r="W135" s="304" t="str">
        <f t="shared" si="154"/>
        <v/>
      </c>
      <c r="X135" s="304" t="str">
        <f t="shared" si="154"/>
        <v/>
      </c>
      <c r="Y135" s="191" t="str">
        <f t="shared" si="154"/>
        <v/>
      </c>
      <c r="Z135" s="131"/>
      <c r="AA135" s="131"/>
      <c r="AB135" s="131"/>
      <c r="AC135" s="131"/>
      <c r="AD135" s="131"/>
      <c r="AE135" s="131"/>
      <c r="AF135" s="131"/>
      <c r="AG135" s="131"/>
      <c r="AH135" s="131"/>
      <c r="AI135" s="131"/>
      <c r="AJ135" s="131"/>
      <c r="AK135" s="131"/>
      <c r="AL135" s="131"/>
      <c r="AM135" s="131"/>
      <c r="AN135" s="131"/>
      <c r="AO135" s="131"/>
    </row>
    <row r="136" spans="1:41" outlineLevel="2" x14ac:dyDescent="0.55000000000000004">
      <c r="A136" s="150" t="s">
        <v>343</v>
      </c>
      <c r="B136" s="175" t="s">
        <v>115</v>
      </c>
      <c r="C136" s="190">
        <f t="shared" ref="C136" si="155">IFERROR(MAX(MIN(-C66/C63,C125),0),"")</f>
        <v>16.803785163390216</v>
      </c>
      <c r="D136" s="191">
        <f t="shared" ref="D136:I136" si="156">IFERROR(MAX(MIN(-D66/D63,D125),0),"")</f>
        <v>16.265676465831323</v>
      </c>
      <c r="E136" s="190">
        <f t="shared" si="156"/>
        <v>14.712988315652593</v>
      </c>
      <c r="F136" s="304">
        <f t="shared" si="156"/>
        <v>14.005464140339299</v>
      </c>
      <c r="G136" s="304">
        <f t="shared" si="156"/>
        <v>13.108555742937213</v>
      </c>
      <c r="H136" s="304">
        <f t="shared" si="156"/>
        <v>12.239809807156828</v>
      </c>
      <c r="I136" s="191">
        <f t="shared" si="156"/>
        <v>11.419735046511965</v>
      </c>
      <c r="K136" s="190">
        <f t="shared" ref="K136" si="157">IFERROR(MAX(MIN(-K66/K63,K125),0),"")</f>
        <v>16.803785163390216</v>
      </c>
      <c r="L136" s="191">
        <f t="shared" ref="L136:Q136" si="158">IFERROR(MAX(MIN(-L66/L63,L125),0),"")</f>
        <v>16.265676465831323</v>
      </c>
      <c r="M136" s="190">
        <f t="shared" si="158"/>
        <v>14.712988315652593</v>
      </c>
      <c r="N136" s="304">
        <f t="shared" si="158"/>
        <v>14.005464140339299</v>
      </c>
      <c r="O136" s="304">
        <f t="shared" si="158"/>
        <v>13.108555742937213</v>
      </c>
      <c r="P136" s="304">
        <f t="shared" si="158"/>
        <v>12.239809807156828</v>
      </c>
      <c r="Q136" s="191">
        <f t="shared" si="158"/>
        <v>11.419735046511965</v>
      </c>
      <c r="S136" s="190" t="str">
        <f t="shared" ref="S136" si="159">IFERROR(MAX(MIN(-S66/S63,S125),0),"")</f>
        <v/>
      </c>
      <c r="T136" s="191" t="str">
        <f t="shared" ref="T136:Y136" si="160">IFERROR(MAX(MIN(-T66/T63,T125),0),"")</f>
        <v/>
      </c>
      <c r="U136" s="190" t="str">
        <f t="shared" si="160"/>
        <v/>
      </c>
      <c r="V136" s="304" t="str">
        <f t="shared" si="160"/>
        <v/>
      </c>
      <c r="W136" s="304" t="str">
        <f t="shared" si="160"/>
        <v/>
      </c>
      <c r="X136" s="304" t="str">
        <f t="shared" si="160"/>
        <v/>
      </c>
      <c r="Y136" s="191" t="str">
        <f t="shared" si="160"/>
        <v/>
      </c>
      <c r="Z136" s="131"/>
      <c r="AA136" s="131"/>
      <c r="AB136" s="131"/>
      <c r="AC136" s="131"/>
      <c r="AD136" s="131"/>
      <c r="AE136" s="131"/>
      <c r="AF136" s="131"/>
      <c r="AG136" s="131"/>
      <c r="AH136" s="131"/>
      <c r="AI136" s="131"/>
      <c r="AJ136" s="131"/>
      <c r="AK136" s="131"/>
      <c r="AL136" s="131"/>
      <c r="AM136" s="131"/>
      <c r="AN136" s="131"/>
      <c r="AO136" s="131"/>
    </row>
    <row r="137" spans="1:41" outlineLevel="2" x14ac:dyDescent="0.55000000000000004">
      <c r="A137" s="150" t="s">
        <v>344</v>
      </c>
      <c r="B137" s="175" t="s">
        <v>122</v>
      </c>
      <c r="C137" s="190" t="str">
        <f t="shared" ref="C137" si="161">IFERROR(MAX(MIN(-C79/C76,C126),0),"")</f>
        <v/>
      </c>
      <c r="D137" s="191" t="str">
        <f t="shared" ref="D137:I137" si="162">IFERROR(MAX(MIN(-D79/D76,D126),0),"")</f>
        <v/>
      </c>
      <c r="E137" s="190" t="str">
        <f t="shared" si="162"/>
        <v/>
      </c>
      <c r="F137" s="304" t="str">
        <f t="shared" si="162"/>
        <v/>
      </c>
      <c r="G137" s="304" t="str">
        <f t="shared" si="162"/>
        <v/>
      </c>
      <c r="H137" s="304" t="str">
        <f t="shared" si="162"/>
        <v/>
      </c>
      <c r="I137" s="191" t="str">
        <f t="shared" si="162"/>
        <v/>
      </c>
      <c r="K137" s="190" t="str">
        <f t="shared" ref="K137" si="163">IFERROR(MAX(MIN(-K79/K76,K126),0),"")</f>
        <v/>
      </c>
      <c r="L137" s="191" t="str">
        <f t="shared" ref="L137:Q137" si="164">IFERROR(MAX(MIN(-L79/L76,L126),0),"")</f>
        <v/>
      </c>
      <c r="M137" s="190" t="str">
        <f t="shared" si="164"/>
        <v/>
      </c>
      <c r="N137" s="304" t="str">
        <f t="shared" si="164"/>
        <v/>
      </c>
      <c r="O137" s="304" t="str">
        <f t="shared" si="164"/>
        <v/>
      </c>
      <c r="P137" s="304" t="str">
        <f t="shared" si="164"/>
        <v/>
      </c>
      <c r="Q137" s="191" t="str">
        <f t="shared" si="164"/>
        <v/>
      </c>
      <c r="S137" s="190">
        <f t="shared" ref="S137" si="165">IFERROR(MAX(MIN(-S79/S76,S126),0),"")</f>
        <v>16</v>
      </c>
      <c r="T137" s="191">
        <f t="shared" ref="T137:Y137" si="166">IFERROR(MAX(MIN(-T79/T76,T126),0),"")</f>
        <v>16</v>
      </c>
      <c r="U137" s="190">
        <f t="shared" si="166"/>
        <v>13.992071381321827</v>
      </c>
      <c r="V137" s="304">
        <f t="shared" si="166"/>
        <v>13.14302096619854</v>
      </c>
      <c r="W137" s="304">
        <f t="shared" si="166"/>
        <v>13.140290040193944</v>
      </c>
      <c r="X137" s="304">
        <f t="shared" si="166"/>
        <v>12.547176748934112</v>
      </c>
      <c r="Y137" s="191">
        <f t="shared" si="166"/>
        <v>12.178488650144516</v>
      </c>
      <c r="Z137" s="131"/>
      <c r="AA137" s="131"/>
      <c r="AB137" s="131"/>
      <c r="AC137" s="131"/>
      <c r="AD137" s="131"/>
      <c r="AE137" s="131"/>
      <c r="AF137" s="131"/>
      <c r="AG137" s="131"/>
      <c r="AH137" s="131"/>
      <c r="AI137" s="131"/>
      <c r="AJ137" s="131"/>
      <c r="AK137" s="131"/>
      <c r="AL137" s="131"/>
      <c r="AM137" s="131"/>
      <c r="AN137" s="131"/>
      <c r="AO137" s="131"/>
    </row>
    <row r="138" spans="1:41" outlineLevel="2" x14ac:dyDescent="0.55000000000000004">
      <c r="A138" s="150" t="s">
        <v>345</v>
      </c>
      <c r="B138" s="175" t="s">
        <v>333</v>
      </c>
      <c r="C138" s="190">
        <f t="shared" ref="C138" si="167">IFERROR(MAX(MIN(-C86/C83,C127),0),"")</f>
        <v>12.220134228431021</v>
      </c>
      <c r="D138" s="191">
        <f t="shared" ref="D138:I138" si="168">IFERROR(MAX(MIN(-D86/D83,D127),0),"")</f>
        <v>14.327120240406806</v>
      </c>
      <c r="E138" s="190">
        <f t="shared" si="168"/>
        <v>9.2504301028469431</v>
      </c>
      <c r="F138" s="304">
        <f t="shared" si="168"/>
        <v>12.996745242284476</v>
      </c>
      <c r="G138" s="304">
        <f t="shared" si="168"/>
        <v>11.840111606402687</v>
      </c>
      <c r="H138" s="304">
        <f t="shared" si="168"/>
        <v>14.53452442763596</v>
      </c>
      <c r="I138" s="191">
        <f t="shared" si="168"/>
        <v>17.135557688906047</v>
      </c>
      <c r="K138" s="190">
        <f t="shared" ref="K138" si="169">IFERROR(MAX(MIN(-K86/K83,K127),0),"")</f>
        <v>12.220134228431021</v>
      </c>
      <c r="L138" s="191">
        <f t="shared" ref="L138:Q138" si="170">IFERROR(MAX(MIN(-L86/L83,L127),0),"")</f>
        <v>14.327120240406806</v>
      </c>
      <c r="M138" s="190">
        <f t="shared" si="170"/>
        <v>9.2504301028469431</v>
      </c>
      <c r="N138" s="304">
        <f t="shared" si="170"/>
        <v>12.996745242284476</v>
      </c>
      <c r="O138" s="304">
        <f t="shared" si="170"/>
        <v>11.840111606402687</v>
      </c>
      <c r="P138" s="304">
        <f t="shared" si="170"/>
        <v>14.53452442763596</v>
      </c>
      <c r="Q138" s="191">
        <f t="shared" si="170"/>
        <v>17.135557688906047</v>
      </c>
      <c r="S138" s="190">
        <f t="shared" ref="S138" si="171">IFERROR(MAX(MIN(-S86/S83,S127),0),"")</f>
        <v>20.220450217487354</v>
      </c>
      <c r="T138" s="191">
        <f t="shared" ref="T138:Y138" si="172">IFERROR(MAX(MIN(-T86/T83,T127),0),"")</f>
        <v>19.284596635548311</v>
      </c>
      <c r="U138" s="190">
        <f t="shared" si="172"/>
        <v>13.992071381321834</v>
      </c>
      <c r="V138" s="304">
        <f t="shared" si="172"/>
        <v>13.14302096619854</v>
      </c>
      <c r="W138" s="304">
        <f t="shared" si="172"/>
        <v>13.140290040193946</v>
      </c>
      <c r="X138" s="304">
        <f t="shared" si="172"/>
        <v>12.547176748934113</v>
      </c>
      <c r="Y138" s="191">
        <f t="shared" si="172"/>
        <v>12.178488650144514</v>
      </c>
      <c r="Z138" s="131"/>
      <c r="AA138" s="131"/>
      <c r="AB138" s="131"/>
      <c r="AC138" s="131"/>
      <c r="AD138" s="131"/>
      <c r="AE138" s="131"/>
      <c r="AF138" s="131"/>
      <c r="AG138" s="131"/>
      <c r="AH138" s="131"/>
      <c r="AI138" s="131"/>
      <c r="AJ138" s="131"/>
      <c r="AK138" s="131"/>
      <c r="AL138" s="131"/>
      <c r="AM138" s="131"/>
      <c r="AN138" s="131"/>
      <c r="AO138" s="131"/>
    </row>
    <row r="139" spans="1:41" ht="14.7" outlineLevel="2" thickBot="1" x14ac:dyDescent="0.6">
      <c r="A139" s="150" t="s">
        <v>346</v>
      </c>
      <c r="B139" s="159" t="s">
        <v>335</v>
      </c>
      <c r="C139" s="192">
        <f t="shared" ref="C139" si="173">IFERROR(MAX(MIN(-C93/C90,C128),0),"")</f>
        <v>4.4743353792480045</v>
      </c>
      <c r="D139" s="193">
        <f t="shared" ref="D139:I139" si="174">IFERROR(MAX(MIN(-D93/D90,D128),0),"")</f>
        <v>4.1124461299583963</v>
      </c>
      <c r="E139" s="192">
        <f t="shared" si="174"/>
        <v>6.9300161354856167</v>
      </c>
      <c r="F139" s="305">
        <f t="shared" si="174"/>
        <v>6.2132396230759506</v>
      </c>
      <c r="G139" s="305">
        <f t="shared" si="174"/>
        <v>6.9300161354856167</v>
      </c>
      <c r="H139" s="305">
        <f t="shared" si="174"/>
        <v>6.309397958880715</v>
      </c>
      <c r="I139" s="193">
        <f t="shared" si="174"/>
        <v>5.9520557683345254</v>
      </c>
      <c r="K139" s="192">
        <f t="shared" ref="K139" si="175">IFERROR(MAX(MIN(-K93/K90,K128),0),"")</f>
        <v>4.4743353792480045</v>
      </c>
      <c r="L139" s="193">
        <f t="shared" ref="L139:Q139" si="176">IFERROR(MAX(MIN(-L93/L90,L128),0),"")</f>
        <v>4.1124461299583963</v>
      </c>
      <c r="M139" s="192">
        <f t="shared" si="176"/>
        <v>6.9300161354856167</v>
      </c>
      <c r="N139" s="305">
        <f t="shared" si="176"/>
        <v>6.2132396230759506</v>
      </c>
      <c r="O139" s="305">
        <f t="shared" si="176"/>
        <v>6.9300161354856167</v>
      </c>
      <c r="P139" s="305">
        <f t="shared" si="176"/>
        <v>6.309397958880715</v>
      </c>
      <c r="Q139" s="193">
        <f t="shared" si="176"/>
        <v>5.9520557683345254</v>
      </c>
      <c r="S139" s="192">
        <f t="shared" ref="S139" si="177">IFERROR(MAX(MIN(-S93/S90,S128),0),"")</f>
        <v>6.9300161354856167</v>
      </c>
      <c r="T139" s="193">
        <f t="shared" ref="T139:Y139" si="178">IFERROR(MAX(MIN(-T93/T90,T128),0),"")</f>
        <v>6.9300161354856167</v>
      </c>
      <c r="U139" s="192">
        <f t="shared" si="178"/>
        <v>6.9300161354856167</v>
      </c>
      <c r="V139" s="305">
        <f t="shared" si="178"/>
        <v>6.9300161354856167</v>
      </c>
      <c r="W139" s="305">
        <f t="shared" si="178"/>
        <v>6.9300161354856167</v>
      </c>
      <c r="X139" s="305">
        <f t="shared" si="178"/>
        <v>6.9300161354856167</v>
      </c>
      <c r="Y139" s="193">
        <f t="shared" si="178"/>
        <v>6.9300161354856167</v>
      </c>
      <c r="Z139" s="131"/>
      <c r="AA139" s="131"/>
      <c r="AB139" s="131"/>
      <c r="AC139" s="131"/>
      <c r="AD139" s="131"/>
      <c r="AE139" s="131"/>
      <c r="AF139" s="131"/>
      <c r="AG139" s="131"/>
      <c r="AH139" s="131"/>
      <c r="AI139" s="131"/>
      <c r="AJ139" s="131"/>
      <c r="AK139" s="131"/>
      <c r="AL139" s="131"/>
      <c r="AM139" s="131"/>
      <c r="AN139" s="131"/>
      <c r="AO139" s="131"/>
    </row>
    <row r="140" spans="1:41" outlineLevel="1" x14ac:dyDescent="0.55000000000000004">
      <c r="A140" s="137"/>
      <c r="B140" s="131"/>
      <c r="C140" s="131"/>
      <c r="D140" s="131"/>
      <c r="E140" s="131"/>
      <c r="F140" s="131"/>
      <c r="G140" s="131"/>
      <c r="H140" s="131"/>
      <c r="I140" s="131"/>
      <c r="K140" s="131"/>
      <c r="L140" s="131"/>
      <c r="M140" s="131"/>
      <c r="N140" s="131"/>
      <c r="O140" s="131"/>
      <c r="P140" s="131"/>
      <c r="Q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row>
    <row r="141" spans="1:41" outlineLevel="1" x14ac:dyDescent="0.55000000000000004">
      <c r="A141" s="137"/>
      <c r="B141" s="131"/>
      <c r="C141" s="131"/>
      <c r="D141" s="131"/>
      <c r="E141" s="131"/>
      <c r="F141" s="131"/>
      <c r="G141" s="131"/>
      <c r="H141" s="131"/>
      <c r="I141" s="131"/>
      <c r="K141" s="131"/>
      <c r="L141" s="131"/>
      <c r="M141" s="131"/>
      <c r="N141" s="131"/>
      <c r="O141" s="131"/>
      <c r="P141" s="131"/>
      <c r="Q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row>
    <row r="142" spans="1:41" x14ac:dyDescent="0.55000000000000004">
      <c r="A142" s="137"/>
      <c r="S142" s="131"/>
      <c r="T142" s="131"/>
      <c r="U142" s="131"/>
      <c r="V142" s="131"/>
      <c r="W142" s="131"/>
      <c r="X142" s="131"/>
      <c r="Y142" s="131"/>
      <c r="Z142" s="131"/>
      <c r="AA142" s="131"/>
      <c r="AB142" s="131"/>
      <c r="AC142" s="131"/>
      <c r="AD142" s="131"/>
      <c r="AE142" s="131"/>
      <c r="AF142" s="131"/>
      <c r="AG142" s="131"/>
      <c r="AH142" s="131"/>
    </row>
    <row r="143" spans="1:41" x14ac:dyDescent="0.55000000000000004">
      <c r="A143" s="137"/>
      <c r="B143" s="131"/>
      <c r="C143" s="131"/>
      <c r="D143" s="131"/>
      <c r="E143" s="131"/>
      <c r="F143" s="131"/>
      <c r="G143" s="131"/>
      <c r="H143" s="131"/>
      <c r="I143" s="131"/>
      <c r="K143" s="131"/>
      <c r="L143" s="131"/>
      <c r="M143" s="131"/>
      <c r="N143" s="131"/>
      <c r="O143" s="131"/>
      <c r="P143" s="131"/>
      <c r="Q143" s="131"/>
      <c r="S143" s="131"/>
      <c r="T143" s="131"/>
      <c r="U143" s="131"/>
      <c r="V143" s="131"/>
      <c r="W143" s="131"/>
      <c r="X143" s="131"/>
      <c r="Y143" s="131"/>
      <c r="Z143" s="131"/>
      <c r="AA143" s="131"/>
      <c r="AB143" s="131"/>
      <c r="AC143" s="131"/>
      <c r="AD143" s="131"/>
      <c r="AE143" s="131"/>
      <c r="AF143" s="131"/>
      <c r="AG143" s="131"/>
      <c r="AH143" s="131"/>
    </row>
    <row r="144" spans="1:41" x14ac:dyDescent="0.55000000000000004">
      <c r="A144" s="137"/>
      <c r="B144" s="131"/>
      <c r="C144" s="131"/>
      <c r="D144" s="131"/>
      <c r="E144" s="131"/>
      <c r="F144" s="131"/>
      <c r="G144" s="131"/>
      <c r="H144" s="131"/>
      <c r="I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row>
    <row r="145" spans="1:34" x14ac:dyDescent="0.55000000000000004">
      <c r="A145" s="137"/>
      <c r="B145" s="131"/>
      <c r="C145" s="131"/>
      <c r="D145" s="131"/>
      <c r="E145" s="131"/>
      <c r="F145" s="131"/>
      <c r="G145" s="131"/>
      <c r="H145" s="131"/>
      <c r="I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row>
    <row r="146" spans="1:34" x14ac:dyDescent="0.55000000000000004">
      <c r="A146" s="137"/>
      <c r="B146" s="131"/>
      <c r="C146" s="131"/>
      <c r="D146" s="131"/>
      <c r="E146" s="131"/>
      <c r="F146" s="131"/>
      <c r="G146" s="131"/>
      <c r="H146" s="131"/>
      <c r="I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row>
    <row r="147" spans="1:34" x14ac:dyDescent="0.55000000000000004">
      <c r="B147" s="131"/>
      <c r="C147" s="131"/>
      <c r="D147" s="131"/>
      <c r="E147" s="131"/>
      <c r="F147" s="131"/>
      <c r="G147" s="131"/>
      <c r="H147" s="131"/>
      <c r="I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row>
    <row r="148" spans="1:34" x14ac:dyDescent="0.55000000000000004">
      <c r="B148" s="131"/>
      <c r="C148" s="131"/>
      <c r="D148" s="131"/>
      <c r="E148" s="131"/>
      <c r="F148" s="131"/>
      <c r="G148" s="131"/>
      <c r="H148" s="131"/>
      <c r="I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row>
    <row r="149" spans="1:34" x14ac:dyDescent="0.55000000000000004">
      <c r="B149" s="131"/>
      <c r="C149" s="131"/>
      <c r="D149" s="131"/>
      <c r="E149" s="131"/>
      <c r="F149" s="131"/>
      <c r="G149" s="131"/>
      <c r="H149" s="131"/>
      <c r="I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row>
    <row r="150" spans="1:34" x14ac:dyDescent="0.55000000000000004">
      <c r="B150" s="131"/>
      <c r="C150" s="131"/>
      <c r="D150" s="131"/>
      <c r="E150" s="131"/>
      <c r="F150" s="131"/>
      <c r="G150" s="131"/>
      <c r="H150" s="131"/>
      <c r="I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row>
    <row r="151" spans="1:34" x14ac:dyDescent="0.55000000000000004">
      <c r="B151" s="131"/>
      <c r="C151" s="131"/>
      <c r="D151" s="131"/>
      <c r="E151" s="131"/>
      <c r="F151" s="131"/>
      <c r="G151" s="131"/>
      <c r="H151" s="131"/>
      <c r="I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row>
    <row r="152" spans="1:34" x14ac:dyDescent="0.55000000000000004">
      <c r="B152" s="131"/>
      <c r="C152" s="131"/>
      <c r="D152" s="131"/>
      <c r="E152" s="131"/>
      <c r="F152" s="131"/>
      <c r="G152" s="131"/>
      <c r="H152" s="131"/>
      <c r="I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row>
    <row r="153" spans="1:34" x14ac:dyDescent="0.55000000000000004">
      <c r="B153" s="131"/>
      <c r="C153" s="131"/>
      <c r="D153" s="131"/>
      <c r="E153" s="131"/>
      <c r="F153" s="131"/>
      <c r="G153" s="131"/>
      <c r="H153" s="131"/>
      <c r="I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row>
    <row r="154" spans="1:34" x14ac:dyDescent="0.55000000000000004">
      <c r="B154" s="131"/>
      <c r="C154" s="131"/>
      <c r="D154" s="131"/>
      <c r="E154" s="131"/>
      <c r="F154" s="131"/>
      <c r="G154" s="131"/>
      <c r="H154" s="131"/>
      <c r="I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row>
    <row r="155" spans="1:34" x14ac:dyDescent="0.55000000000000004">
      <c r="B155" s="131"/>
      <c r="C155" s="131"/>
      <c r="D155" s="131"/>
      <c r="E155" s="131"/>
      <c r="F155" s="131"/>
      <c r="G155" s="131"/>
      <c r="H155" s="131"/>
      <c r="I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row>
    <row r="156" spans="1:34" x14ac:dyDescent="0.55000000000000004">
      <c r="B156" s="131"/>
      <c r="C156" s="131"/>
      <c r="D156" s="131"/>
      <c r="E156" s="131"/>
      <c r="F156" s="131"/>
      <c r="G156" s="131"/>
      <c r="H156" s="131"/>
      <c r="I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row>
    <row r="157" spans="1:34" x14ac:dyDescent="0.55000000000000004">
      <c r="B157" s="131"/>
      <c r="C157" s="131"/>
      <c r="D157" s="131"/>
      <c r="E157" s="131"/>
      <c r="F157" s="131"/>
      <c r="G157" s="131"/>
      <c r="H157" s="131"/>
      <c r="I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row>
    <row r="158" spans="1:34" x14ac:dyDescent="0.55000000000000004">
      <c r="B158" s="131"/>
      <c r="C158" s="131"/>
      <c r="D158" s="131"/>
      <c r="E158" s="131"/>
      <c r="F158" s="131"/>
      <c r="G158" s="131"/>
      <c r="H158" s="131"/>
      <c r="I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row>
    <row r="159" spans="1:34" x14ac:dyDescent="0.55000000000000004">
      <c r="B159" s="131"/>
      <c r="C159" s="131"/>
      <c r="D159" s="131"/>
      <c r="E159" s="131"/>
      <c r="F159" s="131"/>
      <c r="G159" s="131"/>
      <c r="H159" s="131"/>
      <c r="I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row>
    <row r="160" spans="1:34" x14ac:dyDescent="0.55000000000000004">
      <c r="B160" s="131"/>
      <c r="C160" s="131"/>
      <c r="D160" s="131"/>
      <c r="E160" s="131"/>
      <c r="F160" s="131"/>
      <c r="G160" s="131"/>
      <c r="H160" s="131"/>
      <c r="I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row>
    <row r="161" spans="2:34" x14ac:dyDescent="0.55000000000000004">
      <c r="B161" s="131"/>
      <c r="C161" s="131"/>
      <c r="D161" s="131"/>
      <c r="E161" s="131"/>
      <c r="F161" s="131"/>
      <c r="G161" s="131"/>
      <c r="H161" s="131"/>
      <c r="I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row>
    <row r="162" spans="2:34" x14ac:dyDescent="0.55000000000000004">
      <c r="B162" s="131"/>
      <c r="C162" s="131"/>
      <c r="D162" s="131"/>
      <c r="E162" s="131"/>
      <c r="F162" s="131"/>
      <c r="G162" s="131"/>
      <c r="H162" s="131"/>
      <c r="I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row>
    <row r="163" spans="2:34" x14ac:dyDescent="0.55000000000000004">
      <c r="B163" s="131"/>
      <c r="C163" s="131"/>
      <c r="D163" s="131"/>
      <c r="E163" s="131"/>
      <c r="F163" s="131"/>
      <c r="G163" s="131"/>
      <c r="H163" s="131"/>
      <c r="I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row>
    <row r="164" spans="2:34" x14ac:dyDescent="0.55000000000000004">
      <c r="B164" s="131"/>
      <c r="C164" s="131"/>
      <c r="D164" s="131"/>
      <c r="E164" s="131"/>
      <c r="F164" s="131"/>
      <c r="G164" s="131"/>
      <c r="H164" s="131"/>
      <c r="I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row>
    <row r="165" spans="2:34" x14ac:dyDescent="0.55000000000000004">
      <c r="B165" s="131"/>
      <c r="C165" s="131"/>
      <c r="D165" s="131"/>
      <c r="E165" s="131"/>
      <c r="F165" s="131"/>
      <c r="G165" s="131"/>
      <c r="H165" s="131"/>
      <c r="I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row>
    <row r="166" spans="2:34" x14ac:dyDescent="0.55000000000000004">
      <c r="B166" s="131"/>
      <c r="C166" s="131"/>
      <c r="D166" s="131"/>
      <c r="E166" s="131"/>
      <c r="F166" s="131"/>
      <c r="G166" s="131"/>
      <c r="H166" s="131"/>
      <c r="I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row>
    <row r="167" spans="2:34" x14ac:dyDescent="0.55000000000000004">
      <c r="B167" s="131"/>
      <c r="C167" s="131"/>
      <c r="D167" s="131"/>
      <c r="E167" s="131"/>
      <c r="F167" s="131"/>
      <c r="G167" s="131"/>
      <c r="H167" s="131"/>
      <c r="I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row>
    <row r="168" spans="2:34" x14ac:dyDescent="0.55000000000000004">
      <c r="B168" s="131"/>
      <c r="C168" s="131"/>
      <c r="D168" s="131"/>
      <c r="E168" s="131"/>
      <c r="F168" s="131"/>
      <c r="G168" s="131"/>
      <c r="H168" s="131"/>
      <c r="I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row>
    <row r="169" spans="2:34" x14ac:dyDescent="0.55000000000000004">
      <c r="B169" s="131"/>
      <c r="C169" s="131"/>
      <c r="D169" s="131"/>
      <c r="E169" s="131"/>
      <c r="F169" s="131"/>
      <c r="G169" s="131"/>
      <c r="H169" s="131"/>
      <c r="I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row>
    <row r="170" spans="2:34" x14ac:dyDescent="0.55000000000000004">
      <c r="B170" s="131"/>
      <c r="C170" s="131"/>
      <c r="D170" s="131"/>
      <c r="E170" s="131"/>
      <c r="F170" s="131"/>
      <c r="G170" s="131"/>
      <c r="H170" s="131"/>
      <c r="I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row>
    <row r="171" spans="2:34" x14ac:dyDescent="0.55000000000000004">
      <c r="B171" s="131"/>
      <c r="C171" s="131"/>
      <c r="D171" s="131"/>
      <c r="E171" s="131"/>
      <c r="F171" s="131"/>
      <c r="G171" s="131"/>
      <c r="H171" s="131"/>
      <c r="I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row>
    <row r="172" spans="2:34" x14ac:dyDescent="0.55000000000000004">
      <c r="B172" s="131"/>
      <c r="C172" s="131"/>
      <c r="D172" s="131"/>
      <c r="E172" s="131"/>
      <c r="F172" s="131"/>
      <c r="G172" s="131"/>
      <c r="H172" s="131"/>
      <c r="I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row>
    <row r="173" spans="2:34" x14ac:dyDescent="0.55000000000000004">
      <c r="B173" s="131"/>
      <c r="C173" s="131"/>
      <c r="D173" s="131"/>
      <c r="E173" s="131"/>
      <c r="F173" s="131"/>
      <c r="G173" s="131"/>
      <c r="H173" s="131"/>
      <c r="I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row>
    <row r="174" spans="2:34" x14ac:dyDescent="0.55000000000000004">
      <c r="B174" s="131"/>
      <c r="C174" s="131"/>
      <c r="D174" s="131"/>
      <c r="E174" s="131"/>
      <c r="F174" s="131"/>
      <c r="G174" s="131"/>
      <c r="H174" s="131"/>
      <c r="I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row>
    <row r="175" spans="2:34" x14ac:dyDescent="0.55000000000000004">
      <c r="B175" s="131"/>
      <c r="C175" s="131"/>
      <c r="D175" s="131"/>
      <c r="E175" s="131"/>
      <c r="F175" s="131"/>
      <c r="G175" s="131"/>
      <c r="H175" s="131"/>
      <c r="I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row>
    <row r="176" spans="2:34" x14ac:dyDescent="0.55000000000000004">
      <c r="B176" s="131"/>
      <c r="C176" s="131"/>
      <c r="D176" s="131"/>
      <c r="E176" s="131"/>
      <c r="F176" s="131"/>
      <c r="G176" s="131"/>
      <c r="H176" s="131"/>
      <c r="I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row>
    <row r="177" spans="2:34" x14ac:dyDescent="0.55000000000000004">
      <c r="B177" s="131"/>
      <c r="C177" s="131"/>
      <c r="D177" s="131"/>
      <c r="E177" s="131"/>
      <c r="F177" s="131"/>
      <c r="G177" s="131"/>
      <c r="H177" s="131"/>
      <c r="I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row>
    <row r="178" spans="2:34" x14ac:dyDescent="0.55000000000000004">
      <c r="B178" s="131"/>
      <c r="C178" s="131"/>
      <c r="D178" s="131"/>
      <c r="E178" s="131"/>
      <c r="F178" s="131"/>
      <c r="G178" s="131"/>
      <c r="H178" s="131"/>
      <c r="I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row>
    <row r="179" spans="2:34" x14ac:dyDescent="0.55000000000000004">
      <c r="B179" s="131"/>
      <c r="C179" s="131"/>
      <c r="D179" s="131"/>
      <c r="E179" s="131"/>
      <c r="F179" s="131"/>
      <c r="G179" s="131"/>
      <c r="H179" s="131"/>
      <c r="I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row>
    <row r="180" spans="2:34" x14ac:dyDescent="0.55000000000000004">
      <c r="B180" s="131"/>
      <c r="C180" s="131"/>
      <c r="D180" s="131"/>
      <c r="E180" s="131"/>
      <c r="F180" s="131"/>
      <c r="G180" s="131"/>
      <c r="H180" s="131"/>
      <c r="I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row>
    <row r="181" spans="2:34" x14ac:dyDescent="0.55000000000000004">
      <c r="B181" s="131"/>
      <c r="C181" s="131"/>
      <c r="D181" s="131"/>
      <c r="E181" s="131"/>
      <c r="F181" s="131"/>
      <c r="G181" s="131"/>
      <c r="H181" s="131"/>
      <c r="I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row>
    <row r="182" spans="2:34" x14ac:dyDescent="0.55000000000000004">
      <c r="B182" s="131"/>
      <c r="C182" s="131"/>
      <c r="D182" s="131"/>
      <c r="E182" s="131"/>
      <c r="F182" s="131"/>
      <c r="G182" s="131"/>
      <c r="H182" s="131"/>
      <c r="I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row>
    <row r="183" spans="2:34" x14ac:dyDescent="0.55000000000000004">
      <c r="B183" s="131"/>
      <c r="C183" s="131"/>
      <c r="D183" s="131"/>
      <c r="E183" s="131"/>
      <c r="F183" s="131"/>
      <c r="G183" s="131"/>
      <c r="H183" s="131"/>
      <c r="I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row>
    <row r="184" spans="2:34" x14ac:dyDescent="0.55000000000000004">
      <c r="B184" s="131"/>
      <c r="C184" s="131"/>
      <c r="D184" s="131"/>
      <c r="E184" s="131"/>
      <c r="F184" s="131"/>
      <c r="G184" s="131"/>
      <c r="H184" s="131"/>
      <c r="I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row>
    <row r="185" spans="2:34" x14ac:dyDescent="0.55000000000000004">
      <c r="B185" s="131"/>
      <c r="C185" s="131"/>
      <c r="D185" s="131"/>
      <c r="E185" s="131"/>
      <c r="F185" s="131"/>
      <c r="G185" s="131"/>
      <c r="H185" s="131"/>
      <c r="I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row>
    <row r="186" spans="2:34" x14ac:dyDescent="0.55000000000000004">
      <c r="B186" s="131"/>
      <c r="C186" s="131"/>
      <c r="D186" s="131"/>
      <c r="E186" s="131"/>
      <c r="F186" s="131"/>
      <c r="G186" s="131"/>
      <c r="H186" s="131"/>
      <c r="I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row>
    <row r="187" spans="2:34" x14ac:dyDescent="0.55000000000000004">
      <c r="B187" s="131"/>
      <c r="C187" s="131"/>
      <c r="D187" s="131"/>
      <c r="E187" s="131"/>
      <c r="F187" s="131"/>
      <c r="G187" s="131"/>
      <c r="H187" s="131"/>
      <c r="I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row>
    <row r="188" spans="2:34" x14ac:dyDescent="0.55000000000000004">
      <c r="B188" s="131"/>
      <c r="C188" s="131"/>
      <c r="D188" s="131"/>
      <c r="E188" s="131"/>
      <c r="F188" s="131"/>
      <c r="G188" s="131"/>
      <c r="H188" s="131"/>
      <c r="I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row>
    <row r="189" spans="2:34" x14ac:dyDescent="0.55000000000000004">
      <c r="B189" s="131"/>
      <c r="C189" s="131"/>
      <c r="D189" s="131"/>
      <c r="E189" s="131"/>
      <c r="F189" s="131"/>
      <c r="G189" s="131"/>
      <c r="H189" s="131"/>
      <c r="I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row>
    <row r="190" spans="2:34" x14ac:dyDescent="0.55000000000000004">
      <c r="B190" s="131"/>
      <c r="C190" s="131"/>
      <c r="D190" s="131"/>
      <c r="E190" s="131"/>
      <c r="F190" s="131"/>
      <c r="G190" s="131"/>
      <c r="H190" s="131"/>
      <c r="I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row>
    <row r="191" spans="2:34" x14ac:dyDescent="0.55000000000000004">
      <c r="B191" s="131"/>
      <c r="C191" s="131"/>
      <c r="D191" s="131"/>
      <c r="E191" s="131"/>
      <c r="F191" s="131"/>
      <c r="G191" s="131"/>
      <c r="H191" s="131"/>
      <c r="I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row>
    <row r="192" spans="2:34" x14ac:dyDescent="0.55000000000000004">
      <c r="B192" s="131"/>
      <c r="C192" s="131"/>
      <c r="D192" s="131"/>
      <c r="E192" s="131"/>
      <c r="F192" s="131"/>
      <c r="G192" s="131"/>
      <c r="H192" s="131"/>
      <c r="I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row>
    <row r="193" spans="2:34" x14ac:dyDescent="0.55000000000000004">
      <c r="B193" s="131"/>
      <c r="C193" s="131"/>
      <c r="D193" s="131"/>
      <c r="E193" s="131"/>
      <c r="F193" s="131"/>
      <c r="G193" s="131"/>
      <c r="H193" s="131"/>
      <c r="I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row>
    <row r="194" spans="2:34" x14ac:dyDescent="0.55000000000000004">
      <c r="B194" s="131"/>
      <c r="C194" s="131"/>
      <c r="D194" s="131"/>
      <c r="E194" s="131"/>
      <c r="F194" s="131"/>
      <c r="G194" s="131"/>
      <c r="H194" s="131"/>
      <c r="I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row>
    <row r="195" spans="2:34" x14ac:dyDescent="0.55000000000000004">
      <c r="B195" s="131"/>
      <c r="C195" s="131"/>
      <c r="D195" s="131"/>
      <c r="E195" s="131"/>
      <c r="F195" s="131"/>
      <c r="G195" s="131"/>
      <c r="H195" s="131"/>
      <c r="I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row>
    <row r="196" spans="2:34" x14ac:dyDescent="0.55000000000000004">
      <c r="B196" s="131"/>
      <c r="C196" s="131"/>
      <c r="D196" s="131"/>
      <c r="E196" s="131"/>
      <c r="F196" s="131"/>
      <c r="G196" s="131"/>
      <c r="H196" s="131"/>
      <c r="I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row>
    <row r="197" spans="2:34" x14ac:dyDescent="0.55000000000000004">
      <c r="B197" s="131"/>
      <c r="C197" s="131"/>
      <c r="D197" s="131"/>
      <c r="E197" s="131"/>
      <c r="F197" s="131"/>
      <c r="G197" s="131"/>
      <c r="H197" s="131"/>
      <c r="I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row>
    <row r="198" spans="2:34" x14ac:dyDescent="0.55000000000000004">
      <c r="B198" s="131"/>
      <c r="C198" s="131"/>
      <c r="D198" s="131"/>
      <c r="E198" s="131"/>
      <c r="F198" s="131"/>
      <c r="G198" s="131"/>
      <c r="H198" s="131"/>
      <c r="I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row>
    <row r="199" spans="2:34" x14ac:dyDescent="0.55000000000000004">
      <c r="B199" s="131"/>
      <c r="C199" s="131"/>
      <c r="D199" s="131"/>
      <c r="E199" s="131"/>
      <c r="F199" s="131"/>
      <c r="G199" s="131"/>
      <c r="H199" s="131"/>
      <c r="I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row>
    <row r="200" spans="2:34" x14ac:dyDescent="0.55000000000000004">
      <c r="B200" s="131"/>
      <c r="C200" s="131"/>
      <c r="D200" s="131"/>
      <c r="E200" s="131"/>
      <c r="F200" s="131"/>
      <c r="G200" s="131"/>
      <c r="H200" s="131"/>
      <c r="I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row>
    <row r="201" spans="2:34" x14ac:dyDescent="0.55000000000000004">
      <c r="B201" s="131"/>
      <c r="C201" s="131"/>
      <c r="D201" s="131"/>
      <c r="E201" s="131"/>
      <c r="F201" s="131"/>
      <c r="G201" s="131"/>
      <c r="H201" s="131"/>
      <c r="I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row>
    <row r="202" spans="2:34" x14ac:dyDescent="0.55000000000000004">
      <c r="B202" s="131"/>
      <c r="C202" s="131"/>
      <c r="D202" s="131"/>
      <c r="E202" s="131"/>
      <c r="F202" s="131"/>
      <c r="G202" s="131"/>
      <c r="H202" s="131"/>
      <c r="I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row>
    <row r="203" spans="2:34" x14ac:dyDescent="0.55000000000000004">
      <c r="B203" s="131"/>
      <c r="C203" s="131"/>
      <c r="D203" s="131"/>
      <c r="E203" s="131"/>
      <c r="F203" s="131"/>
      <c r="G203" s="131"/>
      <c r="H203" s="131"/>
      <c r="I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row>
    <row r="204" spans="2:34" x14ac:dyDescent="0.55000000000000004">
      <c r="B204" s="131"/>
      <c r="C204" s="131"/>
      <c r="D204" s="131"/>
      <c r="E204" s="131"/>
      <c r="F204" s="131"/>
      <c r="G204" s="131"/>
      <c r="H204" s="131"/>
      <c r="I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row>
  </sheetData>
  <mergeCells count="6">
    <mergeCell ref="C116:I116"/>
    <mergeCell ref="K116:Q116"/>
    <mergeCell ref="S116:Y116"/>
    <mergeCell ref="C117:I117"/>
    <mergeCell ref="K117:Q117"/>
    <mergeCell ref="S117:Y117"/>
  </mergeCells>
  <dataValidations count="1">
    <dataValidation allowBlank="1" showInputMessage="1" showErrorMessage="1" sqref="L24:Q24 T24:Y24 C102:Y141 D24:I24 K11:Q11 C11:I11 C25:Y98 S11:Y11 C13:Y21" xr:uid="{FA124E9A-BE36-4F20-9054-F4BBA071968A}"/>
  </dataValidations>
  <pageMargins left="0.7" right="0.7" top="0.75" bottom="0.75" header="0.3" footer="0.3"/>
  <pageSetup paperSize="8" scale="56" fitToHeight="0" orientation="landscape" r:id="rId1"/>
  <rowBreaks count="2" manualBreakCount="2">
    <brk id="59" max="16383" man="1"/>
    <brk id="12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dimension ref="B1:AE161"/>
  <sheetViews>
    <sheetView showGridLine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33203125" defaultRowHeight="10.199999999999999" outlineLevelRow="1" x14ac:dyDescent="0.35"/>
  <cols>
    <col min="1" max="3" width="2.796875" customWidth="1"/>
    <col min="4" max="4" width="34" customWidth="1"/>
    <col min="5" max="6" width="30.796875" customWidth="1"/>
    <col min="7" max="9" width="10.796875" customWidth="1"/>
    <col min="10" max="28" width="12.796875" customWidth="1"/>
    <col min="29" max="35" width="10.796875" customWidth="1"/>
  </cols>
  <sheetData>
    <row r="1" spans="2:28" ht="18.899999999999999" x14ac:dyDescent="0.35">
      <c r="B1" s="3" t="s">
        <v>449</v>
      </c>
    </row>
    <row r="2" spans="2:28" x14ac:dyDescent="0.35">
      <c r="B2" s="13" t="str">
        <f>Title_Msg</f>
        <v>No Errors Found</v>
      </c>
    </row>
    <row r="3" spans="2:28" x14ac:dyDescent="0.35">
      <c r="B3" s="30" t="str">
        <f>TOC!B1</f>
        <v>Table of Contents</v>
      </c>
      <c r="C3" s="28"/>
      <c r="D3" s="28"/>
      <c r="E3" s="28"/>
    </row>
    <row r="4" spans="2:28" ht="12.3" x14ac:dyDescent="0.35">
      <c r="B4" s="27" t="str">
        <f>Model_Name</f>
        <v>Power and Water Corporation (PWC) - RAB Allocation - EB RIN</v>
      </c>
    </row>
    <row r="6" spans="2:28" s="2" customFormat="1" ht="15" x14ac:dyDescent="0.35">
      <c r="B6" s="2" t="s">
        <v>450</v>
      </c>
    </row>
    <row r="7" spans="2:28" ht="6.75" customHeight="1" x14ac:dyDescent="0.35"/>
    <row r="8" spans="2:28" s="8" customFormat="1" ht="14.1" x14ac:dyDescent="0.35">
      <c r="C8" s="8" t="s">
        <v>451</v>
      </c>
    </row>
    <row r="9" spans="2:28" x14ac:dyDescent="0.35">
      <c r="D9" s="1"/>
    </row>
    <row r="10" spans="2:28" ht="12.3" x14ac:dyDescent="0.35">
      <c r="D10" s="11" t="s">
        <v>454</v>
      </c>
      <c r="E10" s="31">
        <v>40360</v>
      </c>
    </row>
    <row r="11" spans="2:28" ht="12.3" x14ac:dyDescent="0.35">
      <c r="D11" s="11" t="s">
        <v>455</v>
      </c>
      <c r="E11" s="12">
        <v>2022</v>
      </c>
      <c r="L11" s="18"/>
      <c r="M11" s="19"/>
      <c r="N11" s="19"/>
      <c r="O11" s="19"/>
    </row>
    <row r="12" spans="2:28" x14ac:dyDescent="0.35">
      <c r="L12" s="18"/>
      <c r="M12" s="19"/>
      <c r="N12" s="19"/>
      <c r="O12" s="19"/>
    </row>
    <row r="13" spans="2:28" s="8" customFormat="1" ht="14.1" x14ac:dyDescent="0.35">
      <c r="C13" s="8" t="s">
        <v>452</v>
      </c>
    </row>
    <row r="14" spans="2:28" x14ac:dyDescent="0.35">
      <c r="L14" s="18"/>
      <c r="M14" s="19"/>
      <c r="N14" s="19"/>
      <c r="O14" s="19"/>
    </row>
    <row r="15" spans="2:28" ht="12.3" hidden="1" outlineLevel="1" x14ac:dyDescent="0.35">
      <c r="B15" s="11" t="s">
        <v>453</v>
      </c>
      <c r="J15" s="32">
        <f t="shared" ref="J15:R15" si="0">IF(J17=1,Model_Start_Date,I16+1)</f>
        <v>40360</v>
      </c>
      <c r="K15" s="32">
        <f t="shared" si="0"/>
        <v>40725</v>
      </c>
      <c r="L15" s="32">
        <f t="shared" si="0"/>
        <v>41091</v>
      </c>
      <c r="M15" s="32">
        <f t="shared" si="0"/>
        <v>41456</v>
      </c>
      <c r="N15" s="32">
        <f t="shared" si="0"/>
        <v>41821</v>
      </c>
      <c r="O15" s="32">
        <f t="shared" si="0"/>
        <v>42186</v>
      </c>
      <c r="P15" s="32">
        <f t="shared" si="0"/>
        <v>42552</v>
      </c>
      <c r="Q15" s="32">
        <f t="shared" si="0"/>
        <v>42917</v>
      </c>
      <c r="R15" s="32">
        <f t="shared" si="0"/>
        <v>43282</v>
      </c>
      <c r="S15" s="32">
        <f t="shared" ref="S15" si="1">IF(S17=1,Model_Start_Date,R16+1)</f>
        <v>43647</v>
      </c>
      <c r="T15" s="32">
        <f t="shared" ref="T15" si="2">IF(T17=1,Model_Start_Date,S16+1)</f>
        <v>44013</v>
      </c>
      <c r="U15" s="32">
        <f t="shared" ref="U15" si="3">IF(U17=1,Model_Start_Date,T16+1)</f>
        <v>44378</v>
      </c>
      <c r="V15" s="32">
        <f t="shared" ref="V15" si="4">IF(V17=1,Model_Start_Date,U16+1)</f>
        <v>44743</v>
      </c>
      <c r="W15" s="32">
        <f t="shared" ref="W15" si="5">IF(W17=1,Model_Start_Date,V16+1)</f>
        <v>45108</v>
      </c>
      <c r="X15" s="32">
        <f t="shared" ref="X15" si="6">IF(X17=1,Model_Start_Date,W16+1)</f>
        <v>45474</v>
      </c>
      <c r="Y15" s="32">
        <f t="shared" ref="Y15" si="7">IF(Y17=1,Model_Start_Date,X16+1)</f>
        <v>45839</v>
      </c>
      <c r="Z15" s="32">
        <f t="shared" ref="Z15" si="8">IF(Z17=1,Model_Start_Date,Y16+1)</f>
        <v>46204</v>
      </c>
      <c r="AA15" s="32">
        <f t="shared" ref="AA15" si="9">IF(AA17=1,Model_Start_Date,Z16+1)</f>
        <v>46569</v>
      </c>
      <c r="AB15" s="32">
        <f t="shared" ref="AB15" si="10">IF(AB17=1,Model_Start_Date,AA16+1)</f>
        <v>46935</v>
      </c>
    </row>
    <row r="16" spans="2:28" ht="12.3" hidden="1" outlineLevel="1" x14ac:dyDescent="0.35">
      <c r="B16" s="11" t="s">
        <v>456</v>
      </c>
      <c r="J16" s="32">
        <f t="shared" ref="J16:R16" si="11">EOMONTH(J15,Mths_In_Yr-1)</f>
        <v>40724</v>
      </c>
      <c r="K16" s="32">
        <f t="shared" si="11"/>
        <v>41090</v>
      </c>
      <c r="L16" s="32">
        <f t="shared" si="11"/>
        <v>41455</v>
      </c>
      <c r="M16" s="32">
        <f t="shared" si="11"/>
        <v>41820</v>
      </c>
      <c r="N16" s="32">
        <f t="shared" si="11"/>
        <v>42185</v>
      </c>
      <c r="O16" s="32">
        <f t="shared" si="11"/>
        <v>42551</v>
      </c>
      <c r="P16" s="32">
        <f t="shared" si="11"/>
        <v>42916</v>
      </c>
      <c r="Q16" s="32">
        <f t="shared" si="11"/>
        <v>43281</v>
      </c>
      <c r="R16" s="32">
        <f t="shared" si="11"/>
        <v>43646</v>
      </c>
      <c r="S16" s="32">
        <f t="shared" ref="S16:AB16" si="12">EOMONTH(S15,Mths_In_Yr-1)</f>
        <v>44012</v>
      </c>
      <c r="T16" s="32">
        <f t="shared" si="12"/>
        <v>44377</v>
      </c>
      <c r="U16" s="32">
        <f t="shared" si="12"/>
        <v>44742</v>
      </c>
      <c r="V16" s="32">
        <f t="shared" si="12"/>
        <v>45107</v>
      </c>
      <c r="W16" s="32">
        <f t="shared" ref="W16:AA16" si="13">EOMONTH(W15,Mths_In_Yr-1)</f>
        <v>45473</v>
      </c>
      <c r="X16" s="32">
        <f t="shared" si="13"/>
        <v>45838</v>
      </c>
      <c r="Y16" s="32">
        <f t="shared" si="13"/>
        <v>46203</v>
      </c>
      <c r="Z16" s="32">
        <f t="shared" si="13"/>
        <v>46568</v>
      </c>
      <c r="AA16" s="32">
        <f t="shared" si="13"/>
        <v>46934</v>
      </c>
      <c r="AB16" s="32">
        <f t="shared" si="12"/>
        <v>47299</v>
      </c>
    </row>
    <row r="17" spans="2:31" ht="12.3" hidden="1" outlineLevel="1" x14ac:dyDescent="0.35">
      <c r="B17" s="11" t="s">
        <v>457</v>
      </c>
      <c r="J17" s="23">
        <f>N(I17)+1</f>
        <v>1</v>
      </c>
      <c r="K17" s="23">
        <f t="shared" ref="K17:R17" si="14">N(J17)+1</f>
        <v>2</v>
      </c>
      <c r="L17" s="23">
        <f t="shared" si="14"/>
        <v>3</v>
      </c>
      <c r="M17" s="23">
        <f t="shared" si="14"/>
        <v>4</v>
      </c>
      <c r="N17" s="23">
        <f t="shared" si="14"/>
        <v>5</v>
      </c>
      <c r="O17" s="23">
        <f t="shared" si="14"/>
        <v>6</v>
      </c>
      <c r="P17" s="23">
        <f t="shared" si="14"/>
        <v>7</v>
      </c>
      <c r="Q17" s="23">
        <f t="shared" si="14"/>
        <v>8</v>
      </c>
      <c r="R17" s="23">
        <f t="shared" si="14"/>
        <v>9</v>
      </c>
      <c r="S17" s="23">
        <f t="shared" ref="S17" si="15">N(R17)+1</f>
        <v>10</v>
      </c>
      <c r="T17" s="23">
        <f t="shared" ref="T17" si="16">N(S17)+1</f>
        <v>11</v>
      </c>
      <c r="U17" s="23">
        <f t="shared" ref="U17" si="17">N(T17)+1</f>
        <v>12</v>
      </c>
      <c r="V17" s="23">
        <f t="shared" ref="V17" si="18">N(U17)+1</f>
        <v>13</v>
      </c>
      <c r="W17" s="23">
        <f t="shared" ref="W17" si="19">N(V17)+1</f>
        <v>14</v>
      </c>
      <c r="X17" s="23">
        <f t="shared" ref="X17" si="20">N(W17)+1</f>
        <v>15</v>
      </c>
      <c r="Y17" s="23">
        <f t="shared" ref="Y17" si="21">N(X17)+1</f>
        <v>16</v>
      </c>
      <c r="Z17" s="23">
        <f t="shared" ref="Z17" si="22">N(Y17)+1</f>
        <v>17</v>
      </c>
      <c r="AA17" s="23">
        <f t="shared" ref="AA17" si="23">N(Z17)+1</f>
        <v>18</v>
      </c>
      <c r="AB17" s="23">
        <f t="shared" ref="AB17" si="24">N(AA17)+1</f>
        <v>19</v>
      </c>
    </row>
    <row r="18" spans="2:31" ht="12.3" hidden="1" outlineLevel="1" x14ac:dyDescent="0.35">
      <c r="B18" s="11" t="s">
        <v>47</v>
      </c>
      <c r="J18" s="7">
        <f>YEAR(J16)</f>
        <v>2011</v>
      </c>
      <c r="K18" s="7">
        <f t="shared" ref="K18:R18" si="25">YEAR(K16)</f>
        <v>2012</v>
      </c>
      <c r="L18" s="7">
        <f t="shared" si="25"/>
        <v>2013</v>
      </c>
      <c r="M18" s="7">
        <f t="shared" si="25"/>
        <v>2014</v>
      </c>
      <c r="N18" s="7">
        <f t="shared" si="25"/>
        <v>2015</v>
      </c>
      <c r="O18" s="7">
        <f t="shared" si="25"/>
        <v>2016</v>
      </c>
      <c r="P18" s="7">
        <f t="shared" si="25"/>
        <v>2017</v>
      </c>
      <c r="Q18" s="7">
        <f t="shared" si="25"/>
        <v>2018</v>
      </c>
      <c r="R18" s="7">
        <f t="shared" si="25"/>
        <v>2019</v>
      </c>
      <c r="S18" s="7">
        <f t="shared" ref="S18:AB18" si="26">YEAR(S16)</f>
        <v>2020</v>
      </c>
      <c r="T18" s="7">
        <f t="shared" si="26"/>
        <v>2021</v>
      </c>
      <c r="U18" s="7">
        <f t="shared" si="26"/>
        <v>2022</v>
      </c>
      <c r="V18" s="7">
        <f t="shared" si="26"/>
        <v>2023</v>
      </c>
      <c r="W18" s="7">
        <f t="shared" ref="W18:AA18" si="27">YEAR(W16)</f>
        <v>2024</v>
      </c>
      <c r="X18" s="7">
        <f t="shared" si="27"/>
        <v>2025</v>
      </c>
      <c r="Y18" s="7">
        <f t="shared" si="27"/>
        <v>2026</v>
      </c>
      <c r="Z18" s="7">
        <f t="shared" si="27"/>
        <v>2027</v>
      </c>
      <c r="AA18" s="7">
        <f t="shared" si="27"/>
        <v>2028</v>
      </c>
      <c r="AB18" s="7">
        <f t="shared" si="26"/>
        <v>2029</v>
      </c>
    </row>
    <row r="19" spans="2:31" ht="12.3" hidden="1" outlineLevel="1" x14ac:dyDescent="0.35">
      <c r="B19" s="11" t="s">
        <v>458</v>
      </c>
      <c r="J19" s="14" t="s">
        <v>48</v>
      </c>
      <c r="K19" s="14" t="s">
        <v>48</v>
      </c>
      <c r="L19" s="14" t="s">
        <v>48</v>
      </c>
      <c r="M19" s="14" t="s">
        <v>48</v>
      </c>
      <c r="N19" s="14" t="s">
        <v>48</v>
      </c>
      <c r="O19" s="14" t="s">
        <v>48</v>
      </c>
      <c r="P19" s="14" t="s">
        <v>48</v>
      </c>
      <c r="Q19" s="14" t="s">
        <v>48</v>
      </c>
      <c r="R19" s="14" t="s">
        <v>48</v>
      </c>
      <c r="S19" s="14" t="s">
        <v>48</v>
      </c>
      <c r="T19" s="14" t="s">
        <v>48</v>
      </c>
      <c r="U19" s="14" t="s">
        <v>46</v>
      </c>
      <c r="V19" s="14" t="s">
        <v>448</v>
      </c>
      <c r="W19" s="14" t="s">
        <v>448</v>
      </c>
      <c r="X19" s="14" t="s">
        <v>49</v>
      </c>
      <c r="Y19" s="14" t="s">
        <v>49</v>
      </c>
      <c r="Z19" s="14" t="s">
        <v>49</v>
      </c>
      <c r="AA19" s="14" t="s">
        <v>49</v>
      </c>
      <c r="AB19" s="14" t="s">
        <v>49</v>
      </c>
    </row>
    <row r="20" spans="2:31" ht="12.3" collapsed="1" x14ac:dyDescent="0.35">
      <c r="B20" s="9" t="s">
        <v>459</v>
      </c>
      <c r="E20" s="15" t="s">
        <v>50</v>
      </c>
      <c r="F20" s="15" t="s">
        <v>51</v>
      </c>
      <c r="G20" s="15" t="s">
        <v>52</v>
      </c>
      <c r="H20" s="15" t="s">
        <v>53</v>
      </c>
      <c r="J20" s="33" t="str">
        <f>"RY"&amp;RIGHT(J18,2)</f>
        <v>RY11</v>
      </c>
      <c r="K20" s="33" t="str">
        <f t="shared" ref="K20:R20" si="28">"RY"&amp;RIGHT(K18,2)</f>
        <v>RY12</v>
      </c>
      <c r="L20" s="33" t="str">
        <f t="shared" si="28"/>
        <v>RY13</v>
      </c>
      <c r="M20" s="33" t="str">
        <f t="shared" si="28"/>
        <v>RY14</v>
      </c>
      <c r="N20" s="33" t="str">
        <f t="shared" si="28"/>
        <v>RY15</v>
      </c>
      <c r="O20" s="33" t="str">
        <f t="shared" si="28"/>
        <v>RY16</v>
      </c>
      <c r="P20" s="33" t="str">
        <f t="shared" si="28"/>
        <v>RY17</v>
      </c>
      <c r="Q20" s="33" t="str">
        <f t="shared" si="28"/>
        <v>RY18</v>
      </c>
      <c r="R20" s="33" t="str">
        <f t="shared" si="28"/>
        <v>RY19</v>
      </c>
      <c r="S20" s="33" t="str">
        <f t="shared" ref="S20:AB20" si="29">"RY"&amp;RIGHT(S18,2)</f>
        <v>RY20</v>
      </c>
      <c r="T20" s="33" t="str">
        <f t="shared" si="29"/>
        <v>RY21</v>
      </c>
      <c r="U20" s="33" t="str">
        <f t="shared" si="29"/>
        <v>RY22</v>
      </c>
      <c r="V20" s="33" t="str">
        <f t="shared" si="29"/>
        <v>RY23</v>
      </c>
      <c r="W20" s="33" t="str">
        <f t="shared" ref="W20:AA20" si="30">"RY"&amp;RIGHT(W18,2)</f>
        <v>RY24</v>
      </c>
      <c r="X20" s="33" t="str">
        <f t="shared" si="30"/>
        <v>RY25</v>
      </c>
      <c r="Y20" s="33" t="str">
        <f t="shared" si="30"/>
        <v>RY26</v>
      </c>
      <c r="Z20" s="33" t="str">
        <f t="shared" si="30"/>
        <v>RY27</v>
      </c>
      <c r="AA20" s="33" t="str">
        <f t="shared" si="30"/>
        <v>RY28</v>
      </c>
      <c r="AB20" s="33" t="str">
        <f t="shared" si="29"/>
        <v>RY29</v>
      </c>
      <c r="AD20" s="33" t="str">
        <f>J20&amp;"-"&amp;N20</f>
        <v>RY11-RY15</v>
      </c>
      <c r="AE20" s="33" t="str">
        <f>O20&amp;"-"&amp;AB20</f>
        <v>RY16-RY29</v>
      </c>
    </row>
    <row r="21" spans="2:31" x14ac:dyDescent="0.35">
      <c r="L21" s="18"/>
      <c r="M21" s="19"/>
      <c r="N21" s="19"/>
      <c r="O21" s="19"/>
    </row>
    <row r="22" spans="2:31" s="2" customFormat="1" ht="15" x14ac:dyDescent="0.35">
      <c r="B22" s="2" t="s">
        <v>449</v>
      </c>
    </row>
    <row r="23" spans="2:31" x14ac:dyDescent="0.35">
      <c r="L23" s="18"/>
      <c r="M23" s="19"/>
      <c r="N23" s="19"/>
      <c r="O23" s="19"/>
    </row>
    <row r="24" spans="2:31" ht="12.3" x14ac:dyDescent="0.35">
      <c r="C24" s="4" t="s">
        <v>0</v>
      </c>
      <c r="E24" s="15" t="s">
        <v>1</v>
      </c>
    </row>
    <row r="25" spans="2:31" x14ac:dyDescent="0.35">
      <c r="E25" s="16"/>
    </row>
    <row r="26" spans="2:31" ht="12.3" x14ac:dyDescent="0.35">
      <c r="D26" s="12">
        <v>1</v>
      </c>
      <c r="E26" s="17" t="s">
        <v>2</v>
      </c>
    </row>
    <row r="27" spans="2:31" ht="12.3" x14ac:dyDescent="0.35">
      <c r="D27" s="12">
        <v>3</v>
      </c>
      <c r="E27" s="17" t="s">
        <v>3</v>
      </c>
    </row>
    <row r="28" spans="2:31" ht="12.3" x14ac:dyDescent="0.35">
      <c r="D28" s="12">
        <v>4</v>
      </c>
      <c r="E28" s="17" t="s">
        <v>27</v>
      </c>
    </row>
    <row r="29" spans="2:31" ht="12.3" x14ac:dyDescent="0.35">
      <c r="D29" s="12">
        <v>12</v>
      </c>
      <c r="E29" s="17" t="s">
        <v>4</v>
      </c>
    </row>
    <row r="30" spans="2:31" ht="12.3" x14ac:dyDescent="0.35">
      <c r="D30" s="12">
        <v>7</v>
      </c>
      <c r="E30" s="17" t="s">
        <v>12</v>
      </c>
    </row>
    <row r="31" spans="2:31" ht="12.3" x14ac:dyDescent="0.35">
      <c r="D31" s="12">
        <v>365</v>
      </c>
      <c r="E31" s="17" t="s">
        <v>39</v>
      </c>
    </row>
    <row r="32" spans="2:31" ht="12.3" x14ac:dyDescent="0.35">
      <c r="D32" s="12">
        <v>0.5</v>
      </c>
      <c r="E32" s="17" t="s">
        <v>8</v>
      </c>
    </row>
    <row r="33" spans="3:5" ht="12.3" x14ac:dyDescent="0.35">
      <c r="D33" s="12" t="s">
        <v>6</v>
      </c>
      <c r="E33" s="17" t="s">
        <v>6</v>
      </c>
    </row>
    <row r="34" spans="3:5" ht="12.3" x14ac:dyDescent="0.35">
      <c r="D34" s="12" t="s">
        <v>28</v>
      </c>
      <c r="E34" s="17" t="s">
        <v>29</v>
      </c>
    </row>
    <row r="35" spans="3:5" ht="12.3" x14ac:dyDescent="0.35">
      <c r="D35" s="12" t="s">
        <v>7</v>
      </c>
      <c r="E35" s="17" t="s">
        <v>7</v>
      </c>
    </row>
    <row r="36" spans="3:5" x14ac:dyDescent="0.35">
      <c r="E36" s="16"/>
    </row>
    <row r="37" spans="3:5" ht="12.3" x14ac:dyDescent="0.35">
      <c r="C37" s="4" t="s">
        <v>0</v>
      </c>
      <c r="E37" s="15" t="s">
        <v>1</v>
      </c>
    </row>
    <row r="38" spans="3:5" ht="12.3" x14ac:dyDescent="0.35">
      <c r="E38" s="17" t="s">
        <v>11</v>
      </c>
    </row>
    <row r="39" spans="3:5" ht="12.3" x14ac:dyDescent="0.35">
      <c r="D39" s="12" t="s">
        <v>9</v>
      </c>
      <c r="E39" s="17" t="s">
        <v>9</v>
      </c>
    </row>
    <row r="40" spans="3:5" ht="12.3" x14ac:dyDescent="0.35">
      <c r="D40" s="12" t="s">
        <v>10</v>
      </c>
      <c r="E40" s="17" t="s">
        <v>10</v>
      </c>
    </row>
    <row r="41" spans="3:5" x14ac:dyDescent="0.35">
      <c r="E41" s="16"/>
    </row>
    <row r="42" spans="3:5" ht="12.3" x14ac:dyDescent="0.35">
      <c r="C42" s="4" t="s">
        <v>58</v>
      </c>
      <c r="E42" s="15" t="s">
        <v>1</v>
      </c>
    </row>
    <row r="43" spans="3:5" ht="12.3" x14ac:dyDescent="0.35">
      <c r="E43" s="17" t="s">
        <v>66</v>
      </c>
    </row>
    <row r="44" spans="3:5" ht="12.3" x14ac:dyDescent="0.35">
      <c r="D44" s="12" t="s">
        <v>59</v>
      </c>
      <c r="E44" s="17" t="s">
        <v>59</v>
      </c>
    </row>
    <row r="45" spans="3:5" ht="12.3" x14ac:dyDescent="0.35">
      <c r="D45" s="12" t="s">
        <v>60</v>
      </c>
      <c r="E45" s="17" t="s">
        <v>60</v>
      </c>
    </row>
    <row r="46" spans="3:5" ht="12.3" x14ac:dyDescent="0.35">
      <c r="D46" s="12" t="s">
        <v>62</v>
      </c>
      <c r="E46" s="17" t="s">
        <v>64</v>
      </c>
    </row>
    <row r="47" spans="3:5" ht="12.3" x14ac:dyDescent="0.35">
      <c r="D47" s="12" t="s">
        <v>63</v>
      </c>
      <c r="E47" s="17" t="s">
        <v>65</v>
      </c>
    </row>
    <row r="48" spans="3:5" ht="12.3" x14ac:dyDescent="0.35">
      <c r="D48" s="12" t="s">
        <v>61</v>
      </c>
      <c r="E48" s="17" t="s">
        <v>61</v>
      </c>
    </row>
    <row r="49" spans="3:6" ht="12.3" x14ac:dyDescent="0.35">
      <c r="D49" s="12" t="s">
        <v>93</v>
      </c>
      <c r="E49" s="17" t="s">
        <v>93</v>
      </c>
    </row>
    <row r="50" spans="3:6" ht="12.3" x14ac:dyDescent="0.35">
      <c r="D50" s="12" t="s">
        <v>96</v>
      </c>
      <c r="E50" s="41" t="s">
        <v>97</v>
      </c>
    </row>
    <row r="51" spans="3:6" ht="12.3" x14ac:dyDescent="0.35">
      <c r="D51" s="12" t="str">
        <f>NA</f>
        <v>N/A</v>
      </c>
      <c r="E51" s="17" t="s">
        <v>92</v>
      </c>
    </row>
    <row r="52" spans="3:6" x14ac:dyDescent="0.35">
      <c r="E52" s="16"/>
    </row>
    <row r="53" spans="3:6" ht="12.3" x14ac:dyDescent="0.35">
      <c r="C53" s="4" t="s">
        <v>52</v>
      </c>
      <c r="E53" s="15" t="s">
        <v>1</v>
      </c>
    </row>
    <row r="54" spans="3:6" ht="12.3" x14ac:dyDescent="0.35">
      <c r="E54" s="17" t="s">
        <v>57</v>
      </c>
    </row>
    <row r="55" spans="3:6" ht="12.3" x14ac:dyDescent="0.35">
      <c r="D55" s="12" t="s">
        <v>54</v>
      </c>
      <c r="E55" s="17" t="s">
        <v>56</v>
      </c>
    </row>
    <row r="56" spans="3:6" ht="12.3" x14ac:dyDescent="0.35">
      <c r="D56" s="12" t="str">
        <f>NA</f>
        <v>N/A</v>
      </c>
      <c r="E56" s="17" t="s">
        <v>92</v>
      </c>
    </row>
    <row r="57" spans="3:6" ht="12.3" x14ac:dyDescent="0.35">
      <c r="D57" s="12" t="s">
        <v>55</v>
      </c>
      <c r="E57" s="17" t="s">
        <v>55</v>
      </c>
    </row>
    <row r="58" spans="3:6" x14ac:dyDescent="0.35">
      <c r="E58" s="16"/>
    </row>
    <row r="59" spans="3:6" ht="12.3" x14ac:dyDescent="0.35">
      <c r="C59" s="4" t="s">
        <v>53</v>
      </c>
      <c r="E59" s="15"/>
      <c r="F59" s="15" t="s">
        <v>1</v>
      </c>
    </row>
    <row r="60" spans="3:6" ht="12.3" x14ac:dyDescent="0.35">
      <c r="D60" s="17" t="s">
        <v>70</v>
      </c>
      <c r="E60" s="17" t="s">
        <v>71</v>
      </c>
    </row>
    <row r="61" spans="3:6" ht="12.3" x14ac:dyDescent="0.35">
      <c r="D61" s="12" t="s">
        <v>67</v>
      </c>
      <c r="E61" s="12">
        <v>0</v>
      </c>
      <c r="F61" s="17" t="s">
        <v>67</v>
      </c>
    </row>
    <row r="62" spans="3:6" ht="12.3" x14ac:dyDescent="0.35">
      <c r="D62" s="12" t="s">
        <v>68</v>
      </c>
      <c r="E62" s="12">
        <v>0.5</v>
      </c>
      <c r="F62" s="17" t="s">
        <v>68</v>
      </c>
    </row>
    <row r="63" spans="3:6" ht="12.3" x14ac:dyDescent="0.35">
      <c r="D63" s="12" t="s">
        <v>69</v>
      </c>
      <c r="E63" s="12">
        <v>1</v>
      </c>
      <c r="F63" s="17" t="s">
        <v>69</v>
      </c>
    </row>
    <row r="64" spans="3:6" ht="12.3" x14ac:dyDescent="0.35">
      <c r="D64" s="12" t="str">
        <f>NA</f>
        <v>N/A</v>
      </c>
      <c r="E64" s="12" t="str">
        <f>NA</f>
        <v>N/A</v>
      </c>
      <c r="F64" s="17"/>
    </row>
    <row r="65" spans="3:5" x14ac:dyDescent="0.35">
      <c r="E65" s="16"/>
    </row>
    <row r="67" spans="3:5" s="8" customFormat="1" ht="14.1" x14ac:dyDescent="0.35">
      <c r="C67" s="8" t="s">
        <v>40</v>
      </c>
    </row>
    <row r="69" spans="3:5" ht="12.3" x14ac:dyDescent="0.35">
      <c r="C69" s="4" t="s">
        <v>128</v>
      </c>
      <c r="E69" s="15" t="s">
        <v>1</v>
      </c>
    </row>
    <row r="70" spans="3:5" ht="12.3" x14ac:dyDescent="0.35">
      <c r="E70" s="17" t="s">
        <v>129</v>
      </c>
    </row>
    <row r="71" spans="3:5" ht="12.3" x14ac:dyDescent="0.35">
      <c r="D71" s="12" t="s">
        <v>101</v>
      </c>
    </row>
    <row r="72" spans="3:5" ht="12.3" x14ac:dyDescent="0.35">
      <c r="D72" s="12" t="s">
        <v>102</v>
      </c>
    </row>
    <row r="73" spans="3:5" ht="12.3" x14ac:dyDescent="0.35">
      <c r="D73" s="12" t="s">
        <v>103</v>
      </c>
    </row>
    <row r="74" spans="3:5" ht="12.3" x14ac:dyDescent="0.35">
      <c r="D74" s="12" t="s">
        <v>104</v>
      </c>
    </row>
    <row r="75" spans="3:5" ht="12.3" x14ac:dyDescent="0.35">
      <c r="D75" s="12" t="s">
        <v>86</v>
      </c>
    </row>
    <row r="76" spans="3:5" ht="12.3" x14ac:dyDescent="0.35">
      <c r="D76" s="12" t="s">
        <v>105</v>
      </c>
    </row>
    <row r="77" spans="3:5" ht="12.3" x14ac:dyDescent="0.35">
      <c r="D77" s="12" t="s">
        <v>106</v>
      </c>
    </row>
    <row r="78" spans="3:5" ht="12.3" x14ac:dyDescent="0.35">
      <c r="D78" s="12" t="s">
        <v>107</v>
      </c>
    </row>
    <row r="79" spans="3:5" ht="12.3" x14ac:dyDescent="0.35">
      <c r="D79" s="12" t="s">
        <v>108</v>
      </c>
    </row>
    <row r="80" spans="3:5" ht="12.3" x14ac:dyDescent="0.35">
      <c r="D80" s="12" t="s">
        <v>110</v>
      </c>
    </row>
    <row r="81" spans="3:5" ht="12.3" x14ac:dyDescent="0.35">
      <c r="D81" s="12" t="s">
        <v>111</v>
      </c>
    </row>
    <row r="82" spans="3:5" ht="12.3" x14ac:dyDescent="0.35">
      <c r="D82" s="12" t="s">
        <v>87</v>
      </c>
    </row>
    <row r="83" spans="3:5" ht="12.3" x14ac:dyDescent="0.35">
      <c r="D83" s="12" t="s">
        <v>88</v>
      </c>
    </row>
    <row r="84" spans="3:5" ht="12.3" x14ac:dyDescent="0.35">
      <c r="D84" s="12" t="s">
        <v>112</v>
      </c>
    </row>
    <row r="85" spans="3:5" ht="12.3" x14ac:dyDescent="0.35">
      <c r="D85" s="12" t="s">
        <v>358</v>
      </c>
    </row>
    <row r="86" spans="3:5" ht="12.3" x14ac:dyDescent="0.35">
      <c r="D86" s="12" t="s">
        <v>359</v>
      </c>
    </row>
    <row r="87" spans="3:5" ht="12.3" x14ac:dyDescent="0.35">
      <c r="D87" s="12" t="s">
        <v>382</v>
      </c>
    </row>
    <row r="88" spans="3:5" ht="12.3" x14ac:dyDescent="0.35">
      <c r="D88" s="12" t="s">
        <v>364</v>
      </c>
    </row>
    <row r="89" spans="3:5" ht="12.3" x14ac:dyDescent="0.35">
      <c r="D89" s="12" t="s">
        <v>365</v>
      </c>
    </row>
    <row r="90" spans="3:5" ht="12.3" x14ac:dyDescent="0.35">
      <c r="D90" s="12" t="s">
        <v>157</v>
      </c>
    </row>
    <row r="91" spans="3:5" ht="12.3" x14ac:dyDescent="0.35">
      <c r="D91" s="12" t="s">
        <v>113</v>
      </c>
    </row>
    <row r="92" spans="3:5" ht="12.3" x14ac:dyDescent="0.35">
      <c r="D92" s="12" t="s">
        <v>114</v>
      </c>
    </row>
    <row r="94" spans="3:5" s="8" customFormat="1" ht="14.1" x14ac:dyDescent="0.35">
      <c r="C94" s="8" t="s">
        <v>95</v>
      </c>
    </row>
    <row r="96" spans="3:5" ht="12.3" x14ac:dyDescent="0.35">
      <c r="C96" s="4" t="s">
        <v>72</v>
      </c>
      <c r="E96" s="15" t="s">
        <v>1</v>
      </c>
    </row>
    <row r="97" spans="3:5" ht="12.3" x14ac:dyDescent="0.35">
      <c r="D97" s="17" t="s">
        <v>78</v>
      </c>
      <c r="E97" s="17" t="s">
        <v>79</v>
      </c>
    </row>
    <row r="98" spans="3:5" ht="12.3" x14ac:dyDescent="0.35">
      <c r="D98" s="12" t="s">
        <v>73</v>
      </c>
      <c r="E98" s="12" t="s">
        <v>80</v>
      </c>
    </row>
    <row r="99" spans="3:5" ht="12.3" x14ac:dyDescent="0.35">
      <c r="D99" s="12" t="s">
        <v>74</v>
      </c>
      <c r="E99" s="12" t="s">
        <v>81</v>
      </c>
    </row>
    <row r="100" spans="3:5" ht="12.3" x14ac:dyDescent="0.35">
      <c r="D100" s="12" t="s">
        <v>75</v>
      </c>
      <c r="E100" s="12" t="s">
        <v>82</v>
      </c>
    </row>
    <row r="101" spans="3:5" ht="12.3" x14ac:dyDescent="0.35">
      <c r="D101" s="12" t="s">
        <v>76</v>
      </c>
      <c r="E101" s="12" t="s">
        <v>83</v>
      </c>
    </row>
    <row r="102" spans="3:5" ht="12.3" x14ac:dyDescent="0.35">
      <c r="D102" s="12" t="s">
        <v>77</v>
      </c>
      <c r="E102" s="12" t="s">
        <v>84</v>
      </c>
    </row>
    <row r="104" spans="3:5" ht="12.3" x14ac:dyDescent="0.35">
      <c r="C104" s="4" t="s">
        <v>130</v>
      </c>
      <c r="E104" s="15" t="s">
        <v>1</v>
      </c>
    </row>
    <row r="105" spans="3:5" ht="12.3" x14ac:dyDescent="0.35">
      <c r="E105" s="17" t="s">
        <v>131</v>
      </c>
    </row>
    <row r="106" spans="3:5" ht="12.3" x14ac:dyDescent="0.35">
      <c r="D106" s="12" t="s">
        <v>116</v>
      </c>
    </row>
    <row r="107" spans="3:5" ht="12.3" x14ac:dyDescent="0.35">
      <c r="D107" s="12" t="s">
        <v>117</v>
      </c>
    </row>
    <row r="108" spans="3:5" ht="12.3" x14ac:dyDescent="0.35">
      <c r="D108" s="12" t="s">
        <v>118</v>
      </c>
    </row>
    <row r="109" spans="3:5" ht="12.3" x14ac:dyDescent="0.35">
      <c r="D109" s="12" t="s">
        <v>119</v>
      </c>
    </row>
    <row r="110" spans="3:5" ht="12.3" x14ac:dyDescent="0.35">
      <c r="D110" s="12" t="s">
        <v>120</v>
      </c>
    </row>
    <row r="111" spans="3:5" ht="12.3" x14ac:dyDescent="0.35">
      <c r="D111" s="12" t="s">
        <v>115</v>
      </c>
    </row>
    <row r="112" spans="3:5" ht="12.3" x14ac:dyDescent="0.35">
      <c r="D112" s="12" t="s">
        <v>121</v>
      </c>
    </row>
    <row r="113" spans="3:7" ht="12.3" x14ac:dyDescent="0.35">
      <c r="D113" s="12" t="s">
        <v>122</v>
      </c>
    </row>
    <row r="114" spans="3:7" ht="12.3" x14ac:dyDescent="0.35">
      <c r="D114" s="12" t="s">
        <v>124</v>
      </c>
    </row>
    <row r="115" spans="3:7" ht="12.3" x14ac:dyDescent="0.35">
      <c r="D115" s="12" t="s">
        <v>123</v>
      </c>
    </row>
    <row r="117" spans="3:7" s="8" customFormat="1" ht="14.1" x14ac:dyDescent="0.35">
      <c r="C117" s="8" t="s">
        <v>159</v>
      </c>
    </row>
    <row r="119" spans="3:7" ht="12.3" x14ac:dyDescent="0.35">
      <c r="C119" s="4" t="s">
        <v>149</v>
      </c>
      <c r="E119" s="15" t="s">
        <v>1</v>
      </c>
    </row>
    <row r="120" spans="3:7" ht="12.3" x14ac:dyDescent="0.4">
      <c r="D120" s="17" t="s">
        <v>160</v>
      </c>
      <c r="E120" s="17" t="s">
        <v>161</v>
      </c>
      <c r="G120" s="126"/>
    </row>
    <row r="121" spans="3:7" ht="12.3" x14ac:dyDescent="0.35">
      <c r="D121" s="12" t="s">
        <v>162</v>
      </c>
      <c r="E121" s="115" t="s">
        <v>111</v>
      </c>
      <c r="F121" s="125"/>
    </row>
    <row r="122" spans="3:7" ht="12.3" x14ac:dyDescent="0.35">
      <c r="D122" s="12" t="s">
        <v>163</v>
      </c>
      <c r="E122" s="115" t="s">
        <v>101</v>
      </c>
      <c r="F122" s="125"/>
    </row>
    <row r="123" spans="3:7" ht="12.3" x14ac:dyDescent="0.35">
      <c r="D123" s="12" t="s">
        <v>164</v>
      </c>
      <c r="E123" s="115" t="s">
        <v>110</v>
      </c>
      <c r="F123" s="125"/>
    </row>
    <row r="124" spans="3:7" ht="12.3" x14ac:dyDescent="0.35">
      <c r="D124" s="12" t="s">
        <v>165</v>
      </c>
      <c r="E124" s="115" t="s">
        <v>112</v>
      </c>
      <c r="F124" s="125"/>
    </row>
    <row r="125" spans="3:7" ht="12.3" x14ac:dyDescent="0.35">
      <c r="D125" s="12" t="s">
        <v>166</v>
      </c>
      <c r="E125" s="115" t="s">
        <v>112</v>
      </c>
      <c r="F125" s="125"/>
    </row>
    <row r="126" spans="3:7" ht="12.3" x14ac:dyDescent="0.35">
      <c r="D126" s="12" t="s">
        <v>108</v>
      </c>
      <c r="E126" s="115" t="s">
        <v>108</v>
      </c>
      <c r="F126" s="125"/>
    </row>
    <row r="127" spans="3:7" ht="12.3" x14ac:dyDescent="0.35">
      <c r="D127" s="12" t="s">
        <v>122</v>
      </c>
      <c r="E127" s="115" t="s">
        <v>113</v>
      </c>
      <c r="F127" s="125"/>
    </row>
    <row r="128" spans="3:7" ht="12.3" x14ac:dyDescent="0.35">
      <c r="D128" s="12" t="s">
        <v>167</v>
      </c>
      <c r="E128" s="115" t="s">
        <v>108</v>
      </c>
      <c r="F128" s="125"/>
    </row>
    <row r="129" spans="3:6" ht="12.3" x14ac:dyDescent="0.35">
      <c r="D129" s="12" t="s">
        <v>168</v>
      </c>
      <c r="E129" s="115" t="s">
        <v>103</v>
      </c>
      <c r="F129" s="125"/>
    </row>
    <row r="130" spans="3:6" ht="12.3" x14ac:dyDescent="0.35">
      <c r="D130" s="12" t="s">
        <v>103</v>
      </c>
      <c r="E130" s="115" t="s">
        <v>103</v>
      </c>
      <c r="F130" s="125"/>
    </row>
    <row r="131" spans="3:6" ht="12.3" x14ac:dyDescent="0.35">
      <c r="D131" s="12" t="s">
        <v>169</v>
      </c>
      <c r="E131" s="115" t="s">
        <v>105</v>
      </c>
      <c r="F131" s="125"/>
    </row>
    <row r="132" spans="3:6" ht="12.3" x14ac:dyDescent="0.35">
      <c r="D132" s="12" t="s">
        <v>170</v>
      </c>
      <c r="E132" s="115" t="s">
        <v>101</v>
      </c>
      <c r="F132" s="125"/>
    </row>
    <row r="133" spans="3:6" ht="12.3" x14ac:dyDescent="0.35">
      <c r="D133" s="12" t="s">
        <v>107</v>
      </c>
      <c r="E133" s="115" t="s">
        <v>107</v>
      </c>
      <c r="F133" s="125"/>
    </row>
    <row r="134" spans="3:6" ht="12.3" x14ac:dyDescent="0.35">
      <c r="D134" s="12" t="s">
        <v>171</v>
      </c>
      <c r="E134" s="115" t="s">
        <v>86</v>
      </c>
      <c r="F134" s="125"/>
    </row>
    <row r="135" spans="3:6" ht="12.3" x14ac:dyDescent="0.35">
      <c r="D135" s="12" t="s">
        <v>172</v>
      </c>
      <c r="E135" s="115" t="s">
        <v>102</v>
      </c>
      <c r="F135" s="125"/>
    </row>
    <row r="136" spans="3:6" ht="12.3" x14ac:dyDescent="0.35">
      <c r="D136" s="12" t="s">
        <v>173</v>
      </c>
      <c r="E136" s="115" t="s">
        <v>102</v>
      </c>
      <c r="F136" s="125"/>
    </row>
    <row r="137" spans="3:6" ht="12.3" x14ac:dyDescent="0.35">
      <c r="D137" s="12" t="s">
        <v>174</v>
      </c>
      <c r="E137" s="115" t="s">
        <v>102</v>
      </c>
      <c r="F137" s="125"/>
    </row>
    <row r="138" spans="3:6" ht="12.3" x14ac:dyDescent="0.35">
      <c r="D138" s="12" t="s">
        <v>175</v>
      </c>
      <c r="E138" s="115" t="s">
        <v>102</v>
      </c>
      <c r="F138" s="125"/>
    </row>
    <row r="139" spans="3:6" ht="12.3" x14ac:dyDescent="0.35">
      <c r="D139" s="12" t="s">
        <v>176</v>
      </c>
      <c r="E139" s="115" t="s">
        <v>114</v>
      </c>
      <c r="F139" s="125"/>
    </row>
    <row r="140" spans="3:6" ht="12.3" x14ac:dyDescent="0.35">
      <c r="D140" s="12" t="s">
        <v>177</v>
      </c>
      <c r="E140" s="115" t="s">
        <v>108</v>
      </c>
      <c r="F140" s="125"/>
    </row>
    <row r="142" spans="3:6" ht="12.3" x14ac:dyDescent="0.35">
      <c r="C142" s="4" t="s">
        <v>149</v>
      </c>
      <c r="E142" s="15" t="s">
        <v>1</v>
      </c>
    </row>
    <row r="143" spans="3:6" ht="12.3" x14ac:dyDescent="0.35">
      <c r="D143" s="17" t="s">
        <v>160</v>
      </c>
      <c r="E143" s="17" t="s">
        <v>161</v>
      </c>
    </row>
    <row r="144" spans="3:6" ht="12.3" x14ac:dyDescent="0.35">
      <c r="D144" s="12" t="s">
        <v>100</v>
      </c>
      <c r="E144" s="12" t="str">
        <f>NA</f>
        <v>N/A</v>
      </c>
    </row>
    <row r="145" spans="4:5" ht="12.3" x14ac:dyDescent="0.35">
      <c r="D145" s="12" t="s">
        <v>178</v>
      </c>
      <c r="E145" s="115" t="s">
        <v>86</v>
      </c>
    </row>
    <row r="146" spans="4:5" ht="12.3" x14ac:dyDescent="0.35">
      <c r="D146" s="12" t="s">
        <v>179</v>
      </c>
      <c r="E146" s="115" t="s">
        <v>101</v>
      </c>
    </row>
    <row r="147" spans="4:5" ht="12.3" x14ac:dyDescent="0.35">
      <c r="D147" s="12" t="s">
        <v>180</v>
      </c>
      <c r="E147" s="115" t="s">
        <v>103</v>
      </c>
    </row>
    <row r="148" spans="4:5" ht="12.3" x14ac:dyDescent="0.35">
      <c r="D148" s="12" t="s">
        <v>181</v>
      </c>
      <c r="E148" s="115" t="s">
        <v>102</v>
      </c>
    </row>
    <row r="149" spans="4:5" ht="12.3" x14ac:dyDescent="0.35">
      <c r="D149" s="12" t="s">
        <v>182</v>
      </c>
      <c r="E149" s="115" t="s">
        <v>86</v>
      </c>
    </row>
    <row r="150" spans="4:5" ht="12.3" x14ac:dyDescent="0.35">
      <c r="D150" s="12" t="s">
        <v>85</v>
      </c>
      <c r="E150" s="12" t="str">
        <f>Input_RAB_ACS!$D$18</f>
        <v>Mechanical meters - General</v>
      </c>
    </row>
    <row r="151" spans="4:5" ht="12.3" x14ac:dyDescent="0.35">
      <c r="D151" s="12" t="s">
        <v>183</v>
      </c>
      <c r="E151" s="115" t="s">
        <v>110</v>
      </c>
    </row>
    <row r="152" spans="4:5" ht="12.3" x14ac:dyDescent="0.35">
      <c r="D152" s="12" t="s">
        <v>184</v>
      </c>
      <c r="E152" s="115" t="s">
        <v>106</v>
      </c>
    </row>
    <row r="153" spans="4:5" ht="12.3" x14ac:dyDescent="0.35">
      <c r="D153" s="12" t="s">
        <v>177</v>
      </c>
      <c r="E153" s="115" t="s">
        <v>108</v>
      </c>
    </row>
    <row r="154" spans="4:5" ht="12.3" x14ac:dyDescent="0.35">
      <c r="D154" s="12" t="s">
        <v>185</v>
      </c>
      <c r="E154" s="12" t="str">
        <f>NA</f>
        <v>N/A</v>
      </c>
    </row>
    <row r="155" spans="4:5" ht="12.3" x14ac:dyDescent="0.35">
      <c r="D155" s="12" t="s">
        <v>186</v>
      </c>
      <c r="E155" s="115" t="s">
        <v>87</v>
      </c>
    </row>
    <row r="156" spans="4:5" ht="12.3" x14ac:dyDescent="0.35">
      <c r="D156" s="12" t="s">
        <v>187</v>
      </c>
      <c r="E156" s="115" t="s">
        <v>88</v>
      </c>
    </row>
    <row r="157" spans="4:5" ht="12.3" x14ac:dyDescent="0.35">
      <c r="D157" s="12" t="s">
        <v>188</v>
      </c>
      <c r="E157" s="115" t="s">
        <v>111</v>
      </c>
    </row>
    <row r="158" spans="4:5" ht="12.3" x14ac:dyDescent="0.35">
      <c r="D158" s="12" t="s">
        <v>189</v>
      </c>
      <c r="E158" s="115" t="s">
        <v>112</v>
      </c>
    </row>
    <row r="159" spans="4:5" ht="12.3" x14ac:dyDescent="0.35">
      <c r="D159" s="12" t="s">
        <v>190</v>
      </c>
      <c r="E159" s="115" t="s">
        <v>112</v>
      </c>
    </row>
    <row r="161" spans="2:2" s="2" customFormat="1" ht="15" x14ac:dyDescent="0.35">
      <c r="B161" s="2" t="s">
        <v>26</v>
      </c>
    </row>
  </sheetData>
  <conditionalFormatting sqref="B2">
    <cfRule type="cellIs" dxfId="5" priority="1" operator="notEqual">
      <formula>"No Errors Found"</formula>
    </cfRule>
  </conditionalFormatting>
  <dataValidations count="1">
    <dataValidation type="list" allowBlank="1" showInputMessage="1" showErrorMessage="1" sqref="E121:E140 E155:E159 E145:E149 E151:E153" xr:uid="{C488FEA4-5431-40C6-A70A-FED18EE5C04E}">
      <formula1>LU_RAB_Assets</formula1>
    </dataValidation>
  </dataValidations>
  <hyperlinks>
    <hyperlink ref="B3:E3" location="TOC!A1" display="TOC!A1" xr:uid="{00000000-0004-0000-1200-000000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B1:H35"/>
  <sheetViews>
    <sheetView showGridLines="0" zoomScaleNormal="100" workbookViewId="0">
      <pane xSplit="1" ySplit="4" topLeftCell="B5" activePane="bottomRight" state="frozen"/>
      <selection pane="topRight" activeCell="B1" sqref="B1"/>
      <selection pane="bottomLeft" activeCell="A4" sqref="A4"/>
      <selection pane="bottomRight" activeCell="B5" sqref="B5"/>
    </sheetView>
  </sheetViews>
  <sheetFormatPr defaultRowHeight="10.199999999999999" x14ac:dyDescent="0.35"/>
  <cols>
    <col min="1" max="3" width="2.796875" customWidth="1"/>
    <col min="4" max="4" width="65.6640625" customWidth="1"/>
    <col min="5" max="7" width="3.796875" customWidth="1"/>
  </cols>
  <sheetData>
    <row r="1" spans="2:8" ht="18.899999999999999" x14ac:dyDescent="0.35">
      <c r="B1" s="3" t="s">
        <v>15</v>
      </c>
    </row>
    <row r="2" spans="2:8" x14ac:dyDescent="0.35">
      <c r="B2" s="13" t="str">
        <f>Title_Msg</f>
        <v>No Errors Found</v>
      </c>
    </row>
    <row r="3" spans="2:8" x14ac:dyDescent="0.35">
      <c r="B3" s="30" t="str">
        <f>TOC!B1</f>
        <v>Table of Contents</v>
      </c>
      <c r="C3" s="28"/>
      <c r="D3" s="28"/>
      <c r="E3" s="28"/>
    </row>
    <row r="4" spans="2:8" ht="12.3" x14ac:dyDescent="0.35">
      <c r="B4" s="27" t="str">
        <f>Model_Name</f>
        <v>Power and Water Corporation (PWC) - RAB Allocation - EB RIN</v>
      </c>
    </row>
    <row r="5" spans="2:8" x14ac:dyDescent="0.35">
      <c r="B5" s="13"/>
    </row>
    <row r="6" spans="2:8" s="2" customFormat="1" ht="15" x14ac:dyDescent="0.35">
      <c r="B6" s="2" t="s">
        <v>396</v>
      </c>
    </row>
    <row r="7" spans="2:8" x14ac:dyDescent="0.35">
      <c r="B7" s="21"/>
    </row>
    <row r="8" spans="2:8" ht="12.3" x14ac:dyDescent="0.35">
      <c r="D8" s="6" t="s">
        <v>393</v>
      </c>
      <c r="H8" s="7" t="str">
        <f>IF(H33=0,"No Errors Found","Errors Found")</f>
        <v>No Errors Found</v>
      </c>
    </row>
    <row r="9" spans="2:8" ht="12.3" x14ac:dyDescent="0.35">
      <c r="D9" s="6" t="s">
        <v>394</v>
      </c>
      <c r="H9" s="6"/>
    </row>
    <row r="10" spans="2:8" ht="12.3" x14ac:dyDescent="0.35">
      <c r="D10" s="6" t="s">
        <v>395</v>
      </c>
      <c r="H10" s="26" t="str">
        <f>H8&amp;IF(H9="","",", " &amp;H9)</f>
        <v>No Errors Found</v>
      </c>
    </row>
    <row r="11" spans="2:8" x14ac:dyDescent="0.35">
      <c r="B11" s="21"/>
    </row>
    <row r="12" spans="2:8" s="2" customFormat="1" ht="15" x14ac:dyDescent="0.35">
      <c r="B12" s="2" t="s">
        <v>392</v>
      </c>
    </row>
    <row r="13" spans="2:8" x14ac:dyDescent="0.35">
      <c r="B13" s="21"/>
    </row>
    <row r="14" spans="2:8" s="8" customFormat="1" ht="14.1" x14ac:dyDescent="0.35">
      <c r="C14" s="8" t="s">
        <v>391</v>
      </c>
    </row>
    <row r="16" spans="2:8" ht="12.3" x14ac:dyDescent="0.35">
      <c r="D16" s="6" t="str">
        <f>Input_Inflation!$B$1</f>
        <v>CPI assumptions and associated indexes</v>
      </c>
      <c r="H16" s="42">
        <f>Input_Inflation!$A$1</f>
        <v>0</v>
      </c>
    </row>
    <row r="17" spans="3:8" ht="12.3" x14ac:dyDescent="0.35">
      <c r="D17" s="6" t="str">
        <f>Input_RAB_SCS!$B$1</f>
        <v>Input - SCS RAB by asset category</v>
      </c>
      <c r="H17" s="42">
        <f>Input_RAB_SCS!$A$1</f>
        <v>0</v>
      </c>
    </row>
    <row r="18" spans="3:8" ht="12.3" x14ac:dyDescent="0.35">
      <c r="D18" s="6" t="str">
        <f>Input_RAB_ACS!$B$1</f>
        <v>Input - ACS Metering RAB by asset category</v>
      </c>
      <c r="H18" s="42">
        <f>Input_RAB_ACS!$A$1</f>
        <v>0</v>
      </c>
    </row>
    <row r="19" spans="3:8" ht="12.3" x14ac:dyDescent="0.35">
      <c r="D19" s="6" t="str">
        <f>Input_Connections!$B$1</f>
        <v>Input - Proportion of connection gross capital expenditure</v>
      </c>
      <c r="H19" s="42">
        <f>Input_Connections!$A$1</f>
        <v>0</v>
      </c>
    </row>
    <row r="20" spans="3:8" ht="12.3" x14ac:dyDescent="0.35">
      <c r="D20" s="6" t="str">
        <f>Input_AssetLives!$B$1</f>
        <v>Input - Standard lives</v>
      </c>
      <c r="H20" s="42">
        <f>Input_AssetLives!$A$1</f>
        <v>0</v>
      </c>
    </row>
    <row r="21" spans="3:8" ht="12.3" x14ac:dyDescent="0.35">
      <c r="D21" s="6" t="str">
        <f>Input_DRC!$B$1</f>
        <v>Input - Estimated Depreciated Replacement Cost (DRC)</v>
      </c>
      <c r="H21" s="42">
        <f>Input_DRC!$A$1</f>
        <v>0</v>
      </c>
    </row>
    <row r="22" spans="3:8" ht="12.3" x14ac:dyDescent="0.35">
      <c r="D22" s="6" t="str">
        <f>Calc_Alloc!$B$1</f>
        <v>Calculation - Allocation from RAB asset classes to EB categories</v>
      </c>
      <c r="H22" s="42">
        <f>Calc_Alloc!$A$1</f>
        <v>0</v>
      </c>
    </row>
    <row r="23" spans="3:8" ht="12.3" x14ac:dyDescent="0.35">
      <c r="D23" s="6" t="str">
        <f>Calc_RAB_Connection!$B$1</f>
        <v>Calculation - Estimated connection RAB by asset category</v>
      </c>
      <c r="H23" s="42">
        <f>Calc_RAB_Connection!$A$1</f>
        <v>0</v>
      </c>
    </row>
    <row r="24" spans="3:8" ht="12.3" x14ac:dyDescent="0.35">
      <c r="D24" s="6" t="str">
        <f>Calc_RAB_NS!$B$1</f>
        <v>Calculation - Estimated Network Services RAB by asset category</v>
      </c>
      <c r="H24" s="42">
        <f>Calc_RAB_NS!$A$1</f>
        <v>0</v>
      </c>
    </row>
    <row r="25" spans="3:8" ht="12.3" x14ac:dyDescent="0.35">
      <c r="D25" s="6" t="str">
        <f>Calc_EB_NS!$B$1</f>
        <v>Calculation - Network Services RAB by EB RIN category</v>
      </c>
      <c r="H25" s="42">
        <f>Calc_EB_NS!$A$1</f>
        <v>0</v>
      </c>
    </row>
    <row r="26" spans="3:8" ht="12.3" x14ac:dyDescent="0.35">
      <c r="D26" s="6" t="str">
        <f>Calc_EB_SCS!$B$1</f>
        <v>Calculation - SCS RAB by EB RIN category</v>
      </c>
      <c r="H26" s="42">
        <f>Calc_EB_SCS!$A$1</f>
        <v>0</v>
      </c>
    </row>
    <row r="27" spans="3:8" ht="12.3" x14ac:dyDescent="0.35">
      <c r="D27" s="6" t="str">
        <f>Calc_EB_ACS!$B$1</f>
        <v>Calculation - ACS RAB by EB RIN category</v>
      </c>
      <c r="H27" s="42">
        <f>Calc_EB_ACS!$A$1</f>
        <v>0</v>
      </c>
    </row>
    <row r="28" spans="3:8" ht="12.3" x14ac:dyDescent="0.35">
      <c r="D28" s="6" t="str">
        <f>Output_EB_RIN_SCS!$B$1</f>
        <v>Outputs - SCS EB RIN</v>
      </c>
      <c r="H28" s="42">
        <f>Output_EB_RIN_SCS!$A$1</f>
        <v>0</v>
      </c>
    </row>
    <row r="29" spans="3:8" ht="12.3" x14ac:dyDescent="0.35">
      <c r="D29" s="6" t="str">
        <f>Output_EB_RIN_ACS!$B$1</f>
        <v>Outputs - ACS (ACS Metering) EB RIN</v>
      </c>
      <c r="H29" s="42">
        <f>Output_EB_RIN_ACS!$A$1</f>
        <v>0</v>
      </c>
    </row>
    <row r="30" spans="3:8" ht="12.3" x14ac:dyDescent="0.35">
      <c r="D30" s="6" t="str">
        <f>Output_EB_RIN_NS!$B$1</f>
        <v>Outputs - Network Services EB RIN</v>
      </c>
      <c r="H30" s="42">
        <f>Output_EB_RIN_NS!$A$1</f>
        <v>0</v>
      </c>
    </row>
    <row r="31" spans="3:8" ht="12.3" x14ac:dyDescent="0.35">
      <c r="D31" s="6" t="str">
        <f>'3.3 Assets (RAB)_Fcst'!$B$3&amp;": "&amp;'3.3 Assets (RAB)_Fcst'!$B$4</f>
        <v>ECONOMIC BENCHMARKING 2022-23 to 2028-29: 3.3 ASSETS</v>
      </c>
      <c r="H31" s="42">
        <f>'3.3 Assets (RAB)_Fcst'!$A$6</f>
        <v>0</v>
      </c>
    </row>
    <row r="32" spans="3:8" ht="12.3" x14ac:dyDescent="0.35">
      <c r="C32" s="22"/>
      <c r="H32" s="24"/>
    </row>
    <row r="33" spans="2:8" ht="12.3" x14ac:dyDescent="0.35">
      <c r="C33" s="9" t="s">
        <v>390</v>
      </c>
      <c r="H33" s="25">
        <f>IF(SUM($H$16:$H$31)&lt;&gt;0,1,0)</f>
        <v>0</v>
      </c>
    </row>
    <row r="35" spans="2:8" s="2" customFormat="1" ht="15" x14ac:dyDescent="0.35">
      <c r="B35" s="2" t="s">
        <v>26</v>
      </c>
    </row>
  </sheetData>
  <conditionalFormatting sqref="B7 B11 B2 B5 B13">
    <cfRule type="cellIs" dxfId="4" priority="6" operator="notEqual">
      <formula>"No Errors Found"</formula>
    </cfRule>
  </conditionalFormatting>
  <conditionalFormatting sqref="H22:H27 H31">
    <cfRule type="cellIs" dxfId="3" priority="4" operator="equal">
      <formula>"Ok"</formula>
    </cfRule>
  </conditionalFormatting>
  <conditionalFormatting sqref="H28">
    <cfRule type="cellIs" dxfId="2" priority="3" operator="equal">
      <formula>"Ok"</formula>
    </cfRule>
  </conditionalFormatting>
  <conditionalFormatting sqref="H29">
    <cfRule type="cellIs" dxfId="1" priority="2" operator="equal">
      <formula>"Ok"</formula>
    </cfRule>
  </conditionalFormatting>
  <conditionalFormatting sqref="H30">
    <cfRule type="cellIs" dxfId="0" priority="1" operator="equal">
      <formula>"Ok"</formula>
    </cfRule>
  </conditionalFormatting>
  <hyperlinks>
    <hyperlink ref="B3:E3" location="TOC!A1" display="TOC!A1" xr:uid="{00000000-0004-0000-13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a09a3f0-ff30-4896-8eff-2a4081e1b29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13386B98CA9D47B153354AC72DA840" ma:contentTypeVersion="10" ma:contentTypeDescription="Create a new document." ma:contentTypeScope="" ma:versionID="1d33a58b88525057e34c226c47740757">
  <xsd:schema xmlns:xsd="http://www.w3.org/2001/XMLSchema" xmlns:xs="http://www.w3.org/2001/XMLSchema" xmlns:p="http://schemas.microsoft.com/office/2006/metadata/properties" xmlns:ns2="2a09a3f0-ff30-4896-8eff-2a4081e1b291" targetNamespace="http://schemas.microsoft.com/office/2006/metadata/properties" ma:root="true" ma:fieldsID="d55c57b4e9d4cf2d55d57f36226ddeaf" ns2:_="">
    <xsd:import namespace="2a09a3f0-ff30-4896-8eff-2a4081e1b29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09a3f0-ff30-4896-8eff-2a4081e1b2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4d5ad4c-798f-4112-b232-d6cf578bb7cd"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4C74A3C1-43DC-4CC5-B6DC-3D2BAFFB6F9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9194370-34B0-41C3-93D0-32592468B446}">
  <ds:schemaRefs>
    <ds:schemaRef ds:uri="http://schemas.microsoft.com/sharepoint/v3/contenttype/forms"/>
  </ds:schemaRefs>
</ds:datastoreItem>
</file>

<file path=customXml/itemProps3.xml><?xml version="1.0" encoding="utf-8"?>
<ds:datastoreItem xmlns:ds="http://schemas.openxmlformats.org/officeDocument/2006/customXml" ds:itemID="{FF0A9269-CC34-4C6E-AD5F-FE69F3FA433C}"/>
</file>

<file path=customXml/itemProps4.xml><?xml version="1.0" encoding="utf-8"?>
<ds:datastoreItem xmlns:ds="http://schemas.openxmlformats.org/officeDocument/2006/customXml" ds:itemID="{FDF297E4-BAB2-442B-9F44-4477343E98B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83</vt:i4>
      </vt:variant>
    </vt:vector>
  </HeadingPairs>
  <TitlesOfParts>
    <vt:vector size="103" baseType="lpstr">
      <vt:lpstr>Cover</vt:lpstr>
      <vt:lpstr>TOC</vt:lpstr>
      <vt:lpstr>Input_Inflation</vt:lpstr>
      <vt:lpstr>Input_RAB_SCS</vt:lpstr>
      <vt:lpstr>Input_RAB_ACS</vt:lpstr>
      <vt:lpstr>Input_Connections</vt:lpstr>
      <vt:lpstr>Input_AssetLives</vt:lpstr>
      <vt:lpstr>Input_DRC</vt:lpstr>
      <vt:lpstr>Calc_Alloc</vt:lpstr>
      <vt:lpstr>Calc_RAB_Connection</vt:lpstr>
      <vt:lpstr>Calc_RAB_NS</vt:lpstr>
      <vt:lpstr>Calc_EB_NS</vt:lpstr>
      <vt:lpstr>Calc_EB_SCS</vt:lpstr>
      <vt:lpstr>Calc_EB_ACS</vt:lpstr>
      <vt:lpstr>Output_EB_RIN_NS</vt:lpstr>
      <vt:lpstr>Output_EB_RIN_SCS</vt:lpstr>
      <vt:lpstr>Output_EB_RIN_ACS</vt:lpstr>
      <vt:lpstr>3.3 Assets (RAB)_Fcst</vt:lpstr>
      <vt:lpstr>Lookup</vt:lpstr>
      <vt:lpstr>Checks</vt:lpstr>
      <vt:lpstr>Base_Year</vt:lpstr>
      <vt:lpstr>Days_In_Wk</vt:lpstr>
      <vt:lpstr>Days_In_Yr</vt:lpstr>
      <vt:lpstr>'3.3 Assets (RAB)_Fcst'!dms_030301_01_ACS_Values</vt:lpstr>
      <vt:lpstr>'3.3 Assets (RAB)_Fcst'!dms_030301_01_NS_Values</vt:lpstr>
      <vt:lpstr>'3.3 Assets (RAB)_Fcst'!dms_030301_01_Rows</vt:lpstr>
      <vt:lpstr>'3.3 Assets (RAB)_Fcst'!dms_030301_01_SCS_Values</vt:lpstr>
      <vt:lpstr>'3.3 Assets (RAB)_Fcst'!dms_030302_01_ACS_Values</vt:lpstr>
      <vt:lpstr>'3.3 Assets (RAB)_Fcst'!dms_030302_01_NS_Values</vt:lpstr>
      <vt:lpstr>'3.3 Assets (RAB)_Fcst'!dms_030302_01_Rows</vt:lpstr>
      <vt:lpstr>'3.3 Assets (RAB)_Fcst'!dms_030302_01_SCS_Values</vt:lpstr>
      <vt:lpstr>'3.3 Assets (RAB)_Fcst'!dms_030302_02_ACS_Values</vt:lpstr>
      <vt:lpstr>'3.3 Assets (RAB)_Fcst'!dms_030302_02_NS_Values</vt:lpstr>
      <vt:lpstr>'3.3 Assets (RAB)_Fcst'!dms_030302_02_SCS_Values</vt:lpstr>
      <vt:lpstr>'3.3 Assets (RAB)_Fcst'!dms_030302_03_ACS_Values</vt:lpstr>
      <vt:lpstr>'3.3 Assets (RAB)_Fcst'!dms_030302_03_NS_Values</vt:lpstr>
      <vt:lpstr>'3.3 Assets (RAB)_Fcst'!dms_030302_03_SCS_Values</vt:lpstr>
      <vt:lpstr>'3.3 Assets (RAB)_Fcst'!dms_030302_04_ACS_Values</vt:lpstr>
      <vt:lpstr>'3.3 Assets (RAB)_Fcst'!dms_030302_04_NS_Values</vt:lpstr>
      <vt:lpstr>'3.3 Assets (RAB)_Fcst'!dms_030302_04_SCS_Values</vt:lpstr>
      <vt:lpstr>'3.3 Assets (RAB)_Fcst'!dms_030302_05_ACS_Values</vt:lpstr>
      <vt:lpstr>'3.3 Assets (RAB)_Fcst'!dms_030302_05_NS_Values</vt:lpstr>
      <vt:lpstr>'3.3 Assets (RAB)_Fcst'!dms_030302_05_SCS_Values</vt:lpstr>
      <vt:lpstr>'3.3 Assets (RAB)_Fcst'!dms_030302_06_ACS_Values</vt:lpstr>
      <vt:lpstr>'3.3 Assets (RAB)_Fcst'!dms_030302_06_NS_Values</vt:lpstr>
      <vt:lpstr>'3.3 Assets (RAB)_Fcst'!dms_030302_06_SCS_Values</vt:lpstr>
      <vt:lpstr>'3.3 Assets (RAB)_Fcst'!dms_030302_07_ACS_Values</vt:lpstr>
      <vt:lpstr>'3.3 Assets (RAB)_Fcst'!dms_030302_07_NS_Values</vt:lpstr>
      <vt:lpstr>'3.3 Assets (RAB)_Fcst'!dms_030302_07_Rows</vt:lpstr>
      <vt:lpstr>'3.3 Assets (RAB)_Fcst'!dms_030302_07_SCS_Values</vt:lpstr>
      <vt:lpstr>'3.3 Assets (RAB)_Fcst'!dms_030302_08_ACS_Values</vt:lpstr>
      <vt:lpstr>'3.3 Assets (RAB)_Fcst'!dms_030302_08_NS_Values</vt:lpstr>
      <vt:lpstr>'3.3 Assets (RAB)_Fcst'!dms_030302_08_SCS_Values</vt:lpstr>
      <vt:lpstr>'3.3 Assets (RAB)_Fcst'!dms_030302_09_ACS_Values</vt:lpstr>
      <vt:lpstr>'3.3 Assets (RAB)_Fcst'!dms_030302_09_NS_Values</vt:lpstr>
      <vt:lpstr>'3.3 Assets (RAB)_Fcst'!dms_030302_09_SCS_Values</vt:lpstr>
      <vt:lpstr>'3.3 Assets (RAB)_Fcst'!dms_030302_10_ACS_Values</vt:lpstr>
      <vt:lpstr>'3.3 Assets (RAB)_Fcst'!dms_030302_10_NS_Values</vt:lpstr>
      <vt:lpstr>'3.3 Assets (RAB)_Fcst'!dms_030302_10_SCS_Values</vt:lpstr>
      <vt:lpstr>'3.3 Assets (RAB)_Fcst'!dms_030303_01_ACS_Values</vt:lpstr>
      <vt:lpstr>'3.3 Assets (RAB)_Fcst'!dms_030303_01_NS_Values</vt:lpstr>
      <vt:lpstr>'3.3 Assets (RAB)_Fcst'!dms_030303_01_Rows</vt:lpstr>
      <vt:lpstr>'3.3 Assets (RAB)_Fcst'!dms_030303_01_SCS_Values</vt:lpstr>
      <vt:lpstr>'3.3 Assets (RAB)_Fcst'!dms_030304_01_ACS_Values</vt:lpstr>
      <vt:lpstr>'3.3 Assets (RAB)_Fcst'!dms_030304_01_NS_Values</vt:lpstr>
      <vt:lpstr>'3.3 Assets (RAB)_Fcst'!dms_030304_01_Rows</vt:lpstr>
      <vt:lpstr>'3.3 Assets (RAB)_Fcst'!dms_030304_01_SCS_Values</vt:lpstr>
      <vt:lpstr>'3.3 Assets (RAB)_Fcst'!dms_030304_02_ACS_Values</vt:lpstr>
      <vt:lpstr>'3.3 Assets (RAB)_Fcst'!dms_030304_02_NS_Values</vt:lpstr>
      <vt:lpstr>'3.3 Assets (RAB)_Fcst'!dms_030304_02_Rows</vt:lpstr>
      <vt:lpstr>'3.3 Assets (RAB)_Fcst'!dms_030304_02_SCS_Values</vt:lpstr>
      <vt:lpstr>Dollars</vt:lpstr>
      <vt:lpstr>End_year</vt:lpstr>
      <vt:lpstr>Error</vt:lpstr>
      <vt:lpstr>Factor</vt:lpstr>
      <vt:lpstr>Half</vt:lpstr>
      <vt:lpstr>Kilometres</vt:lpstr>
      <vt:lpstr>LU_Basis</vt:lpstr>
      <vt:lpstr>LU_EB_RIN_Assets</vt:lpstr>
      <vt:lpstr>LU_RAB_Assets</vt:lpstr>
      <vt:lpstr>LU_Timing</vt:lpstr>
      <vt:lpstr>LU_Timing_Value</vt:lpstr>
      <vt:lpstr>LU_Units</vt:lpstr>
      <vt:lpstr>Mid_year</vt:lpstr>
      <vt:lpstr>Millions</vt:lpstr>
      <vt:lpstr>Model_Name</vt:lpstr>
      <vt:lpstr>Model_Start_Date</vt:lpstr>
      <vt:lpstr>Mths_In_Mth</vt:lpstr>
      <vt:lpstr>Mths_In_Qtr</vt:lpstr>
      <vt:lpstr>Mths_In_Yr</vt:lpstr>
      <vt:lpstr>NA</vt:lpstr>
      <vt:lpstr>No</vt:lpstr>
      <vt:lpstr>Nominal</vt:lpstr>
      <vt:lpstr>Number</vt:lpstr>
      <vt:lpstr>Ok</vt:lpstr>
      <vt:lpstr>Percent</vt:lpstr>
      <vt:lpstr>Qtrs_In_Yr</vt:lpstr>
      <vt:lpstr>Real2018</vt:lpstr>
      <vt:lpstr>Start_year</vt:lpstr>
      <vt:lpstr>Thousands</vt:lpstr>
      <vt:lpstr>Title_Msg</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Ryan Barrett</cp:lastModifiedBy>
  <dcterms:created xsi:type="dcterms:W3CDTF">2023-01-26T02:22:03Z</dcterms:created>
  <dcterms:modified xsi:type="dcterms:W3CDTF">2023-01-30T07:11:35Z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bool>false</vt:bool>
  </property>
  <property fmtid="{D5CDD505-2E9C-101B-9397-08002B2CF9AE}" pid="3" name="xd_ProgID">
    <vt:lpwstr/>
  </property>
  <property fmtid="{D5CDD505-2E9C-101B-9397-08002B2CF9AE}" pid="4" name="ContentTypeId">
    <vt:lpwstr>0x010100A213386B98CA9D47B153354AC72DA840</vt:lpwstr>
  </property>
  <property fmtid="{D5CDD505-2E9C-101B-9397-08002B2CF9AE}" pid="5" name="TemplateUrl">
    <vt:lpwstr/>
  </property>
  <property fmtid="{D5CDD505-2E9C-101B-9397-08002B2CF9AE}" pid="6" name="ComplianceAssetId">
    <vt:lpwstr/>
  </property>
</Properties>
</file>