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https://farrierswier.sharepoint.com/48417 PWC Modelling WACC/03. Working/Revenue Scenarios/IP13/Submission/"/>
    </mc:Choice>
  </mc:AlternateContent>
  <xr:revisionPtr revIDLastSave="20" documentId="D0CB2C10F75FB0CC1A7F17BA24DA51C1C612B75A" xr6:coauthVersionLast="28" xr6:coauthVersionMax="28" xr10:uidLastSave="{04E943CD-E509-4F68-8B61-8A37C4AD851D}"/>
  <bookViews>
    <workbookView xWindow="0" yWindow="0" windowWidth="23040" windowHeight="7944" tabRatio="841" xr2:uid="{00000000-000D-0000-FFFF-FFFF00000000}"/>
  </bookViews>
  <sheets>
    <sheet name="Cover" sheetId="27" r:id="rId1"/>
    <sheet name="TOC" sheetId="28" r:id="rId2"/>
    <sheet name="Input_Inflation" sheetId="50" r:id="rId3"/>
    <sheet name="Input_RAB_SCS" sheetId="32" r:id="rId4"/>
    <sheet name="Input_RAB_ACS" sheetId="37" r:id="rId5"/>
    <sheet name="Input_Connections" sheetId="43" r:id="rId6"/>
    <sheet name="Input_AssetLives" sheetId="49" r:id="rId7"/>
    <sheet name="Input_DRC" sheetId="44" r:id="rId8"/>
    <sheet name="Calc_Alloc" sheetId="31" r:id="rId9"/>
    <sheet name="Calc_RAB_Connection" sheetId="45" r:id="rId10"/>
    <sheet name="Calc_RAB_NS" sheetId="47" r:id="rId11"/>
    <sheet name="Calc_EB_NS" sheetId="46" r:id="rId12"/>
    <sheet name="Calc_EB_SCS" sheetId="33" r:id="rId13"/>
    <sheet name="Calc_EB_ACS" sheetId="38" r:id="rId14"/>
    <sheet name="Output_EB_RIN_NS" sheetId="42" r:id="rId15"/>
    <sheet name="Output_EB_RIN_SCS" sheetId="34" r:id="rId16"/>
    <sheet name="Output_EB_RIN_ACS" sheetId="39" r:id="rId17"/>
    <sheet name="3.3 Assets (RAB)" sheetId="48" r:id="rId18"/>
    <sheet name="Lookup" sheetId="4" r:id="rId19"/>
    <sheet name="Checks" sheetId="25" r:id="rId20"/>
  </sheets>
  <externalReferences>
    <externalReference r:id="rId21"/>
    <externalReference r:id="rId22"/>
    <externalReference r:id="rId23"/>
    <externalReference r:id="rId24"/>
    <externalReference r:id="rId25"/>
    <externalReference r:id="rId26"/>
    <externalReference r:id="rId27"/>
  </externalReferences>
  <definedNames>
    <definedName name="_xlnm._FilterDatabase" localSheetId="17" hidden="1">'3.3 Assets (RAB)'!#REF!</definedName>
    <definedName name="anscount" hidden="1">1</definedName>
    <definedName name="Base_Year">Lookup!$E$11</definedName>
    <definedName name="CRCP_span" comment="Generic cover sheet">CONCATENATE(CRCP_y1, " to ",CRCP_y5)</definedName>
    <definedName name="Days_In_Wk">Lookup!$D$30</definedName>
    <definedName name="Days_In_Yr">Lookup!$D$31</definedName>
    <definedName name="dms_030301_01_ACS_Values">'3.3 Assets (RAB)'!$AC$13:$AN$18</definedName>
    <definedName name="dms_030301_01_NS_Values">'3.3 Assets (RAB)'!$C$13:$N$18</definedName>
    <definedName name="dms_030301_01_Rows">'3.3 Assets (RAB)'!$B$13:$B$18</definedName>
    <definedName name="dms_030301_01_SCS_Values">'3.3 Assets (RAB)'!$P$13:$AA$18</definedName>
    <definedName name="dms_030302_01_ACS_Values">'3.3 Assets (RAB)'!$AC$26:$AN$31</definedName>
    <definedName name="dms_030302_01_NS_Values">'3.3 Assets (RAB)'!$C$26:$N$31</definedName>
    <definedName name="dms_030302_01_Rows">'3.3 Assets (RAB)'!$B$26:$B$31</definedName>
    <definedName name="dms_030302_01_SCS_Values">'3.3 Assets (RAB)'!$P$26:$AA$31</definedName>
    <definedName name="dms_030302_02_ACS_Values">'3.3 Assets (RAB)'!$AC$33:$AN$38</definedName>
    <definedName name="dms_030302_02_NS_Values">'3.3 Assets (RAB)'!$C$33:$N$38</definedName>
    <definedName name="dms_030302_02_SCS_Values">'3.3 Assets (RAB)'!$P$33:$AA$38</definedName>
    <definedName name="dms_030302_03_ACS_Values">'3.3 Assets (RAB)'!$AC$40:$AN$45</definedName>
    <definedName name="dms_030302_03_NS_Values">'3.3 Assets (RAB)'!$C$40:$N$45</definedName>
    <definedName name="dms_030302_03_SCS_Values">'3.3 Assets (RAB)'!$P$40:$AA$45</definedName>
    <definedName name="dms_030302_04_ACS_Values">'3.3 Assets (RAB)'!$AC$47:$AN$52</definedName>
    <definedName name="dms_030302_04_NS_Values">'3.3 Assets (RAB)'!$C$47:$N$52</definedName>
    <definedName name="dms_030302_04_SCS_Values">'3.3 Assets (RAB)'!$P$47:$AA$52</definedName>
    <definedName name="dms_030302_05_ACS_Values">'3.3 Assets (RAB)'!$AC$54:$AN$59</definedName>
    <definedName name="dms_030302_05_NS_Values">'3.3 Assets (RAB)'!$C$54:$N$59</definedName>
    <definedName name="dms_030302_05_SCS_Values">'3.3 Assets (RAB)'!$P$54:$AA$59</definedName>
    <definedName name="dms_030302_06_ACS_Values">'3.3 Assets (RAB)'!$AC$61:$AN$66</definedName>
    <definedName name="dms_030302_06_NS_Values">'3.3 Assets (RAB)'!$C$61:$N$66</definedName>
    <definedName name="dms_030302_06_SCS_Values">'3.3 Assets (RAB)'!$P$61:$AA$66</definedName>
    <definedName name="dms_030302_07_ACS_Values">'3.3 Assets (RAB)'!$AC$68:$AN$72</definedName>
    <definedName name="dms_030302_07_NS_Values">'3.3 Assets (RAB)'!$C$68:$N$72</definedName>
    <definedName name="dms_030302_07_Rows">'3.3 Assets (RAB)'!$B$68:$B$72</definedName>
    <definedName name="dms_030302_07_SCS_Values">'3.3 Assets (RAB)'!$P$68:$AA$72</definedName>
    <definedName name="dms_030302_08_ACS_Values">'3.3 Assets (RAB)'!$AC$74:$AN$79</definedName>
    <definedName name="dms_030302_08_NS_Values">'3.3 Assets (RAB)'!$C$74:$N$79</definedName>
    <definedName name="dms_030302_08_SCS_Values">'3.3 Assets (RAB)'!$P$74:$AA$79</definedName>
    <definedName name="dms_030302_09_ACS_Values">'3.3 Assets (RAB)'!$AC$81:$AN$86</definedName>
    <definedName name="dms_030302_09_NS_Values">'3.3 Assets (RAB)'!$C$81:$N$86</definedName>
    <definedName name="dms_030302_09_SCS_Values">'3.3 Assets (RAB)'!$P$81:$AA$86</definedName>
    <definedName name="dms_030302_10_ACS_Values">'3.3 Assets (RAB)'!$AC$88:$AN$93</definedName>
    <definedName name="dms_030302_10_NS_Values">'3.3 Assets (RAB)'!$C$88:$N$93</definedName>
    <definedName name="dms_030302_10_SCS_Values">'3.3 Assets (RAB)'!$P$88:$AA$93</definedName>
    <definedName name="dms_030303_01_ACS_Values">'3.3 Assets (RAB)'!$AC$102:$AN$112</definedName>
    <definedName name="dms_030303_01_NS_Values">'3.3 Assets (RAB)'!$C$102:$N$112</definedName>
    <definedName name="dms_030303_01_Rows">'3.3 Assets (RAB)'!$B$102:$B$112</definedName>
    <definedName name="dms_030303_01_SCS_Values">'3.3 Assets (RAB)'!$P$102:$AA$112</definedName>
    <definedName name="dms_030304_01_ACS_Values">'3.3 Assets (RAB)'!$AC$120:$AN$128</definedName>
    <definedName name="dms_030304_01_NS_Values">'3.3 Assets (RAB)'!$C$120:$N$128</definedName>
    <definedName name="dms_030304_01_Rows">'3.3 Assets (RAB)'!$B$120:$B$128</definedName>
    <definedName name="dms_030304_01_SCS_Values">'3.3 Assets (RAB)'!$P$120:$AA$128</definedName>
    <definedName name="dms_030304_02_ACS_Values">'3.3 Assets (RAB)'!$AC$131:$AN$139</definedName>
    <definedName name="dms_030304_02_NS_Values">'3.3 Assets (RAB)'!$C$131:$N$139</definedName>
    <definedName name="dms_030304_02_Rows">'3.3 Assets (RAB)'!$B$131:$B$139</definedName>
    <definedName name="dms_030304_02_SCS_Values">'3.3 Assets (RAB)'!$P$131:$AA$139</definedName>
    <definedName name="dms_STPIS_Detail">'[1]6'!$O$15:$O$37</definedName>
    <definedName name="dms_STPIS_Reasons">'[1]6'!$P$17:$P$30</definedName>
    <definedName name="Dollars">Lookup!$D$45</definedName>
    <definedName name="End_year">Lookup!$F$63</definedName>
    <definedName name="Error">Lookup!$D$35</definedName>
    <definedName name="Factor">Lookup!$D$48</definedName>
    <definedName name="FRCP_1to5">"2015-16 to 2019-20"</definedName>
    <definedName name="FRCP_span">CONCATENATE(FRCP_y1, " to ", FRCP_y5)</definedName>
    <definedName name="Half">Lookup!$D$32</definedName>
    <definedName name="Kilometres">Lookup!$D$50</definedName>
    <definedName name="LU_Basis">Lookup!$D$55:$D$57</definedName>
    <definedName name="LU_EB_RIN_Assets">Lookup!$D$103:$D$112</definedName>
    <definedName name="LU_RAB_Assets">Lookup!$D$71:$D$89</definedName>
    <definedName name="LU_Timing">Lookup!$D$61:$D$64</definedName>
    <definedName name="LU_Timing_Value">Lookup!$E$61:$E$64</definedName>
    <definedName name="LU_Units">Lookup!$D$44:$D$51</definedName>
    <definedName name="Mid_year">Lookup!$D$62</definedName>
    <definedName name="Millions">Lookup!$D$46</definedName>
    <definedName name="Model_Name">Cover!$B$3</definedName>
    <definedName name="Model_Start_Date">Lookup!$E$10</definedName>
    <definedName name="Mths_In_Mth">Lookup!$D$26</definedName>
    <definedName name="Mths_In_Qtr">Lookup!$D$27</definedName>
    <definedName name="Mths_In_Yr">Lookup!$D$29</definedName>
    <definedName name="NA">Lookup!$D$34</definedName>
    <definedName name="No">Lookup!$D$40</definedName>
    <definedName name="Nominal">Lookup!$D$57</definedName>
    <definedName name="Number">Lookup!$D$49</definedName>
    <definedName name="Ok">Lookup!$D$33</definedName>
    <definedName name="Percent">Lookup!$D$44</definedName>
    <definedName name="Qtrs_In_Yr">Lookup!$D$28</definedName>
    <definedName name="RCP_1to5">"2015-16 to 2019-20"</definedName>
    <definedName name="Real2018">Lookup!$D$55</definedName>
    <definedName name="Start_year">Lookup!$D$61</definedName>
    <definedName name="Thousands">Lookup!$D$47</definedName>
    <definedName name="Title_Msg">Checks!$H$10</definedName>
    <definedName name="Yes">Lookup!$D$39</definedName>
    <definedName name="Yes_No">Lookup!$D$39:$D$40</definedName>
    <definedName name="Z_9AF1BD63_86F7_41E1_A4B4_D8DB22B54964_.wvu.PrintArea" localSheetId="17" hidden="1">'3.3 Assets (RAB)'!$A$1:$AN$139</definedName>
    <definedName name="Z_C8B120F9_20B7_4787_B929_C88AF67DA2E9_.wvu.PrintArea" localSheetId="17" hidden="1">'3.3 Assets (RAB)'!$A$1:$AN$139</definedName>
  </definedNames>
  <calcPr calcId="171027"/>
  <fileRecoveryPr autoRecover="0"/>
</workbook>
</file>

<file path=xl/calcChain.xml><?xml version="1.0" encoding="utf-8"?>
<calcChain xmlns="http://schemas.openxmlformats.org/spreadsheetml/2006/main">
  <c r="H65" i="31" l="1"/>
  <c r="H64" i="31"/>
  <c r="H63" i="31"/>
  <c r="H62" i="31"/>
  <c r="H61" i="31"/>
  <c r="AB98" i="37"/>
  <c r="AA98" i="37"/>
  <c r="AA79" i="37" s="1"/>
  <c r="Z98" i="37"/>
  <c r="Z79" i="37" s="1"/>
  <c r="Y98" i="37"/>
  <c r="X98" i="37"/>
  <c r="AB97" i="37"/>
  <c r="AB78" i="37" s="1"/>
  <c r="AA97" i="37"/>
  <c r="AA78" i="37" s="1"/>
  <c r="Z97" i="37"/>
  <c r="Z78" i="37" s="1"/>
  <c r="Y97" i="37"/>
  <c r="X97" i="37"/>
  <c r="X78" i="37" s="1"/>
  <c r="AB96" i="37"/>
  <c r="AB77" i="37" s="1"/>
  <c r="AA96" i="37"/>
  <c r="Z96" i="37"/>
  <c r="Y96" i="37"/>
  <c r="X96" i="37"/>
  <c r="AB95" i="37"/>
  <c r="AB76" i="37" s="1"/>
  <c r="AA95" i="37"/>
  <c r="Z95" i="37"/>
  <c r="Z76" i="37" s="1"/>
  <c r="Y95" i="37"/>
  <c r="Y76" i="37" s="1"/>
  <c r="X95" i="37"/>
  <c r="AB94" i="37"/>
  <c r="AB75" i="37" s="1"/>
  <c r="AA94" i="37"/>
  <c r="AA75" i="37" s="1"/>
  <c r="Z94" i="37"/>
  <c r="Y94" i="37"/>
  <c r="Y75" i="37" s="1"/>
  <c r="X94" i="37"/>
  <c r="X75" i="37" s="1"/>
  <c r="AB93" i="37"/>
  <c r="AB74" i="37" s="1"/>
  <c r="AA93" i="37"/>
  <c r="AA74" i="37" s="1"/>
  <c r="Z93" i="37"/>
  <c r="Y93" i="37"/>
  <c r="Y74" i="37" s="1"/>
  <c r="X93" i="37"/>
  <c r="AB82" i="37"/>
  <c r="AA82" i="37"/>
  <c r="Z82" i="37"/>
  <c r="Y82" i="37"/>
  <c r="X82" i="37"/>
  <c r="AB80" i="37"/>
  <c r="AA80" i="37"/>
  <c r="Z80" i="37"/>
  <c r="Y80" i="37"/>
  <c r="X80" i="37"/>
  <c r="AB79" i="37"/>
  <c r="Y79" i="37"/>
  <c r="X79" i="37"/>
  <c r="Y78" i="37"/>
  <c r="AA77" i="37"/>
  <c r="Z77" i="37"/>
  <c r="Y77" i="37"/>
  <c r="X77" i="37"/>
  <c r="AA76" i="37"/>
  <c r="X76" i="37"/>
  <c r="Z75" i="37"/>
  <c r="Z74" i="37"/>
  <c r="X74" i="37"/>
  <c r="AB63" i="37"/>
  <c r="AA63" i="37"/>
  <c r="Z63" i="37"/>
  <c r="Y63" i="37"/>
  <c r="X63" i="37"/>
  <c r="AB61" i="37"/>
  <c r="AA61" i="37"/>
  <c r="Z61" i="37"/>
  <c r="Y61" i="37"/>
  <c r="X61" i="37"/>
  <c r="AB60" i="37"/>
  <c r="AA60" i="37"/>
  <c r="Z60" i="37"/>
  <c r="Y60" i="37"/>
  <c r="X60" i="37"/>
  <c r="AB59" i="37"/>
  <c r="AA59" i="37"/>
  <c r="Z59" i="37"/>
  <c r="Y59" i="37"/>
  <c r="X59" i="37"/>
  <c r="AB58" i="37"/>
  <c r="AA58" i="37"/>
  <c r="Z58" i="37"/>
  <c r="Y58" i="37"/>
  <c r="X58" i="37"/>
  <c r="AB57" i="37"/>
  <c r="AA57" i="37"/>
  <c r="Z57" i="37"/>
  <c r="Y57" i="37"/>
  <c r="X57" i="37"/>
  <c r="AB56" i="37"/>
  <c r="AA56" i="37"/>
  <c r="Z56" i="37"/>
  <c r="Y56" i="37"/>
  <c r="X56" i="37"/>
  <c r="AB55" i="37"/>
  <c r="AA55" i="37"/>
  <c r="Z55" i="37"/>
  <c r="Y55" i="37"/>
  <c r="X55" i="37"/>
  <c r="V143" i="37"/>
  <c r="U143" i="37"/>
  <c r="T143" i="37"/>
  <c r="S143" i="37"/>
  <c r="R143" i="37"/>
  <c r="V199" i="32"/>
  <c r="U199" i="32"/>
  <c r="T199" i="32"/>
  <c r="S199" i="32"/>
  <c r="R199" i="32"/>
  <c r="W60" i="37"/>
  <c r="V60" i="37"/>
  <c r="U60" i="37"/>
  <c r="T60" i="37"/>
  <c r="S60" i="37"/>
  <c r="R60" i="37"/>
  <c r="W59" i="37"/>
  <c r="V59" i="37"/>
  <c r="U59" i="37"/>
  <c r="T59" i="37"/>
  <c r="S59" i="37"/>
  <c r="R59" i="37"/>
  <c r="W58" i="37"/>
  <c r="V58" i="37"/>
  <c r="U58" i="37"/>
  <c r="T58" i="37"/>
  <c r="S58" i="37"/>
  <c r="R58" i="37"/>
  <c r="W57" i="37"/>
  <c r="V57" i="37"/>
  <c r="U57" i="37"/>
  <c r="T57" i="37"/>
  <c r="S57" i="37"/>
  <c r="R57" i="37"/>
  <c r="W56" i="37"/>
  <c r="V56" i="37"/>
  <c r="U56" i="37"/>
  <c r="T56" i="37"/>
  <c r="S56" i="37"/>
  <c r="R56" i="37"/>
  <c r="W55" i="37"/>
  <c r="V55" i="37"/>
  <c r="U55" i="37"/>
  <c r="T55" i="37"/>
  <c r="S55" i="37"/>
  <c r="R55" i="37"/>
  <c r="W84" i="32"/>
  <c r="V84" i="32"/>
  <c r="U84" i="32"/>
  <c r="T84" i="32"/>
  <c r="S84" i="32"/>
  <c r="R84" i="32"/>
  <c r="W83" i="32"/>
  <c r="V83" i="32"/>
  <c r="U83" i="32"/>
  <c r="T83" i="32"/>
  <c r="S83" i="32"/>
  <c r="R83" i="32"/>
  <c r="W82" i="32"/>
  <c r="V82" i="32"/>
  <c r="U82" i="32"/>
  <c r="T82" i="32"/>
  <c r="S82" i="32"/>
  <c r="R82" i="32"/>
  <c r="W81" i="32"/>
  <c r="V81" i="32"/>
  <c r="U81" i="32"/>
  <c r="T81" i="32"/>
  <c r="S81" i="32"/>
  <c r="R81" i="32"/>
  <c r="W80" i="32"/>
  <c r="V80" i="32"/>
  <c r="U80" i="32"/>
  <c r="T80" i="32"/>
  <c r="S80" i="32"/>
  <c r="R80" i="32"/>
  <c r="W79" i="32"/>
  <c r="V79" i="32"/>
  <c r="U79" i="32"/>
  <c r="T79" i="32"/>
  <c r="S79" i="32"/>
  <c r="R79" i="32"/>
  <c r="W78" i="32"/>
  <c r="V78" i="32"/>
  <c r="U78" i="32"/>
  <c r="T78" i="32"/>
  <c r="S78" i="32"/>
  <c r="R78" i="32"/>
  <c r="W77" i="32"/>
  <c r="V77" i="32"/>
  <c r="U77" i="32"/>
  <c r="T77" i="32"/>
  <c r="S77" i="32"/>
  <c r="R77" i="32"/>
  <c r="W76" i="32"/>
  <c r="V76" i="32"/>
  <c r="U76" i="32"/>
  <c r="T76" i="32"/>
  <c r="S76" i="32"/>
  <c r="R76" i="32"/>
  <c r="W75" i="32"/>
  <c r="V75" i="32"/>
  <c r="U75" i="32"/>
  <c r="T75" i="32"/>
  <c r="S75" i="32"/>
  <c r="R75" i="32"/>
  <c r="W74" i="32"/>
  <c r="V74" i="32"/>
  <c r="U74" i="32"/>
  <c r="T74" i="32"/>
  <c r="S74" i="32"/>
  <c r="R74" i="32"/>
  <c r="W73" i="32"/>
  <c r="V73" i="32"/>
  <c r="U73" i="32"/>
  <c r="T73" i="32"/>
  <c r="S73" i="32"/>
  <c r="R73" i="32"/>
  <c r="W72" i="32"/>
  <c r="V72" i="32"/>
  <c r="U72" i="32"/>
  <c r="T72" i="32"/>
  <c r="S72" i="32"/>
  <c r="R72" i="32"/>
  <c r="W71" i="32"/>
  <c r="V71" i="32"/>
  <c r="U71" i="32"/>
  <c r="T71" i="32"/>
  <c r="S71" i="32"/>
  <c r="R71" i="32"/>
  <c r="R23" i="37"/>
  <c r="R22" i="37"/>
  <c r="R21" i="37"/>
  <c r="R20" i="37"/>
  <c r="R19" i="37"/>
  <c r="R18" i="37"/>
  <c r="R31" i="32"/>
  <c r="R30" i="32"/>
  <c r="R29" i="32"/>
  <c r="R28" i="32"/>
  <c r="R27" i="32"/>
  <c r="R26" i="32"/>
  <c r="R25" i="32"/>
  <c r="R24" i="32"/>
  <c r="R23" i="32"/>
  <c r="R22" i="32"/>
  <c r="R21" i="32"/>
  <c r="R20" i="32"/>
  <c r="R19" i="32"/>
  <c r="R18" i="32"/>
  <c r="AA18" i="50"/>
  <c r="Z18" i="50"/>
  <c r="Y18" i="50"/>
  <c r="X18" i="50"/>
  <c r="W18" i="50"/>
  <c r="V18" i="50"/>
  <c r="AB140" i="32"/>
  <c r="AB113" i="32" s="1"/>
  <c r="AA140" i="32"/>
  <c r="Z140" i="32"/>
  <c r="Z113" i="32" s="1"/>
  <c r="Y140" i="32"/>
  <c r="X140" i="32"/>
  <c r="AB139" i="32"/>
  <c r="AB112" i="32" s="1"/>
  <c r="AA139" i="32"/>
  <c r="Z139" i="32"/>
  <c r="Z112" i="32" s="1"/>
  <c r="Y139" i="32"/>
  <c r="Y112" i="32" s="1"/>
  <c r="X139" i="32"/>
  <c r="AB138" i="32"/>
  <c r="AB111" i="32" s="1"/>
  <c r="AA138" i="32"/>
  <c r="Z138" i="32"/>
  <c r="Y138" i="32"/>
  <c r="X138" i="32"/>
  <c r="AB137" i="32"/>
  <c r="AB110" i="32" s="1"/>
  <c r="AA137" i="32"/>
  <c r="AA110" i="32" s="1"/>
  <c r="Z137" i="32"/>
  <c r="Y137" i="32"/>
  <c r="Y110" i="32" s="1"/>
  <c r="X137" i="32"/>
  <c r="AB136" i="32"/>
  <c r="AA136" i="32"/>
  <c r="AA109" i="32" s="1"/>
  <c r="Z136" i="32"/>
  <c r="Y136" i="32"/>
  <c r="Y109" i="32" s="1"/>
  <c r="X136" i="32"/>
  <c r="X109" i="32" s="1"/>
  <c r="AB135" i="32"/>
  <c r="AA135" i="32"/>
  <c r="AA108" i="32" s="1"/>
  <c r="Z135" i="32"/>
  <c r="Y135" i="32"/>
  <c r="X135" i="32"/>
  <c r="X108" i="32" s="1"/>
  <c r="AB134" i="32"/>
  <c r="AA134" i="32"/>
  <c r="AA107" i="32" s="1"/>
  <c r="Z134" i="32"/>
  <c r="Z107" i="32" s="1"/>
  <c r="Y134" i="32"/>
  <c r="X134" i="32"/>
  <c r="AB133" i="32"/>
  <c r="AA133" i="32"/>
  <c r="Z133" i="32"/>
  <c r="Y133" i="32"/>
  <c r="X133" i="32"/>
  <c r="X106" i="32" s="1"/>
  <c r="AB132" i="32"/>
  <c r="AB105" i="32" s="1"/>
  <c r="AA132" i="32"/>
  <c r="Z132" i="32"/>
  <c r="Z105" i="32" s="1"/>
  <c r="Y132" i="32"/>
  <c r="X132" i="32"/>
  <c r="AB131" i="32"/>
  <c r="AA131" i="32"/>
  <c r="Z131" i="32"/>
  <c r="Z104" i="32" s="1"/>
  <c r="Y131" i="32"/>
  <c r="Y104" i="32" s="1"/>
  <c r="X131" i="32"/>
  <c r="AB130" i="32"/>
  <c r="AB103" i="32" s="1"/>
  <c r="AA130" i="32"/>
  <c r="Z130" i="32"/>
  <c r="Y130" i="32"/>
  <c r="Y103" i="32" s="1"/>
  <c r="X130" i="32"/>
  <c r="AB129" i="32"/>
  <c r="AB102" i="32" s="1"/>
  <c r="AA129" i="32"/>
  <c r="AA102" i="32" s="1"/>
  <c r="Z129" i="32"/>
  <c r="Y129" i="32"/>
  <c r="Y102" i="32" s="1"/>
  <c r="X129" i="32"/>
  <c r="AB128" i="32"/>
  <c r="AA128" i="32"/>
  <c r="AA101" i="32" s="1"/>
  <c r="Z128" i="32"/>
  <c r="Y128" i="32"/>
  <c r="Y101" i="32" s="1"/>
  <c r="X128" i="32"/>
  <c r="X101" i="32" s="1"/>
  <c r="AB127" i="32"/>
  <c r="AA127" i="32"/>
  <c r="Z127" i="32"/>
  <c r="Y127" i="32"/>
  <c r="X127" i="32"/>
  <c r="AB126" i="32"/>
  <c r="AA126" i="32"/>
  <c r="AA99" i="32" s="1"/>
  <c r="Z126" i="32"/>
  <c r="Z99" i="32" s="1"/>
  <c r="Y126" i="32"/>
  <c r="X126" i="32"/>
  <c r="X99" i="32" s="1"/>
  <c r="AB125" i="32"/>
  <c r="AA125" i="32"/>
  <c r="Z125" i="32"/>
  <c r="Y125" i="32"/>
  <c r="X125" i="32"/>
  <c r="X98" i="32" s="1"/>
  <c r="AB114" i="32"/>
  <c r="AA114" i="32"/>
  <c r="Z114" i="32"/>
  <c r="Y114" i="32"/>
  <c r="X114" i="32"/>
  <c r="AA113" i="32"/>
  <c r="Y113" i="32"/>
  <c r="X113" i="32"/>
  <c r="AA112" i="32"/>
  <c r="X112" i="32"/>
  <c r="AA111" i="32"/>
  <c r="Z111" i="32"/>
  <c r="Y111" i="32"/>
  <c r="X111" i="32"/>
  <c r="Z110" i="32"/>
  <c r="X110" i="32"/>
  <c r="AB109" i="32"/>
  <c r="Z109" i="32"/>
  <c r="AB108" i="32"/>
  <c r="Z108" i="32"/>
  <c r="Y108" i="32"/>
  <c r="AB107" i="32"/>
  <c r="Y107" i="32"/>
  <c r="X107" i="32"/>
  <c r="AB106" i="32"/>
  <c r="AA106" i="32"/>
  <c r="Z106" i="32"/>
  <c r="Y106" i="32"/>
  <c r="AA105" i="32"/>
  <c r="Y105" i="32"/>
  <c r="X105" i="32"/>
  <c r="AB104" i="32"/>
  <c r="AA104" i="32"/>
  <c r="X104" i="32"/>
  <c r="AA103" i="32"/>
  <c r="Z103" i="32"/>
  <c r="X103" i="32"/>
  <c r="Z102" i="32"/>
  <c r="X102" i="32"/>
  <c r="AB101" i="32"/>
  <c r="Z101" i="32"/>
  <c r="AB100" i="32"/>
  <c r="AA100" i="32"/>
  <c r="Z100" i="32"/>
  <c r="Y100" i="32"/>
  <c r="X100" i="32"/>
  <c r="AB99" i="32"/>
  <c r="Y99" i="32"/>
  <c r="AB98" i="32"/>
  <c r="AA98" i="32"/>
  <c r="Z98" i="32"/>
  <c r="Y98" i="32"/>
  <c r="AB87" i="32"/>
  <c r="AA87" i="32"/>
  <c r="Z87" i="32"/>
  <c r="Y87" i="32"/>
  <c r="X87" i="32"/>
  <c r="AB86" i="32"/>
  <c r="AA86" i="32"/>
  <c r="Z86" i="32"/>
  <c r="Y86" i="32"/>
  <c r="X86" i="32"/>
  <c r="AB85" i="32"/>
  <c r="AA85" i="32"/>
  <c r="Z85" i="32"/>
  <c r="Y85" i="32"/>
  <c r="X85" i="32"/>
  <c r="AB84" i="32"/>
  <c r="AA84" i="32"/>
  <c r="Z84" i="32"/>
  <c r="Y84" i="32"/>
  <c r="X84" i="32"/>
  <c r="AB83" i="32"/>
  <c r="AA83" i="32"/>
  <c r="Z83" i="32"/>
  <c r="Y83" i="32"/>
  <c r="X83" i="32"/>
  <c r="AB82" i="32"/>
  <c r="AA82" i="32"/>
  <c r="Z82" i="32"/>
  <c r="Y82" i="32"/>
  <c r="X82" i="32"/>
  <c r="AB81" i="32"/>
  <c r="AA81" i="32"/>
  <c r="Z81" i="32"/>
  <c r="Y81" i="32"/>
  <c r="X81" i="32"/>
  <c r="AB80" i="32"/>
  <c r="AA80" i="32"/>
  <c r="Z80" i="32"/>
  <c r="Y80" i="32"/>
  <c r="X80" i="32"/>
  <c r="AB79" i="32"/>
  <c r="AA79" i="32"/>
  <c r="Z79" i="32"/>
  <c r="Y79" i="32"/>
  <c r="X79" i="32"/>
  <c r="AB78" i="32"/>
  <c r="AA78" i="32"/>
  <c r="Z78" i="32"/>
  <c r="Y78" i="32"/>
  <c r="X78" i="32"/>
  <c r="AB77" i="32"/>
  <c r="AA77" i="32"/>
  <c r="Z77" i="32"/>
  <c r="Y77" i="32"/>
  <c r="X77" i="32"/>
  <c r="AB76" i="32"/>
  <c r="AA76" i="32"/>
  <c r="Z76" i="32"/>
  <c r="Y76" i="32"/>
  <c r="X76" i="32"/>
  <c r="AB75" i="32"/>
  <c r="AA75" i="32"/>
  <c r="Z75" i="32"/>
  <c r="Y75" i="32"/>
  <c r="X75" i="32"/>
  <c r="AB74" i="32"/>
  <c r="AA74" i="32"/>
  <c r="Z74" i="32"/>
  <c r="Y74" i="32"/>
  <c r="X74" i="32"/>
  <c r="AB73" i="32"/>
  <c r="AA73" i="32"/>
  <c r="Z73" i="32"/>
  <c r="Y73" i="32"/>
  <c r="X73" i="32"/>
  <c r="AB72" i="32"/>
  <c r="AA72" i="32"/>
  <c r="Z72" i="32"/>
  <c r="Y72" i="32"/>
  <c r="X72" i="32"/>
  <c r="AB71" i="32"/>
  <c r="AA71" i="32"/>
  <c r="Z71" i="32"/>
  <c r="Y71" i="32"/>
  <c r="X71" i="32"/>
  <c r="D214" i="47" l="1"/>
  <c r="F214" i="47"/>
  <c r="G214" i="47"/>
  <c r="H214" i="47"/>
  <c r="J214" i="47"/>
  <c r="D215" i="47"/>
  <c r="F215" i="47"/>
  <c r="G215" i="47"/>
  <c r="H215" i="47"/>
  <c r="J215" i="47"/>
  <c r="D188" i="47"/>
  <c r="E188" i="47"/>
  <c r="F188" i="47"/>
  <c r="G188" i="47"/>
  <c r="H188" i="47"/>
  <c r="J188" i="47"/>
  <c r="K188" i="47"/>
  <c r="L188" i="47"/>
  <c r="M188" i="47"/>
  <c r="N188" i="47"/>
  <c r="O188" i="47"/>
  <c r="P188" i="47"/>
  <c r="Q188" i="47"/>
  <c r="R188" i="47"/>
  <c r="S188" i="47"/>
  <c r="T188" i="47"/>
  <c r="U188" i="47"/>
  <c r="V188" i="47"/>
  <c r="W188" i="47"/>
  <c r="X188" i="47"/>
  <c r="Y188" i="47"/>
  <c r="Z188" i="47"/>
  <c r="AA188" i="47"/>
  <c r="AB188" i="47"/>
  <c r="D189" i="47"/>
  <c r="E189" i="47"/>
  <c r="F189" i="47"/>
  <c r="G189" i="47"/>
  <c r="H189" i="47"/>
  <c r="J189" i="47"/>
  <c r="K189" i="47"/>
  <c r="L189" i="47"/>
  <c r="M189" i="47"/>
  <c r="N189" i="47"/>
  <c r="O189" i="47"/>
  <c r="P189" i="47"/>
  <c r="Q189" i="47"/>
  <c r="R189" i="47"/>
  <c r="S189" i="47"/>
  <c r="T189" i="47"/>
  <c r="U189" i="47"/>
  <c r="V189" i="47"/>
  <c r="W189" i="47"/>
  <c r="X189" i="47"/>
  <c r="Y189" i="47"/>
  <c r="Z189" i="47"/>
  <c r="AA189" i="47"/>
  <c r="AB189" i="47"/>
  <c r="D162" i="47"/>
  <c r="F162" i="47"/>
  <c r="G162" i="47"/>
  <c r="H162" i="47"/>
  <c r="J162" i="47"/>
  <c r="D163" i="47"/>
  <c r="F163" i="47"/>
  <c r="G163" i="47"/>
  <c r="H163" i="47"/>
  <c r="J163" i="47"/>
  <c r="D136" i="47"/>
  <c r="E136" i="47"/>
  <c r="F136" i="47"/>
  <c r="G136" i="47"/>
  <c r="H136" i="47"/>
  <c r="J136" i="47"/>
  <c r="K136" i="47"/>
  <c r="L136" i="47"/>
  <c r="M136" i="47"/>
  <c r="N136" i="47"/>
  <c r="O136" i="47"/>
  <c r="P136" i="47"/>
  <c r="Q136" i="47"/>
  <c r="R136" i="47"/>
  <c r="S136" i="47"/>
  <c r="T136" i="47"/>
  <c r="U136" i="47"/>
  <c r="V136" i="47"/>
  <c r="W136" i="47"/>
  <c r="X136" i="47"/>
  <c r="Y136" i="47"/>
  <c r="Z136" i="47"/>
  <c r="AA136" i="47"/>
  <c r="AB136" i="47"/>
  <c r="D137" i="47"/>
  <c r="E137" i="47"/>
  <c r="F137" i="47"/>
  <c r="G137" i="47"/>
  <c r="H137" i="47"/>
  <c r="J137" i="47"/>
  <c r="K137" i="47"/>
  <c r="L137" i="47"/>
  <c r="M137" i="47"/>
  <c r="N137" i="47"/>
  <c r="O137" i="47"/>
  <c r="P137" i="47"/>
  <c r="Q137" i="47"/>
  <c r="R137" i="47"/>
  <c r="S137" i="47"/>
  <c r="T137" i="47"/>
  <c r="U137" i="47"/>
  <c r="V137" i="47"/>
  <c r="W137" i="47"/>
  <c r="X137" i="47"/>
  <c r="Y137" i="47"/>
  <c r="Z137" i="47"/>
  <c r="AA137" i="47"/>
  <c r="AB137" i="47"/>
  <c r="D110" i="47"/>
  <c r="E110" i="47"/>
  <c r="F110" i="47"/>
  <c r="G110" i="47"/>
  <c r="H110" i="47"/>
  <c r="J110" i="47"/>
  <c r="K110" i="47"/>
  <c r="L110" i="47"/>
  <c r="M110" i="47"/>
  <c r="N110" i="47"/>
  <c r="O110" i="47"/>
  <c r="P110" i="47"/>
  <c r="Q110" i="47"/>
  <c r="R110" i="47"/>
  <c r="S110" i="47"/>
  <c r="T110" i="47"/>
  <c r="U110" i="47"/>
  <c r="V110" i="47"/>
  <c r="W110" i="47"/>
  <c r="X110" i="47"/>
  <c r="Y110" i="47"/>
  <c r="Z110" i="47"/>
  <c r="AA110" i="47"/>
  <c r="AB110" i="47"/>
  <c r="D111" i="47"/>
  <c r="E111" i="47"/>
  <c r="F111" i="47"/>
  <c r="G111" i="47"/>
  <c r="H111" i="47"/>
  <c r="J111" i="47"/>
  <c r="K111" i="47"/>
  <c r="L111" i="47"/>
  <c r="M111" i="47"/>
  <c r="N111" i="47"/>
  <c r="O111" i="47"/>
  <c r="P111" i="47"/>
  <c r="Q111" i="47"/>
  <c r="R111" i="47"/>
  <c r="S111" i="47"/>
  <c r="T111" i="47"/>
  <c r="U111" i="47"/>
  <c r="V111" i="47"/>
  <c r="W111" i="47"/>
  <c r="X111" i="47"/>
  <c r="Y111" i="47"/>
  <c r="Z111" i="47"/>
  <c r="AA111" i="47"/>
  <c r="AB111" i="47"/>
  <c r="D84" i="47"/>
  <c r="E84" i="47"/>
  <c r="F84" i="47"/>
  <c r="G84" i="47"/>
  <c r="H84" i="47"/>
  <c r="J84" i="47"/>
  <c r="K84" i="47"/>
  <c r="L84" i="47"/>
  <c r="M84" i="47"/>
  <c r="N84" i="47"/>
  <c r="O84" i="47"/>
  <c r="P84" i="47"/>
  <c r="Q84" i="47"/>
  <c r="R84" i="47"/>
  <c r="S84" i="47"/>
  <c r="T84" i="47"/>
  <c r="U84" i="47"/>
  <c r="V84" i="47"/>
  <c r="W84" i="47"/>
  <c r="X84" i="47"/>
  <c r="Y84" i="47"/>
  <c r="Z84" i="47"/>
  <c r="AA84" i="47"/>
  <c r="AB84" i="47"/>
  <c r="D85" i="47"/>
  <c r="E85" i="47"/>
  <c r="F85" i="47"/>
  <c r="G85" i="47"/>
  <c r="H85" i="47"/>
  <c r="J85" i="47"/>
  <c r="K85" i="47"/>
  <c r="L85" i="47"/>
  <c r="M85" i="47"/>
  <c r="N85" i="47"/>
  <c r="O85" i="47"/>
  <c r="P85" i="47"/>
  <c r="Q85" i="47"/>
  <c r="R85" i="47"/>
  <c r="S85" i="47"/>
  <c r="T85" i="47"/>
  <c r="U85" i="47"/>
  <c r="V85" i="47"/>
  <c r="W85" i="47"/>
  <c r="X85" i="47"/>
  <c r="Y85" i="47"/>
  <c r="Z85" i="47"/>
  <c r="AA85" i="47"/>
  <c r="AB85" i="47"/>
  <c r="D58" i="47"/>
  <c r="E58" i="47"/>
  <c r="F58" i="47"/>
  <c r="G58" i="47"/>
  <c r="H58" i="47"/>
  <c r="J58" i="47"/>
  <c r="K58" i="47"/>
  <c r="L58" i="47"/>
  <c r="M58" i="47"/>
  <c r="N58" i="47"/>
  <c r="O58" i="47"/>
  <c r="P58" i="47"/>
  <c r="Q58" i="47"/>
  <c r="D59" i="47"/>
  <c r="E59" i="47"/>
  <c r="F59" i="47"/>
  <c r="G59" i="47"/>
  <c r="H59" i="47"/>
  <c r="J59" i="47"/>
  <c r="K59" i="47"/>
  <c r="L59" i="47"/>
  <c r="M59" i="47"/>
  <c r="N59" i="47"/>
  <c r="O59" i="47"/>
  <c r="P59" i="47"/>
  <c r="Q59" i="47"/>
  <c r="D32" i="47"/>
  <c r="E32" i="47"/>
  <c r="F32" i="47"/>
  <c r="G32" i="47"/>
  <c r="H32" i="47"/>
  <c r="J32" i="47"/>
  <c r="K32" i="47"/>
  <c r="K162" i="47" s="1"/>
  <c r="K214" i="47" s="1"/>
  <c r="L32" i="47" s="1"/>
  <c r="L162" i="47" s="1"/>
  <c r="L214" i="47" s="1"/>
  <c r="M32" i="47" s="1"/>
  <c r="M162" i="47" s="1"/>
  <c r="M214" i="47" s="1"/>
  <c r="N32" i="47" s="1"/>
  <c r="N162" i="47" s="1"/>
  <c r="N214" i="47" s="1"/>
  <c r="O32" i="47" s="1"/>
  <c r="O162" i="47" s="1"/>
  <c r="O214" i="47" s="1"/>
  <c r="P32" i="47" s="1"/>
  <c r="P162" i="47" s="1"/>
  <c r="P214" i="47" s="1"/>
  <c r="Q32" i="47" s="1"/>
  <c r="Q162" i="47" s="1"/>
  <c r="Q214" i="47" s="1"/>
  <c r="R32" i="47" s="1"/>
  <c r="D33" i="47"/>
  <c r="E33" i="47"/>
  <c r="F33" i="47"/>
  <c r="G33" i="47"/>
  <c r="H33" i="47"/>
  <c r="J33" i="47"/>
  <c r="K33" i="47"/>
  <c r="K163" i="47" s="1"/>
  <c r="K215" i="47" s="1"/>
  <c r="L33" i="47" s="1"/>
  <c r="L163" i="47" s="1"/>
  <c r="L215" i="47" s="1"/>
  <c r="M33" i="47" s="1"/>
  <c r="M163" i="47" s="1"/>
  <c r="M215" i="47" s="1"/>
  <c r="N33" i="47" s="1"/>
  <c r="N163" i="47" s="1"/>
  <c r="N215" i="47" s="1"/>
  <c r="O33" i="47" s="1"/>
  <c r="O163" i="47" s="1"/>
  <c r="O215" i="47" s="1"/>
  <c r="P33" i="47" s="1"/>
  <c r="P163" i="47" s="1"/>
  <c r="P215" i="47" s="1"/>
  <c r="Q33" i="47" s="1"/>
  <c r="Q163" i="47" s="1"/>
  <c r="Q215" i="47" s="1"/>
  <c r="R33" i="47" s="1"/>
  <c r="D214" i="45"/>
  <c r="F214" i="45"/>
  <c r="G214" i="45"/>
  <c r="H214" i="45"/>
  <c r="J214" i="45"/>
  <c r="K32" i="45" s="1"/>
  <c r="K162" i="45" s="1"/>
  <c r="K214" i="45" s="1"/>
  <c r="L32" i="45" s="1"/>
  <c r="L162" i="45" s="1"/>
  <c r="L214" i="45" s="1"/>
  <c r="M32" i="45" s="1"/>
  <c r="M162" i="45" s="1"/>
  <c r="M214" i="45" s="1"/>
  <c r="N32" i="45" s="1"/>
  <c r="N162" i="45" s="1"/>
  <c r="N214" i="45" s="1"/>
  <c r="O32" i="45" s="1"/>
  <c r="O162" i="45" s="1"/>
  <c r="O214" i="45" s="1"/>
  <c r="P32" i="45" s="1"/>
  <c r="P162" i="45" s="1"/>
  <c r="P214" i="45" s="1"/>
  <c r="Q32" i="45" s="1"/>
  <c r="Q162" i="45" s="1"/>
  <c r="Q214" i="45" s="1"/>
  <c r="R32" i="45" s="1"/>
  <c r="R162" i="45" s="1"/>
  <c r="R214" i="45" s="1"/>
  <c r="S32" i="45" s="1"/>
  <c r="S162" i="45" s="1"/>
  <c r="S214" i="45" s="1"/>
  <c r="T32" i="45" s="1"/>
  <c r="T162" i="45" s="1"/>
  <c r="T214" i="45" s="1"/>
  <c r="U32" i="45" s="1"/>
  <c r="U162" i="45" s="1"/>
  <c r="U214" i="45" s="1"/>
  <c r="V32" i="45" s="1"/>
  <c r="V162" i="45" s="1"/>
  <c r="V214" i="45" s="1"/>
  <c r="W32" i="45" s="1"/>
  <c r="W162" i="45" s="1"/>
  <c r="W214" i="45" s="1"/>
  <c r="X32" i="45" s="1"/>
  <c r="X162" i="45" s="1"/>
  <c r="X214" i="45" s="1"/>
  <c r="Y32" i="45" s="1"/>
  <c r="Y162" i="45" s="1"/>
  <c r="Y214" i="45" s="1"/>
  <c r="Z32" i="45" s="1"/>
  <c r="Z162" i="45" s="1"/>
  <c r="Z214" i="45" s="1"/>
  <c r="AA32" i="45" s="1"/>
  <c r="AA162" i="45" s="1"/>
  <c r="AA214" i="45" s="1"/>
  <c r="AB32" i="45" s="1"/>
  <c r="AB162" i="45" s="1"/>
  <c r="AB214" i="45" s="1"/>
  <c r="D215" i="45"/>
  <c r="F215" i="45"/>
  <c r="G215" i="45"/>
  <c r="H215" i="45"/>
  <c r="J215" i="45"/>
  <c r="D188" i="45"/>
  <c r="E188" i="45"/>
  <c r="F188" i="45"/>
  <c r="G188" i="45"/>
  <c r="H188" i="45"/>
  <c r="D189" i="45"/>
  <c r="E189" i="45"/>
  <c r="F189" i="45"/>
  <c r="G189" i="45"/>
  <c r="H189" i="45"/>
  <c r="D162" i="45"/>
  <c r="F162" i="45"/>
  <c r="G162" i="45"/>
  <c r="H162" i="45"/>
  <c r="J162" i="45"/>
  <c r="D163" i="45"/>
  <c r="F163" i="45"/>
  <c r="G163" i="45"/>
  <c r="H163" i="45"/>
  <c r="J163" i="45"/>
  <c r="D136" i="45"/>
  <c r="E136" i="45"/>
  <c r="F136" i="45"/>
  <c r="G136" i="45"/>
  <c r="H136" i="45"/>
  <c r="D137" i="45"/>
  <c r="E137" i="45"/>
  <c r="F137" i="45"/>
  <c r="G137" i="45"/>
  <c r="H137" i="45"/>
  <c r="D110" i="45"/>
  <c r="E110" i="45"/>
  <c r="E111" i="45" s="1"/>
  <c r="F110" i="45"/>
  <c r="G110" i="45"/>
  <c r="H110" i="45"/>
  <c r="D111" i="45"/>
  <c r="F111" i="45"/>
  <c r="G111" i="45"/>
  <c r="H111" i="45"/>
  <c r="D84" i="45"/>
  <c r="E84" i="45"/>
  <c r="E85" i="45" s="1"/>
  <c r="F84" i="45"/>
  <c r="G84" i="45"/>
  <c r="H84" i="45"/>
  <c r="D85" i="45"/>
  <c r="F85" i="45"/>
  <c r="G85" i="45"/>
  <c r="H85" i="45"/>
  <c r="D58" i="45"/>
  <c r="E58" i="45"/>
  <c r="F58" i="45"/>
  <c r="G58" i="45"/>
  <c r="H58" i="45"/>
  <c r="D59" i="45"/>
  <c r="E59" i="45"/>
  <c r="F59" i="45"/>
  <c r="G59" i="45"/>
  <c r="H59" i="45"/>
  <c r="D32" i="45"/>
  <c r="E32" i="45"/>
  <c r="F32" i="45"/>
  <c r="G32" i="45"/>
  <c r="H32" i="45"/>
  <c r="D33" i="45"/>
  <c r="E33" i="45"/>
  <c r="F33" i="45"/>
  <c r="G33" i="45"/>
  <c r="H33" i="45"/>
  <c r="K33" i="45"/>
  <c r="K163" i="45" s="1"/>
  <c r="K215" i="45" s="1"/>
  <c r="L33" i="45" s="1"/>
  <c r="L163" i="45" s="1"/>
  <c r="L215" i="45" s="1"/>
  <c r="M33" i="45" s="1"/>
  <c r="M163" i="45" s="1"/>
  <c r="M215" i="45" s="1"/>
  <c r="N33" i="45" s="1"/>
  <c r="N163" i="45" s="1"/>
  <c r="N215" i="45" s="1"/>
  <c r="O33" i="45" s="1"/>
  <c r="O163" i="45" s="1"/>
  <c r="O215" i="45" s="1"/>
  <c r="P33" i="45" s="1"/>
  <c r="P163" i="45" s="1"/>
  <c r="P215" i="45" s="1"/>
  <c r="Q33" i="45" s="1"/>
  <c r="Q163" i="45" s="1"/>
  <c r="Q215" i="45" s="1"/>
  <c r="R33" i="45" s="1"/>
  <c r="R163" i="45" s="1"/>
  <c r="R215" i="45" s="1"/>
  <c r="S33" i="45" s="1"/>
  <c r="S163" i="45" s="1"/>
  <c r="S215" i="45" s="1"/>
  <c r="T33" i="45" s="1"/>
  <c r="T163" i="45" s="1"/>
  <c r="T215" i="45" s="1"/>
  <c r="U33" i="45" s="1"/>
  <c r="U163" i="45" s="1"/>
  <c r="U215" i="45" s="1"/>
  <c r="V33" i="45" s="1"/>
  <c r="V163" i="45" s="1"/>
  <c r="V215" i="45" s="1"/>
  <c r="W33" i="45" s="1"/>
  <c r="W163" i="45" s="1"/>
  <c r="W215" i="45" s="1"/>
  <c r="X33" i="45" s="1"/>
  <c r="X163" i="45" s="1"/>
  <c r="X215" i="45" s="1"/>
  <c r="Y33" i="45" s="1"/>
  <c r="Y163" i="45" s="1"/>
  <c r="Y215" i="45" s="1"/>
  <c r="Z33" i="45" s="1"/>
  <c r="Z163" i="45" s="1"/>
  <c r="Z215" i="45" s="1"/>
  <c r="AA33" i="45" s="1"/>
  <c r="AA163" i="45" s="1"/>
  <c r="AA215" i="45" s="1"/>
  <c r="AB33" i="45" s="1"/>
  <c r="AB163" i="45" s="1"/>
  <c r="AB215" i="45" s="1"/>
  <c r="D65" i="31"/>
  <c r="D64" i="31"/>
  <c r="D25" i="31"/>
  <c r="N25" i="31"/>
  <c r="D26" i="31"/>
  <c r="N26" i="31"/>
  <c r="D219" i="32"/>
  <c r="F219" i="32"/>
  <c r="G219" i="32"/>
  <c r="H219" i="32"/>
  <c r="Q219" i="32"/>
  <c r="D220" i="32"/>
  <c r="F220" i="32"/>
  <c r="G220" i="32"/>
  <c r="H220" i="32"/>
  <c r="Q220" i="32"/>
  <c r="D192" i="32"/>
  <c r="F192" i="32"/>
  <c r="G192" i="32"/>
  <c r="H192" i="32"/>
  <c r="D193" i="32"/>
  <c r="F193" i="32"/>
  <c r="G193" i="32"/>
  <c r="H193" i="32"/>
  <c r="D166" i="32"/>
  <c r="F166" i="32"/>
  <c r="G166" i="32"/>
  <c r="H166" i="32"/>
  <c r="D167" i="32"/>
  <c r="F167" i="32"/>
  <c r="G167" i="32"/>
  <c r="H167" i="32"/>
  <c r="D139" i="32"/>
  <c r="F139" i="32"/>
  <c r="G139" i="32"/>
  <c r="H139" i="32"/>
  <c r="D140" i="32"/>
  <c r="F140" i="32"/>
  <c r="G140" i="32"/>
  <c r="H140" i="32"/>
  <c r="D112" i="32"/>
  <c r="F112" i="32"/>
  <c r="G112" i="32"/>
  <c r="H112" i="32"/>
  <c r="D113" i="32"/>
  <c r="F113" i="32"/>
  <c r="G113" i="32"/>
  <c r="H113" i="32"/>
  <c r="D85" i="32"/>
  <c r="F85" i="32"/>
  <c r="G85" i="32"/>
  <c r="H85" i="32"/>
  <c r="D86" i="32"/>
  <c r="F86" i="32"/>
  <c r="G86" i="32"/>
  <c r="H86" i="32"/>
  <c r="D58" i="32"/>
  <c r="F58" i="32"/>
  <c r="G58" i="32"/>
  <c r="H58" i="32"/>
  <c r="D59" i="32"/>
  <c r="F59" i="32"/>
  <c r="G59" i="32"/>
  <c r="H59" i="32"/>
  <c r="Q32" i="32"/>
  <c r="Q58" i="32" s="1"/>
  <c r="Q33" i="32"/>
  <c r="Q59" i="32" s="1"/>
  <c r="D32" i="32"/>
  <c r="F32" i="32"/>
  <c r="G32" i="32"/>
  <c r="H32" i="32"/>
  <c r="D33" i="32"/>
  <c r="F33" i="32"/>
  <c r="G33" i="32"/>
  <c r="H33" i="32"/>
  <c r="P219" i="32" l="1"/>
  <c r="P32" i="32" s="1"/>
  <c r="Q166" i="32"/>
  <c r="P220" i="32"/>
  <c r="P33" i="32" s="1"/>
  <c r="Q167" i="32"/>
  <c r="P59" i="32" l="1"/>
  <c r="P167" i="32" s="1"/>
  <c r="O220" i="32"/>
  <c r="O33" i="32" s="1"/>
  <c r="P58" i="32"/>
  <c r="P166" i="32"/>
  <c r="O219" i="32"/>
  <c r="O32" i="32" s="1"/>
  <c r="O58" i="32" l="1"/>
  <c r="N219" i="32"/>
  <c r="N32" i="32" s="1"/>
  <c r="O166" i="32"/>
  <c r="O59" i="32"/>
  <c r="O167" i="32"/>
  <c r="N220" i="32"/>
  <c r="N33" i="32" s="1"/>
  <c r="N58" i="32" l="1"/>
  <c r="N166" i="32"/>
  <c r="M219" i="32"/>
  <c r="M32" i="32" s="1"/>
  <c r="N59" i="32"/>
  <c r="N167" i="32" s="1"/>
  <c r="M220" i="32"/>
  <c r="M33" i="32" s="1"/>
  <c r="M58" i="32" l="1"/>
  <c r="M166" i="32"/>
  <c r="L219" i="32"/>
  <c r="L32" i="32" s="1"/>
  <c r="M59" i="32"/>
  <c r="M167" i="32" s="1"/>
  <c r="L220" i="32"/>
  <c r="L33" i="32" s="1"/>
  <c r="L59" i="32" l="1"/>
  <c r="L167" i="32" s="1"/>
  <c r="K220" i="32"/>
  <c r="K33" i="32" s="1"/>
  <c r="L58" i="32"/>
  <c r="L166" i="32" s="1"/>
  <c r="K219" i="32"/>
  <c r="K32" i="32" s="1"/>
  <c r="K59" i="32" l="1"/>
  <c r="K167" i="32"/>
  <c r="J220" i="32"/>
  <c r="J33" i="32" s="1"/>
  <c r="K58" i="32"/>
  <c r="K166" i="32"/>
  <c r="J219" i="32"/>
  <c r="J32" i="32" s="1"/>
  <c r="J58" i="32" l="1"/>
  <c r="J166" i="32"/>
  <c r="J59" i="32"/>
  <c r="J167" i="32"/>
  <c r="U40" i="50" l="1"/>
  <c r="AB18" i="50"/>
  <c r="R89" i="32" l="1"/>
  <c r="E19" i="44" l="1"/>
  <c r="J92" i="32" l="1"/>
  <c r="K92" i="32"/>
  <c r="L92" i="32"/>
  <c r="M92" i="32"/>
  <c r="N92" i="32"/>
  <c r="O92" i="32"/>
  <c r="P92" i="32"/>
  <c r="Q92" i="32"/>
  <c r="J143" i="37" l="1"/>
  <c r="K143" i="37"/>
  <c r="L143" i="37"/>
  <c r="M143" i="37"/>
  <c r="N143" i="37"/>
  <c r="O143" i="37"/>
  <c r="P143" i="37"/>
  <c r="Q143" i="37"/>
  <c r="Q106" i="37"/>
  <c r="P106" i="37"/>
  <c r="O106" i="37"/>
  <c r="N106" i="37"/>
  <c r="M106" i="37"/>
  <c r="L106" i="37"/>
  <c r="K106" i="37"/>
  <c r="J106" i="37"/>
  <c r="Q87" i="37"/>
  <c r="P87" i="37"/>
  <c r="O87" i="37"/>
  <c r="N87" i="37"/>
  <c r="M87" i="37"/>
  <c r="L87" i="37"/>
  <c r="K87" i="37"/>
  <c r="J87" i="37"/>
  <c r="J68" i="37"/>
  <c r="K68" i="37"/>
  <c r="L68" i="37"/>
  <c r="M68" i="37"/>
  <c r="N68" i="37"/>
  <c r="O68" i="37"/>
  <c r="P68" i="37"/>
  <c r="Q68" i="37"/>
  <c r="S106" i="37" l="1"/>
  <c r="T106" i="37"/>
  <c r="U106" i="37"/>
  <c r="V106" i="37"/>
  <c r="W106" i="37"/>
  <c r="AB173" i="37"/>
  <c r="AA173" i="37"/>
  <c r="Z173" i="37"/>
  <c r="Y173" i="37"/>
  <c r="X173" i="37"/>
  <c r="W173" i="37"/>
  <c r="V173" i="37"/>
  <c r="U173" i="37"/>
  <c r="T173" i="37"/>
  <c r="S173" i="37"/>
  <c r="Q173" i="37"/>
  <c r="P173" i="37"/>
  <c r="O173" i="37"/>
  <c r="N173" i="37"/>
  <c r="M173" i="37"/>
  <c r="L173" i="37"/>
  <c r="K173" i="37"/>
  <c r="J173" i="37"/>
  <c r="D238" i="32" l="1"/>
  <c r="AB237" i="32"/>
  <c r="AA237" i="32"/>
  <c r="Z237" i="32"/>
  <c r="Y237" i="32"/>
  <c r="X237" i="32"/>
  <c r="W237" i="32"/>
  <c r="V237" i="32"/>
  <c r="U237" i="32"/>
  <c r="T237" i="32"/>
  <c r="S237" i="32"/>
  <c r="Q237" i="32"/>
  <c r="P237" i="32"/>
  <c r="O237" i="32"/>
  <c r="N237" i="32"/>
  <c r="M237" i="32"/>
  <c r="L237" i="32"/>
  <c r="K237" i="32"/>
  <c r="J237" i="32"/>
  <c r="V41" i="50"/>
  <c r="H40" i="50"/>
  <c r="G40" i="50"/>
  <c r="F40" i="50"/>
  <c r="M38" i="50"/>
  <c r="L38" i="50"/>
  <c r="K38" i="50"/>
  <c r="J38" i="50"/>
  <c r="H38" i="50"/>
  <c r="G38" i="50"/>
  <c r="F38" i="50"/>
  <c r="E38" i="50"/>
  <c r="R237" i="32" l="1"/>
  <c r="R173" i="37"/>
  <c r="R97" i="37" l="1"/>
  <c r="R95" i="37"/>
  <c r="R93" i="37"/>
  <c r="R76" i="37"/>
  <c r="R77" i="37"/>
  <c r="R98" i="37"/>
  <c r="R96" i="37"/>
  <c r="R94" i="37"/>
  <c r="R75" i="37" s="1"/>
  <c r="R78" i="37"/>
  <c r="R74" i="37"/>
  <c r="R79" i="37"/>
  <c r="R137" i="32"/>
  <c r="R110" i="32" s="1"/>
  <c r="R133" i="32"/>
  <c r="R106" i="32" s="1"/>
  <c r="R127" i="32"/>
  <c r="R100" i="32" s="1"/>
  <c r="R102" i="32"/>
  <c r="R138" i="32"/>
  <c r="R111" i="32" s="1"/>
  <c r="R136" i="32"/>
  <c r="R109" i="32" s="1"/>
  <c r="R132" i="32"/>
  <c r="R105" i="32" s="1"/>
  <c r="R130" i="32"/>
  <c r="R103" i="32" s="1"/>
  <c r="R129" i="32"/>
  <c r="R128" i="32"/>
  <c r="R101" i="32" s="1"/>
  <c r="R135" i="32"/>
  <c r="R108" i="32" s="1"/>
  <c r="R126" i="32"/>
  <c r="R99" i="32" s="1"/>
  <c r="R125" i="32"/>
  <c r="R98" i="32" s="1"/>
  <c r="R131" i="32"/>
  <c r="R104" i="32" s="1"/>
  <c r="R134" i="32"/>
  <c r="R107" i="32" s="1"/>
  <c r="K28" i="50"/>
  <c r="R29" i="50"/>
  <c r="L28" i="50" l="1"/>
  <c r="M28" i="50" s="1"/>
  <c r="N28" i="50" s="1"/>
  <c r="O28" i="50" s="1"/>
  <c r="P28" i="50" s="1"/>
  <c r="Q28" i="50" s="1"/>
  <c r="R28" i="50" s="1"/>
  <c r="S28" i="50" s="1"/>
  <c r="T28" i="50" s="1"/>
  <c r="U28" i="50" s="1"/>
  <c r="S29" i="50"/>
  <c r="T29" i="50" s="1"/>
  <c r="U29" i="50" s="1"/>
  <c r="Q218" i="32"/>
  <c r="Q217" i="32"/>
  <c r="Q216" i="32"/>
  <c r="Q215" i="32"/>
  <c r="Q214" i="32"/>
  <c r="Q213" i="32"/>
  <c r="Q212" i="32"/>
  <c r="Q211" i="32"/>
  <c r="Q210" i="32"/>
  <c r="Q209" i="32"/>
  <c r="Q207" i="32"/>
  <c r="Q206" i="32"/>
  <c r="Q205" i="32"/>
  <c r="Q155" i="37"/>
  <c r="Q154" i="37"/>
  <c r="Q153" i="37"/>
  <c r="Q152" i="37"/>
  <c r="Q151" i="37"/>
  <c r="Q150" i="37"/>
  <c r="Q149" i="37"/>
  <c r="Q221" i="32"/>
  <c r="Q208" i="32"/>
  <c r="Q157" i="37"/>
  <c r="Q156" i="37"/>
  <c r="Q227" i="32" l="1"/>
  <c r="Q163" i="37"/>
  <c r="V30" i="50"/>
  <c r="W30" i="50" s="1"/>
  <c r="X30" i="50" s="1"/>
  <c r="Y30" i="50" s="1"/>
  <c r="W31" i="50"/>
  <c r="X31" i="50" s="1"/>
  <c r="Y31" i="50" s="1"/>
  <c r="Z31" i="50" s="1"/>
  <c r="V28" i="50"/>
  <c r="W28" i="50" s="1"/>
  <c r="X28" i="50" s="1"/>
  <c r="Y28" i="50" s="1"/>
  <c r="V29" i="50"/>
  <c r="W29" i="50" s="1"/>
  <c r="X29" i="50" s="1"/>
  <c r="Y29" i="50" s="1"/>
  <c r="AB32" i="50" l="1"/>
  <c r="M26" i="50"/>
  <c r="L26" i="50"/>
  <c r="K26" i="50"/>
  <c r="J26" i="50"/>
  <c r="F29" i="50"/>
  <c r="G29" i="50"/>
  <c r="H29" i="50"/>
  <c r="E171" i="37"/>
  <c r="D171" i="37"/>
  <c r="E235" i="32"/>
  <c r="D235" i="32"/>
  <c r="H28" i="50" l="1"/>
  <c r="G28" i="50"/>
  <c r="F28" i="50"/>
  <c r="J16" i="50"/>
  <c r="K16" i="50"/>
  <c r="L16" i="50"/>
  <c r="M16" i="50"/>
  <c r="F235" i="32" l="1"/>
  <c r="F171" i="37"/>
  <c r="G235" i="32"/>
  <c r="G171" i="37"/>
  <c r="H235" i="32"/>
  <c r="H171" i="37"/>
  <c r="H173" i="37"/>
  <c r="G173" i="37"/>
  <c r="F173" i="37"/>
  <c r="G237" i="32"/>
  <c r="H237" i="32"/>
  <c r="F237" i="32"/>
  <c r="J235" i="32" l="1"/>
  <c r="J171" i="37"/>
  <c r="K235" i="32" l="1"/>
  <c r="K171" i="37"/>
  <c r="E175" i="37"/>
  <c r="D175" i="37"/>
  <c r="E174" i="37"/>
  <c r="D174" i="37"/>
  <c r="E172" i="37"/>
  <c r="D172" i="37"/>
  <c r="E239" i="32"/>
  <c r="D239" i="32"/>
  <c r="L171" i="37" l="1"/>
  <c r="L235" i="32"/>
  <c r="E238" i="32"/>
  <c r="E236" i="32"/>
  <c r="D236" i="32"/>
  <c r="M171" i="37" l="1"/>
  <c r="M235" i="32"/>
  <c r="N171" i="37" l="1"/>
  <c r="N235" i="32"/>
  <c r="O171" i="37" l="1"/>
  <c r="O235" i="32"/>
  <c r="P235" i="32" l="1"/>
  <c r="P171" i="37"/>
  <c r="Q235" i="32" l="1"/>
  <c r="Q171" i="37"/>
  <c r="Q226" i="32"/>
  <c r="P226" i="32"/>
  <c r="O226" i="32"/>
  <c r="N226" i="32"/>
  <c r="M226" i="32"/>
  <c r="L226" i="32"/>
  <c r="K226" i="32"/>
  <c r="J226" i="32"/>
  <c r="Q162" i="37"/>
  <c r="P162" i="37"/>
  <c r="O162" i="37"/>
  <c r="N162" i="37"/>
  <c r="M162" i="37"/>
  <c r="L162" i="37"/>
  <c r="K162" i="37"/>
  <c r="J162" i="37"/>
  <c r="R235" i="32" l="1"/>
  <c r="R171" i="37"/>
  <c r="U169" i="37"/>
  <c r="T169" i="37"/>
  <c r="S169" i="37"/>
  <c r="R169" i="37"/>
  <c r="Q169" i="37"/>
  <c r="P169" i="37"/>
  <c r="O169" i="37"/>
  <c r="N169" i="37"/>
  <c r="M169" i="37"/>
  <c r="L169" i="37"/>
  <c r="K169" i="37"/>
  <c r="J169" i="37"/>
  <c r="E169" i="37"/>
  <c r="D169" i="37"/>
  <c r="H167" i="37"/>
  <c r="G167" i="37"/>
  <c r="F167" i="37"/>
  <c r="E167" i="37"/>
  <c r="U233" i="32"/>
  <c r="T233" i="32"/>
  <c r="S233" i="32"/>
  <c r="R233" i="32"/>
  <c r="Q233" i="32"/>
  <c r="P233" i="32"/>
  <c r="O233" i="32"/>
  <c r="N233" i="32"/>
  <c r="M233" i="32"/>
  <c r="L233" i="32"/>
  <c r="K233" i="32"/>
  <c r="J233" i="32"/>
  <c r="E233" i="32"/>
  <c r="D233" i="32"/>
  <c r="R59" i="32" l="1"/>
  <c r="R58" i="32"/>
  <c r="Q26" i="37"/>
  <c r="P157" i="37" s="1"/>
  <c r="P26" i="37" s="1"/>
  <c r="O157" i="37" s="1"/>
  <c r="O26" i="37" s="1"/>
  <c r="N157" i="37" s="1"/>
  <c r="N26" i="37" s="1"/>
  <c r="M157" i="37" s="1"/>
  <c r="M26" i="37" s="1"/>
  <c r="L157" i="37" s="1"/>
  <c r="L26" i="37" s="1"/>
  <c r="K157" i="37" s="1"/>
  <c r="K26" i="37" s="1"/>
  <c r="J157" i="37" s="1"/>
  <c r="J26" i="37" s="1"/>
  <c r="J44" i="37" s="1"/>
  <c r="Q25" i="37"/>
  <c r="P156" i="37" s="1"/>
  <c r="P25" i="37" s="1"/>
  <c r="O156" i="37" s="1"/>
  <c r="O25" i="37" s="1"/>
  <c r="N156" i="37" s="1"/>
  <c r="N25" i="37" s="1"/>
  <c r="M156" i="37" s="1"/>
  <c r="M25" i="37" s="1"/>
  <c r="L156" i="37" s="1"/>
  <c r="L25" i="37" s="1"/>
  <c r="K156" i="37" s="1"/>
  <c r="K25" i="37" s="1"/>
  <c r="J156" i="37" s="1"/>
  <c r="J25" i="37" s="1"/>
  <c r="J43" i="37" s="1"/>
  <c r="S235" i="32"/>
  <c r="S171" i="37"/>
  <c r="H231" i="32"/>
  <c r="G231" i="32"/>
  <c r="F231" i="32"/>
  <c r="E231" i="32"/>
  <c r="D16" i="25"/>
  <c r="D10" i="28"/>
  <c r="H32" i="50"/>
  <c r="G32" i="50"/>
  <c r="F32" i="50"/>
  <c r="H31" i="50"/>
  <c r="G31" i="50"/>
  <c r="F31" i="50"/>
  <c r="H30" i="50"/>
  <c r="G30" i="50"/>
  <c r="F30" i="50"/>
  <c r="H18" i="50"/>
  <c r="G18" i="50"/>
  <c r="F18" i="50"/>
  <c r="R166" i="32" l="1"/>
  <c r="R219" i="32" s="1"/>
  <c r="S32" i="32" s="1"/>
  <c r="R58" i="47"/>
  <c r="R162" i="47" s="1"/>
  <c r="R214" i="47" s="1"/>
  <c r="S32" i="47" s="1"/>
  <c r="R167" i="32"/>
  <c r="R220" i="32" s="1"/>
  <c r="S33" i="32" s="1"/>
  <c r="R59" i="47"/>
  <c r="R163" i="47" s="1"/>
  <c r="R215" i="47" s="1"/>
  <c r="S33" i="47" s="1"/>
  <c r="T171" i="37"/>
  <c r="T235" i="32"/>
  <c r="H172" i="37"/>
  <c r="H236" i="32"/>
  <c r="G172" i="37"/>
  <c r="G236" i="32"/>
  <c r="F239" i="32"/>
  <c r="F175" i="37"/>
  <c r="F174" i="37"/>
  <c r="F238" i="32"/>
  <c r="G239" i="32"/>
  <c r="G175" i="37"/>
  <c r="H174" i="37"/>
  <c r="H238" i="32"/>
  <c r="F172" i="37"/>
  <c r="F236" i="32"/>
  <c r="G174" i="37"/>
  <c r="G238" i="32"/>
  <c r="H239" i="32"/>
  <c r="H175" i="37"/>
  <c r="H169" i="37"/>
  <c r="H233" i="32"/>
  <c r="AC18" i="50"/>
  <c r="X169" i="37"/>
  <c r="X233" i="32"/>
  <c r="G169" i="37"/>
  <c r="G233" i="32"/>
  <c r="F169" i="37"/>
  <c r="F233" i="32"/>
  <c r="L172" i="37"/>
  <c r="L236" i="32"/>
  <c r="W175" i="37"/>
  <c r="W239" i="32"/>
  <c r="M172" i="37"/>
  <c r="M236" i="32"/>
  <c r="R174" i="37"/>
  <c r="R238" i="32"/>
  <c r="S59" i="32" l="1"/>
  <c r="S59" i="47" s="1"/>
  <c r="S163" i="47" s="1"/>
  <c r="S215" i="47" s="1"/>
  <c r="T33" i="47" s="1"/>
  <c r="S58" i="32"/>
  <c r="S58" i="47" s="1"/>
  <c r="S162" i="47" s="1"/>
  <c r="S214" i="47" s="1"/>
  <c r="T32" i="47" s="1"/>
  <c r="AC32" i="50"/>
  <c r="U171" i="37"/>
  <c r="U235" i="32"/>
  <c r="AD18" i="50"/>
  <c r="Y169" i="37"/>
  <c r="Y233" i="32"/>
  <c r="N172" i="37"/>
  <c r="N236" i="32"/>
  <c r="S174" i="37"/>
  <c r="S238" i="32"/>
  <c r="V175" i="37"/>
  <c r="V239" i="32"/>
  <c r="X175" i="37"/>
  <c r="X239" i="32"/>
  <c r="Q174" i="37"/>
  <c r="Q238" i="32"/>
  <c r="K172" i="37"/>
  <c r="K236" i="32"/>
  <c r="S166" i="32" l="1"/>
  <c r="S219" i="32" s="1"/>
  <c r="T32" i="32" s="1"/>
  <c r="T58" i="32" s="1"/>
  <c r="T166" i="32"/>
  <c r="T219" i="32" s="1"/>
  <c r="U32" i="32" s="1"/>
  <c r="U58" i="32" s="1"/>
  <c r="T58" i="47"/>
  <c r="T162" i="47" s="1"/>
  <c r="T214" i="47" s="1"/>
  <c r="U32" i="47" s="1"/>
  <c r="S135" i="32"/>
  <c r="S108" i="32" s="1"/>
  <c r="S127" i="32"/>
  <c r="S100" i="32" s="1"/>
  <c r="S138" i="32"/>
  <c r="S111" i="32" s="1"/>
  <c r="S130" i="32"/>
  <c r="S103" i="32" s="1"/>
  <c r="S133" i="32"/>
  <c r="S106" i="32" s="1"/>
  <c r="S125" i="32"/>
  <c r="S98" i="32" s="1"/>
  <c r="S136" i="32"/>
  <c r="S109" i="32" s="1"/>
  <c r="S128" i="32"/>
  <c r="S101" i="32" s="1"/>
  <c r="S131" i="32"/>
  <c r="S104" i="32" s="1"/>
  <c r="S110" i="32"/>
  <c r="S134" i="32"/>
  <c r="S107" i="32" s="1"/>
  <c r="S126" i="32"/>
  <c r="S99" i="32" s="1"/>
  <c r="S137" i="32"/>
  <c r="S129" i="32"/>
  <c r="S102" i="32" s="1"/>
  <c r="S132" i="32"/>
  <c r="S105" i="32" s="1"/>
  <c r="S75" i="37"/>
  <c r="S78" i="37"/>
  <c r="S76" i="37"/>
  <c r="S79" i="37"/>
  <c r="S74" i="37"/>
  <c r="S77" i="37"/>
  <c r="S167" i="32"/>
  <c r="S220" i="32" s="1"/>
  <c r="T33" i="32" s="1"/>
  <c r="AD32" i="50"/>
  <c r="AE18" i="50"/>
  <c r="Z169" i="37"/>
  <c r="Z233" i="32"/>
  <c r="U175" i="37"/>
  <c r="U239" i="32"/>
  <c r="Y175" i="37"/>
  <c r="Y239" i="32"/>
  <c r="J172" i="37"/>
  <c r="J236" i="32"/>
  <c r="P174" i="37"/>
  <c r="P238" i="32"/>
  <c r="T174" i="37"/>
  <c r="T238" i="32"/>
  <c r="O172" i="37"/>
  <c r="O236" i="32"/>
  <c r="U166" i="32" l="1"/>
  <c r="U219" i="32" s="1"/>
  <c r="V32" i="32" s="1"/>
  <c r="U58" i="47"/>
  <c r="U162" i="47" s="1"/>
  <c r="U214" i="47" s="1"/>
  <c r="V32" i="47" s="1"/>
  <c r="T59" i="32"/>
  <c r="T59" i="47" s="1"/>
  <c r="T163" i="47" s="1"/>
  <c r="T215" i="47" s="1"/>
  <c r="U33" i="47" s="1"/>
  <c r="T138" i="32"/>
  <c r="T111" i="32" s="1"/>
  <c r="T130" i="32"/>
  <c r="T133" i="32"/>
  <c r="T106" i="32" s="1"/>
  <c r="T125" i="32"/>
  <c r="T98" i="32" s="1"/>
  <c r="T136" i="32"/>
  <c r="T109" i="32" s="1"/>
  <c r="T128" i="32"/>
  <c r="T101" i="32" s="1"/>
  <c r="T131" i="32"/>
  <c r="T104" i="32" s="1"/>
  <c r="T103" i="32"/>
  <c r="T102" i="32"/>
  <c r="T134" i="32"/>
  <c r="T107" i="32" s="1"/>
  <c r="T126" i="32"/>
  <c r="T99" i="32" s="1"/>
  <c r="T137" i="32"/>
  <c r="T110" i="32" s="1"/>
  <c r="T129" i="32"/>
  <c r="T132" i="32"/>
  <c r="T105" i="32" s="1"/>
  <c r="T135" i="32"/>
  <c r="T108" i="32" s="1"/>
  <c r="T127" i="32"/>
  <c r="T100" i="32" s="1"/>
  <c r="T78" i="37"/>
  <c r="T76" i="37"/>
  <c r="T79" i="37"/>
  <c r="T74" i="37"/>
  <c r="T77" i="37"/>
  <c r="T75" i="37"/>
  <c r="AE32" i="50"/>
  <c r="AF18" i="50"/>
  <c r="AA233" i="32"/>
  <c r="AA169" i="37"/>
  <c r="O174" i="37"/>
  <c r="O238" i="32"/>
  <c r="U174" i="37"/>
  <c r="U238" i="32"/>
  <c r="Z175" i="37"/>
  <c r="Z239" i="32"/>
  <c r="P172" i="37"/>
  <c r="P236" i="32"/>
  <c r="T175" i="37"/>
  <c r="T239" i="32"/>
  <c r="T167" i="32" l="1"/>
  <c r="T220" i="32" s="1"/>
  <c r="U33" i="32" s="1"/>
  <c r="U59" i="32" s="1"/>
  <c r="U133" i="32"/>
  <c r="U125" i="32"/>
  <c r="U98" i="32" s="1"/>
  <c r="U136" i="32"/>
  <c r="U109" i="32" s="1"/>
  <c r="U128" i="32"/>
  <c r="U101" i="32" s="1"/>
  <c r="U99" i="32"/>
  <c r="U131" i="32"/>
  <c r="U104" i="32" s="1"/>
  <c r="U134" i="32"/>
  <c r="U107" i="32" s="1"/>
  <c r="U126" i="32"/>
  <c r="U130" i="32"/>
  <c r="U103" i="32" s="1"/>
  <c r="U105" i="32"/>
  <c r="U137" i="32"/>
  <c r="U110" i="32" s="1"/>
  <c r="U129" i="32"/>
  <c r="U102" i="32" s="1"/>
  <c r="U138" i="32"/>
  <c r="U111" i="32" s="1"/>
  <c r="U132" i="32"/>
  <c r="U135" i="32"/>
  <c r="U108" i="32" s="1"/>
  <c r="U127" i="32"/>
  <c r="U100" i="32" s="1"/>
  <c r="U106" i="32"/>
  <c r="U76" i="37"/>
  <c r="U79" i="37"/>
  <c r="U74" i="37"/>
  <c r="U78" i="37"/>
  <c r="U77" i="37"/>
  <c r="U75" i="37"/>
  <c r="AF32" i="50"/>
  <c r="AB169" i="37"/>
  <c r="AB233" i="32"/>
  <c r="N174" i="37"/>
  <c r="N238" i="32"/>
  <c r="S175" i="37"/>
  <c r="S239" i="32"/>
  <c r="Q172" i="37"/>
  <c r="Q236" i="32"/>
  <c r="V174" i="37"/>
  <c r="V238" i="32"/>
  <c r="AA175" i="37"/>
  <c r="AA239" i="32"/>
  <c r="V136" i="32" l="1"/>
  <c r="V128" i="32"/>
  <c r="V101" i="32" s="1"/>
  <c r="V99" i="32"/>
  <c r="V131" i="32"/>
  <c r="V104" i="32" s="1"/>
  <c r="V110" i="32"/>
  <c r="V102" i="32"/>
  <c r="V134" i="32"/>
  <c r="V107" i="32" s="1"/>
  <c r="V126" i="32"/>
  <c r="V137" i="32"/>
  <c r="V129" i="32"/>
  <c r="V109" i="32"/>
  <c r="V108" i="32"/>
  <c r="V132" i="32"/>
  <c r="V105" i="32" s="1"/>
  <c r="V133" i="32"/>
  <c r="V106" i="32" s="1"/>
  <c r="V135" i="32"/>
  <c r="V127" i="32"/>
  <c r="V100" i="32" s="1"/>
  <c r="V125" i="32"/>
  <c r="V98" i="32" s="1"/>
  <c r="V138" i="32"/>
  <c r="V111" i="32" s="1"/>
  <c r="V130" i="32"/>
  <c r="V103" i="32" s="1"/>
  <c r="U167" i="32"/>
  <c r="U220" i="32" s="1"/>
  <c r="V33" i="32" s="1"/>
  <c r="U59" i="47"/>
  <c r="U163" i="47" s="1"/>
  <c r="U215" i="47" s="1"/>
  <c r="V33" i="47" s="1"/>
  <c r="V76" i="37"/>
  <c r="V79" i="37"/>
  <c r="V74" i="37"/>
  <c r="V77" i="37"/>
  <c r="V75" i="37"/>
  <c r="V78" i="37"/>
  <c r="AB175" i="37"/>
  <c r="AB239" i="32"/>
  <c r="R172" i="37"/>
  <c r="R236" i="32"/>
  <c r="U34" i="50"/>
  <c r="R175" i="37"/>
  <c r="R239" i="32"/>
  <c r="M174" i="37"/>
  <c r="M238" i="32"/>
  <c r="V34" i="50" l="1"/>
  <c r="S172" i="37"/>
  <c r="S236" i="32"/>
  <c r="T34" i="50"/>
  <c r="Q175" i="37"/>
  <c r="Q239" i="32"/>
  <c r="L174" i="37"/>
  <c r="L238" i="32"/>
  <c r="W34" i="50" l="1"/>
  <c r="S34" i="50"/>
  <c r="P175" i="37"/>
  <c r="P239" i="32"/>
  <c r="K174" i="37"/>
  <c r="K238" i="32"/>
  <c r="T172" i="37"/>
  <c r="T236" i="32"/>
  <c r="X34" i="50"/>
  <c r="J174" i="37" l="1"/>
  <c r="J238" i="32"/>
  <c r="U172" i="37"/>
  <c r="U236" i="32"/>
  <c r="R34" i="50"/>
  <c r="O175" i="37"/>
  <c r="O239" i="32"/>
  <c r="Y34" i="50" l="1"/>
  <c r="Q34" i="50"/>
  <c r="N175" i="37"/>
  <c r="N239" i="32"/>
  <c r="P34" i="50" l="1"/>
  <c r="M175" i="37"/>
  <c r="M239" i="32"/>
  <c r="O34" i="50" l="1"/>
  <c r="L175" i="37"/>
  <c r="L239" i="32"/>
  <c r="K175" i="37" l="1"/>
  <c r="K239" i="32"/>
  <c r="N34" i="50" l="1"/>
  <c r="J175" i="37"/>
  <c r="J239" i="32"/>
  <c r="M34" i="50" l="1"/>
  <c r="L34" i="50" l="1"/>
  <c r="H26" i="50"/>
  <c r="G26" i="50"/>
  <c r="F26" i="50"/>
  <c r="E26" i="50"/>
  <c r="H16" i="50"/>
  <c r="G16" i="50"/>
  <c r="F16" i="50"/>
  <c r="E16" i="50"/>
  <c r="H10" i="50"/>
  <c r="G10" i="50"/>
  <c r="F10" i="50"/>
  <c r="E10" i="50"/>
  <c r="B10" i="50"/>
  <c r="Y9" i="50"/>
  <c r="X9" i="50"/>
  <c r="W9" i="50"/>
  <c r="V9" i="50"/>
  <c r="U9" i="50"/>
  <c r="T9" i="50"/>
  <c r="S9" i="50"/>
  <c r="R9" i="50"/>
  <c r="Q9" i="50"/>
  <c r="P9" i="50"/>
  <c r="O9" i="50"/>
  <c r="N9" i="50"/>
  <c r="B9" i="50"/>
  <c r="B8" i="50"/>
  <c r="B7" i="50"/>
  <c r="B6" i="50"/>
  <c r="B5" i="50"/>
  <c r="B4" i="50"/>
  <c r="B3" i="50"/>
  <c r="U66" i="44"/>
  <c r="J34" i="50" l="1"/>
  <c r="K34" i="50"/>
  <c r="D31" i="25"/>
  <c r="D30" i="25"/>
  <c r="E20" i="44" l="1"/>
  <c r="E21" i="44" s="1"/>
  <c r="H34" i="43"/>
  <c r="G34" i="43"/>
  <c r="F34" i="43"/>
  <c r="R34" i="43" l="1"/>
  <c r="E37" i="49" l="1"/>
  <c r="F37" i="49"/>
  <c r="G37" i="49"/>
  <c r="H37" i="49"/>
  <c r="X73" i="49"/>
  <c r="X74" i="49"/>
  <c r="X75" i="49"/>
  <c r="X76" i="49"/>
  <c r="X77" i="49"/>
  <c r="X78" i="49"/>
  <c r="X79" i="49"/>
  <c r="X62" i="49"/>
  <c r="X45" i="49"/>
  <c r="X81" i="49" l="1"/>
  <c r="X64" i="49"/>
  <c r="X82" i="49"/>
  <c r="X60" i="49"/>
  <c r="X65" i="49"/>
  <c r="X57" i="49"/>
  <c r="X58" i="49"/>
  <c r="X59" i="49"/>
  <c r="X80" i="49"/>
  <c r="X61" i="49"/>
  <c r="X63" i="49"/>
  <c r="V84" i="49"/>
  <c r="U84" i="49"/>
  <c r="T84" i="49"/>
  <c r="S84" i="49"/>
  <c r="R84" i="49"/>
  <c r="Q84" i="49"/>
  <c r="P84" i="49"/>
  <c r="O84" i="49"/>
  <c r="N84" i="49"/>
  <c r="M84" i="49"/>
  <c r="L84" i="49"/>
  <c r="K84" i="49"/>
  <c r="J84" i="49"/>
  <c r="H82" i="49"/>
  <c r="G82" i="49"/>
  <c r="D82" i="49"/>
  <c r="H81" i="49"/>
  <c r="G81" i="49"/>
  <c r="D81" i="49"/>
  <c r="H80" i="49"/>
  <c r="G80" i="49"/>
  <c r="D80" i="49"/>
  <c r="H79" i="49"/>
  <c r="G79" i="49"/>
  <c r="D79" i="49"/>
  <c r="H78" i="49"/>
  <c r="G78" i="49"/>
  <c r="D78" i="49"/>
  <c r="H77" i="49"/>
  <c r="G77" i="49"/>
  <c r="D77" i="49"/>
  <c r="H76" i="49"/>
  <c r="G76" i="49"/>
  <c r="D76" i="49"/>
  <c r="H75" i="49"/>
  <c r="G75" i="49"/>
  <c r="D75" i="49"/>
  <c r="H74" i="49"/>
  <c r="G74" i="49"/>
  <c r="D74" i="49"/>
  <c r="H73" i="49"/>
  <c r="G73" i="49"/>
  <c r="D73" i="49"/>
  <c r="H71" i="49"/>
  <c r="G71" i="49"/>
  <c r="F71" i="49"/>
  <c r="E71" i="49"/>
  <c r="L67" i="49"/>
  <c r="H65" i="49"/>
  <c r="G65" i="49"/>
  <c r="D65" i="49"/>
  <c r="H64" i="49"/>
  <c r="G64" i="49"/>
  <c r="D64" i="49"/>
  <c r="H63" i="49"/>
  <c r="G63" i="49"/>
  <c r="D63" i="49"/>
  <c r="H62" i="49"/>
  <c r="G62" i="49"/>
  <c r="D62" i="49"/>
  <c r="H61" i="49"/>
  <c r="G61" i="49"/>
  <c r="D61" i="49"/>
  <c r="H60" i="49"/>
  <c r="G60" i="49"/>
  <c r="D60" i="49"/>
  <c r="P67" i="49"/>
  <c r="H59" i="49"/>
  <c r="G59" i="49"/>
  <c r="D59" i="49"/>
  <c r="H58" i="49"/>
  <c r="G58" i="49"/>
  <c r="D58" i="49"/>
  <c r="H57" i="49"/>
  <c r="G57" i="49"/>
  <c r="D57" i="49"/>
  <c r="V67" i="49"/>
  <c r="U67" i="49"/>
  <c r="T67" i="49"/>
  <c r="S67" i="49"/>
  <c r="R67" i="49"/>
  <c r="Q67" i="49"/>
  <c r="H56" i="49"/>
  <c r="G56" i="49"/>
  <c r="D56" i="49"/>
  <c r="H54" i="49"/>
  <c r="G54" i="49"/>
  <c r="F54" i="49"/>
  <c r="E54" i="49"/>
  <c r="D14" i="28"/>
  <c r="D20" i="25"/>
  <c r="L50" i="49"/>
  <c r="U24" i="49"/>
  <c r="U82" i="44" s="1"/>
  <c r="H48" i="49"/>
  <c r="G48" i="49"/>
  <c r="D48" i="49"/>
  <c r="H47" i="49"/>
  <c r="G47" i="49"/>
  <c r="D47" i="49"/>
  <c r="H46" i="49"/>
  <c r="G46" i="49"/>
  <c r="D46" i="49"/>
  <c r="H45" i="49"/>
  <c r="G45" i="49"/>
  <c r="D45" i="49"/>
  <c r="H44" i="49"/>
  <c r="G44" i="49"/>
  <c r="D44" i="49"/>
  <c r="H43" i="49"/>
  <c r="G43" i="49"/>
  <c r="D43" i="49"/>
  <c r="H42" i="49"/>
  <c r="G42" i="49"/>
  <c r="D42" i="49"/>
  <c r="H41" i="49"/>
  <c r="G41" i="49"/>
  <c r="D41" i="49"/>
  <c r="H40" i="49"/>
  <c r="G40" i="49"/>
  <c r="D40" i="49"/>
  <c r="H39" i="49"/>
  <c r="G39" i="49"/>
  <c r="D39" i="49"/>
  <c r="F29" i="49"/>
  <c r="H27" i="49"/>
  <c r="G27" i="49"/>
  <c r="D27" i="49"/>
  <c r="H26" i="49"/>
  <c r="G26" i="49"/>
  <c r="D26" i="49"/>
  <c r="H25" i="49"/>
  <c r="G25" i="49"/>
  <c r="D25" i="49"/>
  <c r="H24" i="49"/>
  <c r="G24" i="49"/>
  <c r="D24" i="49"/>
  <c r="H23" i="49"/>
  <c r="G23" i="49"/>
  <c r="D23" i="49"/>
  <c r="H22" i="49"/>
  <c r="G22" i="49"/>
  <c r="D22" i="49"/>
  <c r="H21" i="49"/>
  <c r="G21" i="49"/>
  <c r="D21" i="49"/>
  <c r="H20" i="49"/>
  <c r="G20" i="49"/>
  <c r="D20" i="49"/>
  <c r="H19" i="49"/>
  <c r="G19" i="49"/>
  <c r="D19" i="49"/>
  <c r="H18" i="49"/>
  <c r="H29" i="49" s="1"/>
  <c r="G18" i="49"/>
  <c r="G29" i="49" s="1"/>
  <c r="D18" i="49"/>
  <c r="H16" i="49"/>
  <c r="G16" i="49"/>
  <c r="F16" i="49"/>
  <c r="E16" i="49"/>
  <c r="H10" i="49"/>
  <c r="G10" i="49"/>
  <c r="F10" i="49"/>
  <c r="E10" i="49"/>
  <c r="B10" i="49"/>
  <c r="U9" i="49"/>
  <c r="T9" i="49"/>
  <c r="S9" i="49"/>
  <c r="R9" i="49"/>
  <c r="Q9" i="49"/>
  <c r="P9" i="49"/>
  <c r="O9" i="49"/>
  <c r="N9" i="49"/>
  <c r="M9" i="49"/>
  <c r="L9" i="49"/>
  <c r="K9" i="49"/>
  <c r="J9" i="49"/>
  <c r="B9" i="49"/>
  <c r="B8" i="49"/>
  <c r="B7" i="49"/>
  <c r="B6" i="49"/>
  <c r="B5" i="49"/>
  <c r="B4" i="49"/>
  <c r="B3" i="49"/>
  <c r="X46" i="49" l="1"/>
  <c r="X39" i="49"/>
  <c r="X41" i="49"/>
  <c r="X43" i="49"/>
  <c r="X48" i="49"/>
  <c r="J67" i="49"/>
  <c r="X56" i="49"/>
  <c r="X40" i="49"/>
  <c r="X42" i="49"/>
  <c r="X44" i="49"/>
  <c r="X47" i="49"/>
  <c r="A84" i="49"/>
  <c r="K67" i="49"/>
  <c r="M67" i="49"/>
  <c r="N67" i="49"/>
  <c r="O67" i="49"/>
  <c r="K50" i="49"/>
  <c r="T50" i="49"/>
  <c r="Q50" i="49"/>
  <c r="R50" i="49"/>
  <c r="J50" i="49"/>
  <c r="M50" i="49"/>
  <c r="U50" i="49"/>
  <c r="S50" i="49"/>
  <c r="N50" i="49"/>
  <c r="V50" i="49"/>
  <c r="P50" i="49"/>
  <c r="U18" i="49"/>
  <c r="U19" i="49"/>
  <c r="U77" i="44" s="1"/>
  <c r="U21" i="49"/>
  <c r="U79" i="44" s="1"/>
  <c r="U23" i="49"/>
  <c r="U81" i="44" s="1"/>
  <c r="U26" i="49"/>
  <c r="U84" i="44" s="1"/>
  <c r="O50" i="49"/>
  <c r="U20" i="49"/>
  <c r="U78" i="44" s="1"/>
  <c r="U22" i="49"/>
  <c r="U80" i="44" s="1"/>
  <c r="U25" i="49"/>
  <c r="U83" i="44" s="1"/>
  <c r="U27" i="49"/>
  <c r="U85" i="44" s="1"/>
  <c r="C57" i="44"/>
  <c r="C58" i="44" s="1"/>
  <c r="C59" i="44" s="1"/>
  <c r="C60" i="44" s="1"/>
  <c r="C61" i="44" s="1"/>
  <c r="C62" i="44" s="1"/>
  <c r="C63" i="44" s="1"/>
  <c r="C64" i="44" s="1"/>
  <c r="C65" i="44" s="1"/>
  <c r="C66" i="44" s="1"/>
  <c r="U76" i="44" l="1"/>
  <c r="A67" i="49"/>
  <c r="A50" i="49"/>
  <c r="U31" i="49"/>
  <c r="A31" i="49" s="1"/>
  <c r="E147" i="4"/>
  <c r="M199" i="32"/>
  <c r="L199" i="32"/>
  <c r="K199" i="32"/>
  <c r="J199" i="32"/>
  <c r="AB143" i="37"/>
  <c r="AA143" i="37"/>
  <c r="Z143" i="37"/>
  <c r="Y143" i="37"/>
  <c r="X143" i="37"/>
  <c r="X199" i="32"/>
  <c r="Y199" i="32"/>
  <c r="Z199" i="32"/>
  <c r="AA199" i="32"/>
  <c r="AB199" i="32"/>
  <c r="L38" i="43" l="1"/>
  <c r="K38" i="43"/>
  <c r="J38" i="43"/>
  <c r="F36" i="43"/>
  <c r="G36" i="43"/>
  <c r="H36" i="43"/>
  <c r="AN128" i="48" l="1"/>
  <c r="AM128" i="48"/>
  <c r="AL128" i="48"/>
  <c r="AK128" i="48"/>
  <c r="AJ128" i="48"/>
  <c r="AI128" i="48"/>
  <c r="AH128" i="48"/>
  <c r="AG128" i="48"/>
  <c r="AF128" i="48"/>
  <c r="AE128" i="48"/>
  <c r="AD128" i="48"/>
  <c r="AC128" i="48"/>
  <c r="AN127" i="48"/>
  <c r="AM127" i="48"/>
  <c r="AL127" i="48"/>
  <c r="AK127" i="48"/>
  <c r="AJ127" i="48"/>
  <c r="AI127" i="48"/>
  <c r="AH127" i="48"/>
  <c r="AG127" i="48"/>
  <c r="AF127" i="48"/>
  <c r="AE127" i="48"/>
  <c r="AD127" i="48"/>
  <c r="AC127" i="48"/>
  <c r="AN126" i="48"/>
  <c r="AM126" i="48"/>
  <c r="AL126" i="48"/>
  <c r="AK126" i="48"/>
  <c r="AJ126" i="48"/>
  <c r="AI126" i="48"/>
  <c r="AH126" i="48"/>
  <c r="AG126" i="48"/>
  <c r="AF126" i="48"/>
  <c r="AE126" i="48"/>
  <c r="AD126" i="48"/>
  <c r="AC126" i="48"/>
  <c r="AA128" i="48"/>
  <c r="Z128" i="48"/>
  <c r="Y128" i="48"/>
  <c r="X128" i="48"/>
  <c r="W128" i="48"/>
  <c r="V128" i="48"/>
  <c r="U128" i="48"/>
  <c r="T128" i="48"/>
  <c r="S128" i="48"/>
  <c r="R128" i="48"/>
  <c r="Q128" i="48"/>
  <c r="P128" i="48"/>
  <c r="AA127" i="48"/>
  <c r="Z127" i="48"/>
  <c r="Y127" i="48"/>
  <c r="X127" i="48"/>
  <c r="W127" i="48"/>
  <c r="V127" i="48"/>
  <c r="U127" i="48"/>
  <c r="T127" i="48"/>
  <c r="S127" i="48"/>
  <c r="R127" i="48"/>
  <c r="Q127" i="48"/>
  <c r="P127" i="48"/>
  <c r="AA126" i="48"/>
  <c r="Z126" i="48"/>
  <c r="Y126" i="48"/>
  <c r="X126" i="48"/>
  <c r="W126" i="48"/>
  <c r="V126" i="48"/>
  <c r="U126" i="48"/>
  <c r="T126" i="48"/>
  <c r="S126" i="48"/>
  <c r="R126" i="48"/>
  <c r="Q126" i="48"/>
  <c r="P126" i="48"/>
  <c r="AA125" i="48"/>
  <c r="Z125" i="48"/>
  <c r="Y125" i="48"/>
  <c r="X125" i="48"/>
  <c r="W125" i="48"/>
  <c r="V125" i="48"/>
  <c r="U125" i="48"/>
  <c r="T125" i="48"/>
  <c r="S125" i="48"/>
  <c r="R125" i="48"/>
  <c r="Q125" i="48"/>
  <c r="P125" i="48"/>
  <c r="AA124" i="48"/>
  <c r="Z124" i="48"/>
  <c r="Y124" i="48"/>
  <c r="X124" i="48"/>
  <c r="W124" i="48"/>
  <c r="V124" i="48"/>
  <c r="U124" i="48"/>
  <c r="T124" i="48"/>
  <c r="S124" i="48"/>
  <c r="R124" i="48"/>
  <c r="Q124" i="48"/>
  <c r="P124" i="48"/>
  <c r="AA123" i="48"/>
  <c r="Z123" i="48"/>
  <c r="Y123" i="48"/>
  <c r="X123" i="48"/>
  <c r="W123" i="48"/>
  <c r="V123" i="48"/>
  <c r="U123" i="48"/>
  <c r="T123" i="48"/>
  <c r="S123" i="48"/>
  <c r="R123" i="48"/>
  <c r="Q123" i="48"/>
  <c r="P123" i="48"/>
  <c r="AA122" i="48"/>
  <c r="Z122" i="48"/>
  <c r="Y122" i="48"/>
  <c r="X122" i="48"/>
  <c r="W122" i="48"/>
  <c r="V122" i="48"/>
  <c r="U122" i="48"/>
  <c r="T122" i="48"/>
  <c r="S122" i="48"/>
  <c r="R122" i="48"/>
  <c r="Q122" i="48"/>
  <c r="P122" i="48"/>
  <c r="AA121" i="48"/>
  <c r="Z121" i="48"/>
  <c r="Y121" i="48"/>
  <c r="X121" i="48"/>
  <c r="W121" i="48"/>
  <c r="V121" i="48"/>
  <c r="U121" i="48"/>
  <c r="T121" i="48"/>
  <c r="S121" i="48"/>
  <c r="R121" i="48"/>
  <c r="Q121" i="48"/>
  <c r="P121" i="48"/>
  <c r="N128" i="48"/>
  <c r="M128" i="48"/>
  <c r="L128" i="48"/>
  <c r="K128" i="48"/>
  <c r="J128" i="48"/>
  <c r="I128" i="48"/>
  <c r="H128" i="48"/>
  <c r="G128" i="48"/>
  <c r="F128" i="48"/>
  <c r="E128" i="48"/>
  <c r="D128" i="48"/>
  <c r="N127" i="48"/>
  <c r="M127" i="48"/>
  <c r="L127" i="48"/>
  <c r="K127" i="48"/>
  <c r="J127" i="48"/>
  <c r="I127" i="48"/>
  <c r="H127" i="48"/>
  <c r="G127" i="48"/>
  <c r="F127" i="48"/>
  <c r="E127" i="48"/>
  <c r="D127" i="48"/>
  <c r="N126" i="48"/>
  <c r="M126" i="48"/>
  <c r="L126" i="48"/>
  <c r="K126" i="48"/>
  <c r="J126" i="48"/>
  <c r="I126" i="48"/>
  <c r="H126" i="48"/>
  <c r="G126" i="48"/>
  <c r="F126" i="48"/>
  <c r="E126" i="48"/>
  <c r="D126" i="48"/>
  <c r="N125" i="48"/>
  <c r="M125" i="48"/>
  <c r="L125" i="48"/>
  <c r="K125" i="48"/>
  <c r="J125" i="48"/>
  <c r="I125" i="48"/>
  <c r="H125" i="48"/>
  <c r="G125" i="48"/>
  <c r="F125" i="48"/>
  <c r="E125" i="48"/>
  <c r="D125" i="48"/>
  <c r="N124" i="48"/>
  <c r="M124" i="48"/>
  <c r="L124" i="48"/>
  <c r="K124" i="48"/>
  <c r="J124" i="48"/>
  <c r="I124" i="48"/>
  <c r="H124" i="48"/>
  <c r="G124" i="48"/>
  <c r="F124" i="48"/>
  <c r="E124" i="48"/>
  <c r="D124" i="48"/>
  <c r="N123" i="48"/>
  <c r="M123" i="48"/>
  <c r="L123" i="48"/>
  <c r="K123" i="48"/>
  <c r="J123" i="48"/>
  <c r="I123" i="48"/>
  <c r="H123" i="48"/>
  <c r="G123" i="48"/>
  <c r="F123" i="48"/>
  <c r="E123" i="48"/>
  <c r="D123" i="48"/>
  <c r="N122" i="48"/>
  <c r="M122" i="48"/>
  <c r="L122" i="48"/>
  <c r="K122" i="48"/>
  <c r="J122" i="48"/>
  <c r="I122" i="48"/>
  <c r="H122" i="48"/>
  <c r="G122" i="48"/>
  <c r="F122" i="48"/>
  <c r="E122" i="48"/>
  <c r="D122" i="48"/>
  <c r="N121" i="48"/>
  <c r="M121" i="48"/>
  <c r="L121" i="48"/>
  <c r="K121" i="48"/>
  <c r="J121" i="48"/>
  <c r="I121" i="48"/>
  <c r="H121" i="48"/>
  <c r="G121" i="48"/>
  <c r="F121" i="48"/>
  <c r="E121" i="48"/>
  <c r="D121" i="48"/>
  <c r="C128" i="48"/>
  <c r="C127" i="48"/>
  <c r="C126" i="48"/>
  <c r="C125" i="48"/>
  <c r="C124" i="48"/>
  <c r="C123" i="48"/>
  <c r="C122" i="48"/>
  <c r="C121" i="48"/>
  <c r="H157" i="37" l="1"/>
  <c r="H156" i="37"/>
  <c r="H155" i="37"/>
  <c r="H154" i="37"/>
  <c r="H153" i="37"/>
  <c r="H152" i="37"/>
  <c r="H151" i="37"/>
  <c r="H150" i="37"/>
  <c r="H149" i="37"/>
  <c r="H138" i="37"/>
  <c r="H137" i="37"/>
  <c r="H136" i="37"/>
  <c r="H135" i="37"/>
  <c r="H134" i="37"/>
  <c r="H133" i="37"/>
  <c r="H132" i="37"/>
  <c r="H131" i="37"/>
  <c r="H130" i="37"/>
  <c r="H120" i="37"/>
  <c r="H119" i="37"/>
  <c r="H118" i="37"/>
  <c r="H117" i="37"/>
  <c r="H116" i="37"/>
  <c r="H115" i="37"/>
  <c r="H114" i="37"/>
  <c r="H113" i="37"/>
  <c r="H112" i="37"/>
  <c r="H101" i="37"/>
  <c r="H100" i="37"/>
  <c r="H99" i="37"/>
  <c r="H98" i="37"/>
  <c r="H97" i="37"/>
  <c r="H96" i="37"/>
  <c r="H95" i="37"/>
  <c r="H94" i="37"/>
  <c r="H93" i="37"/>
  <c r="H82" i="37"/>
  <c r="H81" i="37"/>
  <c r="H80" i="37"/>
  <c r="H79" i="37"/>
  <c r="H78" i="37"/>
  <c r="H77" i="37"/>
  <c r="H76" i="37"/>
  <c r="H75" i="37"/>
  <c r="H74" i="37"/>
  <c r="H63" i="37"/>
  <c r="H62" i="37"/>
  <c r="H61" i="37"/>
  <c r="H60" i="37"/>
  <c r="H59" i="37"/>
  <c r="H58" i="37"/>
  <c r="H57" i="37"/>
  <c r="H56" i="37"/>
  <c r="H55" i="37"/>
  <c r="H44" i="37"/>
  <c r="H43" i="37"/>
  <c r="H42" i="37"/>
  <c r="H41" i="37"/>
  <c r="H40" i="37"/>
  <c r="H39" i="37"/>
  <c r="H38" i="37"/>
  <c r="H37" i="37"/>
  <c r="H36" i="37"/>
  <c r="H26" i="37"/>
  <c r="H25" i="37"/>
  <c r="H24" i="37"/>
  <c r="H23" i="37"/>
  <c r="H22" i="37"/>
  <c r="H21" i="37"/>
  <c r="H20" i="37"/>
  <c r="H19" i="37"/>
  <c r="H18" i="37"/>
  <c r="H221" i="32"/>
  <c r="H218" i="32"/>
  <c r="H217" i="32"/>
  <c r="H216" i="32"/>
  <c r="H215" i="32"/>
  <c r="H214" i="32"/>
  <c r="H213" i="32"/>
  <c r="H212" i="32"/>
  <c r="H211" i="32"/>
  <c r="H210" i="32"/>
  <c r="H209" i="32"/>
  <c r="H208" i="32"/>
  <c r="H207" i="32"/>
  <c r="H206" i="32"/>
  <c r="H205" i="32"/>
  <c r="H223" i="32" s="1"/>
  <c r="H203" i="32"/>
  <c r="H194" i="32"/>
  <c r="H191" i="32"/>
  <c r="H190" i="32"/>
  <c r="H189" i="32"/>
  <c r="H188" i="32"/>
  <c r="H187" i="32"/>
  <c r="H186" i="32"/>
  <c r="H185" i="32"/>
  <c r="H184" i="32"/>
  <c r="H183" i="32"/>
  <c r="H182" i="32"/>
  <c r="H181" i="32"/>
  <c r="H180" i="32"/>
  <c r="H179" i="32"/>
  <c r="H178" i="32"/>
  <c r="H196" i="32" s="1"/>
  <c r="H176" i="32"/>
  <c r="H168" i="32"/>
  <c r="H165" i="32"/>
  <c r="H164" i="32"/>
  <c r="H163" i="32"/>
  <c r="H162" i="32"/>
  <c r="H161" i="32"/>
  <c r="H160" i="32"/>
  <c r="H159" i="32"/>
  <c r="H158" i="32"/>
  <c r="H157" i="32"/>
  <c r="H156" i="32"/>
  <c r="H155" i="32"/>
  <c r="H154" i="32"/>
  <c r="H153" i="32"/>
  <c r="H152" i="32"/>
  <c r="H170" i="32" s="1"/>
  <c r="H150" i="32"/>
  <c r="H141" i="32"/>
  <c r="H138" i="32"/>
  <c r="H137" i="32"/>
  <c r="H136" i="32"/>
  <c r="H135" i="32"/>
  <c r="H134" i="32"/>
  <c r="H133" i="32"/>
  <c r="H132" i="32"/>
  <c r="H131" i="32"/>
  <c r="H130" i="32"/>
  <c r="H129" i="32"/>
  <c r="H128" i="32"/>
  <c r="H127" i="32"/>
  <c r="H126" i="32"/>
  <c r="H125" i="32"/>
  <c r="H143" i="32" s="1"/>
  <c r="H123" i="32"/>
  <c r="H114" i="32"/>
  <c r="H111" i="32"/>
  <c r="H110" i="32"/>
  <c r="H109" i="32"/>
  <c r="H108" i="32"/>
  <c r="H107" i="32"/>
  <c r="H106" i="32"/>
  <c r="H105" i="32"/>
  <c r="H104" i="32"/>
  <c r="H103" i="32"/>
  <c r="H102" i="32"/>
  <c r="H101" i="32"/>
  <c r="H100" i="32"/>
  <c r="H99" i="32"/>
  <c r="H98" i="32"/>
  <c r="H116" i="32" s="1"/>
  <c r="H96" i="32"/>
  <c r="H87" i="32"/>
  <c r="H84" i="32"/>
  <c r="H83" i="32"/>
  <c r="H82" i="32"/>
  <c r="H81" i="32"/>
  <c r="H80" i="32"/>
  <c r="H79" i="32"/>
  <c r="H78" i="32"/>
  <c r="H77" i="32"/>
  <c r="H76" i="32"/>
  <c r="H75" i="32"/>
  <c r="H74" i="32"/>
  <c r="H73" i="32"/>
  <c r="H72" i="32"/>
  <c r="H71" i="32"/>
  <c r="H89" i="32" s="1"/>
  <c r="H69" i="32"/>
  <c r="H60" i="32"/>
  <c r="H57" i="32"/>
  <c r="H56" i="32"/>
  <c r="H55" i="32"/>
  <c r="H54" i="32"/>
  <c r="H53" i="32"/>
  <c r="H52" i="32"/>
  <c r="H51" i="32"/>
  <c r="H50" i="32"/>
  <c r="H49" i="32"/>
  <c r="H48" i="32"/>
  <c r="H47" i="32"/>
  <c r="H46" i="32"/>
  <c r="H45" i="32"/>
  <c r="H44" i="32"/>
  <c r="H62" i="32" s="1"/>
  <c r="H42" i="32"/>
  <c r="H34" i="32"/>
  <c r="H31" i="32"/>
  <c r="H30" i="32"/>
  <c r="H29" i="32"/>
  <c r="H28" i="32"/>
  <c r="H27" i="32"/>
  <c r="H26" i="32"/>
  <c r="H25" i="32"/>
  <c r="H24" i="32"/>
  <c r="H23" i="32"/>
  <c r="H22" i="32"/>
  <c r="H21" i="32"/>
  <c r="H20" i="32"/>
  <c r="H19" i="32"/>
  <c r="H18" i="32"/>
  <c r="H16" i="32"/>
  <c r="H10" i="32"/>
  <c r="H216" i="45"/>
  <c r="H213" i="45"/>
  <c r="H212" i="45"/>
  <c r="H211" i="45"/>
  <c r="H210" i="45"/>
  <c r="H209" i="45"/>
  <c r="H208" i="45"/>
  <c r="H207" i="45"/>
  <c r="H206" i="45"/>
  <c r="H205" i="45"/>
  <c r="H204" i="45"/>
  <c r="H203" i="45"/>
  <c r="H202" i="45"/>
  <c r="H201" i="45"/>
  <c r="H200" i="45"/>
  <c r="H218" i="45" s="1"/>
  <c r="H198" i="45"/>
  <c r="H190" i="45"/>
  <c r="H187" i="45"/>
  <c r="H186" i="45"/>
  <c r="H185" i="45"/>
  <c r="H184" i="45"/>
  <c r="H183" i="45"/>
  <c r="H182" i="45"/>
  <c r="H181" i="45"/>
  <c r="H180" i="45"/>
  <c r="H179" i="45"/>
  <c r="H178" i="45"/>
  <c r="H177" i="45"/>
  <c r="H176" i="45"/>
  <c r="H175" i="45"/>
  <c r="H174" i="45"/>
  <c r="H192" i="45" s="1"/>
  <c r="H172" i="45"/>
  <c r="H164" i="45"/>
  <c r="H161" i="45"/>
  <c r="H160" i="45"/>
  <c r="H159" i="45"/>
  <c r="H158" i="45"/>
  <c r="H157" i="45"/>
  <c r="H156" i="45"/>
  <c r="H155" i="45"/>
  <c r="H154" i="45"/>
  <c r="H153" i="45"/>
  <c r="H152" i="45"/>
  <c r="H151" i="45"/>
  <c r="H150" i="45"/>
  <c r="H149" i="45"/>
  <c r="H148" i="45"/>
  <c r="H166" i="45" s="1"/>
  <c r="H146" i="45"/>
  <c r="H138" i="45"/>
  <c r="H135" i="45"/>
  <c r="H134" i="45"/>
  <c r="H133" i="45"/>
  <c r="H132" i="45"/>
  <c r="H131" i="45"/>
  <c r="H130" i="45"/>
  <c r="H129" i="45"/>
  <c r="H128" i="45"/>
  <c r="H127" i="45"/>
  <c r="H126" i="45"/>
  <c r="H125" i="45"/>
  <c r="H124" i="45"/>
  <c r="H123" i="45"/>
  <c r="H122" i="45"/>
  <c r="H140" i="45" s="1"/>
  <c r="H120" i="45"/>
  <c r="H112" i="45"/>
  <c r="H109" i="45"/>
  <c r="H108" i="45"/>
  <c r="H107" i="45"/>
  <c r="H106" i="45"/>
  <c r="H105" i="45"/>
  <c r="H104" i="45"/>
  <c r="H103" i="45"/>
  <c r="H102" i="45"/>
  <c r="H101" i="45"/>
  <c r="H100" i="45"/>
  <c r="H99" i="45"/>
  <c r="H98" i="45"/>
  <c r="H97" i="45"/>
  <c r="H96" i="45"/>
  <c r="H114" i="45" s="1"/>
  <c r="H94" i="45"/>
  <c r="H86" i="45"/>
  <c r="H83" i="45"/>
  <c r="H82" i="45"/>
  <c r="H81" i="45"/>
  <c r="H80" i="45"/>
  <c r="H79" i="45"/>
  <c r="H78" i="45"/>
  <c r="H77" i="45"/>
  <c r="H76" i="45"/>
  <c r="H75" i="45"/>
  <c r="H74" i="45"/>
  <c r="H73" i="45"/>
  <c r="H72" i="45"/>
  <c r="H71" i="45"/>
  <c r="H70" i="45"/>
  <c r="H88" i="45" s="1"/>
  <c r="H68" i="45"/>
  <c r="H60" i="45"/>
  <c r="H57" i="45"/>
  <c r="H56" i="45"/>
  <c r="H55" i="45"/>
  <c r="H54" i="45"/>
  <c r="H53" i="45"/>
  <c r="H52" i="45"/>
  <c r="H51" i="45"/>
  <c r="H50" i="45"/>
  <c r="H49" i="45"/>
  <c r="H48" i="45"/>
  <c r="H47" i="45"/>
  <c r="H46" i="45"/>
  <c r="H45" i="45"/>
  <c r="H44" i="45"/>
  <c r="H62" i="45" s="1"/>
  <c r="H42" i="45"/>
  <c r="H34" i="45"/>
  <c r="H31" i="45"/>
  <c r="H30" i="45"/>
  <c r="H29" i="45"/>
  <c r="H28" i="45"/>
  <c r="H27" i="45"/>
  <c r="H26" i="45"/>
  <c r="H25" i="45"/>
  <c r="H24" i="45"/>
  <c r="H23" i="45"/>
  <c r="H22" i="45"/>
  <c r="H21" i="45"/>
  <c r="H20" i="45"/>
  <c r="H19" i="45"/>
  <c r="H18" i="45"/>
  <c r="H36" i="45" s="1"/>
  <c r="H16" i="45"/>
  <c r="H10" i="45"/>
  <c r="H216" i="47"/>
  <c r="H213" i="47"/>
  <c r="H212" i="47"/>
  <c r="H211" i="47"/>
  <c r="H210" i="47"/>
  <c r="H209" i="47"/>
  <c r="H208" i="47"/>
  <c r="H207" i="47"/>
  <c r="H206" i="47"/>
  <c r="H205" i="47"/>
  <c r="H204" i="47"/>
  <c r="H203" i="47"/>
  <c r="H202" i="47"/>
  <c r="H201" i="47"/>
  <c r="H200" i="47"/>
  <c r="H190" i="47"/>
  <c r="H187" i="47"/>
  <c r="H186" i="47"/>
  <c r="H185" i="47"/>
  <c r="H184" i="47"/>
  <c r="H183" i="47"/>
  <c r="H182" i="47"/>
  <c r="H181" i="47"/>
  <c r="H180" i="47"/>
  <c r="H179" i="47"/>
  <c r="H178" i="47"/>
  <c r="H177" i="47"/>
  <c r="H176" i="47"/>
  <c r="H175" i="47"/>
  <c r="H174" i="47"/>
  <c r="H164" i="47"/>
  <c r="H161" i="47"/>
  <c r="H160" i="47"/>
  <c r="H159" i="47"/>
  <c r="H158" i="47"/>
  <c r="H157" i="47"/>
  <c r="H156" i="47"/>
  <c r="H155" i="47"/>
  <c r="H154" i="47"/>
  <c r="H153" i="47"/>
  <c r="H152" i="47"/>
  <c r="H151" i="47"/>
  <c r="H150" i="47"/>
  <c r="H149" i="47"/>
  <c r="H148" i="47"/>
  <c r="H138" i="47"/>
  <c r="H135" i="47"/>
  <c r="H134" i="47"/>
  <c r="H133" i="47"/>
  <c r="H132" i="47"/>
  <c r="H131" i="47"/>
  <c r="H130" i="47"/>
  <c r="H129" i="47"/>
  <c r="H128" i="47"/>
  <c r="H127" i="47"/>
  <c r="H126" i="47"/>
  <c r="H125" i="47"/>
  <c r="H124" i="47"/>
  <c r="H123" i="47"/>
  <c r="H122" i="47"/>
  <c r="H112" i="47"/>
  <c r="H109" i="47"/>
  <c r="H108" i="47"/>
  <c r="H107" i="47"/>
  <c r="H106" i="47"/>
  <c r="H105" i="47"/>
  <c r="H104" i="47"/>
  <c r="H103" i="47"/>
  <c r="H102" i="47"/>
  <c r="H101" i="47"/>
  <c r="H100" i="47"/>
  <c r="H99" i="47"/>
  <c r="H98" i="47"/>
  <c r="H97" i="47"/>
  <c r="H96" i="47"/>
  <c r="H86" i="47"/>
  <c r="H83" i="47"/>
  <c r="H82" i="47"/>
  <c r="H81" i="47"/>
  <c r="H80" i="47"/>
  <c r="H79" i="47"/>
  <c r="H78" i="47"/>
  <c r="H77" i="47"/>
  <c r="H76" i="47"/>
  <c r="H75" i="47"/>
  <c r="H74" i="47"/>
  <c r="H73" i="47"/>
  <c r="H72" i="47"/>
  <c r="H71" i="47"/>
  <c r="H70" i="47"/>
  <c r="H60" i="47"/>
  <c r="H57" i="47"/>
  <c r="H56" i="47"/>
  <c r="H55" i="47"/>
  <c r="H54" i="47"/>
  <c r="H53" i="47"/>
  <c r="H52" i="47"/>
  <c r="H51" i="47"/>
  <c r="H50" i="47"/>
  <c r="H49" i="47"/>
  <c r="H48" i="47"/>
  <c r="H47" i="47"/>
  <c r="H46" i="47"/>
  <c r="H45" i="47"/>
  <c r="H44" i="47"/>
  <c r="H34" i="47"/>
  <c r="H31" i="47"/>
  <c r="H30" i="47"/>
  <c r="H29" i="47"/>
  <c r="H28" i="47"/>
  <c r="H27" i="47"/>
  <c r="H26" i="47"/>
  <c r="H25" i="47"/>
  <c r="H24" i="47"/>
  <c r="H23" i="47"/>
  <c r="H22" i="47"/>
  <c r="H21" i="47"/>
  <c r="H20" i="47"/>
  <c r="H19" i="47"/>
  <c r="H18" i="47"/>
  <c r="H160" i="46"/>
  <c r="H159" i="46"/>
  <c r="H158" i="46"/>
  <c r="H157" i="46"/>
  <c r="H156" i="46"/>
  <c r="H155" i="46"/>
  <c r="H154" i="46"/>
  <c r="H153" i="46"/>
  <c r="H152" i="46"/>
  <c r="H151" i="46"/>
  <c r="H162" i="46" s="1"/>
  <c r="H149" i="46"/>
  <c r="H141" i="46"/>
  <c r="H140" i="46"/>
  <c r="H139" i="46"/>
  <c r="H138" i="46"/>
  <c r="H137" i="46"/>
  <c r="H136" i="46"/>
  <c r="H135" i="46"/>
  <c r="H134" i="46"/>
  <c r="H133" i="46"/>
  <c r="H132" i="46"/>
  <c r="H143" i="46" s="1"/>
  <c r="H130" i="46"/>
  <c r="H122" i="46"/>
  <c r="H121" i="46"/>
  <c r="H120" i="46"/>
  <c r="H119" i="46"/>
  <c r="H118" i="46"/>
  <c r="H117" i="46"/>
  <c r="H116" i="46"/>
  <c r="H115" i="46"/>
  <c r="H114" i="46"/>
  <c r="H113" i="46"/>
  <c r="H124" i="46" s="1"/>
  <c r="H111" i="46"/>
  <c r="H103" i="46"/>
  <c r="H102" i="46"/>
  <c r="H101" i="46"/>
  <c r="H100" i="46"/>
  <c r="H99" i="46"/>
  <c r="H98" i="46"/>
  <c r="H97" i="46"/>
  <c r="H96" i="46"/>
  <c r="H95" i="46"/>
  <c r="H94" i="46"/>
  <c r="H105" i="46" s="1"/>
  <c r="H92" i="46"/>
  <c r="H84" i="46"/>
  <c r="H83" i="46"/>
  <c r="H82" i="46"/>
  <c r="H81" i="46"/>
  <c r="H80" i="46"/>
  <c r="H79" i="46"/>
  <c r="H78" i="46"/>
  <c r="H77" i="46"/>
  <c r="H76" i="46"/>
  <c r="H75" i="46"/>
  <c r="H86" i="46" s="1"/>
  <c r="H73" i="46"/>
  <c r="H65" i="46"/>
  <c r="H64" i="46"/>
  <c r="H63" i="46"/>
  <c r="H62" i="46"/>
  <c r="H61" i="46"/>
  <c r="H60" i="46"/>
  <c r="H59" i="46"/>
  <c r="H58" i="46"/>
  <c r="H57" i="46"/>
  <c r="H56" i="46"/>
  <c r="H67" i="46" s="1"/>
  <c r="H54" i="46"/>
  <c r="H46" i="46"/>
  <c r="H45" i="46"/>
  <c r="H44" i="46"/>
  <c r="H43" i="46"/>
  <c r="H42" i="46"/>
  <c r="H41" i="46"/>
  <c r="H40" i="46"/>
  <c r="H39" i="46"/>
  <c r="H38" i="46"/>
  <c r="H37" i="46"/>
  <c r="H48" i="46" s="1"/>
  <c r="H35" i="46"/>
  <c r="H27" i="46"/>
  <c r="H26" i="46"/>
  <c r="H25" i="46"/>
  <c r="H24" i="46"/>
  <c r="H23" i="46"/>
  <c r="H22" i="46"/>
  <c r="H21" i="46"/>
  <c r="H20" i="46"/>
  <c r="H19" i="46"/>
  <c r="H18" i="46"/>
  <c r="H29" i="46" s="1"/>
  <c r="H16" i="46"/>
  <c r="H10" i="46"/>
  <c r="H160" i="33"/>
  <c r="H159" i="33"/>
  <c r="H158" i="33"/>
  <c r="H157" i="33"/>
  <c r="H156" i="33"/>
  <c r="H155" i="33"/>
  <c r="H154" i="33"/>
  <c r="H153" i="33"/>
  <c r="H152" i="33"/>
  <c r="H151" i="33"/>
  <c r="H162" i="33" s="1"/>
  <c r="H149" i="33"/>
  <c r="H141" i="33"/>
  <c r="H140" i="33"/>
  <c r="H139" i="33"/>
  <c r="H138" i="33"/>
  <c r="H137" i="33"/>
  <c r="H136" i="33"/>
  <c r="H135" i="33"/>
  <c r="H134" i="33"/>
  <c r="H133" i="33"/>
  <c r="H132" i="33"/>
  <c r="H143" i="33" s="1"/>
  <c r="H130" i="33"/>
  <c r="H122" i="33"/>
  <c r="H121" i="33"/>
  <c r="H120" i="33"/>
  <c r="H119" i="33"/>
  <c r="H118" i="33"/>
  <c r="H117" i="33"/>
  <c r="H116" i="33"/>
  <c r="H115" i="33"/>
  <c r="H114" i="33"/>
  <c r="H113" i="33"/>
  <c r="H124" i="33" s="1"/>
  <c r="H111" i="33"/>
  <c r="H103" i="33"/>
  <c r="H102" i="33"/>
  <c r="H101" i="33"/>
  <c r="H100" i="33"/>
  <c r="H99" i="33"/>
  <c r="H98" i="33"/>
  <c r="H97" i="33"/>
  <c r="H96" i="33"/>
  <c r="H95" i="33"/>
  <c r="H94" i="33"/>
  <c r="H105" i="33" s="1"/>
  <c r="H92" i="33"/>
  <c r="H84" i="33"/>
  <c r="H83" i="33"/>
  <c r="H82" i="33"/>
  <c r="H81" i="33"/>
  <c r="H80" i="33"/>
  <c r="H79" i="33"/>
  <c r="H78" i="33"/>
  <c r="H77" i="33"/>
  <c r="H76" i="33"/>
  <c r="H75" i="33"/>
  <c r="H86" i="33" s="1"/>
  <c r="H73" i="33"/>
  <c r="H65" i="33"/>
  <c r="H64" i="33"/>
  <c r="H63" i="33"/>
  <c r="H62" i="33"/>
  <c r="H61" i="33"/>
  <c r="H60" i="33"/>
  <c r="H59" i="33"/>
  <c r="H58" i="33"/>
  <c r="H57" i="33"/>
  <c r="H56" i="33"/>
  <c r="H67" i="33" s="1"/>
  <c r="H54" i="33"/>
  <c r="H46" i="33"/>
  <c r="H45" i="33"/>
  <c r="H44" i="33"/>
  <c r="H43" i="33"/>
  <c r="H42" i="33"/>
  <c r="H41" i="33"/>
  <c r="H40" i="33"/>
  <c r="H39" i="33"/>
  <c r="H38" i="33"/>
  <c r="H37" i="33"/>
  <c r="H48" i="33" s="1"/>
  <c r="H35" i="33"/>
  <c r="H27" i="33"/>
  <c r="H26" i="33"/>
  <c r="H25" i="33"/>
  <c r="H24" i="33"/>
  <c r="H23" i="33"/>
  <c r="H22" i="33"/>
  <c r="H21" i="33"/>
  <c r="H20" i="33"/>
  <c r="H19" i="33"/>
  <c r="H18" i="33"/>
  <c r="H29" i="33" s="1"/>
  <c r="H16" i="33"/>
  <c r="H10" i="33"/>
  <c r="H160" i="38"/>
  <c r="H159" i="38"/>
  <c r="H158" i="38"/>
  <c r="H157" i="38"/>
  <c r="H156" i="38"/>
  <c r="H155" i="38"/>
  <c r="H154" i="38"/>
  <c r="H153" i="38"/>
  <c r="H152" i="38"/>
  <c r="H151" i="38"/>
  <c r="H141" i="38"/>
  <c r="H140" i="38"/>
  <c r="H139" i="38"/>
  <c r="H138" i="38"/>
  <c r="H137" i="38"/>
  <c r="H136" i="38"/>
  <c r="H135" i="38"/>
  <c r="H134" i="38"/>
  <c r="H133" i="38"/>
  <c r="H132" i="38"/>
  <c r="H122" i="38"/>
  <c r="H121" i="38"/>
  <c r="H120" i="38"/>
  <c r="H119" i="38"/>
  <c r="H118" i="38"/>
  <c r="H117" i="38"/>
  <c r="H116" i="38"/>
  <c r="H115" i="38"/>
  <c r="H114" i="38"/>
  <c r="H113" i="38"/>
  <c r="H103" i="38"/>
  <c r="H102" i="38"/>
  <c r="H101" i="38"/>
  <c r="H100" i="38"/>
  <c r="H99" i="38"/>
  <c r="H98" i="38"/>
  <c r="H97" i="38"/>
  <c r="H96" i="38"/>
  <c r="H95" i="38"/>
  <c r="H94" i="38"/>
  <c r="H84" i="38"/>
  <c r="H83" i="38"/>
  <c r="H82" i="38"/>
  <c r="H81" i="38"/>
  <c r="H80" i="38"/>
  <c r="H79" i="38"/>
  <c r="H78" i="38"/>
  <c r="H77" i="38"/>
  <c r="H76" i="38"/>
  <c r="H75" i="38"/>
  <c r="H65" i="38"/>
  <c r="H64" i="38"/>
  <c r="H63" i="38"/>
  <c r="H62" i="38"/>
  <c r="H61" i="38"/>
  <c r="H60" i="38"/>
  <c r="H59" i="38"/>
  <c r="H58" i="38"/>
  <c r="H57" i="38"/>
  <c r="H56" i="38"/>
  <c r="H46" i="38"/>
  <c r="H45" i="38"/>
  <c r="H44" i="38"/>
  <c r="H43" i="38"/>
  <c r="H42" i="38"/>
  <c r="H41" i="38"/>
  <c r="H40" i="38"/>
  <c r="H39" i="38"/>
  <c r="H38" i="38"/>
  <c r="H37" i="38"/>
  <c r="H27" i="38"/>
  <c r="H26" i="38"/>
  <c r="H25" i="38"/>
  <c r="H24" i="38"/>
  <c r="H23" i="38"/>
  <c r="H22" i="38"/>
  <c r="H21" i="38"/>
  <c r="H20" i="38"/>
  <c r="H19" i="38"/>
  <c r="H18" i="38"/>
  <c r="H162" i="39"/>
  <c r="H161" i="39"/>
  <c r="H160" i="39"/>
  <c r="H159" i="39"/>
  <c r="H158" i="39"/>
  <c r="H164" i="39" s="1"/>
  <c r="H156" i="39"/>
  <c r="H148" i="39"/>
  <c r="H147" i="39"/>
  <c r="H146" i="39"/>
  <c r="H145" i="39"/>
  <c r="H144" i="39"/>
  <c r="H150" i="39" s="1"/>
  <c r="H142" i="39"/>
  <c r="H134" i="39"/>
  <c r="H133" i="39"/>
  <c r="H132" i="39"/>
  <c r="H131" i="39"/>
  <c r="H130" i="39"/>
  <c r="H136" i="39" s="1"/>
  <c r="H128" i="39"/>
  <c r="H120" i="39"/>
  <c r="H119" i="39"/>
  <c r="H118" i="39"/>
  <c r="H117" i="39"/>
  <c r="H116" i="39"/>
  <c r="H122" i="39" s="1"/>
  <c r="H114" i="39"/>
  <c r="H106" i="39"/>
  <c r="H105" i="39"/>
  <c r="H104" i="39"/>
  <c r="H103" i="39"/>
  <c r="H102" i="39"/>
  <c r="H108" i="39" s="1"/>
  <c r="H100" i="39"/>
  <c r="H92" i="39"/>
  <c r="H91" i="39"/>
  <c r="H90" i="39"/>
  <c r="H89" i="39"/>
  <c r="H88" i="39"/>
  <c r="H94" i="39" s="1"/>
  <c r="H86" i="39"/>
  <c r="H78" i="39"/>
  <c r="H77" i="39"/>
  <c r="H76" i="39"/>
  <c r="H75" i="39"/>
  <c r="H74" i="39"/>
  <c r="H80" i="39" s="1"/>
  <c r="H72" i="39"/>
  <c r="H64" i="39"/>
  <c r="H63" i="39"/>
  <c r="H62" i="39"/>
  <c r="H61" i="39"/>
  <c r="H60" i="39"/>
  <c r="H66" i="39" s="1"/>
  <c r="H58" i="39"/>
  <c r="H50" i="39"/>
  <c r="H49" i="39"/>
  <c r="H48" i="39"/>
  <c r="H47" i="39"/>
  <c r="H46" i="39"/>
  <c r="H52" i="39" s="1"/>
  <c r="H44" i="39"/>
  <c r="H36" i="39"/>
  <c r="H35" i="39"/>
  <c r="H34" i="39"/>
  <c r="H33" i="39"/>
  <c r="H32" i="39"/>
  <c r="H38" i="39" s="1"/>
  <c r="H30" i="39"/>
  <c r="H20" i="39"/>
  <c r="H19" i="39"/>
  <c r="H18" i="39"/>
  <c r="H17" i="39"/>
  <c r="H16" i="39"/>
  <c r="H22" i="39" s="1"/>
  <c r="H14" i="39"/>
  <c r="H10" i="39"/>
  <c r="H162" i="42"/>
  <c r="H161" i="42"/>
  <c r="H160" i="42"/>
  <c r="H159" i="42"/>
  <c r="H158" i="42"/>
  <c r="H164" i="42" s="1"/>
  <c r="H156" i="42"/>
  <c r="H148" i="42"/>
  <c r="H147" i="42"/>
  <c r="H146" i="42"/>
  <c r="H145" i="42"/>
  <c r="H144" i="42"/>
  <c r="H150" i="42" s="1"/>
  <c r="H142" i="42"/>
  <c r="H134" i="42"/>
  <c r="H133" i="42"/>
  <c r="H132" i="42"/>
  <c r="H131" i="42"/>
  <c r="H130" i="42"/>
  <c r="H136" i="42" s="1"/>
  <c r="H128" i="42"/>
  <c r="H120" i="42"/>
  <c r="H119" i="42"/>
  <c r="H118" i="42"/>
  <c r="H117" i="42"/>
  <c r="H116" i="42"/>
  <c r="H122" i="42" s="1"/>
  <c r="H114" i="42"/>
  <c r="H106" i="42"/>
  <c r="H105" i="42"/>
  <c r="H104" i="42"/>
  <c r="H103" i="42"/>
  <c r="H102" i="42"/>
  <c r="H108" i="42" s="1"/>
  <c r="H100" i="42"/>
  <c r="H92" i="42"/>
  <c r="H91" i="42"/>
  <c r="H90" i="42"/>
  <c r="H89" i="42"/>
  <c r="H88" i="42"/>
  <c r="H94" i="42" s="1"/>
  <c r="H86" i="42"/>
  <c r="H78" i="42"/>
  <c r="H77" i="42"/>
  <c r="H76" i="42"/>
  <c r="H75" i="42"/>
  <c r="H74" i="42"/>
  <c r="H80" i="42" s="1"/>
  <c r="H72" i="42"/>
  <c r="H64" i="42"/>
  <c r="H63" i="42"/>
  <c r="H62" i="42"/>
  <c r="H61" i="42"/>
  <c r="H60" i="42"/>
  <c r="H66" i="42" s="1"/>
  <c r="H58" i="42"/>
  <c r="H50" i="42"/>
  <c r="H49" i="42"/>
  <c r="H48" i="42"/>
  <c r="H47" i="42"/>
  <c r="H46" i="42"/>
  <c r="H52" i="42" s="1"/>
  <c r="H44" i="42"/>
  <c r="H36" i="42"/>
  <c r="H35" i="42"/>
  <c r="H34" i="42"/>
  <c r="H33" i="42"/>
  <c r="H32" i="42"/>
  <c r="H38" i="42" s="1"/>
  <c r="H30" i="42"/>
  <c r="H20" i="42"/>
  <c r="H19" i="42"/>
  <c r="H18" i="42"/>
  <c r="H17" i="42"/>
  <c r="H16" i="42"/>
  <c r="H22" i="42" s="1"/>
  <c r="H14" i="42"/>
  <c r="H10" i="42"/>
  <c r="H162" i="34"/>
  <c r="H161" i="34"/>
  <c r="H160" i="34"/>
  <c r="H159" i="34"/>
  <c r="H158" i="34"/>
  <c r="H148" i="34"/>
  <c r="H147" i="34"/>
  <c r="H146" i="34"/>
  <c r="H145" i="34"/>
  <c r="H144" i="34"/>
  <c r="H134" i="34"/>
  <c r="H133" i="34"/>
  <c r="H132" i="34"/>
  <c r="H131" i="34"/>
  <c r="H130" i="34"/>
  <c r="H120" i="34"/>
  <c r="H119" i="34"/>
  <c r="H118" i="34"/>
  <c r="H117" i="34"/>
  <c r="H116" i="34"/>
  <c r="H106" i="34"/>
  <c r="H105" i="34"/>
  <c r="H104" i="34"/>
  <c r="H103" i="34"/>
  <c r="H102" i="34"/>
  <c r="H92" i="34"/>
  <c r="H91" i="34"/>
  <c r="H90" i="34"/>
  <c r="H89" i="34"/>
  <c r="H88" i="34"/>
  <c r="H78" i="34"/>
  <c r="H77" i="34"/>
  <c r="H76" i="34"/>
  <c r="H75" i="34"/>
  <c r="H74" i="34"/>
  <c r="H64" i="34"/>
  <c r="H63" i="34"/>
  <c r="H62" i="34"/>
  <c r="H61" i="34"/>
  <c r="H60" i="34"/>
  <c r="H50" i="34"/>
  <c r="H49" i="34"/>
  <c r="H48" i="34"/>
  <c r="H47" i="34"/>
  <c r="H46" i="34"/>
  <c r="H36" i="34"/>
  <c r="H35" i="34"/>
  <c r="H34" i="34"/>
  <c r="H33" i="34"/>
  <c r="H32" i="34"/>
  <c r="H20" i="34"/>
  <c r="H19" i="34"/>
  <c r="H18" i="34"/>
  <c r="H17" i="34"/>
  <c r="H16" i="34"/>
  <c r="U23" i="44"/>
  <c r="F18" i="44"/>
  <c r="H36" i="32" l="1"/>
  <c r="D162" i="42" l="1"/>
  <c r="D161" i="42"/>
  <c r="D160" i="42"/>
  <c r="D159" i="42"/>
  <c r="D158" i="42"/>
  <c r="D148" i="42"/>
  <c r="D147" i="42"/>
  <c r="D146" i="42"/>
  <c r="D145" i="42"/>
  <c r="D144" i="42"/>
  <c r="D134" i="42"/>
  <c r="D133" i="42"/>
  <c r="D132" i="42"/>
  <c r="D131" i="42"/>
  <c r="D130" i="42"/>
  <c r="D120" i="42"/>
  <c r="D119" i="42"/>
  <c r="D118" i="42"/>
  <c r="D117" i="42"/>
  <c r="D116" i="42"/>
  <c r="D106" i="42"/>
  <c r="D105" i="42"/>
  <c r="D104" i="42"/>
  <c r="D103" i="42"/>
  <c r="D102" i="42"/>
  <c r="D92" i="42"/>
  <c r="D91" i="42"/>
  <c r="D90" i="42"/>
  <c r="D89" i="42"/>
  <c r="D88" i="42"/>
  <c r="D78" i="42"/>
  <c r="D77" i="42"/>
  <c r="D76" i="42"/>
  <c r="D75" i="42"/>
  <c r="D74" i="42"/>
  <c r="D64" i="42"/>
  <c r="D63" i="42"/>
  <c r="D62" i="42"/>
  <c r="D61" i="42"/>
  <c r="D60" i="42"/>
  <c r="D50" i="42"/>
  <c r="D49" i="42"/>
  <c r="D48" i="42"/>
  <c r="D47" i="42"/>
  <c r="D46" i="42"/>
  <c r="D36" i="42"/>
  <c r="D35" i="42"/>
  <c r="D34" i="42"/>
  <c r="D33" i="42"/>
  <c r="D32" i="42"/>
  <c r="D20" i="42"/>
  <c r="D19" i="42"/>
  <c r="D18" i="42"/>
  <c r="D17" i="42"/>
  <c r="D16" i="42"/>
  <c r="D20" i="34"/>
  <c r="D19" i="34"/>
  <c r="D18" i="34"/>
  <c r="D17" i="34"/>
  <c r="D16" i="34"/>
  <c r="D20" i="39"/>
  <c r="D19" i="39"/>
  <c r="D18" i="39"/>
  <c r="D17" i="39"/>
  <c r="D16" i="39"/>
  <c r="G20" i="39" l="1"/>
  <c r="F20" i="39"/>
  <c r="G19" i="39"/>
  <c r="F19" i="39"/>
  <c r="G18" i="39"/>
  <c r="F18" i="39"/>
  <c r="G17" i="39"/>
  <c r="F17" i="39"/>
  <c r="G16" i="39"/>
  <c r="G22" i="39" s="1"/>
  <c r="F16" i="39"/>
  <c r="F22" i="39" s="1"/>
  <c r="G14" i="39"/>
  <c r="F14" i="39"/>
  <c r="E14" i="39"/>
  <c r="G20" i="34"/>
  <c r="F20" i="34"/>
  <c r="G19" i="34"/>
  <c r="F19" i="34"/>
  <c r="G18" i="34"/>
  <c r="F18" i="34"/>
  <c r="G17" i="34"/>
  <c r="F17" i="34"/>
  <c r="H22" i="34"/>
  <c r="G16" i="34"/>
  <c r="G22" i="34" s="1"/>
  <c r="F16" i="34"/>
  <c r="F22" i="34" s="1"/>
  <c r="H14" i="34"/>
  <c r="G14" i="34"/>
  <c r="F14" i="34"/>
  <c r="E14" i="34"/>
  <c r="G20" i="42"/>
  <c r="F20" i="42"/>
  <c r="G19" i="42"/>
  <c r="F19" i="42"/>
  <c r="G18" i="42"/>
  <c r="F18" i="42"/>
  <c r="G17" i="42"/>
  <c r="F17" i="42"/>
  <c r="G16" i="42"/>
  <c r="G22" i="42" s="1"/>
  <c r="F16" i="42"/>
  <c r="F22" i="42" s="1"/>
  <c r="G14" i="42"/>
  <c r="F14" i="42"/>
  <c r="E14" i="42"/>
  <c r="M13" i="31"/>
  <c r="L13" i="31"/>
  <c r="K13" i="31"/>
  <c r="U87" i="44"/>
  <c r="U68" i="44"/>
  <c r="U89" i="44" l="1"/>
  <c r="F87" i="44"/>
  <c r="H85" i="44"/>
  <c r="G85" i="44"/>
  <c r="D85" i="44"/>
  <c r="H84" i="44"/>
  <c r="G84" i="44"/>
  <c r="D84" i="44"/>
  <c r="H83" i="44"/>
  <c r="G83" i="44"/>
  <c r="D83" i="44"/>
  <c r="H82" i="44"/>
  <c r="G82" i="44"/>
  <c r="D82" i="44"/>
  <c r="H81" i="44"/>
  <c r="G81" i="44"/>
  <c r="D81" i="44"/>
  <c r="H80" i="44"/>
  <c r="G80" i="44"/>
  <c r="D80" i="44"/>
  <c r="H79" i="44"/>
  <c r="G79" i="44"/>
  <c r="D79" i="44"/>
  <c r="H78" i="44"/>
  <c r="G78" i="44"/>
  <c r="D78" i="44"/>
  <c r="H77" i="44"/>
  <c r="G77" i="44"/>
  <c r="D77" i="44"/>
  <c r="H76" i="44"/>
  <c r="H87" i="44" s="1"/>
  <c r="G76" i="44"/>
  <c r="G87" i="44" s="1"/>
  <c r="D76" i="44"/>
  <c r="H74" i="44"/>
  <c r="G74" i="44"/>
  <c r="F74" i="44"/>
  <c r="E74" i="44"/>
  <c r="G57" i="44"/>
  <c r="G68" i="44" s="1"/>
  <c r="H57" i="44"/>
  <c r="H68" i="44" s="1"/>
  <c r="G58" i="44"/>
  <c r="H58" i="44"/>
  <c r="G59" i="44"/>
  <c r="H59" i="44"/>
  <c r="G60" i="44"/>
  <c r="H60" i="44"/>
  <c r="G61" i="44"/>
  <c r="H61" i="44"/>
  <c r="G62" i="44"/>
  <c r="H62" i="44"/>
  <c r="G63" i="44"/>
  <c r="H63" i="44"/>
  <c r="G64" i="44"/>
  <c r="H64" i="44"/>
  <c r="G65" i="44"/>
  <c r="H65" i="44"/>
  <c r="G66" i="44"/>
  <c r="H66" i="44"/>
  <c r="G44" i="44"/>
  <c r="H44" i="44"/>
  <c r="G45" i="44"/>
  <c r="H45" i="44"/>
  <c r="G46" i="44"/>
  <c r="H46" i="44"/>
  <c r="G47" i="44"/>
  <c r="H47" i="44"/>
  <c r="G31" i="44"/>
  <c r="H31" i="44"/>
  <c r="G32" i="44"/>
  <c r="H32" i="44"/>
  <c r="G33" i="44"/>
  <c r="H33" i="44"/>
  <c r="G34" i="44"/>
  <c r="H34" i="44"/>
  <c r="U70" i="44"/>
  <c r="F68" i="44"/>
  <c r="D66" i="44"/>
  <c r="D65" i="44"/>
  <c r="D64" i="44"/>
  <c r="D63" i="44"/>
  <c r="D62" i="44"/>
  <c r="D61" i="44"/>
  <c r="D60" i="44"/>
  <c r="D59" i="44"/>
  <c r="D58" i="44"/>
  <c r="D57" i="44"/>
  <c r="H55" i="44"/>
  <c r="G55" i="44"/>
  <c r="F55" i="44"/>
  <c r="E55" i="44"/>
  <c r="F50" i="31"/>
  <c r="E50" i="31"/>
  <c r="G49" i="31"/>
  <c r="H49" i="31"/>
  <c r="D31" i="31"/>
  <c r="A89" i="44" l="1"/>
  <c r="A70" i="44"/>
  <c r="D21" i="44" l="1"/>
  <c r="D20" i="44"/>
  <c r="D19" i="44"/>
  <c r="D18" i="44"/>
  <c r="D47" i="44" l="1"/>
  <c r="D46" i="44"/>
  <c r="D45" i="44"/>
  <c r="D44" i="44"/>
  <c r="D34" i="44"/>
  <c r="D33" i="44"/>
  <c r="D32" i="44"/>
  <c r="D31" i="44"/>
  <c r="E151" i="4" l="1"/>
  <c r="E141" i="4"/>
  <c r="R35" i="43" l="1"/>
  <c r="R33" i="43"/>
  <c r="R36" i="43" l="1"/>
  <c r="R38" i="43" s="1"/>
  <c r="G141" i="38"/>
  <c r="F141" i="38"/>
  <c r="G140" i="38"/>
  <c r="F140" i="38"/>
  <c r="G139" i="38"/>
  <c r="F139" i="38"/>
  <c r="AB138" i="38"/>
  <c r="AA138" i="38"/>
  <c r="Z138" i="38"/>
  <c r="Y138" i="38"/>
  <c r="X138" i="38"/>
  <c r="W138" i="38"/>
  <c r="V138" i="38"/>
  <c r="U138" i="38"/>
  <c r="T138" i="38"/>
  <c r="S138" i="38"/>
  <c r="R138" i="38"/>
  <c r="Q138" i="38"/>
  <c r="P138" i="38"/>
  <c r="O138" i="38"/>
  <c r="N138" i="38"/>
  <c r="M138" i="38"/>
  <c r="L138" i="38"/>
  <c r="K138" i="38"/>
  <c r="J138" i="38"/>
  <c r="G138" i="38"/>
  <c r="F138" i="38"/>
  <c r="AB137" i="38"/>
  <c r="AA137" i="38"/>
  <c r="Z137" i="38"/>
  <c r="Y137" i="38"/>
  <c r="X137" i="38"/>
  <c r="W137" i="38"/>
  <c r="V137" i="38"/>
  <c r="U137" i="38"/>
  <c r="T137" i="38"/>
  <c r="S137" i="38"/>
  <c r="R137" i="38"/>
  <c r="Q137" i="38"/>
  <c r="P137" i="38"/>
  <c r="O137" i="38"/>
  <c r="N137" i="38"/>
  <c r="M137" i="38"/>
  <c r="L137" i="38"/>
  <c r="K137" i="38"/>
  <c r="J137" i="38"/>
  <c r="G137" i="38"/>
  <c r="F137" i="38"/>
  <c r="AB136" i="38"/>
  <c r="AA136" i="38"/>
  <c r="Z136" i="38"/>
  <c r="Y136" i="38"/>
  <c r="X136" i="38"/>
  <c r="W136" i="38"/>
  <c r="V136" i="38"/>
  <c r="U136" i="38"/>
  <c r="T136" i="38"/>
  <c r="S136" i="38"/>
  <c r="R136" i="38"/>
  <c r="Q136" i="38"/>
  <c r="P136" i="38"/>
  <c r="O136" i="38"/>
  <c r="N136" i="38"/>
  <c r="M136" i="38"/>
  <c r="L136" i="38"/>
  <c r="K136" i="38"/>
  <c r="J136" i="38"/>
  <c r="G136" i="38"/>
  <c r="F136" i="38"/>
  <c r="AB135" i="38"/>
  <c r="AA135" i="38"/>
  <c r="Z135" i="38"/>
  <c r="Y135" i="38"/>
  <c r="X135" i="38"/>
  <c r="W135" i="38"/>
  <c r="V135" i="38"/>
  <c r="U135" i="38"/>
  <c r="T135" i="38"/>
  <c r="S135" i="38"/>
  <c r="R135" i="38"/>
  <c r="Q135" i="38"/>
  <c r="P135" i="38"/>
  <c r="O135" i="38"/>
  <c r="N135" i="38"/>
  <c r="M135" i="38"/>
  <c r="L135" i="38"/>
  <c r="K135" i="38"/>
  <c r="J135" i="38"/>
  <c r="G135" i="38"/>
  <c r="F135" i="38"/>
  <c r="AB134" i="38"/>
  <c r="AA134" i="38"/>
  <c r="Z134" i="38"/>
  <c r="Y134" i="38"/>
  <c r="X134" i="38"/>
  <c r="W134" i="38"/>
  <c r="V134" i="38"/>
  <c r="U134" i="38"/>
  <c r="T134" i="38"/>
  <c r="S134" i="38"/>
  <c r="R134" i="38"/>
  <c r="Q134" i="38"/>
  <c r="P134" i="38"/>
  <c r="O134" i="38"/>
  <c r="N134" i="38"/>
  <c r="M134" i="38"/>
  <c r="L134" i="38"/>
  <c r="K134" i="38"/>
  <c r="J134" i="38"/>
  <c r="G134" i="38"/>
  <c r="F134" i="38"/>
  <c r="AB133" i="38"/>
  <c r="AA133" i="38"/>
  <c r="Z133" i="38"/>
  <c r="Y133" i="38"/>
  <c r="X133" i="38"/>
  <c r="W133" i="38"/>
  <c r="V133" i="38"/>
  <c r="U133" i="38"/>
  <c r="T133" i="38"/>
  <c r="S133" i="38"/>
  <c r="R133" i="38"/>
  <c r="Q133" i="38"/>
  <c r="P133" i="38"/>
  <c r="O133" i="38"/>
  <c r="N133" i="38"/>
  <c r="M133" i="38"/>
  <c r="L133" i="38"/>
  <c r="K133" i="38"/>
  <c r="J133" i="38"/>
  <c r="G133" i="38"/>
  <c r="F133" i="38"/>
  <c r="AB132" i="38"/>
  <c r="AA132" i="38"/>
  <c r="Z132" i="38"/>
  <c r="Y132" i="38"/>
  <c r="X132" i="38"/>
  <c r="W132" i="38"/>
  <c r="V132" i="38"/>
  <c r="U132" i="38"/>
  <c r="T132" i="38"/>
  <c r="S132" i="38"/>
  <c r="R132" i="38"/>
  <c r="Q132" i="38"/>
  <c r="P132" i="38"/>
  <c r="O132" i="38"/>
  <c r="N132" i="38"/>
  <c r="M132" i="38"/>
  <c r="L132" i="38"/>
  <c r="K132" i="38"/>
  <c r="J132" i="38"/>
  <c r="H143" i="38"/>
  <c r="G132" i="38"/>
  <c r="G143" i="38" s="1"/>
  <c r="F132" i="38"/>
  <c r="F143" i="38" s="1"/>
  <c r="H130" i="38"/>
  <c r="G130" i="38"/>
  <c r="F130" i="38"/>
  <c r="E130" i="38"/>
  <c r="D130" i="38"/>
  <c r="D143" i="38" s="1"/>
  <c r="G122" i="38"/>
  <c r="F122" i="38"/>
  <c r="G121" i="38"/>
  <c r="F121" i="38"/>
  <c r="G120" i="38"/>
  <c r="F120" i="38"/>
  <c r="AB119" i="38"/>
  <c r="AA119" i="38"/>
  <c r="Z119" i="38"/>
  <c r="Y119" i="38"/>
  <c r="X119" i="38"/>
  <c r="W119" i="38"/>
  <c r="V119" i="38"/>
  <c r="U119" i="38"/>
  <c r="T119" i="38"/>
  <c r="S119" i="38"/>
  <c r="R119" i="38"/>
  <c r="Q119" i="38"/>
  <c r="P119" i="38"/>
  <c r="O119" i="38"/>
  <c r="N119" i="38"/>
  <c r="M119" i="38"/>
  <c r="L119" i="38"/>
  <c r="K119" i="38"/>
  <c r="J119" i="38"/>
  <c r="G119" i="38"/>
  <c r="F119" i="38"/>
  <c r="AB118" i="38"/>
  <c r="AA118" i="38"/>
  <c r="Z118" i="38"/>
  <c r="Y118" i="38"/>
  <c r="X118" i="38"/>
  <c r="W118" i="38"/>
  <c r="V118" i="38"/>
  <c r="U118" i="38"/>
  <c r="T118" i="38"/>
  <c r="S118" i="38"/>
  <c r="R118" i="38"/>
  <c r="Q118" i="38"/>
  <c r="P118" i="38"/>
  <c r="O118" i="38"/>
  <c r="N118" i="38"/>
  <c r="M118" i="38"/>
  <c r="L118" i="38"/>
  <c r="K118" i="38"/>
  <c r="J118" i="38"/>
  <c r="G118" i="38"/>
  <c r="F118" i="38"/>
  <c r="AB117" i="38"/>
  <c r="AA117" i="38"/>
  <c r="Z117" i="38"/>
  <c r="Y117" i="38"/>
  <c r="X117" i="38"/>
  <c r="W117" i="38"/>
  <c r="V117" i="38"/>
  <c r="U117" i="38"/>
  <c r="T117" i="38"/>
  <c r="S117" i="38"/>
  <c r="R117" i="38"/>
  <c r="Q117" i="38"/>
  <c r="P117" i="38"/>
  <c r="O117" i="38"/>
  <c r="N117" i="38"/>
  <c r="M117" i="38"/>
  <c r="L117" i="38"/>
  <c r="K117" i="38"/>
  <c r="J117" i="38"/>
  <c r="G117" i="38"/>
  <c r="F117" i="38"/>
  <c r="AB116" i="38"/>
  <c r="AA116" i="38"/>
  <c r="Z116" i="38"/>
  <c r="Y116" i="38"/>
  <c r="X116" i="38"/>
  <c r="W116" i="38"/>
  <c r="V116" i="38"/>
  <c r="U116" i="38"/>
  <c r="T116" i="38"/>
  <c r="S116" i="38"/>
  <c r="R116" i="38"/>
  <c r="Q116" i="38"/>
  <c r="P116" i="38"/>
  <c r="O116" i="38"/>
  <c r="N116" i="38"/>
  <c r="M116" i="38"/>
  <c r="L116" i="38"/>
  <c r="K116" i="38"/>
  <c r="J116" i="38"/>
  <c r="G116" i="38"/>
  <c r="F116" i="38"/>
  <c r="AB115" i="38"/>
  <c r="AA115" i="38"/>
  <c r="Z115" i="38"/>
  <c r="Y115" i="38"/>
  <c r="X115" i="38"/>
  <c r="W115" i="38"/>
  <c r="V115" i="38"/>
  <c r="U115" i="38"/>
  <c r="T115" i="38"/>
  <c r="S115" i="38"/>
  <c r="R115" i="38"/>
  <c r="Q115" i="38"/>
  <c r="P115" i="38"/>
  <c r="O115" i="38"/>
  <c r="N115" i="38"/>
  <c r="M115" i="38"/>
  <c r="L115" i="38"/>
  <c r="K115" i="38"/>
  <c r="J115" i="38"/>
  <c r="G115" i="38"/>
  <c r="F115" i="38"/>
  <c r="AB114" i="38"/>
  <c r="AA114" i="38"/>
  <c r="Z114" i="38"/>
  <c r="Y114" i="38"/>
  <c r="X114" i="38"/>
  <c r="W114" i="38"/>
  <c r="V114" i="38"/>
  <c r="U114" i="38"/>
  <c r="T114" i="38"/>
  <c r="S114" i="38"/>
  <c r="R114" i="38"/>
  <c r="Q114" i="38"/>
  <c r="P114" i="38"/>
  <c r="O114" i="38"/>
  <c r="N114" i="38"/>
  <c r="M114" i="38"/>
  <c r="L114" i="38"/>
  <c r="K114" i="38"/>
  <c r="J114" i="38"/>
  <c r="G114" i="38"/>
  <c r="F114" i="38"/>
  <c r="AB113" i="38"/>
  <c r="AA113" i="38"/>
  <c r="Z113" i="38"/>
  <c r="Y113" i="38"/>
  <c r="X113" i="38"/>
  <c r="W113" i="38"/>
  <c r="V113" i="38"/>
  <c r="U113" i="38"/>
  <c r="T113" i="38"/>
  <c r="S113" i="38"/>
  <c r="R113" i="38"/>
  <c r="Q113" i="38"/>
  <c r="P113" i="38"/>
  <c r="O113" i="38"/>
  <c r="N113" i="38"/>
  <c r="M113" i="38"/>
  <c r="L113" i="38"/>
  <c r="K113" i="38"/>
  <c r="J113" i="38"/>
  <c r="H124" i="38"/>
  <c r="G113" i="38"/>
  <c r="G124" i="38" s="1"/>
  <c r="F113" i="38"/>
  <c r="F124" i="38" s="1"/>
  <c r="H111" i="38"/>
  <c r="G111" i="38"/>
  <c r="F111" i="38"/>
  <c r="E111" i="38"/>
  <c r="D111" i="38"/>
  <c r="D124" i="38" s="1"/>
  <c r="D131" i="37"/>
  <c r="D132" i="37"/>
  <c r="D133" i="37"/>
  <c r="D134" i="37"/>
  <c r="D135" i="37"/>
  <c r="D136" i="37"/>
  <c r="D137" i="37"/>
  <c r="D138" i="37"/>
  <c r="D130" i="37"/>
  <c r="AB140" i="37"/>
  <c r="AB142" i="37" s="1"/>
  <c r="AA140" i="37"/>
  <c r="AA142" i="37" s="1"/>
  <c r="Z140" i="37"/>
  <c r="Z142" i="37" s="1"/>
  <c r="Y140" i="37"/>
  <c r="Y142" i="37" s="1"/>
  <c r="X140" i="37"/>
  <c r="X142" i="37" s="1"/>
  <c r="V140" i="37"/>
  <c r="U140" i="37"/>
  <c r="T140" i="37"/>
  <c r="S140" i="37"/>
  <c r="R140" i="37"/>
  <c r="R142" i="37" s="1"/>
  <c r="P140" i="37"/>
  <c r="P142" i="37" s="1"/>
  <c r="O140" i="37"/>
  <c r="O142" i="37" s="1"/>
  <c r="N140" i="37"/>
  <c r="N142" i="37" s="1"/>
  <c r="L140" i="37"/>
  <c r="L142" i="37" s="1"/>
  <c r="K140" i="37"/>
  <c r="K142" i="37" s="1"/>
  <c r="J140" i="37"/>
  <c r="J142" i="37" s="1"/>
  <c r="G138" i="37"/>
  <c r="F138" i="37"/>
  <c r="G137" i="37"/>
  <c r="F137" i="37"/>
  <c r="G136" i="37"/>
  <c r="F136" i="37"/>
  <c r="G135" i="37"/>
  <c r="F135" i="37"/>
  <c r="G134" i="37"/>
  <c r="F134" i="37"/>
  <c r="G133" i="37"/>
  <c r="F133" i="37"/>
  <c r="G132" i="37"/>
  <c r="F132" i="37"/>
  <c r="G131" i="37"/>
  <c r="F131" i="37"/>
  <c r="H140" i="37"/>
  <c r="G130" i="37"/>
  <c r="G140" i="37" s="1"/>
  <c r="F130" i="37"/>
  <c r="F140" i="37" s="1"/>
  <c r="H128" i="37"/>
  <c r="G128" i="37"/>
  <c r="F128" i="37"/>
  <c r="E128" i="37"/>
  <c r="D128" i="37"/>
  <c r="D140" i="37" s="1"/>
  <c r="J120" i="37"/>
  <c r="J119" i="37"/>
  <c r="D113" i="37"/>
  <c r="D114" i="37"/>
  <c r="D115" i="37"/>
  <c r="D116" i="37"/>
  <c r="D117" i="37"/>
  <c r="D118" i="37"/>
  <c r="D119" i="37"/>
  <c r="D120" i="37"/>
  <c r="D112" i="37"/>
  <c r="G120" i="37"/>
  <c r="F120" i="37"/>
  <c r="G119" i="37"/>
  <c r="F119" i="37"/>
  <c r="G118" i="37"/>
  <c r="F118" i="37"/>
  <c r="G117" i="37"/>
  <c r="F117" i="37"/>
  <c r="G116" i="37"/>
  <c r="F116" i="37"/>
  <c r="G115" i="37"/>
  <c r="F115" i="37"/>
  <c r="G114" i="37"/>
  <c r="F114" i="37"/>
  <c r="G113" i="37"/>
  <c r="F113" i="37"/>
  <c r="H122" i="37"/>
  <c r="G112" i="37"/>
  <c r="G122" i="37" s="1"/>
  <c r="F112" i="37"/>
  <c r="F122" i="37" s="1"/>
  <c r="H110" i="37"/>
  <c r="G110" i="37"/>
  <c r="F110" i="37"/>
  <c r="E110" i="37"/>
  <c r="D110" i="37"/>
  <c r="D122" i="37" s="1"/>
  <c r="U142" i="37" l="1"/>
  <c r="V142" i="37"/>
  <c r="T142" i="37"/>
  <c r="S142" i="37"/>
  <c r="N24" i="31" l="1"/>
  <c r="N23" i="31"/>
  <c r="K43" i="37"/>
  <c r="D155" i="37"/>
  <c r="F155" i="37"/>
  <c r="G155" i="37"/>
  <c r="D156" i="37"/>
  <c r="F156" i="37"/>
  <c r="G156" i="37"/>
  <c r="D157" i="37"/>
  <c r="F157" i="37"/>
  <c r="G157" i="37"/>
  <c r="D99" i="37"/>
  <c r="F99" i="37"/>
  <c r="G99" i="37"/>
  <c r="D100" i="37"/>
  <c r="F100" i="37"/>
  <c r="G100" i="37"/>
  <c r="D101" i="37"/>
  <c r="F101" i="37"/>
  <c r="G101" i="37"/>
  <c r="D80" i="37"/>
  <c r="F80" i="37"/>
  <c r="G80" i="37"/>
  <c r="D81" i="37"/>
  <c r="F81" i="37"/>
  <c r="G81" i="37"/>
  <c r="D82" i="37"/>
  <c r="F82" i="37"/>
  <c r="G82" i="37"/>
  <c r="D61" i="37"/>
  <c r="F61" i="37"/>
  <c r="G61" i="37"/>
  <c r="D62" i="37"/>
  <c r="F62" i="37"/>
  <c r="G62" i="37"/>
  <c r="D63" i="37"/>
  <c r="F63" i="37"/>
  <c r="G63" i="37"/>
  <c r="D42" i="37"/>
  <c r="F42" i="37"/>
  <c r="G42" i="37"/>
  <c r="D43" i="37"/>
  <c r="F43" i="37"/>
  <c r="G43" i="37"/>
  <c r="D44" i="37"/>
  <c r="F44" i="37"/>
  <c r="G44" i="37"/>
  <c r="F24" i="37"/>
  <c r="G24" i="37"/>
  <c r="F25" i="37"/>
  <c r="G25" i="37"/>
  <c r="F26" i="37"/>
  <c r="G26" i="37"/>
  <c r="Q24" i="37" l="1"/>
  <c r="P155" i="37" s="1"/>
  <c r="P24" i="37" s="1"/>
  <c r="O155" i="37" s="1"/>
  <c r="K44" i="37"/>
  <c r="K120" i="37" s="1"/>
  <c r="K119" i="37"/>
  <c r="L43" i="37" s="1"/>
  <c r="O24" i="37" l="1"/>
  <c r="N155" i="37" s="1"/>
  <c r="N24" i="37" s="1"/>
  <c r="M155" i="37" s="1"/>
  <c r="M24" i="37" s="1"/>
  <c r="L155" i="37" s="1"/>
  <c r="L24" i="37" s="1"/>
  <c r="K155" i="37" s="1"/>
  <c r="K24" i="37" s="1"/>
  <c r="J155" i="37" s="1"/>
  <c r="J24" i="37" s="1"/>
  <c r="L119" i="37"/>
  <c r="M43" i="37" s="1"/>
  <c r="K42" i="37" l="1"/>
  <c r="K118" i="37" s="1"/>
  <c r="L42" i="37" s="1"/>
  <c r="L118" i="37" s="1"/>
  <c r="M42" i="37" s="1"/>
  <c r="M118" i="37" s="1"/>
  <c r="N42" i="37" s="1"/>
  <c r="J42" i="37"/>
  <c r="J118" i="37" s="1"/>
  <c r="M119" i="37"/>
  <c r="N43" i="37" s="1"/>
  <c r="N119" i="37" l="1"/>
  <c r="O43" i="37" s="1"/>
  <c r="N118" i="37"/>
  <c r="O42" i="37" s="1"/>
  <c r="O118" i="37" l="1"/>
  <c r="P42" i="37" s="1"/>
  <c r="O119" i="37"/>
  <c r="P43" i="37" s="1"/>
  <c r="P119" i="37" l="1"/>
  <c r="Q43" i="37" s="1"/>
  <c r="P118" i="37"/>
  <c r="Q42" i="37" s="1"/>
  <c r="Q118" i="37" l="1"/>
  <c r="Q119" i="37"/>
  <c r="R43" i="37" s="1"/>
  <c r="R119" i="37" l="1"/>
  <c r="R156" i="37" s="1"/>
  <c r="S25" i="37" s="1"/>
  <c r="S43" i="37" s="1"/>
  <c r="R42" i="37" l="1"/>
  <c r="R118" i="37" s="1"/>
  <c r="R155" i="37" s="1"/>
  <c r="S24" i="37" s="1"/>
  <c r="S119" i="37"/>
  <c r="S156" i="37" s="1"/>
  <c r="T25" i="37" s="1"/>
  <c r="T43" i="37" s="1"/>
  <c r="E19" i="45"/>
  <c r="E20" i="45" s="1"/>
  <c r="E21" i="45" s="1"/>
  <c r="E22" i="45" s="1"/>
  <c r="E23" i="45" s="1"/>
  <c r="E24" i="45" s="1"/>
  <c r="E25" i="45" s="1"/>
  <c r="E26" i="45" s="1"/>
  <c r="E27" i="45" s="1"/>
  <c r="E28" i="45" s="1"/>
  <c r="E29" i="45" s="1"/>
  <c r="E30" i="45" s="1"/>
  <c r="E31" i="45" s="1"/>
  <c r="E34" i="45" s="1"/>
  <c r="E175" i="45"/>
  <c r="E176" i="45" s="1"/>
  <c r="E177" i="45" s="1"/>
  <c r="E178" i="45" s="1"/>
  <c r="E179" i="45" s="1"/>
  <c r="E180" i="45" s="1"/>
  <c r="E181" i="45" s="1"/>
  <c r="E182" i="45" s="1"/>
  <c r="E183" i="45" s="1"/>
  <c r="E184" i="45" s="1"/>
  <c r="E185" i="45" s="1"/>
  <c r="E186" i="45" s="1"/>
  <c r="E187" i="45" s="1"/>
  <c r="E190" i="45" s="1"/>
  <c r="E123" i="45"/>
  <c r="E124" i="45" s="1"/>
  <c r="E125" i="45" s="1"/>
  <c r="E126" i="45" s="1"/>
  <c r="E127" i="45" s="1"/>
  <c r="E128" i="45" s="1"/>
  <c r="E129" i="45" s="1"/>
  <c r="E130" i="45" s="1"/>
  <c r="E131" i="45" s="1"/>
  <c r="E132" i="45" s="1"/>
  <c r="E133" i="45" s="1"/>
  <c r="E134" i="45" s="1"/>
  <c r="E135" i="45" s="1"/>
  <c r="E138" i="45" s="1"/>
  <c r="E97" i="45"/>
  <c r="E98" i="45" s="1"/>
  <c r="E99" i="45" s="1"/>
  <c r="E100" i="45" s="1"/>
  <c r="E101" i="45" s="1"/>
  <c r="E102" i="45" s="1"/>
  <c r="E103" i="45" s="1"/>
  <c r="E104" i="45" s="1"/>
  <c r="E105" i="45" s="1"/>
  <c r="E106" i="45" s="1"/>
  <c r="E107" i="45" s="1"/>
  <c r="E108" i="45" s="1"/>
  <c r="E109" i="45" s="1"/>
  <c r="E112" i="45" s="1"/>
  <c r="E71" i="45"/>
  <c r="E72" i="45" s="1"/>
  <c r="E73" i="45" s="1"/>
  <c r="E74" i="45" s="1"/>
  <c r="E75" i="45" s="1"/>
  <c r="E76" i="45" s="1"/>
  <c r="E77" i="45" s="1"/>
  <c r="E78" i="45" s="1"/>
  <c r="E79" i="45" s="1"/>
  <c r="E80" i="45" s="1"/>
  <c r="E81" i="45" s="1"/>
  <c r="E82" i="45" s="1"/>
  <c r="E83" i="45" s="1"/>
  <c r="E86" i="45" s="1"/>
  <c r="E46" i="45"/>
  <c r="E47" i="45" s="1"/>
  <c r="E48" i="45" s="1"/>
  <c r="E49" i="45" s="1"/>
  <c r="E50" i="45" s="1"/>
  <c r="E51" i="45" s="1"/>
  <c r="E52" i="45" s="1"/>
  <c r="E53" i="45" s="1"/>
  <c r="E54" i="45" s="1"/>
  <c r="E55" i="45" s="1"/>
  <c r="E56" i="45" s="1"/>
  <c r="E57" i="45" s="1"/>
  <c r="E60" i="45" s="1"/>
  <c r="E45" i="45"/>
  <c r="D149" i="38"/>
  <c r="D162" i="38" s="1"/>
  <c r="D92" i="38"/>
  <c r="D105" i="38" s="1"/>
  <c r="D73" i="38"/>
  <c r="D86" i="38" s="1"/>
  <c r="D54" i="38"/>
  <c r="D67" i="38" s="1"/>
  <c r="D35" i="38"/>
  <c r="D48" i="38" s="1"/>
  <c r="D29" i="38"/>
  <c r="D29" i="33"/>
  <c r="D149" i="33"/>
  <c r="D162" i="33" s="1"/>
  <c r="D130" i="33"/>
  <c r="D143" i="33" s="1"/>
  <c r="D111" i="33"/>
  <c r="D124" i="33" s="1"/>
  <c r="D92" i="33"/>
  <c r="D105" i="33" s="1"/>
  <c r="D73" i="33"/>
  <c r="D86" i="33" s="1"/>
  <c r="D54" i="33"/>
  <c r="D67" i="33" s="1"/>
  <c r="D35" i="33"/>
  <c r="D48" i="33" s="1"/>
  <c r="D149" i="46"/>
  <c r="D162" i="46" s="1"/>
  <c r="D130" i="46"/>
  <c r="D143" i="46" s="1"/>
  <c r="D111" i="46"/>
  <c r="D124" i="46" s="1"/>
  <c r="D92" i="46"/>
  <c r="D73" i="46"/>
  <c r="D54" i="46"/>
  <c r="D67" i="46" s="1"/>
  <c r="D35" i="46"/>
  <c r="D48" i="46" s="1"/>
  <c r="D105" i="46"/>
  <c r="D86" i="46"/>
  <c r="D29" i="46"/>
  <c r="E175" i="47"/>
  <c r="E176" i="47" s="1"/>
  <c r="E177" i="47" s="1"/>
  <c r="E178" i="47" s="1"/>
  <c r="E179" i="47" s="1"/>
  <c r="E180" i="47" s="1"/>
  <c r="E181" i="47" s="1"/>
  <c r="E182" i="47" s="1"/>
  <c r="E183" i="47" s="1"/>
  <c r="E184" i="47" s="1"/>
  <c r="E185" i="47" s="1"/>
  <c r="E186" i="47" s="1"/>
  <c r="E187" i="47" s="1"/>
  <c r="E190" i="47" s="1"/>
  <c r="E123" i="47"/>
  <c r="E124" i="47" s="1"/>
  <c r="E125" i="47" s="1"/>
  <c r="E126" i="47" s="1"/>
  <c r="E127" i="47" s="1"/>
  <c r="E128" i="47" s="1"/>
  <c r="E129" i="47" s="1"/>
  <c r="E130" i="47" s="1"/>
  <c r="E131" i="47" s="1"/>
  <c r="E132" i="47" s="1"/>
  <c r="E133" i="47" s="1"/>
  <c r="E134" i="47" s="1"/>
  <c r="E135" i="47" s="1"/>
  <c r="E138" i="47" s="1"/>
  <c r="E97" i="47"/>
  <c r="E98" i="47" s="1"/>
  <c r="E99" i="47" s="1"/>
  <c r="E100" i="47" s="1"/>
  <c r="E101" i="47" s="1"/>
  <c r="E102" i="47" s="1"/>
  <c r="E103" i="47" s="1"/>
  <c r="E104" i="47" s="1"/>
  <c r="E105" i="47" s="1"/>
  <c r="E106" i="47" s="1"/>
  <c r="E107" i="47" s="1"/>
  <c r="E108" i="47" s="1"/>
  <c r="E109" i="47" s="1"/>
  <c r="E112" i="47" s="1"/>
  <c r="E71" i="47"/>
  <c r="E72" i="47" s="1"/>
  <c r="E73" i="47" s="1"/>
  <c r="E74" i="47" s="1"/>
  <c r="E75" i="47" s="1"/>
  <c r="E76" i="47" s="1"/>
  <c r="E77" i="47" s="1"/>
  <c r="E78" i="47" s="1"/>
  <c r="E79" i="47" s="1"/>
  <c r="E80" i="47" s="1"/>
  <c r="E81" i="47" s="1"/>
  <c r="E82" i="47" s="1"/>
  <c r="E83" i="47" s="1"/>
  <c r="E86" i="47" s="1"/>
  <c r="E45" i="47"/>
  <c r="E46" i="47" s="1"/>
  <c r="E47" i="47" s="1"/>
  <c r="E48" i="47" s="1"/>
  <c r="E49" i="47" s="1"/>
  <c r="E50" i="47" s="1"/>
  <c r="E51" i="47" s="1"/>
  <c r="E52" i="47" s="1"/>
  <c r="E53" i="47" s="1"/>
  <c r="E54" i="47" s="1"/>
  <c r="E55" i="47" s="1"/>
  <c r="E56" i="47" s="1"/>
  <c r="E57" i="47" s="1"/>
  <c r="E60" i="47" s="1"/>
  <c r="E19" i="47"/>
  <c r="E20" i="47" s="1"/>
  <c r="E21" i="47" s="1"/>
  <c r="E22" i="47" s="1"/>
  <c r="E23" i="47" s="1"/>
  <c r="E24" i="47" s="1"/>
  <c r="E25" i="47" s="1"/>
  <c r="E26" i="47" s="1"/>
  <c r="E27" i="47" s="1"/>
  <c r="E28" i="47" s="1"/>
  <c r="E29" i="47" s="1"/>
  <c r="E30" i="47" s="1"/>
  <c r="E31" i="47" s="1"/>
  <c r="E34" i="47" s="1"/>
  <c r="D198" i="47"/>
  <c r="D218" i="47" s="1"/>
  <c r="D172" i="47"/>
  <c r="D192" i="47" s="1"/>
  <c r="D146" i="47"/>
  <c r="D166" i="47" s="1"/>
  <c r="D120" i="47"/>
  <c r="D140" i="47" s="1"/>
  <c r="D94" i="47"/>
  <c r="D114" i="47" s="1"/>
  <c r="D68" i="47"/>
  <c r="D88" i="47" s="1"/>
  <c r="D42" i="47"/>
  <c r="D62" i="47" s="1"/>
  <c r="D36" i="47"/>
  <c r="D198" i="45"/>
  <c r="D218" i="45" s="1"/>
  <c r="D172" i="45"/>
  <c r="D192" i="45" s="1"/>
  <c r="D146" i="45"/>
  <c r="D166" i="45" s="1"/>
  <c r="D120" i="45"/>
  <c r="D140" i="45" s="1"/>
  <c r="D94" i="45"/>
  <c r="D114" i="45" s="1"/>
  <c r="D68" i="45"/>
  <c r="D42" i="45"/>
  <c r="D88" i="45"/>
  <c r="D62" i="45"/>
  <c r="D36" i="45"/>
  <c r="D67" i="31"/>
  <c r="D147" i="37"/>
  <c r="D159" i="37" s="1"/>
  <c r="D91" i="37"/>
  <c r="D103" i="37" s="1"/>
  <c r="D72" i="37"/>
  <c r="D84" i="37" s="1"/>
  <c r="D53" i="37"/>
  <c r="D65" i="37" s="1"/>
  <c r="D34" i="37"/>
  <c r="D46" i="37" s="1"/>
  <c r="D28" i="37"/>
  <c r="D203" i="32"/>
  <c r="D223" i="32" s="1"/>
  <c r="D176" i="32"/>
  <c r="D196" i="32" s="1"/>
  <c r="D150" i="32"/>
  <c r="D170" i="32" s="1"/>
  <c r="D123" i="32"/>
  <c r="D143" i="32" s="1"/>
  <c r="D96" i="32"/>
  <c r="D116" i="32" s="1"/>
  <c r="D69" i="32"/>
  <c r="D89" i="32" s="1"/>
  <c r="D42" i="32"/>
  <c r="D62" i="32" s="1"/>
  <c r="D36" i="32"/>
  <c r="D21" i="25"/>
  <c r="D15" i="28"/>
  <c r="D13" i="28"/>
  <c r="S42" i="37" l="1"/>
  <c r="S118" i="37" s="1"/>
  <c r="S155" i="37" s="1"/>
  <c r="T24" i="37" s="1"/>
  <c r="T42" i="37" s="1"/>
  <c r="T119" i="37"/>
  <c r="T156" i="37" s="1"/>
  <c r="U25" i="37" s="1"/>
  <c r="U43" i="37" s="1"/>
  <c r="D22" i="28"/>
  <c r="D21" i="28"/>
  <c r="D20" i="28"/>
  <c r="D25" i="25"/>
  <c r="D24" i="25"/>
  <c r="D23" i="25"/>
  <c r="AB9" i="42"/>
  <c r="AA9" i="42"/>
  <c r="Z9" i="42"/>
  <c r="Y9" i="42"/>
  <c r="X9" i="42"/>
  <c r="W9" i="42"/>
  <c r="V9" i="42"/>
  <c r="U9" i="42"/>
  <c r="T9" i="42"/>
  <c r="S9" i="42"/>
  <c r="R9" i="42"/>
  <c r="Q9" i="42"/>
  <c r="P9" i="42"/>
  <c r="O9" i="42"/>
  <c r="N9" i="42"/>
  <c r="M9" i="42"/>
  <c r="L9" i="42"/>
  <c r="K9" i="42"/>
  <c r="J9" i="42"/>
  <c r="AB190" i="47"/>
  <c r="AA190" i="47"/>
  <c r="Z190" i="47"/>
  <c r="Y190" i="47"/>
  <c r="X190" i="47"/>
  <c r="V190" i="47"/>
  <c r="U190" i="47"/>
  <c r="T190" i="47"/>
  <c r="S190" i="47"/>
  <c r="R190" i="47"/>
  <c r="P190" i="47"/>
  <c r="O190" i="47"/>
  <c r="N190" i="47"/>
  <c r="M190" i="47"/>
  <c r="L190" i="47"/>
  <c r="K190" i="47"/>
  <c r="J190" i="47"/>
  <c r="AB187" i="47"/>
  <c r="AA187" i="47"/>
  <c r="Z187" i="47"/>
  <c r="Y187" i="47"/>
  <c r="X187" i="47"/>
  <c r="V187" i="47"/>
  <c r="U187" i="47"/>
  <c r="T187" i="47"/>
  <c r="S187" i="47"/>
  <c r="R187" i="47"/>
  <c r="P187" i="47"/>
  <c r="O187" i="47"/>
  <c r="N187" i="47"/>
  <c r="L187" i="47"/>
  <c r="K187" i="47"/>
  <c r="J187" i="47"/>
  <c r="AB186" i="47"/>
  <c r="AA186" i="47"/>
  <c r="Z186" i="47"/>
  <c r="Y186" i="47"/>
  <c r="X186" i="47"/>
  <c r="V186" i="47"/>
  <c r="U186" i="47"/>
  <c r="T186" i="47"/>
  <c r="S186" i="47"/>
  <c r="R186" i="47"/>
  <c r="P186" i="47"/>
  <c r="O186" i="47"/>
  <c r="N186" i="47"/>
  <c r="L186" i="47"/>
  <c r="K186" i="47"/>
  <c r="J186" i="47"/>
  <c r="AB185" i="47"/>
  <c r="AA185" i="47"/>
  <c r="Z185" i="47"/>
  <c r="Y185" i="47"/>
  <c r="X185" i="47"/>
  <c r="V185" i="47"/>
  <c r="U185" i="47"/>
  <c r="T185" i="47"/>
  <c r="S185" i="47"/>
  <c r="R185" i="47"/>
  <c r="P185" i="47"/>
  <c r="O185" i="47"/>
  <c r="N185" i="47"/>
  <c r="L185" i="47"/>
  <c r="K185" i="47"/>
  <c r="J185" i="47"/>
  <c r="AB184" i="47"/>
  <c r="AA184" i="47"/>
  <c r="Z184" i="47"/>
  <c r="Y184" i="47"/>
  <c r="X184" i="47"/>
  <c r="V184" i="47"/>
  <c r="U184" i="47"/>
  <c r="T184" i="47"/>
  <c r="S184" i="47"/>
  <c r="R184" i="47"/>
  <c r="P184" i="47"/>
  <c r="O184" i="47"/>
  <c r="N184" i="47"/>
  <c r="L184" i="47"/>
  <c r="K184" i="47"/>
  <c r="J184" i="47"/>
  <c r="AB183" i="47"/>
  <c r="AA183" i="47"/>
  <c r="Z183" i="47"/>
  <c r="Y183" i="47"/>
  <c r="X183" i="47"/>
  <c r="V183" i="47"/>
  <c r="U183" i="47"/>
  <c r="T183" i="47"/>
  <c r="S183" i="47"/>
  <c r="R183" i="47"/>
  <c r="P183" i="47"/>
  <c r="O183" i="47"/>
  <c r="N183" i="47"/>
  <c r="L183" i="47"/>
  <c r="K183" i="47"/>
  <c r="J183" i="47"/>
  <c r="AB182" i="47"/>
  <c r="AA182" i="47"/>
  <c r="Z182" i="47"/>
  <c r="Y182" i="47"/>
  <c r="X182" i="47"/>
  <c r="V182" i="47"/>
  <c r="U182" i="47"/>
  <c r="T182" i="47"/>
  <c r="S182" i="47"/>
  <c r="R182" i="47"/>
  <c r="P182" i="47"/>
  <c r="O182" i="47"/>
  <c r="N182" i="47"/>
  <c r="L182" i="47"/>
  <c r="K182" i="47"/>
  <c r="J182" i="47"/>
  <c r="AB181" i="47"/>
  <c r="AA181" i="47"/>
  <c r="Z181" i="47"/>
  <c r="Y181" i="47"/>
  <c r="X181" i="47"/>
  <c r="V181" i="47"/>
  <c r="U181" i="47"/>
  <c r="T181" i="47"/>
  <c r="S181" i="47"/>
  <c r="R181" i="47"/>
  <c r="P181" i="47"/>
  <c r="O181" i="47"/>
  <c r="N181" i="47"/>
  <c r="L181" i="47"/>
  <c r="K181" i="47"/>
  <c r="J181" i="47"/>
  <c r="AB180" i="47"/>
  <c r="AA180" i="47"/>
  <c r="Z180" i="47"/>
  <c r="Y180" i="47"/>
  <c r="X180" i="47"/>
  <c r="V180" i="47"/>
  <c r="U180" i="47"/>
  <c r="T180" i="47"/>
  <c r="S180" i="47"/>
  <c r="R180" i="47"/>
  <c r="P180" i="47"/>
  <c r="O180" i="47"/>
  <c r="N180" i="47"/>
  <c r="L180" i="47"/>
  <c r="K180" i="47"/>
  <c r="J180" i="47"/>
  <c r="AB176" i="47"/>
  <c r="AA176" i="47"/>
  <c r="Z176" i="47"/>
  <c r="Y176" i="47"/>
  <c r="X176" i="47"/>
  <c r="V176" i="47"/>
  <c r="U176" i="47"/>
  <c r="T176" i="47"/>
  <c r="S176" i="47"/>
  <c r="R176" i="47"/>
  <c r="P176" i="47"/>
  <c r="O176" i="47"/>
  <c r="N176" i="47"/>
  <c r="L176" i="47"/>
  <c r="K176" i="47"/>
  <c r="J176" i="47"/>
  <c r="AB174" i="47"/>
  <c r="AA174" i="47"/>
  <c r="Z174" i="47"/>
  <c r="Y174" i="47"/>
  <c r="X174" i="47"/>
  <c r="V174" i="47"/>
  <c r="U174" i="47"/>
  <c r="T174" i="47"/>
  <c r="S174" i="47"/>
  <c r="R174" i="47"/>
  <c r="P174" i="47"/>
  <c r="O174" i="47"/>
  <c r="N174" i="47"/>
  <c r="L174" i="47"/>
  <c r="K174" i="47"/>
  <c r="J174" i="47"/>
  <c r="AB138" i="47"/>
  <c r="AA138" i="47"/>
  <c r="Z138" i="47"/>
  <c r="Y138" i="47"/>
  <c r="X138" i="47"/>
  <c r="W138" i="47"/>
  <c r="V138" i="47"/>
  <c r="U138" i="47"/>
  <c r="T138" i="47"/>
  <c r="S138" i="47"/>
  <c r="R138" i="47"/>
  <c r="Q138" i="47"/>
  <c r="P138" i="47"/>
  <c r="O138" i="47"/>
  <c r="N138" i="47"/>
  <c r="M138" i="47"/>
  <c r="L138" i="47"/>
  <c r="K138" i="47"/>
  <c r="J138" i="47"/>
  <c r="AB135" i="47"/>
  <c r="AA135" i="47"/>
  <c r="Z135" i="47"/>
  <c r="Y135" i="47"/>
  <c r="X135" i="47"/>
  <c r="U135" i="47"/>
  <c r="T135" i="47"/>
  <c r="S135" i="47"/>
  <c r="R135" i="47"/>
  <c r="M135" i="47"/>
  <c r="L135" i="47"/>
  <c r="K135" i="47"/>
  <c r="J135" i="47"/>
  <c r="AB134" i="47"/>
  <c r="AA134" i="47"/>
  <c r="Z134" i="47"/>
  <c r="Y134" i="47"/>
  <c r="X134" i="47"/>
  <c r="U134" i="47"/>
  <c r="T134" i="47"/>
  <c r="S134" i="47"/>
  <c r="R134" i="47"/>
  <c r="M134" i="47"/>
  <c r="L134" i="47"/>
  <c r="K134" i="47"/>
  <c r="J134" i="47"/>
  <c r="AB133" i="47"/>
  <c r="AA133" i="47"/>
  <c r="Z133" i="47"/>
  <c r="Y133" i="47"/>
  <c r="X133" i="47"/>
  <c r="U133" i="47"/>
  <c r="T133" i="47"/>
  <c r="S133" i="47"/>
  <c r="R133" i="47"/>
  <c r="M133" i="47"/>
  <c r="L133" i="47"/>
  <c r="K133" i="47"/>
  <c r="J133" i="47"/>
  <c r="AB132" i="47"/>
  <c r="AA132" i="47"/>
  <c r="Z132" i="47"/>
  <c r="Y132" i="47"/>
  <c r="X132" i="47"/>
  <c r="U132" i="47"/>
  <c r="T132" i="47"/>
  <c r="S132" i="47"/>
  <c r="R132" i="47"/>
  <c r="M132" i="47"/>
  <c r="L132" i="47"/>
  <c r="K132" i="47"/>
  <c r="J132" i="47"/>
  <c r="AB131" i="47"/>
  <c r="AA131" i="47"/>
  <c r="Z131" i="47"/>
  <c r="Y131" i="47"/>
  <c r="X131" i="47"/>
  <c r="U131" i="47"/>
  <c r="T131" i="47"/>
  <c r="S131" i="47"/>
  <c r="R131" i="47"/>
  <c r="M131" i="47"/>
  <c r="L131" i="47"/>
  <c r="K131" i="47"/>
  <c r="J131" i="47"/>
  <c r="AB130" i="47"/>
  <c r="AA130" i="47"/>
  <c r="Z130" i="47"/>
  <c r="Y130" i="47"/>
  <c r="X130" i="47"/>
  <c r="U130" i="47"/>
  <c r="T130" i="47"/>
  <c r="S130" i="47"/>
  <c r="R130" i="47"/>
  <c r="M130" i="47"/>
  <c r="L130" i="47"/>
  <c r="K130" i="47"/>
  <c r="J130" i="47"/>
  <c r="AB129" i="47"/>
  <c r="AA129" i="47"/>
  <c r="Z129" i="47"/>
  <c r="Y129" i="47"/>
  <c r="X129" i="47"/>
  <c r="U129" i="47"/>
  <c r="T129" i="47"/>
  <c r="S129" i="47"/>
  <c r="R129" i="47"/>
  <c r="M129" i="47"/>
  <c r="L129" i="47"/>
  <c r="K129" i="47"/>
  <c r="J129" i="47"/>
  <c r="AB128" i="47"/>
  <c r="AA128" i="47"/>
  <c r="Z128" i="47"/>
  <c r="Y128" i="47"/>
  <c r="X128" i="47"/>
  <c r="U128" i="47"/>
  <c r="T128" i="47"/>
  <c r="S128" i="47"/>
  <c r="R128" i="47"/>
  <c r="M128" i="47"/>
  <c r="L128" i="47"/>
  <c r="K128" i="47"/>
  <c r="J128" i="47"/>
  <c r="AB124" i="47"/>
  <c r="AA124" i="47"/>
  <c r="Z124" i="47"/>
  <c r="Y124" i="47"/>
  <c r="X124" i="47"/>
  <c r="U124" i="47"/>
  <c r="T124" i="47"/>
  <c r="S124" i="47"/>
  <c r="R124" i="47"/>
  <c r="M124" i="47"/>
  <c r="L124" i="47"/>
  <c r="K124" i="47"/>
  <c r="J124" i="47"/>
  <c r="AB122" i="47"/>
  <c r="AA122" i="47"/>
  <c r="Z122" i="47"/>
  <c r="Y122" i="47"/>
  <c r="X122" i="47"/>
  <c r="U122" i="47"/>
  <c r="T122" i="47"/>
  <c r="S122" i="47"/>
  <c r="M122" i="47"/>
  <c r="L122" i="47"/>
  <c r="K122" i="47"/>
  <c r="J122" i="47"/>
  <c r="AB112" i="47"/>
  <c r="AA112" i="47"/>
  <c r="Z112" i="47"/>
  <c r="Y112" i="47"/>
  <c r="X112" i="47"/>
  <c r="W112" i="47"/>
  <c r="V112" i="47"/>
  <c r="U112" i="47"/>
  <c r="T112" i="47"/>
  <c r="S112" i="47"/>
  <c r="R112" i="47"/>
  <c r="M112" i="47"/>
  <c r="L112" i="47"/>
  <c r="K112" i="47"/>
  <c r="J112" i="47"/>
  <c r="AB109" i="47"/>
  <c r="AA109" i="47"/>
  <c r="Z109" i="47"/>
  <c r="Y109" i="47"/>
  <c r="X109" i="47"/>
  <c r="R109" i="47"/>
  <c r="AB108" i="47"/>
  <c r="AA108" i="47"/>
  <c r="Z108" i="47"/>
  <c r="Y108" i="47"/>
  <c r="X108" i="47"/>
  <c r="R108" i="47"/>
  <c r="AB107" i="47"/>
  <c r="AA107" i="47"/>
  <c r="Z107" i="47"/>
  <c r="Y107" i="47"/>
  <c r="X107" i="47"/>
  <c r="R107" i="47"/>
  <c r="AB106" i="47"/>
  <c r="AA106" i="47"/>
  <c r="Z106" i="47"/>
  <c r="Y106" i="47"/>
  <c r="X106" i="47"/>
  <c r="R106" i="47"/>
  <c r="AB105" i="47"/>
  <c r="AA105" i="47"/>
  <c r="Z105" i="47"/>
  <c r="Y105" i="47"/>
  <c r="X105" i="47"/>
  <c r="U105" i="47"/>
  <c r="T105" i="47"/>
  <c r="S105" i="47"/>
  <c r="R105" i="47"/>
  <c r="AB104" i="47"/>
  <c r="AA104" i="47"/>
  <c r="Z104" i="47"/>
  <c r="Y104" i="47"/>
  <c r="X104" i="47"/>
  <c r="U104" i="47"/>
  <c r="T104" i="47"/>
  <c r="S104" i="47"/>
  <c r="R104" i="47"/>
  <c r="AB103" i="47"/>
  <c r="AA103" i="47"/>
  <c r="Z103" i="47"/>
  <c r="Y103" i="47"/>
  <c r="X103" i="47"/>
  <c r="R103" i="47"/>
  <c r="AB102" i="47"/>
  <c r="AA102" i="47"/>
  <c r="Z102" i="47"/>
  <c r="Y102" i="47"/>
  <c r="X102" i="47"/>
  <c r="R102" i="47"/>
  <c r="AB98" i="47"/>
  <c r="AA98" i="47"/>
  <c r="Z98" i="47"/>
  <c r="Y98" i="47"/>
  <c r="X98" i="47"/>
  <c r="R98" i="47"/>
  <c r="AB96" i="47"/>
  <c r="AA96" i="47"/>
  <c r="Z96" i="47"/>
  <c r="Y96" i="47"/>
  <c r="X96" i="47"/>
  <c r="R96" i="47"/>
  <c r="W86" i="47"/>
  <c r="V86" i="47"/>
  <c r="U86" i="47"/>
  <c r="T86" i="47"/>
  <c r="S86" i="47"/>
  <c r="R86" i="47"/>
  <c r="M86" i="47"/>
  <c r="K86" i="47"/>
  <c r="J86" i="47"/>
  <c r="R83" i="47"/>
  <c r="R82" i="47"/>
  <c r="R81" i="47"/>
  <c r="R80" i="47"/>
  <c r="R79" i="47"/>
  <c r="R78" i="47"/>
  <c r="R77" i="47"/>
  <c r="R76" i="47"/>
  <c r="R72" i="47"/>
  <c r="R70" i="47"/>
  <c r="G216" i="47"/>
  <c r="F216" i="47"/>
  <c r="G213" i="47"/>
  <c r="F213" i="47"/>
  <c r="G212" i="47"/>
  <c r="F212" i="47"/>
  <c r="G211" i="47"/>
  <c r="F211" i="47"/>
  <c r="G210" i="47"/>
  <c r="F210" i="47"/>
  <c r="G209" i="47"/>
  <c r="F209" i="47"/>
  <c r="G208" i="47"/>
  <c r="F208" i="47"/>
  <c r="G207" i="47"/>
  <c r="F207" i="47"/>
  <c r="G206" i="47"/>
  <c r="F206" i="47"/>
  <c r="G205" i="47"/>
  <c r="F205" i="47"/>
  <c r="G204" i="47"/>
  <c r="F204" i="47"/>
  <c r="G203" i="47"/>
  <c r="F203" i="47"/>
  <c r="G202" i="47"/>
  <c r="F202" i="47"/>
  <c r="G201" i="47"/>
  <c r="F201" i="47"/>
  <c r="H218" i="47"/>
  <c r="G200" i="47"/>
  <c r="G218" i="47" s="1"/>
  <c r="F200" i="47"/>
  <c r="F218" i="47" s="1"/>
  <c r="H198" i="47"/>
  <c r="G198" i="47"/>
  <c r="F198" i="47"/>
  <c r="E198" i="47"/>
  <c r="G190" i="47"/>
  <c r="F190" i="47"/>
  <c r="G187" i="47"/>
  <c r="F187" i="47"/>
  <c r="G186" i="47"/>
  <c r="F186" i="47"/>
  <c r="G185" i="47"/>
  <c r="F185" i="47"/>
  <c r="G184" i="47"/>
  <c r="F184" i="47"/>
  <c r="G183" i="47"/>
  <c r="F183" i="47"/>
  <c r="G182" i="47"/>
  <c r="F182" i="47"/>
  <c r="G181" i="47"/>
  <c r="F181" i="47"/>
  <c r="G180" i="47"/>
  <c r="F180" i="47"/>
  <c r="G179" i="47"/>
  <c r="F179" i="47"/>
  <c r="G178" i="47"/>
  <c r="F178" i="47"/>
  <c r="G177" i="47"/>
  <c r="F177" i="47"/>
  <c r="G176" i="47"/>
  <c r="F176" i="47"/>
  <c r="G175" i="47"/>
  <c r="F175" i="47"/>
  <c r="H192" i="47"/>
  <c r="G174" i="47"/>
  <c r="G192" i="47" s="1"/>
  <c r="F174" i="47"/>
  <c r="F192" i="47" s="1"/>
  <c r="H172" i="47"/>
  <c r="G172" i="47"/>
  <c r="F172" i="47"/>
  <c r="E172" i="47"/>
  <c r="G164" i="47"/>
  <c r="F164" i="47"/>
  <c r="G161" i="47"/>
  <c r="F161" i="47"/>
  <c r="G160" i="47"/>
  <c r="F160" i="47"/>
  <c r="G159" i="47"/>
  <c r="F159" i="47"/>
  <c r="G158" i="47"/>
  <c r="F158" i="47"/>
  <c r="G157" i="47"/>
  <c r="F157" i="47"/>
  <c r="G156" i="47"/>
  <c r="F156" i="47"/>
  <c r="G155" i="47"/>
  <c r="F155" i="47"/>
  <c r="G154" i="47"/>
  <c r="F154" i="47"/>
  <c r="G153" i="47"/>
  <c r="F153" i="47"/>
  <c r="G152" i="47"/>
  <c r="F152" i="47"/>
  <c r="G151" i="47"/>
  <c r="F151" i="47"/>
  <c r="G150" i="47"/>
  <c r="F150" i="47"/>
  <c r="G149" i="47"/>
  <c r="F149" i="47"/>
  <c r="H166" i="47"/>
  <c r="G148" i="47"/>
  <c r="G166" i="47" s="1"/>
  <c r="F148" i="47"/>
  <c r="F166" i="47" s="1"/>
  <c r="H146" i="47"/>
  <c r="G146" i="47"/>
  <c r="F146" i="47"/>
  <c r="E146" i="47"/>
  <c r="G138" i="47"/>
  <c r="F138" i="47"/>
  <c r="G135" i="47"/>
  <c r="F135" i="47"/>
  <c r="G134" i="47"/>
  <c r="F134" i="47"/>
  <c r="G133" i="47"/>
  <c r="F133" i="47"/>
  <c r="G132" i="47"/>
  <c r="F132" i="47"/>
  <c r="G131" i="47"/>
  <c r="F131" i="47"/>
  <c r="G130" i="47"/>
  <c r="F130" i="47"/>
  <c r="G129" i="47"/>
  <c r="F129" i="47"/>
  <c r="G128" i="47"/>
  <c r="F128" i="47"/>
  <c r="G127" i="47"/>
  <c r="F127" i="47"/>
  <c r="G126" i="47"/>
  <c r="F126" i="47"/>
  <c r="G125" i="47"/>
  <c r="F125" i="47"/>
  <c r="G124" i="47"/>
  <c r="F124" i="47"/>
  <c r="G123" i="47"/>
  <c r="F123" i="47"/>
  <c r="H140" i="47"/>
  <c r="G122" i="47"/>
  <c r="G140" i="47" s="1"/>
  <c r="F122" i="47"/>
  <c r="F140" i="47" s="1"/>
  <c r="H120" i="47"/>
  <c r="G120" i="47"/>
  <c r="F120" i="47"/>
  <c r="E120" i="47"/>
  <c r="G112" i="47"/>
  <c r="F112" i="47"/>
  <c r="G109" i="47"/>
  <c r="F109" i="47"/>
  <c r="G108" i="47"/>
  <c r="F108" i="47"/>
  <c r="G107" i="47"/>
  <c r="F107" i="47"/>
  <c r="G106" i="47"/>
  <c r="F106" i="47"/>
  <c r="G105" i="47"/>
  <c r="F105" i="47"/>
  <c r="G104" i="47"/>
  <c r="F104" i="47"/>
  <c r="G103" i="47"/>
  <c r="F103" i="47"/>
  <c r="G102" i="47"/>
  <c r="F102" i="47"/>
  <c r="G101" i="47"/>
  <c r="F101" i="47"/>
  <c r="G100" i="47"/>
  <c r="F100" i="47"/>
  <c r="G99" i="47"/>
  <c r="F99" i="47"/>
  <c r="G98" i="47"/>
  <c r="F98" i="47"/>
  <c r="G97" i="47"/>
  <c r="F97" i="47"/>
  <c r="H114" i="47"/>
  <c r="G96" i="47"/>
  <c r="G114" i="47" s="1"/>
  <c r="F96" i="47"/>
  <c r="F114" i="47" s="1"/>
  <c r="H94" i="47"/>
  <c r="G94" i="47"/>
  <c r="F94" i="47"/>
  <c r="E94" i="47"/>
  <c r="G86" i="47"/>
  <c r="F86" i="47"/>
  <c r="G83" i="47"/>
  <c r="F83" i="47"/>
  <c r="G82" i="47"/>
  <c r="F82" i="47"/>
  <c r="G81" i="47"/>
  <c r="F81" i="47"/>
  <c r="G80" i="47"/>
  <c r="F80" i="47"/>
  <c r="G79" i="47"/>
  <c r="F79" i="47"/>
  <c r="G78" i="47"/>
  <c r="F78" i="47"/>
  <c r="G77" i="47"/>
  <c r="F77" i="47"/>
  <c r="G76" i="47"/>
  <c r="F76" i="47"/>
  <c r="G75" i="47"/>
  <c r="F75" i="47"/>
  <c r="G74" i="47"/>
  <c r="F74" i="47"/>
  <c r="G73" i="47"/>
  <c r="F73" i="47"/>
  <c r="G72" i="47"/>
  <c r="F72" i="47"/>
  <c r="G71" i="47"/>
  <c r="F71" i="47"/>
  <c r="H88" i="47"/>
  <c r="G70" i="47"/>
  <c r="G88" i="47" s="1"/>
  <c r="F70" i="47"/>
  <c r="F88" i="47" s="1"/>
  <c r="H68" i="47"/>
  <c r="G68" i="47"/>
  <c r="F68" i="47"/>
  <c r="E68" i="47"/>
  <c r="G60" i="47"/>
  <c r="F60" i="47"/>
  <c r="G57" i="47"/>
  <c r="F57" i="47"/>
  <c r="G56" i="47"/>
  <c r="F56" i="47"/>
  <c r="G55" i="47"/>
  <c r="F55" i="47"/>
  <c r="G54" i="47"/>
  <c r="F54" i="47"/>
  <c r="G53" i="47"/>
  <c r="F53" i="47"/>
  <c r="G52" i="47"/>
  <c r="F52" i="47"/>
  <c r="G51" i="47"/>
  <c r="F51" i="47"/>
  <c r="G50" i="47"/>
  <c r="F50" i="47"/>
  <c r="G49" i="47"/>
  <c r="F49" i="47"/>
  <c r="G48" i="47"/>
  <c r="F48" i="47"/>
  <c r="G47" i="47"/>
  <c r="F47" i="47"/>
  <c r="G46" i="47"/>
  <c r="F46" i="47"/>
  <c r="G45" i="47"/>
  <c r="F45" i="47"/>
  <c r="H62" i="47"/>
  <c r="G44" i="47"/>
  <c r="G62" i="47" s="1"/>
  <c r="F44" i="47"/>
  <c r="F62" i="47" s="1"/>
  <c r="H42" i="47"/>
  <c r="G42" i="47"/>
  <c r="F42" i="47"/>
  <c r="E42" i="47"/>
  <c r="G34" i="47"/>
  <c r="F34" i="47"/>
  <c r="D34" i="47"/>
  <c r="D60" i="47" s="1"/>
  <c r="G31" i="47"/>
  <c r="F31" i="47"/>
  <c r="D31" i="47"/>
  <c r="G30" i="47"/>
  <c r="F30" i="47"/>
  <c r="D30" i="47"/>
  <c r="D56" i="47" s="1"/>
  <c r="G29" i="47"/>
  <c r="F29" i="47"/>
  <c r="D29" i="47"/>
  <c r="G28" i="47"/>
  <c r="F28" i="47"/>
  <c r="D28" i="47"/>
  <c r="D54" i="47" s="1"/>
  <c r="G27" i="47"/>
  <c r="F27" i="47"/>
  <c r="D27" i="47"/>
  <c r="G26" i="47"/>
  <c r="F26" i="47"/>
  <c r="D26" i="47"/>
  <c r="D52" i="47" s="1"/>
  <c r="G25" i="47"/>
  <c r="F25" i="47"/>
  <c r="D25" i="47"/>
  <c r="G24" i="47"/>
  <c r="F24" i="47"/>
  <c r="D24" i="47"/>
  <c r="D50" i="47" s="1"/>
  <c r="G23" i="47"/>
  <c r="F23" i="47"/>
  <c r="D23" i="47"/>
  <c r="G22" i="47"/>
  <c r="F22" i="47"/>
  <c r="D22" i="47"/>
  <c r="G21" i="47"/>
  <c r="F21" i="47"/>
  <c r="D21" i="47"/>
  <c r="G20" i="47"/>
  <c r="F20" i="47"/>
  <c r="D20" i="47"/>
  <c r="G19" i="47"/>
  <c r="F19" i="47"/>
  <c r="D19" i="47"/>
  <c r="H36" i="47"/>
  <c r="G18" i="47"/>
  <c r="G36" i="47" s="1"/>
  <c r="F18" i="47"/>
  <c r="F36" i="47" s="1"/>
  <c r="D18" i="47"/>
  <c r="H16" i="47"/>
  <c r="G16" i="47"/>
  <c r="F16" i="47"/>
  <c r="E16" i="47"/>
  <c r="H10" i="47"/>
  <c r="G10" i="47"/>
  <c r="F10" i="47"/>
  <c r="E10" i="47"/>
  <c r="B10" i="47"/>
  <c r="AB9" i="47"/>
  <c r="AA9" i="47"/>
  <c r="Z9" i="47"/>
  <c r="Y9" i="47"/>
  <c r="X9" i="47"/>
  <c r="W9" i="47"/>
  <c r="V9" i="47"/>
  <c r="U9" i="47"/>
  <c r="T9" i="47"/>
  <c r="S9" i="47"/>
  <c r="R9" i="47"/>
  <c r="Q9" i="47"/>
  <c r="P9" i="47"/>
  <c r="O9" i="47"/>
  <c r="N9" i="47"/>
  <c r="M9" i="47"/>
  <c r="L9" i="47"/>
  <c r="K9" i="47"/>
  <c r="J9" i="47"/>
  <c r="B9" i="47"/>
  <c r="B8" i="47"/>
  <c r="B7" i="47"/>
  <c r="B6" i="47"/>
  <c r="B5" i="47"/>
  <c r="B4" i="47"/>
  <c r="B3" i="47"/>
  <c r="G160" i="46"/>
  <c r="F160" i="46"/>
  <c r="E160" i="46"/>
  <c r="G159" i="46"/>
  <c r="F159" i="46"/>
  <c r="E159" i="46"/>
  <c r="G158" i="46"/>
  <c r="F158" i="46"/>
  <c r="E158" i="46"/>
  <c r="G157" i="46"/>
  <c r="F157" i="46"/>
  <c r="E157" i="46"/>
  <c r="G156" i="46"/>
  <c r="F156" i="46"/>
  <c r="E156" i="46"/>
  <c r="G155" i="46"/>
  <c r="F155" i="46"/>
  <c r="E155" i="46"/>
  <c r="G154" i="46"/>
  <c r="F154" i="46"/>
  <c r="E154" i="46"/>
  <c r="G153" i="46"/>
  <c r="F153" i="46"/>
  <c r="E153" i="46"/>
  <c r="G152" i="46"/>
  <c r="F152" i="46"/>
  <c r="E152" i="46"/>
  <c r="G151" i="46"/>
  <c r="G162" i="46" s="1"/>
  <c r="F151" i="46"/>
  <c r="F162" i="46" s="1"/>
  <c r="E151" i="46"/>
  <c r="G149" i="46"/>
  <c r="F149" i="46"/>
  <c r="E149" i="46"/>
  <c r="G141" i="46"/>
  <c r="F141" i="46"/>
  <c r="E141" i="46"/>
  <c r="G140" i="46"/>
  <c r="F140" i="46"/>
  <c r="E140" i="46"/>
  <c r="G139" i="46"/>
  <c r="F139" i="46"/>
  <c r="E139" i="46"/>
  <c r="G138" i="46"/>
  <c r="F138" i="46"/>
  <c r="E138" i="46"/>
  <c r="G137" i="46"/>
  <c r="F137" i="46"/>
  <c r="E137" i="46"/>
  <c r="G136" i="46"/>
  <c r="F136" i="46"/>
  <c r="E136" i="46"/>
  <c r="G135" i="46"/>
  <c r="F135" i="46"/>
  <c r="E135" i="46"/>
  <c r="G134" i="46"/>
  <c r="F134" i="46"/>
  <c r="E134" i="46"/>
  <c r="G133" i="46"/>
  <c r="F133" i="46"/>
  <c r="E133" i="46"/>
  <c r="G132" i="46"/>
  <c r="G143" i="46" s="1"/>
  <c r="F132" i="46"/>
  <c r="F143" i="46" s="1"/>
  <c r="E132" i="46"/>
  <c r="G130" i="46"/>
  <c r="F130" i="46"/>
  <c r="E130" i="46"/>
  <c r="G122" i="46"/>
  <c r="F122" i="46"/>
  <c r="E122" i="46"/>
  <c r="G121" i="46"/>
  <c r="F121" i="46"/>
  <c r="E121" i="46"/>
  <c r="G120" i="46"/>
  <c r="F120" i="46"/>
  <c r="E120" i="46"/>
  <c r="G119" i="46"/>
  <c r="F119" i="46"/>
  <c r="E119" i="46"/>
  <c r="G118" i="46"/>
  <c r="F118" i="46"/>
  <c r="E118" i="46"/>
  <c r="G117" i="46"/>
  <c r="F117" i="46"/>
  <c r="E117" i="46"/>
  <c r="G116" i="46"/>
  <c r="F116" i="46"/>
  <c r="E116" i="46"/>
  <c r="G115" i="46"/>
  <c r="F115" i="46"/>
  <c r="E115" i="46"/>
  <c r="G114" i="46"/>
  <c r="F114" i="46"/>
  <c r="E114" i="46"/>
  <c r="G113" i="46"/>
  <c r="G124" i="46" s="1"/>
  <c r="F113" i="46"/>
  <c r="F124" i="46" s="1"/>
  <c r="E113" i="46"/>
  <c r="G111" i="46"/>
  <c r="F111" i="46"/>
  <c r="E111" i="46"/>
  <c r="G103" i="46"/>
  <c r="F103" i="46"/>
  <c r="E103" i="46"/>
  <c r="G102" i="46"/>
  <c r="F102" i="46"/>
  <c r="E102" i="46"/>
  <c r="G101" i="46"/>
  <c r="F101" i="46"/>
  <c r="E101" i="46"/>
  <c r="G100" i="46"/>
  <c r="F100" i="46"/>
  <c r="E100" i="46"/>
  <c r="G99" i="46"/>
  <c r="F99" i="46"/>
  <c r="E99" i="46"/>
  <c r="G98" i="46"/>
  <c r="F98" i="46"/>
  <c r="E98" i="46"/>
  <c r="G97" i="46"/>
  <c r="F97" i="46"/>
  <c r="E97" i="46"/>
  <c r="G96" i="46"/>
  <c r="F96" i="46"/>
  <c r="E96" i="46"/>
  <c r="G95" i="46"/>
  <c r="F95" i="46"/>
  <c r="E95" i="46"/>
  <c r="G94" i="46"/>
  <c r="G105" i="46" s="1"/>
  <c r="F94" i="46"/>
  <c r="F105" i="46" s="1"/>
  <c r="E94" i="46"/>
  <c r="G92" i="46"/>
  <c r="F92" i="46"/>
  <c r="E92" i="46"/>
  <c r="G84" i="46"/>
  <c r="F84" i="46"/>
  <c r="E84" i="46"/>
  <c r="G83" i="46"/>
  <c r="F83" i="46"/>
  <c r="E83" i="46"/>
  <c r="G82" i="46"/>
  <c r="F82" i="46"/>
  <c r="E82" i="46"/>
  <c r="G81" i="46"/>
  <c r="F81" i="46"/>
  <c r="E81" i="46"/>
  <c r="G80" i="46"/>
  <c r="F80" i="46"/>
  <c r="E80" i="46"/>
  <c r="G79" i="46"/>
  <c r="F79" i="46"/>
  <c r="E79" i="46"/>
  <c r="G78" i="46"/>
  <c r="F78" i="46"/>
  <c r="E78" i="46"/>
  <c r="G77" i="46"/>
  <c r="F77" i="46"/>
  <c r="E77" i="46"/>
  <c r="G76" i="46"/>
  <c r="F76" i="46"/>
  <c r="E76" i="46"/>
  <c r="G75" i="46"/>
  <c r="G86" i="46" s="1"/>
  <c r="F75" i="46"/>
  <c r="F86" i="46" s="1"/>
  <c r="E75" i="46"/>
  <c r="G73" i="46"/>
  <c r="F73" i="46"/>
  <c r="E73" i="46"/>
  <c r="G65" i="46"/>
  <c r="F65" i="46"/>
  <c r="E65" i="46"/>
  <c r="G64" i="46"/>
  <c r="F64" i="46"/>
  <c r="E64" i="46"/>
  <c r="G63" i="46"/>
  <c r="F63" i="46"/>
  <c r="E63" i="46"/>
  <c r="G62" i="46"/>
  <c r="F62" i="46"/>
  <c r="E62" i="46"/>
  <c r="G61" i="46"/>
  <c r="F61" i="46"/>
  <c r="E61" i="46"/>
  <c r="G60" i="46"/>
  <c r="F60" i="46"/>
  <c r="E60" i="46"/>
  <c r="G59" i="46"/>
  <c r="F59" i="46"/>
  <c r="E59" i="46"/>
  <c r="G58" i="46"/>
  <c r="F58" i="46"/>
  <c r="E58" i="46"/>
  <c r="G57" i="46"/>
  <c r="F57" i="46"/>
  <c r="E57" i="46"/>
  <c r="G56" i="46"/>
  <c r="G67" i="46" s="1"/>
  <c r="F56" i="46"/>
  <c r="F67" i="46" s="1"/>
  <c r="E56" i="46"/>
  <c r="G54" i="46"/>
  <c r="F54" i="46"/>
  <c r="E54" i="46"/>
  <c r="G46" i="46"/>
  <c r="F46" i="46"/>
  <c r="E46" i="46"/>
  <c r="G45" i="46"/>
  <c r="F45" i="46"/>
  <c r="E45" i="46"/>
  <c r="G44" i="46"/>
  <c r="F44" i="46"/>
  <c r="E44" i="46"/>
  <c r="G43" i="46"/>
  <c r="F43" i="46"/>
  <c r="E43" i="46"/>
  <c r="G42" i="46"/>
  <c r="F42" i="46"/>
  <c r="E42" i="46"/>
  <c r="G41" i="46"/>
  <c r="F41" i="46"/>
  <c r="E41" i="46"/>
  <c r="G40" i="46"/>
  <c r="F40" i="46"/>
  <c r="E40" i="46"/>
  <c r="G39" i="46"/>
  <c r="F39" i="46"/>
  <c r="E39" i="46"/>
  <c r="G38" i="46"/>
  <c r="F38" i="46"/>
  <c r="E38" i="46"/>
  <c r="G37" i="46"/>
  <c r="G48" i="46" s="1"/>
  <c r="F37" i="46"/>
  <c r="F48" i="46" s="1"/>
  <c r="E37" i="46"/>
  <c r="G35" i="46"/>
  <c r="F35" i="46"/>
  <c r="E35" i="46"/>
  <c r="G27" i="46"/>
  <c r="F27" i="46"/>
  <c r="D27" i="46"/>
  <c r="G26" i="46"/>
  <c r="F26" i="46"/>
  <c r="D26" i="46"/>
  <c r="G25" i="46"/>
  <c r="F25" i="46"/>
  <c r="D25" i="46"/>
  <c r="D44" i="46" s="1"/>
  <c r="G24" i="46"/>
  <c r="F24" i="46"/>
  <c r="D24" i="46"/>
  <c r="G23" i="46"/>
  <c r="F23" i="46"/>
  <c r="D23" i="46"/>
  <c r="G22" i="46"/>
  <c r="F22" i="46"/>
  <c r="D22" i="46"/>
  <c r="G21" i="46"/>
  <c r="F21" i="46"/>
  <c r="D21" i="46"/>
  <c r="D40" i="46" s="1"/>
  <c r="G20" i="46"/>
  <c r="F20" i="46"/>
  <c r="D20" i="46"/>
  <c r="D58" i="46" s="1"/>
  <c r="G19" i="46"/>
  <c r="F19" i="46"/>
  <c r="D19" i="46"/>
  <c r="G18" i="46"/>
  <c r="G29" i="46" s="1"/>
  <c r="F18" i="46"/>
  <c r="F29" i="46" s="1"/>
  <c r="D18" i="46"/>
  <c r="D56" i="46" s="1"/>
  <c r="G16" i="46"/>
  <c r="F16" i="46"/>
  <c r="E16" i="46"/>
  <c r="G10" i="46"/>
  <c r="F10" i="46"/>
  <c r="E10" i="46"/>
  <c r="B10" i="46"/>
  <c r="AB9" i="46"/>
  <c r="AA9" i="46"/>
  <c r="Z9" i="46"/>
  <c r="Y9" i="46"/>
  <c r="X9" i="46"/>
  <c r="W9" i="46"/>
  <c r="V9" i="46"/>
  <c r="U9" i="46"/>
  <c r="T9" i="46"/>
  <c r="S9" i="46"/>
  <c r="R9" i="46"/>
  <c r="Q9" i="46"/>
  <c r="P9" i="46"/>
  <c r="O9" i="46"/>
  <c r="N9" i="46"/>
  <c r="M9" i="46"/>
  <c r="L9" i="46"/>
  <c r="K9" i="46"/>
  <c r="J9" i="46"/>
  <c r="B9" i="46"/>
  <c r="B8" i="46"/>
  <c r="B7" i="46"/>
  <c r="B6" i="46"/>
  <c r="B5" i="46"/>
  <c r="B4" i="46"/>
  <c r="B3" i="46"/>
  <c r="T118" i="37" l="1"/>
  <c r="T155" i="37" s="1"/>
  <c r="U24" i="37" s="1"/>
  <c r="U42" i="37" s="1"/>
  <c r="U119" i="37"/>
  <c r="U156" i="37" s="1"/>
  <c r="V25" i="37" s="1"/>
  <c r="D37" i="46"/>
  <c r="D201" i="47"/>
  <c r="D175" i="47"/>
  <c r="D149" i="47"/>
  <c r="D123" i="47"/>
  <c r="D97" i="47"/>
  <c r="D71" i="47"/>
  <c r="D45" i="47"/>
  <c r="D202" i="47"/>
  <c r="D176" i="47"/>
  <c r="D124" i="47"/>
  <c r="D150" i="47"/>
  <c r="D98" i="47"/>
  <c r="D72" i="47"/>
  <c r="D46" i="47"/>
  <c r="D200" i="47"/>
  <c r="D174" i="47"/>
  <c r="D148" i="47"/>
  <c r="D122" i="47"/>
  <c r="D96" i="47"/>
  <c r="D70" i="47"/>
  <c r="D44" i="47"/>
  <c r="D204" i="47"/>
  <c r="D178" i="47"/>
  <c r="D152" i="47"/>
  <c r="D126" i="47"/>
  <c r="D100" i="47"/>
  <c r="D74" i="47"/>
  <c r="D48" i="47"/>
  <c r="D203" i="47"/>
  <c r="D177" i="47"/>
  <c r="D125" i="47"/>
  <c r="D99" i="47"/>
  <c r="D151" i="47"/>
  <c r="D73" i="47"/>
  <c r="D205" i="47"/>
  <c r="D179" i="47"/>
  <c r="D153" i="47"/>
  <c r="D127" i="47"/>
  <c r="D101" i="47"/>
  <c r="D75" i="47"/>
  <c r="D207" i="47"/>
  <c r="D181" i="47"/>
  <c r="D155" i="47"/>
  <c r="D129" i="47"/>
  <c r="D103" i="47"/>
  <c r="D77" i="47"/>
  <c r="D209" i="47"/>
  <c r="D183" i="47"/>
  <c r="D157" i="47"/>
  <c r="D131" i="47"/>
  <c r="D105" i="47"/>
  <c r="D79" i="47"/>
  <c r="D211" i="47"/>
  <c r="D185" i="47"/>
  <c r="D159" i="47"/>
  <c r="D133" i="47"/>
  <c r="D107" i="47"/>
  <c r="D81" i="47"/>
  <c r="D213" i="47"/>
  <c r="D161" i="47"/>
  <c r="D187" i="47"/>
  <c r="D135" i="47"/>
  <c r="D109" i="47"/>
  <c r="D83" i="47"/>
  <c r="D47" i="47"/>
  <c r="D49" i="47"/>
  <c r="D51" i="47"/>
  <c r="D53" i="47"/>
  <c r="D55" i="47"/>
  <c r="D57" i="47"/>
  <c r="D206" i="47"/>
  <c r="D180" i="47"/>
  <c r="D128" i="47"/>
  <c r="D154" i="47"/>
  <c r="D102" i="47"/>
  <c r="D76" i="47"/>
  <c r="D208" i="47"/>
  <c r="D182" i="47"/>
  <c r="D130" i="47"/>
  <c r="D104" i="47"/>
  <c r="D156" i="47"/>
  <c r="D78" i="47"/>
  <c r="D210" i="47"/>
  <c r="D184" i="47"/>
  <c r="D158" i="47"/>
  <c r="D132" i="47"/>
  <c r="D106" i="47"/>
  <c r="D80" i="47"/>
  <c r="D212" i="47"/>
  <c r="D160" i="47"/>
  <c r="D186" i="47"/>
  <c r="D134" i="47"/>
  <c r="D108" i="47"/>
  <c r="D82" i="47"/>
  <c r="D216" i="47"/>
  <c r="D190" i="47"/>
  <c r="D164" i="47"/>
  <c r="D138" i="47"/>
  <c r="D112" i="47"/>
  <c r="D86" i="47"/>
  <c r="D152" i="46"/>
  <c r="D133" i="46"/>
  <c r="D114" i="46"/>
  <c r="D95" i="46"/>
  <c r="D76" i="46"/>
  <c r="D155" i="46"/>
  <c r="D136" i="46"/>
  <c r="D60" i="46"/>
  <c r="D117" i="46"/>
  <c r="D98" i="46"/>
  <c r="D79" i="46"/>
  <c r="D157" i="46"/>
  <c r="D138" i="46"/>
  <c r="D62" i="46"/>
  <c r="D119" i="46"/>
  <c r="D100" i="46"/>
  <c r="D43" i="46"/>
  <c r="D81" i="46"/>
  <c r="D160" i="46"/>
  <c r="D141" i="46"/>
  <c r="D122" i="46"/>
  <c r="D65" i="46"/>
  <c r="D103" i="46"/>
  <c r="D46" i="46"/>
  <c r="D84" i="46"/>
  <c r="D38" i="46"/>
  <c r="D39" i="46"/>
  <c r="D41" i="46"/>
  <c r="D57" i="46"/>
  <c r="D151" i="46"/>
  <c r="D132" i="46"/>
  <c r="D113" i="46"/>
  <c r="D94" i="46"/>
  <c r="D75" i="46"/>
  <c r="D153" i="46"/>
  <c r="D134" i="46"/>
  <c r="D115" i="46"/>
  <c r="D96" i="46"/>
  <c r="D77" i="46"/>
  <c r="D156" i="46"/>
  <c r="D137" i="46"/>
  <c r="D61" i="46"/>
  <c r="D118" i="46"/>
  <c r="D99" i="46"/>
  <c r="D42" i="46"/>
  <c r="D80" i="46"/>
  <c r="D159" i="46"/>
  <c r="D140" i="46"/>
  <c r="D121" i="46"/>
  <c r="D64" i="46"/>
  <c r="D102" i="46"/>
  <c r="D45" i="46"/>
  <c r="D83" i="46"/>
  <c r="D154" i="46"/>
  <c r="D135" i="46"/>
  <c r="D59" i="46"/>
  <c r="D116" i="46"/>
  <c r="D158" i="46"/>
  <c r="D139" i="46"/>
  <c r="D120" i="46"/>
  <c r="D63" i="46"/>
  <c r="D78" i="46"/>
  <c r="D82" i="46"/>
  <c r="D97" i="46"/>
  <c r="D101" i="46"/>
  <c r="G216" i="45"/>
  <c r="F216" i="45"/>
  <c r="G213" i="45"/>
  <c r="F213" i="45"/>
  <c r="G212" i="45"/>
  <c r="F212" i="45"/>
  <c r="G211" i="45"/>
  <c r="F211" i="45"/>
  <c r="G210" i="45"/>
  <c r="F210" i="45"/>
  <c r="G209" i="45"/>
  <c r="F209" i="45"/>
  <c r="G208" i="45"/>
  <c r="F208" i="45"/>
  <c r="G207" i="45"/>
  <c r="F207" i="45"/>
  <c r="G206" i="45"/>
  <c r="F206" i="45"/>
  <c r="G205" i="45"/>
  <c r="F205" i="45"/>
  <c r="G204" i="45"/>
  <c r="F204" i="45"/>
  <c r="G203" i="45"/>
  <c r="F203" i="45"/>
  <c r="G202" i="45"/>
  <c r="F202" i="45"/>
  <c r="G201" i="45"/>
  <c r="F201" i="45"/>
  <c r="G200" i="45"/>
  <c r="G218" i="45" s="1"/>
  <c r="F200" i="45"/>
  <c r="F218" i="45" s="1"/>
  <c r="G198" i="45"/>
  <c r="F198" i="45"/>
  <c r="E198" i="45"/>
  <c r="G190" i="45"/>
  <c r="F190" i="45"/>
  <c r="G187" i="45"/>
  <c r="F187" i="45"/>
  <c r="G186" i="45"/>
  <c r="F186" i="45"/>
  <c r="G185" i="45"/>
  <c r="F185" i="45"/>
  <c r="G184" i="45"/>
  <c r="F184" i="45"/>
  <c r="G183" i="45"/>
  <c r="F183" i="45"/>
  <c r="G182" i="45"/>
  <c r="F182" i="45"/>
  <c r="G181" i="45"/>
  <c r="F181" i="45"/>
  <c r="G180" i="45"/>
  <c r="F180" i="45"/>
  <c r="G179" i="45"/>
  <c r="F179" i="45"/>
  <c r="G178" i="45"/>
  <c r="F178" i="45"/>
  <c r="G177" i="45"/>
  <c r="F177" i="45"/>
  <c r="G176" i="45"/>
  <c r="F176" i="45"/>
  <c r="G175" i="45"/>
  <c r="F175" i="45"/>
  <c r="G174" i="45"/>
  <c r="G192" i="45" s="1"/>
  <c r="F174" i="45"/>
  <c r="F192" i="45" s="1"/>
  <c r="G172" i="45"/>
  <c r="F172" i="45"/>
  <c r="E172" i="45"/>
  <c r="J164" i="45"/>
  <c r="J216" i="45" s="1"/>
  <c r="K34" i="45" s="1"/>
  <c r="K164" i="45" s="1"/>
  <c r="K216" i="45" s="1"/>
  <c r="L34" i="45" s="1"/>
  <c r="L164" i="45" s="1"/>
  <c r="L216" i="45" s="1"/>
  <c r="M34" i="45" s="1"/>
  <c r="M164" i="45" s="1"/>
  <c r="M216" i="45" s="1"/>
  <c r="N34" i="45" s="1"/>
  <c r="N164" i="45" s="1"/>
  <c r="N216" i="45" s="1"/>
  <c r="O34" i="45" s="1"/>
  <c r="O164" i="45" s="1"/>
  <c r="O216" i="45" s="1"/>
  <c r="P34" i="45" s="1"/>
  <c r="P164" i="45" s="1"/>
  <c r="P216" i="45" s="1"/>
  <c r="Q34" i="45" s="1"/>
  <c r="Q164" i="45" s="1"/>
  <c r="Q216" i="45" s="1"/>
  <c r="R34" i="45" s="1"/>
  <c r="R164" i="45" s="1"/>
  <c r="R216" i="45" s="1"/>
  <c r="S34" i="45" s="1"/>
  <c r="S164" i="45" s="1"/>
  <c r="S216" i="45" s="1"/>
  <c r="T34" i="45" s="1"/>
  <c r="T164" i="45" s="1"/>
  <c r="T216" i="45" s="1"/>
  <c r="U34" i="45" s="1"/>
  <c r="U164" i="45" s="1"/>
  <c r="U216" i="45" s="1"/>
  <c r="V34" i="45" s="1"/>
  <c r="V164" i="45" s="1"/>
  <c r="V216" i="45" s="1"/>
  <c r="W34" i="45" s="1"/>
  <c r="W164" i="45" s="1"/>
  <c r="W216" i="45" s="1"/>
  <c r="X34" i="45" s="1"/>
  <c r="X164" i="45" s="1"/>
  <c r="X216" i="45" s="1"/>
  <c r="Y34" i="45" s="1"/>
  <c r="Y164" i="45" s="1"/>
  <c r="Y216" i="45" s="1"/>
  <c r="Z34" i="45" s="1"/>
  <c r="Z164" i="45" s="1"/>
  <c r="Z216" i="45" s="1"/>
  <c r="AA34" i="45" s="1"/>
  <c r="AA164" i="45" s="1"/>
  <c r="AA216" i="45" s="1"/>
  <c r="AB34" i="45" s="1"/>
  <c r="AB164" i="45" s="1"/>
  <c r="AB216" i="45" s="1"/>
  <c r="G164" i="45"/>
  <c r="F164" i="45"/>
  <c r="J161" i="45"/>
  <c r="J213" i="45" s="1"/>
  <c r="K31" i="45" s="1"/>
  <c r="K161" i="45" s="1"/>
  <c r="K213" i="45" s="1"/>
  <c r="L31" i="45" s="1"/>
  <c r="L161" i="45" s="1"/>
  <c r="L213" i="45" s="1"/>
  <c r="M31" i="45" s="1"/>
  <c r="M161" i="45" s="1"/>
  <c r="M213" i="45" s="1"/>
  <c r="N31" i="45" s="1"/>
  <c r="N161" i="45" s="1"/>
  <c r="N213" i="45" s="1"/>
  <c r="O31" i="45" s="1"/>
  <c r="O161" i="45" s="1"/>
  <c r="O213" i="45" s="1"/>
  <c r="P31" i="45" s="1"/>
  <c r="P161" i="45" s="1"/>
  <c r="P213" i="45" s="1"/>
  <c r="Q31" i="45" s="1"/>
  <c r="Q161" i="45" s="1"/>
  <c r="Q213" i="45" s="1"/>
  <c r="R31" i="45" s="1"/>
  <c r="R161" i="45" s="1"/>
  <c r="R213" i="45" s="1"/>
  <c r="S31" i="45" s="1"/>
  <c r="S161" i="45" s="1"/>
  <c r="S213" i="45" s="1"/>
  <c r="T31" i="45" s="1"/>
  <c r="T161" i="45" s="1"/>
  <c r="T213" i="45" s="1"/>
  <c r="U31" i="45" s="1"/>
  <c r="U161" i="45" s="1"/>
  <c r="U213" i="45" s="1"/>
  <c r="V31" i="45" s="1"/>
  <c r="V161" i="45" s="1"/>
  <c r="V213" i="45" s="1"/>
  <c r="W31" i="45" s="1"/>
  <c r="W161" i="45" s="1"/>
  <c r="W213" i="45" s="1"/>
  <c r="X31" i="45" s="1"/>
  <c r="X161" i="45" s="1"/>
  <c r="X213" i="45" s="1"/>
  <c r="Y31" i="45" s="1"/>
  <c r="Y161" i="45" s="1"/>
  <c r="Y213" i="45" s="1"/>
  <c r="Z31" i="45" s="1"/>
  <c r="Z161" i="45" s="1"/>
  <c r="Z213" i="45" s="1"/>
  <c r="AA31" i="45" s="1"/>
  <c r="AA161" i="45" s="1"/>
  <c r="AA213" i="45" s="1"/>
  <c r="AB31" i="45" s="1"/>
  <c r="AB161" i="45" s="1"/>
  <c r="AB213" i="45" s="1"/>
  <c r="G161" i="45"/>
  <c r="F161" i="45"/>
  <c r="J160" i="45"/>
  <c r="J212" i="45" s="1"/>
  <c r="K30" i="45" s="1"/>
  <c r="K160" i="45" s="1"/>
  <c r="K212" i="45" s="1"/>
  <c r="L30" i="45" s="1"/>
  <c r="L160" i="45" s="1"/>
  <c r="L212" i="45" s="1"/>
  <c r="M30" i="45" s="1"/>
  <c r="M160" i="45" s="1"/>
  <c r="M212" i="45" s="1"/>
  <c r="N30" i="45" s="1"/>
  <c r="N160" i="45" s="1"/>
  <c r="N212" i="45" s="1"/>
  <c r="O30" i="45" s="1"/>
  <c r="O160" i="45" s="1"/>
  <c r="O212" i="45" s="1"/>
  <c r="P30" i="45" s="1"/>
  <c r="P160" i="45" s="1"/>
  <c r="P212" i="45" s="1"/>
  <c r="Q30" i="45" s="1"/>
  <c r="Q160" i="45" s="1"/>
  <c r="Q212" i="45" s="1"/>
  <c r="R30" i="45" s="1"/>
  <c r="R160" i="45" s="1"/>
  <c r="R212" i="45" s="1"/>
  <c r="S30" i="45" s="1"/>
  <c r="S160" i="45" s="1"/>
  <c r="S212" i="45" s="1"/>
  <c r="T30" i="45" s="1"/>
  <c r="T160" i="45" s="1"/>
  <c r="T212" i="45" s="1"/>
  <c r="U30" i="45" s="1"/>
  <c r="U160" i="45" s="1"/>
  <c r="U212" i="45" s="1"/>
  <c r="V30" i="45" s="1"/>
  <c r="V160" i="45" s="1"/>
  <c r="V212" i="45" s="1"/>
  <c r="W30" i="45" s="1"/>
  <c r="W160" i="45" s="1"/>
  <c r="W212" i="45" s="1"/>
  <c r="X30" i="45" s="1"/>
  <c r="X160" i="45" s="1"/>
  <c r="X212" i="45" s="1"/>
  <c r="Y30" i="45" s="1"/>
  <c r="Y160" i="45" s="1"/>
  <c r="Y212" i="45" s="1"/>
  <c r="Z30" i="45" s="1"/>
  <c r="Z160" i="45" s="1"/>
  <c r="Z212" i="45" s="1"/>
  <c r="AA30" i="45" s="1"/>
  <c r="AA160" i="45" s="1"/>
  <c r="AA212" i="45" s="1"/>
  <c r="AB30" i="45" s="1"/>
  <c r="AB160" i="45" s="1"/>
  <c r="AB212" i="45" s="1"/>
  <c r="G160" i="45"/>
  <c r="F160" i="45"/>
  <c r="J159" i="45"/>
  <c r="J211" i="45" s="1"/>
  <c r="K29" i="45" s="1"/>
  <c r="K159" i="45" s="1"/>
  <c r="K211" i="45" s="1"/>
  <c r="L29" i="45" s="1"/>
  <c r="L159" i="45" s="1"/>
  <c r="L211" i="45" s="1"/>
  <c r="M29" i="45" s="1"/>
  <c r="M159" i="45" s="1"/>
  <c r="M211" i="45" s="1"/>
  <c r="N29" i="45" s="1"/>
  <c r="N159" i="45" s="1"/>
  <c r="N211" i="45" s="1"/>
  <c r="O29" i="45" s="1"/>
  <c r="O159" i="45" s="1"/>
  <c r="O211" i="45" s="1"/>
  <c r="P29" i="45" s="1"/>
  <c r="P159" i="45" s="1"/>
  <c r="P211" i="45" s="1"/>
  <c r="Q29" i="45" s="1"/>
  <c r="Q159" i="45" s="1"/>
  <c r="Q211" i="45" s="1"/>
  <c r="R29" i="45" s="1"/>
  <c r="R159" i="45" s="1"/>
  <c r="R211" i="45" s="1"/>
  <c r="S29" i="45" s="1"/>
  <c r="S159" i="45" s="1"/>
  <c r="S211" i="45" s="1"/>
  <c r="T29" i="45" s="1"/>
  <c r="T159" i="45" s="1"/>
  <c r="T211" i="45" s="1"/>
  <c r="U29" i="45" s="1"/>
  <c r="U159" i="45" s="1"/>
  <c r="U211" i="45" s="1"/>
  <c r="V29" i="45" s="1"/>
  <c r="V159" i="45" s="1"/>
  <c r="V211" i="45" s="1"/>
  <c r="W29" i="45" s="1"/>
  <c r="W159" i="45" s="1"/>
  <c r="W211" i="45" s="1"/>
  <c r="X29" i="45" s="1"/>
  <c r="X159" i="45" s="1"/>
  <c r="X211" i="45" s="1"/>
  <c r="Y29" i="45" s="1"/>
  <c r="Y159" i="45" s="1"/>
  <c r="Y211" i="45" s="1"/>
  <c r="Z29" i="45" s="1"/>
  <c r="Z159" i="45" s="1"/>
  <c r="Z211" i="45" s="1"/>
  <c r="AA29" i="45" s="1"/>
  <c r="AA159" i="45" s="1"/>
  <c r="AA211" i="45" s="1"/>
  <c r="AB29" i="45" s="1"/>
  <c r="AB159" i="45" s="1"/>
  <c r="AB211" i="45" s="1"/>
  <c r="G159" i="45"/>
  <c r="F159" i="45"/>
  <c r="J158" i="45"/>
  <c r="J210" i="45" s="1"/>
  <c r="K28" i="45" s="1"/>
  <c r="K158" i="45" s="1"/>
  <c r="K210" i="45" s="1"/>
  <c r="L28" i="45" s="1"/>
  <c r="L158" i="45" s="1"/>
  <c r="L210" i="45" s="1"/>
  <c r="M28" i="45" s="1"/>
  <c r="M158" i="45" s="1"/>
  <c r="M210" i="45" s="1"/>
  <c r="N28" i="45" s="1"/>
  <c r="N158" i="45" s="1"/>
  <c r="N210" i="45" s="1"/>
  <c r="O28" i="45" s="1"/>
  <c r="O158" i="45" s="1"/>
  <c r="O210" i="45" s="1"/>
  <c r="P28" i="45" s="1"/>
  <c r="P158" i="45" s="1"/>
  <c r="P210" i="45" s="1"/>
  <c r="Q28" i="45" s="1"/>
  <c r="Q158" i="45" s="1"/>
  <c r="Q210" i="45" s="1"/>
  <c r="R28" i="45" s="1"/>
  <c r="R158" i="45" s="1"/>
  <c r="R210" i="45" s="1"/>
  <c r="S28" i="45" s="1"/>
  <c r="S158" i="45" s="1"/>
  <c r="S210" i="45" s="1"/>
  <c r="T28" i="45" s="1"/>
  <c r="T158" i="45" s="1"/>
  <c r="T210" i="45" s="1"/>
  <c r="U28" i="45" s="1"/>
  <c r="U158" i="45" s="1"/>
  <c r="U210" i="45" s="1"/>
  <c r="V28" i="45" s="1"/>
  <c r="V158" i="45" s="1"/>
  <c r="V210" i="45" s="1"/>
  <c r="W28" i="45" s="1"/>
  <c r="W158" i="45" s="1"/>
  <c r="W210" i="45" s="1"/>
  <c r="X28" i="45" s="1"/>
  <c r="X158" i="45" s="1"/>
  <c r="X210" i="45" s="1"/>
  <c r="Y28" i="45" s="1"/>
  <c r="Y158" i="45" s="1"/>
  <c r="Y210" i="45" s="1"/>
  <c r="Z28" i="45" s="1"/>
  <c r="Z158" i="45" s="1"/>
  <c r="Z210" i="45" s="1"/>
  <c r="AA28" i="45" s="1"/>
  <c r="AA158" i="45" s="1"/>
  <c r="AA210" i="45" s="1"/>
  <c r="AB28" i="45" s="1"/>
  <c r="AB158" i="45" s="1"/>
  <c r="AB210" i="45" s="1"/>
  <c r="G158" i="45"/>
  <c r="F158" i="45"/>
  <c r="J157" i="45"/>
  <c r="J209" i="45" s="1"/>
  <c r="K27" i="45" s="1"/>
  <c r="K157" i="45" s="1"/>
  <c r="K209" i="45" s="1"/>
  <c r="L27" i="45" s="1"/>
  <c r="L157" i="45" s="1"/>
  <c r="L209" i="45" s="1"/>
  <c r="M27" i="45" s="1"/>
  <c r="M157" i="45" s="1"/>
  <c r="M209" i="45" s="1"/>
  <c r="N27" i="45" s="1"/>
  <c r="N157" i="45" s="1"/>
  <c r="N209" i="45" s="1"/>
  <c r="O27" i="45" s="1"/>
  <c r="O157" i="45" s="1"/>
  <c r="O209" i="45" s="1"/>
  <c r="P27" i="45" s="1"/>
  <c r="P157" i="45" s="1"/>
  <c r="P209" i="45" s="1"/>
  <c r="Q27" i="45" s="1"/>
  <c r="Q157" i="45" s="1"/>
  <c r="Q209" i="45" s="1"/>
  <c r="R27" i="45" s="1"/>
  <c r="R157" i="45" s="1"/>
  <c r="R209" i="45" s="1"/>
  <c r="S27" i="45" s="1"/>
  <c r="S157" i="45" s="1"/>
  <c r="S209" i="45" s="1"/>
  <c r="T27" i="45" s="1"/>
  <c r="T157" i="45" s="1"/>
  <c r="T209" i="45" s="1"/>
  <c r="U27" i="45" s="1"/>
  <c r="U157" i="45" s="1"/>
  <c r="U209" i="45" s="1"/>
  <c r="V27" i="45" s="1"/>
  <c r="V157" i="45" s="1"/>
  <c r="V209" i="45" s="1"/>
  <c r="W27" i="45" s="1"/>
  <c r="W157" i="45" s="1"/>
  <c r="W209" i="45" s="1"/>
  <c r="X27" i="45" s="1"/>
  <c r="X157" i="45" s="1"/>
  <c r="X209" i="45" s="1"/>
  <c r="Y27" i="45" s="1"/>
  <c r="Y157" i="45" s="1"/>
  <c r="Y209" i="45" s="1"/>
  <c r="Z27" i="45" s="1"/>
  <c r="Z157" i="45" s="1"/>
  <c r="Z209" i="45" s="1"/>
  <c r="AA27" i="45" s="1"/>
  <c r="AA157" i="45" s="1"/>
  <c r="AA209" i="45" s="1"/>
  <c r="AB27" i="45" s="1"/>
  <c r="AB157" i="45" s="1"/>
  <c r="AB209" i="45" s="1"/>
  <c r="G157" i="45"/>
  <c r="F157" i="45"/>
  <c r="J156" i="45"/>
  <c r="J208" i="45" s="1"/>
  <c r="K26" i="45" s="1"/>
  <c r="K156" i="45" s="1"/>
  <c r="K208" i="45" s="1"/>
  <c r="L26" i="45" s="1"/>
  <c r="L156" i="45" s="1"/>
  <c r="L208" i="45" s="1"/>
  <c r="M26" i="45" s="1"/>
  <c r="M156" i="45" s="1"/>
  <c r="M208" i="45" s="1"/>
  <c r="N26" i="45" s="1"/>
  <c r="N156" i="45" s="1"/>
  <c r="N208" i="45" s="1"/>
  <c r="O26" i="45" s="1"/>
  <c r="O156" i="45" s="1"/>
  <c r="O208" i="45" s="1"/>
  <c r="P26" i="45" s="1"/>
  <c r="P156" i="45" s="1"/>
  <c r="P208" i="45" s="1"/>
  <c r="Q26" i="45" s="1"/>
  <c r="Q156" i="45" s="1"/>
  <c r="Q208" i="45" s="1"/>
  <c r="R26" i="45" s="1"/>
  <c r="R156" i="45" s="1"/>
  <c r="R208" i="45" s="1"/>
  <c r="S26" i="45" s="1"/>
  <c r="S156" i="45" s="1"/>
  <c r="S208" i="45" s="1"/>
  <c r="T26" i="45" s="1"/>
  <c r="T156" i="45" s="1"/>
  <c r="T208" i="45" s="1"/>
  <c r="U26" i="45" s="1"/>
  <c r="U156" i="45" s="1"/>
  <c r="U208" i="45" s="1"/>
  <c r="V26" i="45" s="1"/>
  <c r="V156" i="45" s="1"/>
  <c r="V208" i="45" s="1"/>
  <c r="W26" i="45" s="1"/>
  <c r="W156" i="45" s="1"/>
  <c r="W208" i="45" s="1"/>
  <c r="X26" i="45" s="1"/>
  <c r="X156" i="45" s="1"/>
  <c r="X208" i="45" s="1"/>
  <c r="Y26" i="45" s="1"/>
  <c r="Y156" i="45" s="1"/>
  <c r="Y208" i="45" s="1"/>
  <c r="Z26" i="45" s="1"/>
  <c r="Z156" i="45" s="1"/>
  <c r="Z208" i="45" s="1"/>
  <c r="AA26" i="45" s="1"/>
  <c r="AA156" i="45" s="1"/>
  <c r="AA208" i="45" s="1"/>
  <c r="AB26" i="45" s="1"/>
  <c r="AB156" i="45" s="1"/>
  <c r="AB208" i="45" s="1"/>
  <c r="G156" i="45"/>
  <c r="F156" i="45"/>
  <c r="J155" i="45"/>
  <c r="J207" i="45" s="1"/>
  <c r="K25" i="45" s="1"/>
  <c r="K155" i="45" s="1"/>
  <c r="K207" i="45" s="1"/>
  <c r="L25" i="45" s="1"/>
  <c r="L155" i="45" s="1"/>
  <c r="L207" i="45" s="1"/>
  <c r="M25" i="45" s="1"/>
  <c r="M155" i="45" s="1"/>
  <c r="M207" i="45" s="1"/>
  <c r="N25" i="45" s="1"/>
  <c r="N155" i="45" s="1"/>
  <c r="N207" i="45" s="1"/>
  <c r="O25" i="45" s="1"/>
  <c r="O155" i="45" s="1"/>
  <c r="O207" i="45" s="1"/>
  <c r="P25" i="45" s="1"/>
  <c r="P155" i="45" s="1"/>
  <c r="P207" i="45" s="1"/>
  <c r="Q25" i="45" s="1"/>
  <c r="Q155" i="45" s="1"/>
  <c r="Q207" i="45" s="1"/>
  <c r="R25" i="45" s="1"/>
  <c r="R155" i="45" s="1"/>
  <c r="R207" i="45" s="1"/>
  <c r="S25" i="45" s="1"/>
  <c r="S155" i="45" s="1"/>
  <c r="S207" i="45" s="1"/>
  <c r="T25" i="45" s="1"/>
  <c r="T155" i="45" s="1"/>
  <c r="T207" i="45" s="1"/>
  <c r="U25" i="45" s="1"/>
  <c r="U155" i="45" s="1"/>
  <c r="U207" i="45" s="1"/>
  <c r="V25" i="45" s="1"/>
  <c r="V155" i="45" s="1"/>
  <c r="V207" i="45" s="1"/>
  <c r="W25" i="45" s="1"/>
  <c r="W155" i="45" s="1"/>
  <c r="W207" i="45" s="1"/>
  <c r="X25" i="45" s="1"/>
  <c r="X155" i="45" s="1"/>
  <c r="X207" i="45" s="1"/>
  <c r="Y25" i="45" s="1"/>
  <c r="Y155" i="45" s="1"/>
  <c r="Y207" i="45" s="1"/>
  <c r="Z25" i="45" s="1"/>
  <c r="Z155" i="45" s="1"/>
  <c r="Z207" i="45" s="1"/>
  <c r="AA25" i="45" s="1"/>
  <c r="AA155" i="45" s="1"/>
  <c r="AA207" i="45" s="1"/>
  <c r="AB25" i="45" s="1"/>
  <c r="AB155" i="45" s="1"/>
  <c r="AB207" i="45" s="1"/>
  <c r="G155" i="45"/>
  <c r="F155" i="45"/>
  <c r="J154" i="45"/>
  <c r="J206" i="45" s="1"/>
  <c r="K24" i="45" s="1"/>
  <c r="K154" i="45" s="1"/>
  <c r="K206" i="45" s="1"/>
  <c r="L24" i="45" s="1"/>
  <c r="L154" i="45" s="1"/>
  <c r="L206" i="45" s="1"/>
  <c r="M24" i="45" s="1"/>
  <c r="M154" i="45" s="1"/>
  <c r="M206" i="45" s="1"/>
  <c r="N24" i="45" s="1"/>
  <c r="N154" i="45" s="1"/>
  <c r="N206" i="45" s="1"/>
  <c r="O24" i="45" s="1"/>
  <c r="O154" i="45" s="1"/>
  <c r="O206" i="45" s="1"/>
  <c r="P24" i="45" s="1"/>
  <c r="P154" i="45" s="1"/>
  <c r="P206" i="45" s="1"/>
  <c r="Q24" i="45" s="1"/>
  <c r="Q154" i="45" s="1"/>
  <c r="Q206" i="45" s="1"/>
  <c r="R24" i="45" s="1"/>
  <c r="R154" i="45" s="1"/>
  <c r="R206" i="45" s="1"/>
  <c r="S24" i="45" s="1"/>
  <c r="S154" i="45" s="1"/>
  <c r="S206" i="45" s="1"/>
  <c r="T24" i="45" s="1"/>
  <c r="T154" i="45" s="1"/>
  <c r="T206" i="45" s="1"/>
  <c r="U24" i="45" s="1"/>
  <c r="U154" i="45" s="1"/>
  <c r="U206" i="45" s="1"/>
  <c r="V24" i="45" s="1"/>
  <c r="V154" i="45" s="1"/>
  <c r="V206" i="45" s="1"/>
  <c r="W24" i="45" s="1"/>
  <c r="W154" i="45" s="1"/>
  <c r="W206" i="45" s="1"/>
  <c r="X24" i="45" s="1"/>
  <c r="X154" i="45" s="1"/>
  <c r="X206" i="45" s="1"/>
  <c r="Y24" i="45" s="1"/>
  <c r="Y154" i="45" s="1"/>
  <c r="Y206" i="45" s="1"/>
  <c r="Z24" i="45" s="1"/>
  <c r="Z154" i="45" s="1"/>
  <c r="Z206" i="45" s="1"/>
  <c r="AA24" i="45" s="1"/>
  <c r="AA154" i="45" s="1"/>
  <c r="AA206" i="45" s="1"/>
  <c r="AB24" i="45" s="1"/>
  <c r="AB154" i="45" s="1"/>
  <c r="AB206" i="45" s="1"/>
  <c r="G154" i="45"/>
  <c r="F154" i="45"/>
  <c r="G153" i="45"/>
  <c r="F153" i="45"/>
  <c r="G152" i="45"/>
  <c r="F152" i="45"/>
  <c r="G151" i="45"/>
  <c r="F151" i="45"/>
  <c r="J150" i="45"/>
  <c r="J202" i="45" s="1"/>
  <c r="K20" i="45" s="1"/>
  <c r="K150" i="45" s="1"/>
  <c r="K202" i="45" s="1"/>
  <c r="L20" i="45" s="1"/>
  <c r="L150" i="45" s="1"/>
  <c r="L202" i="45" s="1"/>
  <c r="M20" i="45" s="1"/>
  <c r="M150" i="45" s="1"/>
  <c r="M202" i="45" s="1"/>
  <c r="N20" i="45" s="1"/>
  <c r="N150" i="45" s="1"/>
  <c r="N202" i="45" s="1"/>
  <c r="O20" i="45" s="1"/>
  <c r="O150" i="45" s="1"/>
  <c r="O202" i="45" s="1"/>
  <c r="P20" i="45" s="1"/>
  <c r="P150" i="45" s="1"/>
  <c r="P202" i="45" s="1"/>
  <c r="Q20" i="45" s="1"/>
  <c r="Q150" i="45" s="1"/>
  <c r="Q202" i="45" s="1"/>
  <c r="R20" i="45" s="1"/>
  <c r="R150" i="45" s="1"/>
  <c r="R202" i="45" s="1"/>
  <c r="S20" i="45" s="1"/>
  <c r="S150" i="45" s="1"/>
  <c r="S202" i="45" s="1"/>
  <c r="T20" i="45" s="1"/>
  <c r="T150" i="45" s="1"/>
  <c r="T202" i="45" s="1"/>
  <c r="U20" i="45" s="1"/>
  <c r="U150" i="45" s="1"/>
  <c r="U202" i="45" s="1"/>
  <c r="V20" i="45" s="1"/>
  <c r="V150" i="45" s="1"/>
  <c r="V202" i="45" s="1"/>
  <c r="W20" i="45" s="1"/>
  <c r="W150" i="45" s="1"/>
  <c r="W202" i="45" s="1"/>
  <c r="X20" i="45" s="1"/>
  <c r="X150" i="45" s="1"/>
  <c r="X202" i="45" s="1"/>
  <c r="Y20" i="45" s="1"/>
  <c r="Y150" i="45" s="1"/>
  <c r="Y202" i="45" s="1"/>
  <c r="Z20" i="45" s="1"/>
  <c r="Z150" i="45" s="1"/>
  <c r="Z202" i="45" s="1"/>
  <c r="AA20" i="45" s="1"/>
  <c r="AA150" i="45" s="1"/>
  <c r="AA202" i="45" s="1"/>
  <c r="AB20" i="45" s="1"/>
  <c r="AB150" i="45" s="1"/>
  <c r="AB202" i="45" s="1"/>
  <c r="G150" i="45"/>
  <c r="F150" i="45"/>
  <c r="G149" i="45"/>
  <c r="F149" i="45"/>
  <c r="J148" i="45"/>
  <c r="J200" i="45" s="1"/>
  <c r="K18" i="45" s="1"/>
  <c r="K148" i="45" s="1"/>
  <c r="G148" i="45"/>
  <c r="G166" i="45" s="1"/>
  <c r="F148" i="45"/>
  <c r="F166" i="45" s="1"/>
  <c r="G146" i="45"/>
  <c r="F146" i="45"/>
  <c r="E146" i="45"/>
  <c r="G138" i="45"/>
  <c r="F138" i="45"/>
  <c r="G135" i="45"/>
  <c r="F135" i="45"/>
  <c r="G134" i="45"/>
  <c r="F134" i="45"/>
  <c r="G133" i="45"/>
  <c r="F133" i="45"/>
  <c r="G132" i="45"/>
  <c r="F132" i="45"/>
  <c r="G131" i="45"/>
  <c r="F131" i="45"/>
  <c r="G130" i="45"/>
  <c r="F130" i="45"/>
  <c r="G129" i="45"/>
  <c r="F129" i="45"/>
  <c r="G128" i="45"/>
  <c r="F128" i="45"/>
  <c r="G127" i="45"/>
  <c r="F127" i="45"/>
  <c r="G126" i="45"/>
  <c r="F126" i="45"/>
  <c r="G125" i="45"/>
  <c r="F125" i="45"/>
  <c r="G124" i="45"/>
  <c r="F124" i="45"/>
  <c r="G123" i="45"/>
  <c r="F123" i="45"/>
  <c r="G122" i="45"/>
  <c r="G140" i="45" s="1"/>
  <c r="F122" i="45"/>
  <c r="F140" i="45" s="1"/>
  <c r="G120" i="45"/>
  <c r="F120" i="45"/>
  <c r="E120" i="45"/>
  <c r="G112" i="45"/>
  <c r="F112" i="45"/>
  <c r="G109" i="45"/>
  <c r="F109" i="45"/>
  <c r="G108" i="45"/>
  <c r="F108" i="45"/>
  <c r="G107" i="45"/>
  <c r="F107" i="45"/>
  <c r="G106" i="45"/>
  <c r="F106" i="45"/>
  <c r="G105" i="45"/>
  <c r="F105" i="45"/>
  <c r="G104" i="45"/>
  <c r="F104" i="45"/>
  <c r="G103" i="45"/>
  <c r="F103" i="45"/>
  <c r="G102" i="45"/>
  <c r="F102" i="45"/>
  <c r="G101" i="45"/>
  <c r="F101" i="45"/>
  <c r="G100" i="45"/>
  <c r="F100" i="45"/>
  <c r="G99" i="45"/>
  <c r="F99" i="45"/>
  <c r="G98" i="45"/>
  <c r="F98" i="45"/>
  <c r="G97" i="45"/>
  <c r="F97" i="45"/>
  <c r="G96" i="45"/>
  <c r="G114" i="45" s="1"/>
  <c r="F96" i="45"/>
  <c r="F114" i="45" s="1"/>
  <c r="G94" i="45"/>
  <c r="F94" i="45"/>
  <c r="E94" i="45"/>
  <c r="G86" i="45"/>
  <c r="F86" i="45"/>
  <c r="G83" i="45"/>
  <c r="F83" i="45"/>
  <c r="G82" i="45"/>
  <c r="F82" i="45"/>
  <c r="G81" i="45"/>
  <c r="F81" i="45"/>
  <c r="G80" i="45"/>
  <c r="F80" i="45"/>
  <c r="G79" i="45"/>
  <c r="F79" i="45"/>
  <c r="G78" i="45"/>
  <c r="F78" i="45"/>
  <c r="G77" i="45"/>
  <c r="F77" i="45"/>
  <c r="G76" i="45"/>
  <c r="F76" i="45"/>
  <c r="G75" i="45"/>
  <c r="F75" i="45"/>
  <c r="G74" i="45"/>
  <c r="F74" i="45"/>
  <c r="G73" i="45"/>
  <c r="F73" i="45"/>
  <c r="G72" i="45"/>
  <c r="F72" i="45"/>
  <c r="G71" i="45"/>
  <c r="F71" i="45"/>
  <c r="G70" i="45"/>
  <c r="G88" i="45" s="1"/>
  <c r="F70" i="45"/>
  <c r="F88" i="45" s="1"/>
  <c r="G68" i="45"/>
  <c r="F68" i="45"/>
  <c r="E68" i="45"/>
  <c r="G60" i="45"/>
  <c r="F60" i="45"/>
  <c r="G57" i="45"/>
  <c r="F57" i="45"/>
  <c r="G56" i="45"/>
  <c r="F56" i="45"/>
  <c r="G55" i="45"/>
  <c r="F55" i="45"/>
  <c r="G54" i="45"/>
  <c r="F54" i="45"/>
  <c r="G53" i="45"/>
  <c r="F53" i="45"/>
  <c r="G52" i="45"/>
  <c r="F52" i="45"/>
  <c r="G51" i="45"/>
  <c r="F51" i="45"/>
  <c r="G50" i="45"/>
  <c r="F50" i="45"/>
  <c r="G49" i="45"/>
  <c r="F49" i="45"/>
  <c r="G48" i="45"/>
  <c r="F48" i="45"/>
  <c r="G47" i="45"/>
  <c r="F47" i="45"/>
  <c r="G46" i="45"/>
  <c r="F46" i="45"/>
  <c r="G45" i="45"/>
  <c r="F45" i="45"/>
  <c r="G44" i="45"/>
  <c r="G62" i="45" s="1"/>
  <c r="F44" i="45"/>
  <c r="F62" i="45" s="1"/>
  <c r="G42" i="45"/>
  <c r="F42" i="45"/>
  <c r="E42" i="45"/>
  <c r="G34" i="45"/>
  <c r="F34" i="45"/>
  <c r="D34" i="45"/>
  <c r="D60" i="45" s="1"/>
  <c r="G31" i="45"/>
  <c r="F31" i="45"/>
  <c r="D31" i="45"/>
  <c r="D109" i="45" s="1"/>
  <c r="G30" i="45"/>
  <c r="F30" i="45"/>
  <c r="D30" i="45"/>
  <c r="D56" i="45" s="1"/>
  <c r="G29" i="45"/>
  <c r="F29" i="45"/>
  <c r="D29" i="45"/>
  <c r="D107" i="45" s="1"/>
  <c r="G28" i="45"/>
  <c r="F28" i="45"/>
  <c r="D28" i="45"/>
  <c r="D54" i="45" s="1"/>
  <c r="G27" i="45"/>
  <c r="F27" i="45"/>
  <c r="D27" i="45"/>
  <c r="D105" i="45" s="1"/>
  <c r="G26" i="45"/>
  <c r="F26" i="45"/>
  <c r="D26" i="45"/>
  <c r="D52" i="45" s="1"/>
  <c r="G25" i="45"/>
  <c r="F25" i="45"/>
  <c r="D25" i="45"/>
  <c r="D103" i="45" s="1"/>
  <c r="G24" i="45"/>
  <c r="F24" i="45"/>
  <c r="D24" i="45"/>
  <c r="D50" i="45" s="1"/>
  <c r="G23" i="45"/>
  <c r="F23" i="45"/>
  <c r="D23" i="45"/>
  <c r="D101" i="45" s="1"/>
  <c r="G22" i="45"/>
  <c r="F22" i="45"/>
  <c r="D22" i="45"/>
  <c r="D48" i="45" s="1"/>
  <c r="G21" i="45"/>
  <c r="F21" i="45"/>
  <c r="D21" i="45"/>
  <c r="D99" i="45" s="1"/>
  <c r="G20" i="45"/>
  <c r="F20" i="45"/>
  <c r="D20" i="45"/>
  <c r="D46" i="45" s="1"/>
  <c r="G19" i="45"/>
  <c r="F19" i="45"/>
  <c r="D19" i="45"/>
  <c r="D97" i="45" s="1"/>
  <c r="G18" i="45"/>
  <c r="G36" i="45" s="1"/>
  <c r="F18" i="45"/>
  <c r="F36" i="45" s="1"/>
  <c r="D18" i="45"/>
  <c r="D44" i="45" s="1"/>
  <c r="G16" i="45"/>
  <c r="F16" i="45"/>
  <c r="E16" i="45"/>
  <c r="G10" i="45"/>
  <c r="F10" i="45"/>
  <c r="E10" i="45"/>
  <c r="B10" i="45"/>
  <c r="AB9" i="45"/>
  <c r="AA9" i="45"/>
  <c r="Z9" i="45"/>
  <c r="Y9" i="45"/>
  <c r="X9" i="45"/>
  <c r="W9" i="45"/>
  <c r="V9" i="45"/>
  <c r="U9" i="45"/>
  <c r="T9" i="45"/>
  <c r="S9" i="45"/>
  <c r="R9" i="45"/>
  <c r="Q9" i="45"/>
  <c r="P9" i="45"/>
  <c r="O9" i="45"/>
  <c r="N9" i="45"/>
  <c r="M9" i="45"/>
  <c r="L9" i="45"/>
  <c r="K9" i="45"/>
  <c r="J9" i="45"/>
  <c r="B9" i="45"/>
  <c r="B8" i="45"/>
  <c r="B7" i="45"/>
  <c r="B6" i="45"/>
  <c r="B5" i="45"/>
  <c r="B4" i="45"/>
  <c r="B3" i="45"/>
  <c r="U118" i="37" l="1"/>
  <c r="U155" i="37" s="1"/>
  <c r="D150" i="45"/>
  <c r="D45" i="45"/>
  <c r="D47" i="45"/>
  <c r="D49" i="45"/>
  <c r="D51" i="45"/>
  <c r="D53" i="45"/>
  <c r="D55" i="45"/>
  <c r="D57" i="45"/>
  <c r="K200" i="45"/>
  <c r="D200" i="45"/>
  <c r="D174" i="45"/>
  <c r="D148" i="45"/>
  <c r="D202" i="45"/>
  <c r="D176" i="45"/>
  <c r="D178" i="45"/>
  <c r="D204" i="45"/>
  <c r="D152" i="45"/>
  <c r="D206" i="45"/>
  <c r="D180" i="45"/>
  <c r="D182" i="45"/>
  <c r="D208" i="45"/>
  <c r="D156" i="45"/>
  <c r="D210" i="45"/>
  <c r="D184" i="45"/>
  <c r="D158" i="45"/>
  <c r="D186" i="45"/>
  <c r="D212" i="45"/>
  <c r="D216" i="45"/>
  <c r="D190" i="45"/>
  <c r="D164" i="45"/>
  <c r="D70" i="45"/>
  <c r="D71" i="45"/>
  <c r="D72" i="45"/>
  <c r="D73" i="45"/>
  <c r="D74" i="45"/>
  <c r="D75" i="45"/>
  <c r="D76" i="45"/>
  <c r="D77" i="45"/>
  <c r="D78" i="45"/>
  <c r="D79" i="45"/>
  <c r="D80" i="45"/>
  <c r="D81" i="45"/>
  <c r="D82" i="45"/>
  <c r="D83" i="45"/>
  <c r="D86" i="45"/>
  <c r="D160" i="45"/>
  <c r="D96" i="45"/>
  <c r="D98" i="45"/>
  <c r="D100" i="45"/>
  <c r="D102" i="45"/>
  <c r="D104" i="45"/>
  <c r="D106" i="45"/>
  <c r="D108" i="45"/>
  <c r="D112" i="45"/>
  <c r="D201" i="45"/>
  <c r="D175" i="45"/>
  <c r="D149" i="45"/>
  <c r="D203" i="45"/>
  <c r="D177" i="45"/>
  <c r="D151" i="45"/>
  <c r="D205" i="45"/>
  <c r="D179" i="45"/>
  <c r="D153" i="45"/>
  <c r="D207" i="45"/>
  <c r="D181" i="45"/>
  <c r="D155" i="45"/>
  <c r="D209" i="45"/>
  <c r="D183" i="45"/>
  <c r="D157" i="45"/>
  <c r="D211" i="45"/>
  <c r="D185" i="45"/>
  <c r="D159" i="45"/>
  <c r="D213" i="45"/>
  <c r="D187" i="45"/>
  <c r="D161" i="45"/>
  <c r="D122" i="45"/>
  <c r="D123" i="45"/>
  <c r="D124" i="45"/>
  <c r="D125" i="45"/>
  <c r="D126" i="45"/>
  <c r="D127" i="45"/>
  <c r="D128" i="45"/>
  <c r="D129" i="45"/>
  <c r="D130" i="45"/>
  <c r="D131" i="45"/>
  <c r="D132" i="45"/>
  <c r="D133" i="45"/>
  <c r="D134" i="45"/>
  <c r="D135" i="45"/>
  <c r="D138" i="45"/>
  <c r="D154" i="45"/>
  <c r="E42" i="44"/>
  <c r="F42" i="44"/>
  <c r="G42" i="44"/>
  <c r="H42" i="44"/>
  <c r="F49" i="44"/>
  <c r="G49" i="44"/>
  <c r="H49" i="44"/>
  <c r="U49" i="44"/>
  <c r="U51" i="44" s="1"/>
  <c r="U36" i="44"/>
  <c r="U38" i="44" s="1"/>
  <c r="H36" i="44"/>
  <c r="G36" i="44"/>
  <c r="F36" i="44"/>
  <c r="H29" i="44"/>
  <c r="G29" i="44"/>
  <c r="F29" i="44"/>
  <c r="E29" i="44"/>
  <c r="U25" i="44"/>
  <c r="H21" i="44"/>
  <c r="G21" i="44"/>
  <c r="F21" i="44"/>
  <c r="H20" i="44"/>
  <c r="G20" i="44"/>
  <c r="F20" i="44"/>
  <c r="H19" i="44"/>
  <c r="G19" i="44"/>
  <c r="F19" i="44"/>
  <c r="H18" i="44"/>
  <c r="H23" i="44" s="1"/>
  <c r="G18" i="44"/>
  <c r="G23" i="44" s="1"/>
  <c r="F23" i="44"/>
  <c r="H16" i="44"/>
  <c r="G16" i="44"/>
  <c r="F16" i="44"/>
  <c r="E16" i="44"/>
  <c r="H10" i="44"/>
  <c r="G10" i="44"/>
  <c r="F10" i="44"/>
  <c r="E10" i="44"/>
  <c r="B10" i="44"/>
  <c r="U9" i="44"/>
  <c r="B9" i="44"/>
  <c r="B8" i="44"/>
  <c r="B7" i="44"/>
  <c r="B6" i="44"/>
  <c r="B5" i="44"/>
  <c r="B4" i="44"/>
  <c r="B3" i="44"/>
  <c r="H58" i="31"/>
  <c r="H59" i="31"/>
  <c r="H60" i="31"/>
  <c r="E31" i="43"/>
  <c r="F31" i="43"/>
  <c r="G31" i="43"/>
  <c r="H31" i="43"/>
  <c r="F33" i="43"/>
  <c r="F38" i="43" s="1"/>
  <c r="G33" i="43"/>
  <c r="G38" i="43" s="1"/>
  <c r="H33" i="43"/>
  <c r="H38" i="43" s="1"/>
  <c r="F35" i="43"/>
  <c r="G35" i="43"/>
  <c r="H35" i="43"/>
  <c r="V24" i="37" l="1"/>
  <c r="G64" i="31"/>
  <c r="A25" i="44"/>
  <c r="A51" i="44"/>
  <c r="A38" i="44"/>
  <c r="L18" i="45"/>
  <c r="J40" i="43"/>
  <c r="R40" i="43"/>
  <c r="L40" i="43"/>
  <c r="K40" i="43"/>
  <c r="A1" i="44" l="1"/>
  <c r="H21" i="25" s="1"/>
  <c r="L148" i="45"/>
  <c r="D19" i="25"/>
  <c r="L200" i="45" l="1"/>
  <c r="J25" i="43"/>
  <c r="H23" i="43"/>
  <c r="G23" i="43"/>
  <c r="F23" i="43"/>
  <c r="H22" i="43"/>
  <c r="H25" i="43" s="1"/>
  <c r="G22" i="43"/>
  <c r="G25" i="43" s="1"/>
  <c r="F22" i="43"/>
  <c r="F25" i="43" s="1"/>
  <c r="H20" i="43"/>
  <c r="G20" i="43"/>
  <c r="F20" i="43"/>
  <c r="E20" i="43"/>
  <c r="H10" i="43"/>
  <c r="G10" i="43"/>
  <c r="F10" i="43"/>
  <c r="E10" i="43"/>
  <c r="B10" i="43"/>
  <c r="U9" i="43"/>
  <c r="T9" i="43"/>
  <c r="S9" i="43"/>
  <c r="R9" i="43"/>
  <c r="Q9" i="43"/>
  <c r="P9" i="43"/>
  <c r="O9" i="43"/>
  <c r="N9" i="43"/>
  <c r="M9" i="43"/>
  <c r="L9" i="43"/>
  <c r="K9" i="43"/>
  <c r="J9" i="43"/>
  <c r="B9" i="43"/>
  <c r="B8" i="43"/>
  <c r="B7" i="43"/>
  <c r="B6" i="43"/>
  <c r="B5" i="43"/>
  <c r="B4" i="43"/>
  <c r="B3" i="43"/>
  <c r="E141" i="33"/>
  <c r="E140" i="33"/>
  <c r="E139" i="33"/>
  <c r="E138" i="33"/>
  <c r="E137" i="33"/>
  <c r="E136" i="33"/>
  <c r="E135" i="33"/>
  <c r="E134" i="33"/>
  <c r="E133" i="33"/>
  <c r="E132" i="33"/>
  <c r="G141" i="33"/>
  <c r="F141" i="33"/>
  <c r="G140" i="33"/>
  <c r="F140" i="33"/>
  <c r="G139" i="33"/>
  <c r="F139" i="33"/>
  <c r="G138" i="33"/>
  <c r="F138" i="33"/>
  <c r="G137" i="33"/>
  <c r="F137" i="33"/>
  <c r="G136" i="33"/>
  <c r="F136" i="33"/>
  <c r="G135" i="33"/>
  <c r="F135" i="33"/>
  <c r="G134" i="33"/>
  <c r="F134" i="33"/>
  <c r="G133" i="33"/>
  <c r="F133" i="33"/>
  <c r="G132" i="33"/>
  <c r="G143" i="33" s="1"/>
  <c r="F132" i="33"/>
  <c r="F143" i="33" s="1"/>
  <c r="G130" i="33"/>
  <c r="F130" i="33"/>
  <c r="E130" i="33"/>
  <c r="G122" i="33"/>
  <c r="F122" i="33"/>
  <c r="G121" i="33"/>
  <c r="F121" i="33"/>
  <c r="G120" i="33"/>
  <c r="F120" i="33"/>
  <c r="G119" i="33"/>
  <c r="F119" i="33"/>
  <c r="G118" i="33"/>
  <c r="F118" i="33"/>
  <c r="G117" i="33"/>
  <c r="F117" i="33"/>
  <c r="G116" i="33"/>
  <c r="F116" i="33"/>
  <c r="G115" i="33"/>
  <c r="F115" i="33"/>
  <c r="G114" i="33"/>
  <c r="F114" i="33"/>
  <c r="G113" i="33"/>
  <c r="G124" i="33" s="1"/>
  <c r="F113" i="33"/>
  <c r="F124" i="33" s="1"/>
  <c r="G111" i="33"/>
  <c r="F111" i="33"/>
  <c r="E111" i="33"/>
  <c r="J16" i="43" l="1"/>
  <c r="M18" i="45"/>
  <c r="J27" i="43"/>
  <c r="K25" i="43"/>
  <c r="K16" i="43" s="1"/>
  <c r="AB196" i="32"/>
  <c r="AA196" i="32"/>
  <c r="Z196" i="32"/>
  <c r="Y196" i="32"/>
  <c r="X196" i="32"/>
  <c r="V196" i="32"/>
  <c r="U196" i="32"/>
  <c r="T196" i="32"/>
  <c r="S196" i="32"/>
  <c r="R196" i="32"/>
  <c r="P196" i="32"/>
  <c r="O196" i="32"/>
  <c r="N196" i="32"/>
  <c r="L196" i="32"/>
  <c r="L198" i="32" s="1"/>
  <c r="K196" i="32"/>
  <c r="K198" i="32" s="1"/>
  <c r="J196" i="32"/>
  <c r="J198" i="32" s="1"/>
  <c r="G194" i="32"/>
  <c r="F194" i="32"/>
  <c r="G191" i="32"/>
  <c r="F191" i="32"/>
  <c r="G190" i="32"/>
  <c r="F190" i="32"/>
  <c r="G189" i="32"/>
  <c r="F189" i="32"/>
  <c r="G188" i="32"/>
  <c r="F188" i="32"/>
  <c r="G187" i="32"/>
  <c r="F187" i="32"/>
  <c r="G186" i="32"/>
  <c r="F186" i="32"/>
  <c r="G185" i="32"/>
  <c r="F185" i="32"/>
  <c r="G184" i="32"/>
  <c r="F184" i="32"/>
  <c r="G183" i="32"/>
  <c r="F183" i="32"/>
  <c r="G182" i="32"/>
  <c r="F182" i="32"/>
  <c r="G181" i="32"/>
  <c r="F181" i="32"/>
  <c r="G180" i="32"/>
  <c r="F180" i="32"/>
  <c r="G179" i="32"/>
  <c r="F179" i="32"/>
  <c r="G178" i="32"/>
  <c r="G196" i="32" s="1"/>
  <c r="F178" i="32"/>
  <c r="F196" i="32" s="1"/>
  <c r="G176" i="32"/>
  <c r="F176" i="32"/>
  <c r="E176" i="32"/>
  <c r="G168" i="32"/>
  <c r="F168" i="32"/>
  <c r="G165" i="32"/>
  <c r="F165" i="32"/>
  <c r="G164" i="32"/>
  <c r="F164" i="32"/>
  <c r="G163" i="32"/>
  <c r="F163" i="32"/>
  <c r="G162" i="32"/>
  <c r="F162" i="32"/>
  <c r="G161" i="32"/>
  <c r="F161" i="32"/>
  <c r="G160" i="32"/>
  <c r="F160" i="32"/>
  <c r="G159" i="32"/>
  <c r="F159" i="32"/>
  <c r="G158" i="32"/>
  <c r="F158" i="32"/>
  <c r="G157" i="32"/>
  <c r="F157" i="32"/>
  <c r="G156" i="32"/>
  <c r="F156" i="32"/>
  <c r="G155" i="32"/>
  <c r="F155" i="32"/>
  <c r="G154" i="32"/>
  <c r="F154" i="32"/>
  <c r="G153" i="32"/>
  <c r="F153" i="32"/>
  <c r="G152" i="32"/>
  <c r="G170" i="32" s="1"/>
  <c r="F152" i="32"/>
  <c r="F170" i="32" s="1"/>
  <c r="G150" i="32"/>
  <c r="F150" i="32"/>
  <c r="E150" i="32"/>
  <c r="D150" i="37"/>
  <c r="D59" i="31" s="1"/>
  <c r="F150" i="37"/>
  <c r="G150" i="37"/>
  <c r="D94" i="37"/>
  <c r="F94" i="37"/>
  <c r="G94" i="37"/>
  <c r="D75" i="37"/>
  <c r="F75" i="37"/>
  <c r="G75" i="37"/>
  <c r="D56" i="37"/>
  <c r="F56" i="37"/>
  <c r="G56" i="37"/>
  <c r="D37" i="37"/>
  <c r="F37" i="37"/>
  <c r="G37" i="37"/>
  <c r="F19" i="37"/>
  <c r="G19" i="37"/>
  <c r="F20" i="37"/>
  <c r="G20" i="37"/>
  <c r="N27" i="31"/>
  <c r="Q19" i="37" l="1"/>
  <c r="P150" i="37" s="1"/>
  <c r="P19" i="37" s="1"/>
  <c r="O150" i="37" s="1"/>
  <c r="R198" i="32"/>
  <c r="S198" i="32"/>
  <c r="P198" i="32"/>
  <c r="T198" i="32"/>
  <c r="U198" i="32"/>
  <c r="V198" i="32"/>
  <c r="N198" i="32"/>
  <c r="O198" i="32"/>
  <c r="AA198" i="32"/>
  <c r="AB198" i="32"/>
  <c r="X198" i="32"/>
  <c r="Y198" i="32"/>
  <c r="Z198" i="32"/>
  <c r="M148" i="45"/>
  <c r="K27" i="43"/>
  <c r="L25" i="43"/>
  <c r="L16" i="43" s="1"/>
  <c r="D78" i="31"/>
  <c r="D77" i="31"/>
  <c r="D76" i="31"/>
  <c r="D69" i="31"/>
  <c r="E162" i="42"/>
  <c r="E161" i="42"/>
  <c r="E160" i="42"/>
  <c r="E159" i="42"/>
  <c r="E158" i="42"/>
  <c r="E148" i="42"/>
  <c r="E147" i="42"/>
  <c r="E146" i="42"/>
  <c r="E145" i="42"/>
  <c r="E144" i="42"/>
  <c r="E134" i="42"/>
  <c r="E133" i="42"/>
  <c r="E132" i="42"/>
  <c r="E131" i="42"/>
  <c r="E130" i="42"/>
  <c r="E120" i="42"/>
  <c r="E119" i="42"/>
  <c r="E118" i="42"/>
  <c r="E117" i="42"/>
  <c r="E116" i="42"/>
  <c r="E106" i="42"/>
  <c r="E105" i="42"/>
  <c r="E104" i="42"/>
  <c r="E103" i="42"/>
  <c r="E102" i="42"/>
  <c r="E92" i="42"/>
  <c r="E91" i="42"/>
  <c r="E90" i="42"/>
  <c r="E89" i="42"/>
  <c r="E88" i="42"/>
  <c r="E78" i="42"/>
  <c r="E77" i="42"/>
  <c r="E76" i="42"/>
  <c r="E75" i="42"/>
  <c r="E74" i="42"/>
  <c r="E64" i="42"/>
  <c r="E63" i="42"/>
  <c r="E62" i="42"/>
  <c r="E61" i="42"/>
  <c r="E60" i="42"/>
  <c r="E50" i="42"/>
  <c r="E49" i="42"/>
  <c r="E48" i="42"/>
  <c r="E47" i="42"/>
  <c r="E46" i="42"/>
  <c r="E134" i="39"/>
  <c r="E133" i="39"/>
  <c r="E132" i="39"/>
  <c r="E131" i="39"/>
  <c r="E120" i="39"/>
  <c r="E119" i="39"/>
  <c r="E118" i="39"/>
  <c r="E117" i="39"/>
  <c r="E116" i="39"/>
  <c r="E106" i="39"/>
  <c r="E105" i="39"/>
  <c r="E104" i="39"/>
  <c r="E103" i="39"/>
  <c r="E102" i="39"/>
  <c r="E92" i="39"/>
  <c r="E91" i="39"/>
  <c r="E90" i="39"/>
  <c r="E89" i="39"/>
  <c r="E88" i="39"/>
  <c r="E78" i="39"/>
  <c r="E77" i="39"/>
  <c r="E76" i="39"/>
  <c r="E75" i="39"/>
  <c r="E74" i="39"/>
  <c r="E64" i="39"/>
  <c r="E63" i="39"/>
  <c r="E62" i="39"/>
  <c r="E61" i="39"/>
  <c r="E60" i="39"/>
  <c r="E50" i="39"/>
  <c r="E49" i="39"/>
  <c r="E48" i="39"/>
  <c r="E47" i="39"/>
  <c r="E46" i="39"/>
  <c r="E162" i="34"/>
  <c r="E161" i="34"/>
  <c r="E160" i="34"/>
  <c r="E159" i="34"/>
  <c r="E158" i="34"/>
  <c r="E148" i="34"/>
  <c r="E147" i="34"/>
  <c r="E146" i="34"/>
  <c r="E145" i="34"/>
  <c r="E144" i="34"/>
  <c r="E134" i="34"/>
  <c r="E133" i="34"/>
  <c r="E132" i="34"/>
  <c r="E131" i="34"/>
  <c r="E130" i="34"/>
  <c r="E120" i="34"/>
  <c r="E119" i="34"/>
  <c r="E118" i="34"/>
  <c r="E117" i="34"/>
  <c r="E116" i="34"/>
  <c r="E106" i="34"/>
  <c r="E105" i="34"/>
  <c r="E104" i="34"/>
  <c r="E103" i="34"/>
  <c r="E102" i="34"/>
  <c r="E92" i="34"/>
  <c r="E91" i="34"/>
  <c r="E90" i="34"/>
  <c r="E89" i="34"/>
  <c r="E88" i="34"/>
  <c r="E78" i="34"/>
  <c r="E77" i="34"/>
  <c r="E76" i="34"/>
  <c r="E75" i="34"/>
  <c r="E74" i="34"/>
  <c r="E64" i="34"/>
  <c r="E63" i="34"/>
  <c r="E62" i="34"/>
  <c r="E61" i="34"/>
  <c r="E60" i="34"/>
  <c r="E50" i="34"/>
  <c r="E49" i="34"/>
  <c r="E48" i="34"/>
  <c r="E47" i="34"/>
  <c r="E46" i="34"/>
  <c r="AB157" i="38"/>
  <c r="AB124" i="39" s="1"/>
  <c r="AA157" i="38"/>
  <c r="AA124" i="39" s="1"/>
  <c r="Z157" i="38"/>
  <c r="Z124" i="39" s="1"/>
  <c r="Y157" i="38"/>
  <c r="Y124" i="39" s="1"/>
  <c r="X157" i="38"/>
  <c r="X124" i="39" s="1"/>
  <c r="W157" i="38"/>
  <c r="W124" i="39" s="1"/>
  <c r="V157" i="38"/>
  <c r="V124" i="39" s="1"/>
  <c r="U157" i="38"/>
  <c r="U124" i="39" s="1"/>
  <c r="T157" i="38"/>
  <c r="T124" i="39" s="1"/>
  <c r="S157" i="38"/>
  <c r="S124" i="39" s="1"/>
  <c r="R157" i="38"/>
  <c r="R124" i="39" s="1"/>
  <c r="Q157" i="38"/>
  <c r="Q124" i="39" s="1"/>
  <c r="P157" i="38"/>
  <c r="P124" i="39" s="1"/>
  <c r="O157" i="38"/>
  <c r="O124" i="39" s="1"/>
  <c r="N157" i="38"/>
  <c r="N124" i="39" s="1"/>
  <c r="M157" i="38"/>
  <c r="M124" i="39" s="1"/>
  <c r="L157" i="38"/>
  <c r="L124" i="39" s="1"/>
  <c r="K157" i="38"/>
  <c r="K124" i="39" s="1"/>
  <c r="J157" i="38"/>
  <c r="J124" i="39" s="1"/>
  <c r="AB156" i="38"/>
  <c r="AB110" i="39" s="1"/>
  <c r="AA156" i="38"/>
  <c r="AA110" i="39" s="1"/>
  <c r="Z156" i="38"/>
  <c r="Z110" i="39" s="1"/>
  <c r="Y156" i="38"/>
  <c r="Y110" i="39" s="1"/>
  <c r="X156" i="38"/>
  <c r="X110" i="39" s="1"/>
  <c r="W156" i="38"/>
  <c r="W110" i="39" s="1"/>
  <c r="V156" i="38"/>
  <c r="V110" i="39" s="1"/>
  <c r="U156" i="38"/>
  <c r="U110" i="39" s="1"/>
  <c r="T156" i="38"/>
  <c r="T110" i="39" s="1"/>
  <c r="S156" i="38"/>
  <c r="S110" i="39" s="1"/>
  <c r="R156" i="38"/>
  <c r="R110" i="39" s="1"/>
  <c r="Q156" i="38"/>
  <c r="Q110" i="39" s="1"/>
  <c r="P156" i="38"/>
  <c r="P110" i="39" s="1"/>
  <c r="O156" i="38"/>
  <c r="O110" i="39" s="1"/>
  <c r="N156" i="38"/>
  <c r="N110" i="39" s="1"/>
  <c r="M156" i="38"/>
  <c r="M110" i="39" s="1"/>
  <c r="L156" i="38"/>
  <c r="L110" i="39" s="1"/>
  <c r="K156" i="38"/>
  <c r="K110" i="39" s="1"/>
  <c r="J156" i="38"/>
  <c r="J110" i="39" s="1"/>
  <c r="AB155" i="38"/>
  <c r="AB96" i="39" s="1"/>
  <c r="AA155" i="38"/>
  <c r="AA96" i="39" s="1"/>
  <c r="Z155" i="38"/>
  <c r="Z96" i="39" s="1"/>
  <c r="Y155" i="38"/>
  <c r="Y96" i="39" s="1"/>
  <c r="X155" i="38"/>
  <c r="X96" i="39" s="1"/>
  <c r="W155" i="38"/>
  <c r="W96" i="39" s="1"/>
  <c r="V155" i="38"/>
  <c r="V96" i="39" s="1"/>
  <c r="U155" i="38"/>
  <c r="U96" i="39" s="1"/>
  <c r="T155" i="38"/>
  <c r="T96" i="39" s="1"/>
  <c r="S155" i="38"/>
  <c r="S96" i="39" s="1"/>
  <c r="R155" i="38"/>
  <c r="R96" i="39" s="1"/>
  <c r="Q155" i="38"/>
  <c r="Q96" i="39" s="1"/>
  <c r="P155" i="38"/>
  <c r="P96" i="39" s="1"/>
  <c r="O155" i="38"/>
  <c r="O96" i="39" s="1"/>
  <c r="N155" i="38"/>
  <c r="N96" i="39" s="1"/>
  <c r="M155" i="38"/>
  <c r="M96" i="39" s="1"/>
  <c r="L155" i="38"/>
  <c r="L96" i="39" s="1"/>
  <c r="K155" i="38"/>
  <c r="K96" i="39" s="1"/>
  <c r="J155" i="38"/>
  <c r="J96" i="39" s="1"/>
  <c r="AB154" i="38"/>
  <c r="AB82" i="39" s="1"/>
  <c r="AA154" i="38"/>
  <c r="AA82" i="39" s="1"/>
  <c r="Z154" i="38"/>
  <c r="Z82" i="39" s="1"/>
  <c r="Y154" i="38"/>
  <c r="Y82" i="39" s="1"/>
  <c r="X154" i="38"/>
  <c r="X82" i="39" s="1"/>
  <c r="W154" i="38"/>
  <c r="W82" i="39" s="1"/>
  <c r="V154" i="38"/>
  <c r="V82" i="39" s="1"/>
  <c r="U154" i="38"/>
  <c r="U82" i="39" s="1"/>
  <c r="T154" i="38"/>
  <c r="T82" i="39" s="1"/>
  <c r="S154" i="38"/>
  <c r="S82" i="39" s="1"/>
  <c r="R154" i="38"/>
  <c r="R82" i="39" s="1"/>
  <c r="Q154" i="38"/>
  <c r="Q82" i="39" s="1"/>
  <c r="P154" i="38"/>
  <c r="P82" i="39" s="1"/>
  <c r="O154" i="38"/>
  <c r="O82" i="39" s="1"/>
  <c r="N154" i="38"/>
  <c r="N82" i="39" s="1"/>
  <c r="M154" i="38"/>
  <c r="M82" i="39" s="1"/>
  <c r="L154" i="38"/>
  <c r="L82" i="39" s="1"/>
  <c r="K154" i="38"/>
  <c r="K82" i="39" s="1"/>
  <c r="J154" i="38"/>
  <c r="J82" i="39" s="1"/>
  <c r="AB153" i="38"/>
  <c r="AB68" i="39" s="1"/>
  <c r="AA153" i="38"/>
  <c r="AA68" i="39" s="1"/>
  <c r="Z153" i="38"/>
  <c r="Z68" i="39" s="1"/>
  <c r="Y153" i="38"/>
  <c r="Y68" i="39" s="1"/>
  <c r="X153" i="38"/>
  <c r="X68" i="39" s="1"/>
  <c r="W153" i="38"/>
  <c r="W68" i="39" s="1"/>
  <c r="V153" i="38"/>
  <c r="V68" i="39" s="1"/>
  <c r="U153" i="38"/>
  <c r="U68" i="39" s="1"/>
  <c r="T153" i="38"/>
  <c r="T68" i="39" s="1"/>
  <c r="S153" i="38"/>
  <c r="S68" i="39" s="1"/>
  <c r="R153" i="38"/>
  <c r="R68" i="39" s="1"/>
  <c r="Q153" i="38"/>
  <c r="Q68" i="39" s="1"/>
  <c r="P153" i="38"/>
  <c r="P68" i="39" s="1"/>
  <c r="O153" i="38"/>
  <c r="O68" i="39" s="1"/>
  <c r="N153" i="38"/>
  <c r="N68" i="39" s="1"/>
  <c r="M153" i="38"/>
  <c r="M68" i="39" s="1"/>
  <c r="L153" i="38"/>
  <c r="L68" i="39" s="1"/>
  <c r="K153" i="38"/>
  <c r="K68" i="39" s="1"/>
  <c r="J153" i="38"/>
  <c r="J68" i="39" s="1"/>
  <c r="AB152" i="38"/>
  <c r="AB54" i="39" s="1"/>
  <c r="AA152" i="38"/>
  <c r="AA54" i="39" s="1"/>
  <c r="Z152" i="38"/>
  <c r="Z54" i="39" s="1"/>
  <c r="Y152" i="38"/>
  <c r="Y54" i="39" s="1"/>
  <c r="X152" i="38"/>
  <c r="X54" i="39" s="1"/>
  <c r="W152" i="38"/>
  <c r="W54" i="39" s="1"/>
  <c r="V152" i="38"/>
  <c r="V54" i="39" s="1"/>
  <c r="U152" i="38"/>
  <c r="U54" i="39" s="1"/>
  <c r="T152" i="38"/>
  <c r="T54" i="39" s="1"/>
  <c r="S152" i="38"/>
  <c r="S54" i="39" s="1"/>
  <c r="R152" i="38"/>
  <c r="R54" i="39" s="1"/>
  <c r="Q152" i="38"/>
  <c r="Q54" i="39" s="1"/>
  <c r="P152" i="38"/>
  <c r="P54" i="39" s="1"/>
  <c r="O152" i="38"/>
  <c r="O54" i="39" s="1"/>
  <c r="N152" i="38"/>
  <c r="N54" i="39" s="1"/>
  <c r="M152" i="38"/>
  <c r="M54" i="39" s="1"/>
  <c r="L152" i="38"/>
  <c r="L54" i="39" s="1"/>
  <c r="K152" i="38"/>
  <c r="K54" i="39" s="1"/>
  <c r="J152" i="38"/>
  <c r="J54" i="39" s="1"/>
  <c r="AB151" i="38"/>
  <c r="AB40" i="39" s="1"/>
  <c r="AA151" i="38"/>
  <c r="AA40" i="39" s="1"/>
  <c r="Z151" i="38"/>
  <c r="Z40" i="39" s="1"/>
  <c r="Y151" i="38"/>
  <c r="Y40" i="39" s="1"/>
  <c r="X151" i="38"/>
  <c r="X40" i="39" s="1"/>
  <c r="W151" i="38"/>
  <c r="W40" i="39" s="1"/>
  <c r="V151" i="38"/>
  <c r="V40" i="39" s="1"/>
  <c r="U151" i="38"/>
  <c r="U40" i="39" s="1"/>
  <c r="T151" i="38"/>
  <c r="T40" i="39" s="1"/>
  <c r="S151" i="38"/>
  <c r="S40" i="39" s="1"/>
  <c r="R151" i="38"/>
  <c r="R40" i="39" s="1"/>
  <c r="Q151" i="38"/>
  <c r="Q40" i="39" s="1"/>
  <c r="P151" i="38"/>
  <c r="P40" i="39" s="1"/>
  <c r="O151" i="38"/>
  <c r="O40" i="39" s="1"/>
  <c r="N151" i="38"/>
  <c r="N40" i="39" s="1"/>
  <c r="M151" i="38"/>
  <c r="M40" i="39" s="1"/>
  <c r="L151" i="38"/>
  <c r="L40" i="39" s="1"/>
  <c r="K151" i="38"/>
  <c r="K40" i="39" s="1"/>
  <c r="J151" i="38"/>
  <c r="J40" i="39" s="1"/>
  <c r="AB100" i="38"/>
  <c r="AA100" i="38"/>
  <c r="Z100" i="38"/>
  <c r="Y100" i="38"/>
  <c r="X100" i="38"/>
  <c r="W100" i="38"/>
  <c r="V100" i="38"/>
  <c r="U100" i="38"/>
  <c r="T100" i="38"/>
  <c r="S100" i="38"/>
  <c r="R100" i="38"/>
  <c r="Q100" i="38"/>
  <c r="P100" i="38"/>
  <c r="O100" i="38"/>
  <c r="N100" i="38"/>
  <c r="M100" i="38"/>
  <c r="L100" i="38"/>
  <c r="K100" i="38"/>
  <c r="J100" i="38"/>
  <c r="AB99" i="38"/>
  <c r="AA99" i="38"/>
  <c r="Z99" i="38"/>
  <c r="Y99" i="38"/>
  <c r="X99" i="38"/>
  <c r="W99" i="38"/>
  <c r="V99" i="38"/>
  <c r="U99" i="38"/>
  <c r="T99" i="38"/>
  <c r="S99" i="38"/>
  <c r="R99" i="38"/>
  <c r="Q99" i="38"/>
  <c r="P99" i="38"/>
  <c r="O99" i="38"/>
  <c r="N99" i="38"/>
  <c r="M99" i="38"/>
  <c r="L99" i="38"/>
  <c r="K99" i="38"/>
  <c r="J99" i="38"/>
  <c r="AB98" i="38"/>
  <c r="AA98" i="38"/>
  <c r="Z98" i="38"/>
  <c r="Y98" i="38"/>
  <c r="X98" i="38"/>
  <c r="W98" i="38"/>
  <c r="V98" i="38"/>
  <c r="U98" i="38"/>
  <c r="T98" i="38"/>
  <c r="S98" i="38"/>
  <c r="R98" i="38"/>
  <c r="Q98" i="38"/>
  <c r="P98" i="38"/>
  <c r="O98" i="38"/>
  <c r="N98" i="38"/>
  <c r="M98" i="38"/>
  <c r="L98" i="38"/>
  <c r="K98" i="38"/>
  <c r="J98" i="38"/>
  <c r="AB97" i="38"/>
  <c r="AA97" i="38"/>
  <c r="Z97" i="38"/>
  <c r="Y97" i="38"/>
  <c r="X97" i="38"/>
  <c r="W97" i="38"/>
  <c r="V97" i="38"/>
  <c r="U97" i="38"/>
  <c r="T97" i="38"/>
  <c r="S97" i="38"/>
  <c r="R97" i="38"/>
  <c r="Q97" i="38"/>
  <c r="P97" i="38"/>
  <c r="O97" i="38"/>
  <c r="N97" i="38"/>
  <c r="M97" i="38"/>
  <c r="L97" i="38"/>
  <c r="K97" i="38"/>
  <c r="J97" i="38"/>
  <c r="AB96" i="38"/>
  <c r="AA96" i="38"/>
  <c r="Z96" i="38"/>
  <c r="Y96" i="38"/>
  <c r="X96" i="38"/>
  <c r="W96" i="38"/>
  <c r="V96" i="38"/>
  <c r="U96" i="38"/>
  <c r="T96" i="38"/>
  <c r="S96" i="38"/>
  <c r="R96" i="38"/>
  <c r="Q96" i="38"/>
  <c r="P96" i="38"/>
  <c r="O96" i="38"/>
  <c r="N96" i="38"/>
  <c r="M96" i="38"/>
  <c r="L96" i="38"/>
  <c r="K96" i="38"/>
  <c r="J96" i="38"/>
  <c r="AB95" i="38"/>
  <c r="AA95" i="38"/>
  <c r="Z95" i="38"/>
  <c r="Y95" i="38"/>
  <c r="X95" i="38"/>
  <c r="W95" i="38"/>
  <c r="V95" i="38"/>
  <c r="U95" i="38"/>
  <c r="T95" i="38"/>
  <c r="S95" i="38"/>
  <c r="R95" i="38"/>
  <c r="Q95" i="38"/>
  <c r="P95" i="38"/>
  <c r="O95" i="38"/>
  <c r="N95" i="38"/>
  <c r="M95" i="38"/>
  <c r="L95" i="38"/>
  <c r="K95" i="38"/>
  <c r="J95" i="38"/>
  <c r="AB94" i="38"/>
  <c r="AA94" i="38"/>
  <c r="Z94" i="38"/>
  <c r="Y94" i="38"/>
  <c r="X94" i="38"/>
  <c r="W94" i="38"/>
  <c r="V94" i="38"/>
  <c r="U94" i="38"/>
  <c r="T94" i="38"/>
  <c r="S94" i="38"/>
  <c r="R94" i="38"/>
  <c r="Q94" i="38"/>
  <c r="P94" i="38"/>
  <c r="O94" i="38"/>
  <c r="N94" i="38"/>
  <c r="M94" i="38"/>
  <c r="L94" i="38"/>
  <c r="K94" i="38"/>
  <c r="J94" i="38"/>
  <c r="AB81" i="38"/>
  <c r="AB119" i="39" s="1"/>
  <c r="AA81" i="38"/>
  <c r="AA119" i="39" s="1"/>
  <c r="Z81" i="38"/>
  <c r="Z119" i="39" s="1"/>
  <c r="Y81" i="38"/>
  <c r="Y119" i="39" s="1"/>
  <c r="X81" i="38"/>
  <c r="X119" i="39" s="1"/>
  <c r="W81" i="38"/>
  <c r="W119" i="39" s="1"/>
  <c r="V81" i="38"/>
  <c r="V119" i="39" s="1"/>
  <c r="U81" i="38"/>
  <c r="U119" i="39" s="1"/>
  <c r="T81" i="38"/>
  <c r="T119" i="39" s="1"/>
  <c r="S81" i="38"/>
  <c r="S119" i="39" s="1"/>
  <c r="R81" i="38"/>
  <c r="R119" i="39" s="1"/>
  <c r="Q81" i="38"/>
  <c r="Q119" i="39" s="1"/>
  <c r="P81" i="38"/>
  <c r="P119" i="39" s="1"/>
  <c r="O81" i="38"/>
  <c r="O119" i="39" s="1"/>
  <c r="N81" i="38"/>
  <c r="N119" i="39" s="1"/>
  <c r="M81" i="38"/>
  <c r="M119" i="39" s="1"/>
  <c r="L81" i="38"/>
  <c r="L119" i="39" s="1"/>
  <c r="K81" i="38"/>
  <c r="K119" i="39" s="1"/>
  <c r="J81" i="38"/>
  <c r="J119" i="39" s="1"/>
  <c r="AB80" i="38"/>
  <c r="AB105" i="39" s="1"/>
  <c r="AA80" i="38"/>
  <c r="AA105" i="39" s="1"/>
  <c r="Z80" i="38"/>
  <c r="Z105" i="39" s="1"/>
  <c r="Y80" i="38"/>
  <c r="Y105" i="39" s="1"/>
  <c r="X80" i="38"/>
  <c r="X105" i="39" s="1"/>
  <c r="W80" i="38"/>
  <c r="W105" i="39" s="1"/>
  <c r="V80" i="38"/>
  <c r="V105" i="39" s="1"/>
  <c r="U80" i="38"/>
  <c r="U105" i="39" s="1"/>
  <c r="T80" i="38"/>
  <c r="T105" i="39" s="1"/>
  <c r="S80" i="38"/>
  <c r="S105" i="39" s="1"/>
  <c r="R80" i="38"/>
  <c r="R105" i="39" s="1"/>
  <c r="Q80" i="38"/>
  <c r="Q105" i="39" s="1"/>
  <c r="P80" i="38"/>
  <c r="P105" i="39" s="1"/>
  <c r="O80" i="38"/>
  <c r="O105" i="39" s="1"/>
  <c r="N80" i="38"/>
  <c r="N105" i="39" s="1"/>
  <c r="M80" i="38"/>
  <c r="M105" i="39" s="1"/>
  <c r="L80" i="38"/>
  <c r="L105" i="39" s="1"/>
  <c r="K80" i="38"/>
  <c r="K105" i="39" s="1"/>
  <c r="J80" i="38"/>
  <c r="J105" i="39" s="1"/>
  <c r="AB79" i="38"/>
  <c r="AB91" i="39" s="1"/>
  <c r="AA79" i="38"/>
  <c r="AA91" i="39" s="1"/>
  <c r="Z79" i="38"/>
  <c r="Z91" i="39" s="1"/>
  <c r="Y79" i="38"/>
  <c r="Y91" i="39" s="1"/>
  <c r="X79" i="38"/>
  <c r="X91" i="39" s="1"/>
  <c r="W79" i="38"/>
  <c r="W91" i="39" s="1"/>
  <c r="V79" i="38"/>
  <c r="V91" i="39" s="1"/>
  <c r="U79" i="38"/>
  <c r="U91" i="39" s="1"/>
  <c r="T79" i="38"/>
  <c r="T91" i="39" s="1"/>
  <c r="S79" i="38"/>
  <c r="S91" i="39" s="1"/>
  <c r="R79" i="38"/>
  <c r="R91" i="39" s="1"/>
  <c r="Q79" i="38"/>
  <c r="Q91" i="39" s="1"/>
  <c r="P79" i="38"/>
  <c r="P91" i="39" s="1"/>
  <c r="O79" i="38"/>
  <c r="O91" i="39" s="1"/>
  <c r="N79" i="38"/>
  <c r="N91" i="39" s="1"/>
  <c r="M79" i="38"/>
  <c r="M91" i="39" s="1"/>
  <c r="L79" i="38"/>
  <c r="L91" i="39" s="1"/>
  <c r="K79" i="38"/>
  <c r="K91" i="39" s="1"/>
  <c r="J79" i="38"/>
  <c r="J91" i="39" s="1"/>
  <c r="AB78" i="38"/>
  <c r="AB77" i="39" s="1"/>
  <c r="AA78" i="38"/>
  <c r="AA77" i="39" s="1"/>
  <c r="Z78" i="38"/>
  <c r="Z77" i="39" s="1"/>
  <c r="Y78" i="38"/>
  <c r="Y77" i="39" s="1"/>
  <c r="X78" i="38"/>
  <c r="X77" i="39" s="1"/>
  <c r="W78" i="38"/>
  <c r="W77" i="39" s="1"/>
  <c r="V78" i="38"/>
  <c r="V77" i="39" s="1"/>
  <c r="U78" i="38"/>
  <c r="U77" i="39" s="1"/>
  <c r="T78" i="38"/>
  <c r="T77" i="39" s="1"/>
  <c r="S78" i="38"/>
  <c r="S77" i="39" s="1"/>
  <c r="R78" i="38"/>
  <c r="R77" i="39" s="1"/>
  <c r="Q78" i="38"/>
  <c r="Q77" i="39" s="1"/>
  <c r="P78" i="38"/>
  <c r="P77" i="39" s="1"/>
  <c r="O78" i="38"/>
  <c r="O77" i="39" s="1"/>
  <c r="N78" i="38"/>
  <c r="N77" i="39" s="1"/>
  <c r="M78" i="38"/>
  <c r="M77" i="39" s="1"/>
  <c r="L78" i="38"/>
  <c r="L77" i="39" s="1"/>
  <c r="K78" i="38"/>
  <c r="K77" i="39" s="1"/>
  <c r="J78" i="38"/>
  <c r="J77" i="39" s="1"/>
  <c r="AB77" i="38"/>
  <c r="AB63" i="39" s="1"/>
  <c r="AA77" i="38"/>
  <c r="AA63" i="39" s="1"/>
  <c r="Z77" i="38"/>
  <c r="Z63" i="39" s="1"/>
  <c r="Y77" i="38"/>
  <c r="Y63" i="39" s="1"/>
  <c r="X77" i="38"/>
  <c r="X63" i="39" s="1"/>
  <c r="W77" i="38"/>
  <c r="W63" i="39" s="1"/>
  <c r="V77" i="38"/>
  <c r="V63" i="39" s="1"/>
  <c r="U77" i="38"/>
  <c r="U63" i="39" s="1"/>
  <c r="T77" i="38"/>
  <c r="T63" i="39" s="1"/>
  <c r="S77" i="38"/>
  <c r="S63" i="39" s="1"/>
  <c r="R77" i="38"/>
  <c r="R63" i="39" s="1"/>
  <c r="Q77" i="38"/>
  <c r="Q63" i="39" s="1"/>
  <c r="P77" i="38"/>
  <c r="P63" i="39" s="1"/>
  <c r="O77" i="38"/>
  <c r="O63" i="39" s="1"/>
  <c r="N77" i="38"/>
  <c r="N63" i="39" s="1"/>
  <c r="M77" i="38"/>
  <c r="M63" i="39" s="1"/>
  <c r="L77" i="38"/>
  <c r="L63" i="39" s="1"/>
  <c r="K77" i="38"/>
  <c r="K63" i="39" s="1"/>
  <c r="J77" i="38"/>
  <c r="J63" i="39" s="1"/>
  <c r="AB76" i="38"/>
  <c r="AB49" i="39" s="1"/>
  <c r="AA76" i="38"/>
  <c r="AA49" i="39" s="1"/>
  <c r="Z76" i="38"/>
  <c r="Z49" i="39" s="1"/>
  <c r="Y76" i="38"/>
  <c r="Y49" i="39" s="1"/>
  <c r="X76" i="38"/>
  <c r="X49" i="39" s="1"/>
  <c r="W76" i="38"/>
  <c r="W49" i="39" s="1"/>
  <c r="V76" i="38"/>
  <c r="V49" i="39" s="1"/>
  <c r="U76" i="38"/>
  <c r="U49" i="39" s="1"/>
  <c r="T76" i="38"/>
  <c r="T49" i="39" s="1"/>
  <c r="S76" i="38"/>
  <c r="S49" i="39" s="1"/>
  <c r="R76" i="38"/>
  <c r="R49" i="39" s="1"/>
  <c r="Q76" i="38"/>
  <c r="Q49" i="39" s="1"/>
  <c r="P76" i="38"/>
  <c r="P49" i="39" s="1"/>
  <c r="O76" i="38"/>
  <c r="O49" i="39" s="1"/>
  <c r="N76" i="38"/>
  <c r="N49" i="39" s="1"/>
  <c r="M76" i="38"/>
  <c r="M49" i="39" s="1"/>
  <c r="L76" i="38"/>
  <c r="L49" i="39" s="1"/>
  <c r="K76" i="38"/>
  <c r="K49" i="39" s="1"/>
  <c r="J76" i="38"/>
  <c r="J49" i="39" s="1"/>
  <c r="AB75" i="38"/>
  <c r="AB35" i="39" s="1"/>
  <c r="AA75" i="38"/>
  <c r="AA35" i="39" s="1"/>
  <c r="Z75" i="38"/>
  <c r="Z35" i="39" s="1"/>
  <c r="Y75" i="38"/>
  <c r="Y35" i="39" s="1"/>
  <c r="X75" i="38"/>
  <c r="X35" i="39" s="1"/>
  <c r="W75" i="38"/>
  <c r="W35" i="39" s="1"/>
  <c r="V75" i="38"/>
  <c r="V35" i="39" s="1"/>
  <c r="U75" i="38"/>
  <c r="U35" i="39" s="1"/>
  <c r="T75" i="38"/>
  <c r="T35" i="39" s="1"/>
  <c r="S75" i="38"/>
  <c r="S35" i="39" s="1"/>
  <c r="R75" i="38"/>
  <c r="R35" i="39" s="1"/>
  <c r="Q75" i="38"/>
  <c r="Q35" i="39" s="1"/>
  <c r="P75" i="38"/>
  <c r="P35" i="39" s="1"/>
  <c r="O75" i="38"/>
  <c r="O35" i="39" s="1"/>
  <c r="N75" i="38"/>
  <c r="N35" i="39" s="1"/>
  <c r="M75" i="38"/>
  <c r="M35" i="39" s="1"/>
  <c r="L75" i="38"/>
  <c r="L35" i="39" s="1"/>
  <c r="K75" i="38"/>
  <c r="K35" i="39" s="1"/>
  <c r="J75" i="38"/>
  <c r="J35" i="39" s="1"/>
  <c r="AB62" i="38"/>
  <c r="AA62" i="38"/>
  <c r="Z62" i="38"/>
  <c r="Y62" i="38"/>
  <c r="X62" i="38"/>
  <c r="W62" i="38"/>
  <c r="V62" i="38"/>
  <c r="U62" i="38"/>
  <c r="T62" i="38"/>
  <c r="S62" i="38"/>
  <c r="R62" i="38"/>
  <c r="Q62" i="38"/>
  <c r="P62" i="38"/>
  <c r="O62" i="38"/>
  <c r="N62" i="38"/>
  <c r="M62" i="38"/>
  <c r="L62" i="38"/>
  <c r="K62" i="38"/>
  <c r="J62" i="38"/>
  <c r="AB61" i="38"/>
  <c r="AA61" i="38"/>
  <c r="Z61" i="38"/>
  <c r="Y61" i="38"/>
  <c r="X61" i="38"/>
  <c r="W61" i="38"/>
  <c r="V61" i="38"/>
  <c r="U61" i="38"/>
  <c r="T61" i="38"/>
  <c r="S61" i="38"/>
  <c r="R61" i="38"/>
  <c r="Q61" i="38"/>
  <c r="P61" i="38"/>
  <c r="O61" i="38"/>
  <c r="N61" i="38"/>
  <c r="M61" i="38"/>
  <c r="L61" i="38"/>
  <c r="K61" i="38"/>
  <c r="J61" i="38"/>
  <c r="AB60" i="38"/>
  <c r="AA60" i="38"/>
  <c r="Z60" i="38"/>
  <c r="Y60" i="38"/>
  <c r="X60" i="38"/>
  <c r="W60" i="38"/>
  <c r="V60" i="38"/>
  <c r="U60" i="38"/>
  <c r="T60" i="38"/>
  <c r="S60" i="38"/>
  <c r="R60" i="38"/>
  <c r="Q60" i="38"/>
  <c r="P60" i="38"/>
  <c r="O60" i="38"/>
  <c r="N60" i="38"/>
  <c r="M60" i="38"/>
  <c r="L60" i="38"/>
  <c r="K60" i="38"/>
  <c r="J60" i="38"/>
  <c r="AB59" i="38"/>
  <c r="AA59" i="38"/>
  <c r="Z59" i="38"/>
  <c r="Y59" i="38"/>
  <c r="X59" i="38"/>
  <c r="W59" i="38"/>
  <c r="V59" i="38"/>
  <c r="U59" i="38"/>
  <c r="T59" i="38"/>
  <c r="S59" i="38"/>
  <c r="R59" i="38"/>
  <c r="Q59" i="38"/>
  <c r="P59" i="38"/>
  <c r="O59" i="38"/>
  <c r="N59" i="38"/>
  <c r="M59" i="38"/>
  <c r="L59" i="38"/>
  <c r="K59" i="38"/>
  <c r="J59" i="38"/>
  <c r="AB58" i="38"/>
  <c r="AA58" i="38"/>
  <c r="Z58" i="38"/>
  <c r="Y58" i="38"/>
  <c r="X58" i="38"/>
  <c r="W58" i="38"/>
  <c r="V58" i="38"/>
  <c r="U58" i="38"/>
  <c r="T58" i="38"/>
  <c r="S58" i="38"/>
  <c r="R58" i="38"/>
  <c r="Q58" i="38"/>
  <c r="P58" i="38"/>
  <c r="O58" i="38"/>
  <c r="N58" i="38"/>
  <c r="M58" i="38"/>
  <c r="L58" i="38"/>
  <c r="K58" i="38"/>
  <c r="J58" i="38"/>
  <c r="AB57" i="38"/>
  <c r="AA57" i="38"/>
  <c r="Z57" i="38"/>
  <c r="Y57" i="38"/>
  <c r="X57" i="38"/>
  <c r="W57" i="38"/>
  <c r="V57" i="38"/>
  <c r="U57" i="38"/>
  <c r="T57" i="38"/>
  <c r="S57" i="38"/>
  <c r="R57" i="38"/>
  <c r="Q57" i="38"/>
  <c r="P57" i="38"/>
  <c r="O57" i="38"/>
  <c r="N57" i="38"/>
  <c r="M57" i="38"/>
  <c r="L57" i="38"/>
  <c r="K57" i="38"/>
  <c r="J57" i="38"/>
  <c r="AB56" i="38"/>
  <c r="AA56" i="38"/>
  <c r="Z56" i="38"/>
  <c r="Y56" i="38"/>
  <c r="X56" i="38"/>
  <c r="W56" i="38"/>
  <c r="V56" i="38"/>
  <c r="U56" i="38"/>
  <c r="T56" i="38"/>
  <c r="S56" i="38"/>
  <c r="R56" i="38"/>
  <c r="Q56" i="38"/>
  <c r="P56" i="38"/>
  <c r="O56" i="38"/>
  <c r="N56" i="38"/>
  <c r="M56" i="38"/>
  <c r="L56" i="38"/>
  <c r="K56" i="38"/>
  <c r="J56" i="38"/>
  <c r="AB43" i="38"/>
  <c r="AA43" i="38"/>
  <c r="Z43" i="38"/>
  <c r="Y43" i="38"/>
  <c r="X43" i="38"/>
  <c r="W43" i="38"/>
  <c r="V43" i="38"/>
  <c r="U43" i="38"/>
  <c r="T43" i="38"/>
  <c r="S43" i="38"/>
  <c r="R43" i="38"/>
  <c r="Q43" i="38"/>
  <c r="P43" i="38"/>
  <c r="O43" i="38"/>
  <c r="N43" i="38"/>
  <c r="M43" i="38"/>
  <c r="L43" i="38"/>
  <c r="K43" i="38"/>
  <c r="J43" i="38"/>
  <c r="AB42" i="38"/>
  <c r="AA42" i="38"/>
  <c r="Z42" i="38"/>
  <c r="Y42" i="38"/>
  <c r="X42" i="38"/>
  <c r="W42" i="38"/>
  <c r="V42" i="38"/>
  <c r="U42" i="38"/>
  <c r="T42" i="38"/>
  <c r="S42" i="38"/>
  <c r="R42" i="38"/>
  <c r="Q42" i="38"/>
  <c r="P42" i="38"/>
  <c r="O42" i="38"/>
  <c r="N42" i="38"/>
  <c r="M42" i="38"/>
  <c r="L42" i="38"/>
  <c r="K42" i="38"/>
  <c r="J42" i="38"/>
  <c r="AB41" i="38"/>
  <c r="AA41" i="38"/>
  <c r="Z41" i="38"/>
  <c r="Y41" i="38"/>
  <c r="X41" i="38"/>
  <c r="W41" i="38"/>
  <c r="V41" i="38"/>
  <c r="U41" i="38"/>
  <c r="T41" i="38"/>
  <c r="S41" i="38"/>
  <c r="R41" i="38"/>
  <c r="Q41" i="38"/>
  <c r="P41" i="38"/>
  <c r="O41" i="38"/>
  <c r="N41" i="38"/>
  <c r="M41" i="38"/>
  <c r="L41" i="38"/>
  <c r="K41" i="38"/>
  <c r="J41" i="38"/>
  <c r="AB40" i="38"/>
  <c r="AA40" i="38"/>
  <c r="Z40" i="38"/>
  <c r="Y40" i="38"/>
  <c r="X40" i="38"/>
  <c r="W40" i="38"/>
  <c r="V40" i="38"/>
  <c r="U40" i="38"/>
  <c r="T40" i="38"/>
  <c r="S40" i="38"/>
  <c r="R40" i="38"/>
  <c r="Q40" i="38"/>
  <c r="P40" i="38"/>
  <c r="O40" i="38"/>
  <c r="N40" i="38"/>
  <c r="M40" i="38"/>
  <c r="L40" i="38"/>
  <c r="K40" i="38"/>
  <c r="J40" i="38"/>
  <c r="AB39" i="38"/>
  <c r="AA39" i="38"/>
  <c r="Z39" i="38"/>
  <c r="Y39" i="38"/>
  <c r="X39" i="38"/>
  <c r="W39" i="38"/>
  <c r="V39" i="38"/>
  <c r="U39" i="38"/>
  <c r="T39" i="38"/>
  <c r="S39" i="38"/>
  <c r="R39" i="38"/>
  <c r="Q39" i="38"/>
  <c r="P39" i="38"/>
  <c r="O39" i="38"/>
  <c r="N39" i="38"/>
  <c r="M39" i="38"/>
  <c r="L39" i="38"/>
  <c r="K39" i="38"/>
  <c r="J39" i="38"/>
  <c r="AB38" i="38"/>
  <c r="AA38" i="38"/>
  <c r="Z38" i="38"/>
  <c r="Y38" i="38"/>
  <c r="X38" i="38"/>
  <c r="W38" i="38"/>
  <c r="V38" i="38"/>
  <c r="U38" i="38"/>
  <c r="T38" i="38"/>
  <c r="S38" i="38"/>
  <c r="R38" i="38"/>
  <c r="Q38" i="38"/>
  <c r="P38" i="38"/>
  <c r="O38" i="38"/>
  <c r="N38" i="38"/>
  <c r="M38" i="38"/>
  <c r="L38" i="38"/>
  <c r="K38" i="38"/>
  <c r="J38" i="38"/>
  <c r="AB37" i="38"/>
  <c r="AA37" i="38"/>
  <c r="Z37" i="38"/>
  <c r="Y37" i="38"/>
  <c r="X37" i="38"/>
  <c r="W37" i="38"/>
  <c r="V37" i="38"/>
  <c r="U37" i="38"/>
  <c r="T37" i="38"/>
  <c r="S37" i="38"/>
  <c r="R37" i="38"/>
  <c r="Q37" i="38"/>
  <c r="P37" i="38"/>
  <c r="O37" i="38"/>
  <c r="N37" i="38"/>
  <c r="M37" i="38"/>
  <c r="L37" i="38"/>
  <c r="K37" i="38"/>
  <c r="J37" i="38"/>
  <c r="J18" i="38"/>
  <c r="K18" i="38"/>
  <c r="L18" i="38"/>
  <c r="M18" i="38"/>
  <c r="N18" i="38"/>
  <c r="O18" i="38"/>
  <c r="P18" i="38"/>
  <c r="Q18" i="38"/>
  <c r="R18" i="38"/>
  <c r="S18" i="38"/>
  <c r="T18" i="38"/>
  <c r="U18" i="38"/>
  <c r="V18" i="38"/>
  <c r="W18" i="38"/>
  <c r="X18" i="38"/>
  <c r="Y18" i="38"/>
  <c r="Z18" i="38"/>
  <c r="AA18" i="38"/>
  <c r="AB18" i="38"/>
  <c r="J19" i="38"/>
  <c r="K19" i="38"/>
  <c r="L19" i="38"/>
  <c r="M19" i="38"/>
  <c r="N19" i="38"/>
  <c r="O19" i="38"/>
  <c r="P19" i="38"/>
  <c r="Q19" i="38"/>
  <c r="R19" i="38"/>
  <c r="S19" i="38"/>
  <c r="T19" i="38"/>
  <c r="U19" i="38"/>
  <c r="V19" i="38"/>
  <c r="W19" i="38"/>
  <c r="X19" i="38"/>
  <c r="Y19" i="38"/>
  <c r="Z19" i="38"/>
  <c r="AA19" i="38"/>
  <c r="AB19" i="38"/>
  <c r="J20" i="38"/>
  <c r="K20" i="38"/>
  <c r="L20" i="38"/>
  <c r="M20" i="38"/>
  <c r="N20" i="38"/>
  <c r="O20" i="38"/>
  <c r="P20" i="38"/>
  <c r="Q20" i="38"/>
  <c r="R20" i="38"/>
  <c r="S20" i="38"/>
  <c r="T20" i="38"/>
  <c r="U20" i="38"/>
  <c r="V20" i="38"/>
  <c r="W20" i="38"/>
  <c r="X20" i="38"/>
  <c r="Y20" i="38"/>
  <c r="Z20" i="38"/>
  <c r="AA20" i="38"/>
  <c r="AB20" i="38"/>
  <c r="J21" i="38"/>
  <c r="K21" i="38"/>
  <c r="L21" i="38"/>
  <c r="M21" i="38"/>
  <c r="N21" i="38"/>
  <c r="O21" i="38"/>
  <c r="P21" i="38"/>
  <c r="Q21" i="38"/>
  <c r="R21" i="38"/>
  <c r="S21" i="38"/>
  <c r="T21" i="38"/>
  <c r="U21" i="38"/>
  <c r="V21" i="38"/>
  <c r="W21" i="38"/>
  <c r="X21" i="38"/>
  <c r="Y21" i="38"/>
  <c r="Z21" i="38"/>
  <c r="AA21" i="38"/>
  <c r="AB21" i="38"/>
  <c r="J22" i="38"/>
  <c r="K22" i="38"/>
  <c r="L22" i="38"/>
  <c r="M22" i="38"/>
  <c r="N22" i="38"/>
  <c r="O22" i="38"/>
  <c r="P22" i="38"/>
  <c r="Q22" i="38"/>
  <c r="R22" i="38"/>
  <c r="S22" i="38"/>
  <c r="T22" i="38"/>
  <c r="U22" i="38"/>
  <c r="V22" i="38"/>
  <c r="W22" i="38"/>
  <c r="X22" i="38"/>
  <c r="Y22" i="38"/>
  <c r="Z22" i="38"/>
  <c r="AA22" i="38"/>
  <c r="AB22" i="38"/>
  <c r="J23" i="38"/>
  <c r="K23" i="38"/>
  <c r="L23" i="38"/>
  <c r="M23" i="38"/>
  <c r="N23" i="38"/>
  <c r="O23" i="38"/>
  <c r="P23" i="38"/>
  <c r="Q23" i="38"/>
  <c r="R23" i="38"/>
  <c r="S23" i="38"/>
  <c r="T23" i="38"/>
  <c r="U23" i="38"/>
  <c r="V23" i="38"/>
  <c r="W23" i="38"/>
  <c r="X23" i="38"/>
  <c r="Y23" i="38"/>
  <c r="Z23" i="38"/>
  <c r="AA23" i="38"/>
  <c r="AB23" i="38"/>
  <c r="J24" i="38"/>
  <c r="K24" i="38"/>
  <c r="L24" i="38"/>
  <c r="M24" i="38"/>
  <c r="N24" i="38"/>
  <c r="O24" i="38"/>
  <c r="P24" i="38"/>
  <c r="Q24" i="38"/>
  <c r="R24" i="38"/>
  <c r="S24" i="38"/>
  <c r="T24" i="38"/>
  <c r="U24" i="38"/>
  <c r="V24" i="38"/>
  <c r="W24" i="38"/>
  <c r="X24" i="38"/>
  <c r="Y24" i="38"/>
  <c r="Z24" i="38"/>
  <c r="AA24" i="38"/>
  <c r="AB24" i="38"/>
  <c r="D28" i="28"/>
  <c r="D30" i="28"/>
  <c r="D24" i="28"/>
  <c r="D23" i="28"/>
  <c r="D12" i="28"/>
  <c r="D11" i="28"/>
  <c r="D18" i="25"/>
  <c r="D27" i="25"/>
  <c r="D29" i="25"/>
  <c r="D28" i="25"/>
  <c r="O19" i="37" l="1"/>
  <c r="N150" i="37" s="1"/>
  <c r="N19" i="37" s="1"/>
  <c r="M150" i="37" s="1"/>
  <c r="M19" i="37" s="1"/>
  <c r="L150" i="37" s="1"/>
  <c r="L19" i="37" s="1"/>
  <c r="K150" i="37" s="1"/>
  <c r="K19" i="37" s="1"/>
  <c r="J150" i="37" s="1"/>
  <c r="J19" i="37" s="1"/>
  <c r="J37" i="37" s="1"/>
  <c r="J113" i="37" s="1"/>
  <c r="A40" i="39"/>
  <c r="A82" i="39"/>
  <c r="A54" i="39"/>
  <c r="A96" i="39"/>
  <c r="A68" i="39"/>
  <c r="A124" i="39"/>
  <c r="A110" i="39"/>
  <c r="M200" i="45"/>
  <c r="L27" i="43"/>
  <c r="G162" i="42"/>
  <c r="F162" i="42"/>
  <c r="G161" i="42"/>
  <c r="F161" i="42"/>
  <c r="G160" i="42"/>
  <c r="F160" i="42"/>
  <c r="G159" i="42"/>
  <c r="F159" i="42"/>
  <c r="G158" i="42"/>
  <c r="G164" i="42" s="1"/>
  <c r="F158" i="42"/>
  <c r="F164" i="42" s="1"/>
  <c r="G156" i="42"/>
  <c r="F156" i="42"/>
  <c r="E156" i="42"/>
  <c r="C154" i="42"/>
  <c r="G148" i="42"/>
  <c r="F148" i="42"/>
  <c r="G147" i="42"/>
  <c r="F147" i="42"/>
  <c r="G146" i="42"/>
  <c r="F146" i="42"/>
  <c r="G145" i="42"/>
  <c r="F145" i="42"/>
  <c r="G144" i="42"/>
  <c r="G150" i="42" s="1"/>
  <c r="F144" i="42"/>
  <c r="F150" i="42" s="1"/>
  <c r="G142" i="42"/>
  <c r="F142" i="42"/>
  <c r="E142" i="42"/>
  <c r="C140" i="42"/>
  <c r="G134" i="42"/>
  <c r="F134" i="42"/>
  <c r="G133" i="42"/>
  <c r="F133" i="42"/>
  <c r="G132" i="42"/>
  <c r="F132" i="42"/>
  <c r="G131" i="42"/>
  <c r="F131" i="42"/>
  <c r="G130" i="42"/>
  <c r="G136" i="42" s="1"/>
  <c r="F130" i="42"/>
  <c r="F136" i="42" s="1"/>
  <c r="G128" i="42"/>
  <c r="F128" i="42"/>
  <c r="E128" i="42"/>
  <c r="C126" i="42"/>
  <c r="G120" i="42"/>
  <c r="F120" i="42"/>
  <c r="G119" i="42"/>
  <c r="F119" i="42"/>
  <c r="G118" i="42"/>
  <c r="F118" i="42"/>
  <c r="G117" i="42"/>
  <c r="F117" i="42"/>
  <c r="G116" i="42"/>
  <c r="G122" i="42" s="1"/>
  <c r="F116" i="42"/>
  <c r="F122" i="42" s="1"/>
  <c r="G114" i="42"/>
  <c r="F114" i="42"/>
  <c r="E114" i="42"/>
  <c r="C112" i="42"/>
  <c r="G106" i="42"/>
  <c r="F106" i="42"/>
  <c r="G105" i="42"/>
  <c r="F105" i="42"/>
  <c r="G104" i="42"/>
  <c r="F104" i="42"/>
  <c r="G103" i="42"/>
  <c r="F103" i="42"/>
  <c r="G102" i="42"/>
  <c r="G108" i="42" s="1"/>
  <c r="F102" i="42"/>
  <c r="F108" i="42" s="1"/>
  <c r="G100" i="42"/>
  <c r="F100" i="42"/>
  <c r="E100" i="42"/>
  <c r="C98" i="42"/>
  <c r="G92" i="42"/>
  <c r="F92" i="42"/>
  <c r="G91" i="42"/>
  <c r="F91" i="42"/>
  <c r="G90" i="42"/>
  <c r="F90" i="42"/>
  <c r="G89" i="42"/>
  <c r="F89" i="42"/>
  <c r="G88" i="42"/>
  <c r="G94" i="42" s="1"/>
  <c r="F88" i="42"/>
  <c r="F94" i="42" s="1"/>
  <c r="G86" i="42"/>
  <c r="F86" i="42"/>
  <c r="E86" i="42"/>
  <c r="C84" i="42"/>
  <c r="G78" i="42"/>
  <c r="F78" i="42"/>
  <c r="G77" i="42"/>
  <c r="F77" i="42"/>
  <c r="G76" i="42"/>
  <c r="F76" i="42"/>
  <c r="G75" i="42"/>
  <c r="F75" i="42"/>
  <c r="G74" i="42"/>
  <c r="G80" i="42" s="1"/>
  <c r="F74" i="42"/>
  <c r="F80" i="42" s="1"/>
  <c r="G72" i="42"/>
  <c r="F72" i="42"/>
  <c r="E72" i="42"/>
  <c r="C70" i="42"/>
  <c r="G64" i="42"/>
  <c r="F64" i="42"/>
  <c r="G63" i="42"/>
  <c r="F63" i="42"/>
  <c r="G62" i="42"/>
  <c r="F62" i="42"/>
  <c r="G61" i="42"/>
  <c r="F61" i="42"/>
  <c r="G60" i="42"/>
  <c r="G66" i="42" s="1"/>
  <c r="F60" i="42"/>
  <c r="F66" i="42" s="1"/>
  <c r="G58" i="42"/>
  <c r="F58" i="42"/>
  <c r="E58" i="42"/>
  <c r="C56" i="42"/>
  <c r="G50" i="42"/>
  <c r="F50" i="42"/>
  <c r="G49" i="42"/>
  <c r="F49" i="42"/>
  <c r="G48" i="42"/>
  <c r="F48" i="42"/>
  <c r="G47" i="42"/>
  <c r="F47" i="42"/>
  <c r="G46" i="42"/>
  <c r="G52" i="42" s="1"/>
  <c r="F46" i="42"/>
  <c r="F52" i="42" s="1"/>
  <c r="G44" i="42"/>
  <c r="F44" i="42"/>
  <c r="E44" i="42"/>
  <c r="C42" i="42"/>
  <c r="G36" i="42"/>
  <c r="F36" i="42"/>
  <c r="G35" i="42"/>
  <c r="F35" i="42"/>
  <c r="G34" i="42"/>
  <c r="F34" i="42"/>
  <c r="G33" i="42"/>
  <c r="F33" i="42"/>
  <c r="G32" i="42"/>
  <c r="G38" i="42" s="1"/>
  <c r="F32" i="42"/>
  <c r="F38" i="42" s="1"/>
  <c r="G30" i="42"/>
  <c r="F30" i="42"/>
  <c r="E30" i="42"/>
  <c r="C28" i="42"/>
  <c r="G10" i="42"/>
  <c r="F10" i="42"/>
  <c r="E10" i="42"/>
  <c r="B10" i="42"/>
  <c r="B9" i="42"/>
  <c r="B8" i="42"/>
  <c r="B7" i="42"/>
  <c r="B6" i="42"/>
  <c r="B5" i="42"/>
  <c r="B4" i="42"/>
  <c r="B3" i="42"/>
  <c r="G162" i="39"/>
  <c r="F162" i="39"/>
  <c r="D162" i="39"/>
  <c r="G161" i="39"/>
  <c r="F161" i="39"/>
  <c r="D161" i="39"/>
  <c r="G160" i="39"/>
  <c r="F160" i="39"/>
  <c r="D160" i="39"/>
  <c r="G159" i="39"/>
  <c r="F159" i="39"/>
  <c r="D159" i="39"/>
  <c r="G158" i="39"/>
  <c r="G164" i="39" s="1"/>
  <c r="F158" i="39"/>
  <c r="F164" i="39" s="1"/>
  <c r="D158" i="39"/>
  <c r="G156" i="39"/>
  <c r="F156" i="39"/>
  <c r="E156" i="39"/>
  <c r="C154" i="39"/>
  <c r="G148" i="39"/>
  <c r="F148" i="39"/>
  <c r="D148" i="39"/>
  <c r="G147" i="39"/>
  <c r="F147" i="39"/>
  <c r="D147" i="39"/>
  <c r="G146" i="39"/>
  <c r="F146" i="39"/>
  <c r="D146" i="39"/>
  <c r="G145" i="39"/>
  <c r="F145" i="39"/>
  <c r="D145" i="39"/>
  <c r="G144" i="39"/>
  <c r="G150" i="39" s="1"/>
  <c r="F144" i="39"/>
  <c r="F150" i="39" s="1"/>
  <c r="D144" i="39"/>
  <c r="G142" i="39"/>
  <c r="F142" i="39"/>
  <c r="E142" i="39"/>
  <c r="C140" i="39"/>
  <c r="G134" i="39"/>
  <c r="F134" i="39"/>
  <c r="D134" i="39"/>
  <c r="G133" i="39"/>
  <c r="F133" i="39"/>
  <c r="D133" i="39"/>
  <c r="G132" i="39"/>
  <c r="F132" i="39"/>
  <c r="D132" i="39"/>
  <c r="G131" i="39"/>
  <c r="F131" i="39"/>
  <c r="D131" i="39"/>
  <c r="G130" i="39"/>
  <c r="G136" i="39" s="1"/>
  <c r="F130" i="39"/>
  <c r="F136" i="39" s="1"/>
  <c r="D130" i="39"/>
  <c r="G128" i="39"/>
  <c r="F128" i="39"/>
  <c r="E128" i="39"/>
  <c r="C126" i="39"/>
  <c r="G120" i="39"/>
  <c r="F120" i="39"/>
  <c r="D120" i="39"/>
  <c r="G119" i="39"/>
  <c r="F119" i="39"/>
  <c r="D119" i="39"/>
  <c r="G118" i="39"/>
  <c r="F118" i="39"/>
  <c r="D118" i="39"/>
  <c r="G117" i="39"/>
  <c r="F117" i="39"/>
  <c r="D117" i="39"/>
  <c r="G116" i="39"/>
  <c r="G122" i="39" s="1"/>
  <c r="F116" i="39"/>
  <c r="F122" i="39" s="1"/>
  <c r="D116" i="39"/>
  <c r="G114" i="39"/>
  <c r="F114" i="39"/>
  <c r="E114" i="39"/>
  <c r="C112" i="39"/>
  <c r="G106" i="39"/>
  <c r="F106" i="39"/>
  <c r="D106" i="39"/>
  <c r="G105" i="39"/>
  <c r="F105" i="39"/>
  <c r="D105" i="39"/>
  <c r="G104" i="39"/>
  <c r="F104" i="39"/>
  <c r="D104" i="39"/>
  <c r="G103" i="39"/>
  <c r="F103" i="39"/>
  <c r="D103" i="39"/>
  <c r="G102" i="39"/>
  <c r="G108" i="39" s="1"/>
  <c r="F102" i="39"/>
  <c r="F108" i="39" s="1"/>
  <c r="D102" i="39"/>
  <c r="G100" i="39"/>
  <c r="F100" i="39"/>
  <c r="E100" i="39"/>
  <c r="C98" i="39"/>
  <c r="G92" i="39"/>
  <c r="F92" i="39"/>
  <c r="D92" i="39"/>
  <c r="G91" i="39"/>
  <c r="F91" i="39"/>
  <c r="D91" i="39"/>
  <c r="G90" i="39"/>
  <c r="F90" i="39"/>
  <c r="D90" i="39"/>
  <c r="G89" i="39"/>
  <c r="F89" i="39"/>
  <c r="D89" i="39"/>
  <c r="G88" i="39"/>
  <c r="G94" i="39" s="1"/>
  <c r="F88" i="39"/>
  <c r="F94" i="39" s="1"/>
  <c r="D88" i="39"/>
  <c r="G86" i="39"/>
  <c r="F86" i="39"/>
  <c r="E86" i="39"/>
  <c r="C84" i="39"/>
  <c r="Z78" i="39"/>
  <c r="G78" i="39"/>
  <c r="F78" i="39"/>
  <c r="D78" i="39"/>
  <c r="G77" i="39"/>
  <c r="F77" i="39"/>
  <c r="D77" i="39"/>
  <c r="G76" i="39"/>
  <c r="F76" i="39"/>
  <c r="D76" i="39"/>
  <c r="G75" i="39"/>
  <c r="F75" i="39"/>
  <c r="D75" i="39"/>
  <c r="G74" i="39"/>
  <c r="G80" i="39" s="1"/>
  <c r="F74" i="39"/>
  <c r="F80" i="39" s="1"/>
  <c r="D74" i="39"/>
  <c r="G72" i="39"/>
  <c r="F72" i="39"/>
  <c r="E72" i="39"/>
  <c r="C70" i="39"/>
  <c r="X64" i="39"/>
  <c r="G64" i="39"/>
  <c r="F64" i="39"/>
  <c r="D64" i="39"/>
  <c r="G63" i="39"/>
  <c r="F63" i="39"/>
  <c r="D63" i="39"/>
  <c r="G62" i="39"/>
  <c r="F62" i="39"/>
  <c r="D62" i="39"/>
  <c r="G61" i="39"/>
  <c r="F61" i="39"/>
  <c r="D61" i="39"/>
  <c r="G60" i="39"/>
  <c r="G66" i="39" s="1"/>
  <c r="F60" i="39"/>
  <c r="F66" i="39" s="1"/>
  <c r="D60" i="39"/>
  <c r="G58" i="39"/>
  <c r="F58" i="39"/>
  <c r="E58" i="39"/>
  <c r="C56" i="39"/>
  <c r="G50" i="39"/>
  <c r="F50" i="39"/>
  <c r="D50" i="39"/>
  <c r="G49" i="39"/>
  <c r="F49" i="39"/>
  <c r="D49" i="39"/>
  <c r="G48" i="39"/>
  <c r="F48" i="39"/>
  <c r="D48" i="39"/>
  <c r="G47" i="39"/>
  <c r="F47" i="39"/>
  <c r="D47" i="39"/>
  <c r="G46" i="39"/>
  <c r="G52" i="39" s="1"/>
  <c r="F46" i="39"/>
  <c r="F52" i="39" s="1"/>
  <c r="D46" i="39"/>
  <c r="G44" i="39"/>
  <c r="F44" i="39"/>
  <c r="E44" i="39"/>
  <c r="C42" i="39"/>
  <c r="Y36" i="39"/>
  <c r="X36" i="39"/>
  <c r="Q36" i="39"/>
  <c r="AJ30" i="48" s="1"/>
  <c r="G36" i="39"/>
  <c r="F36" i="39"/>
  <c r="D36" i="39"/>
  <c r="G35" i="39"/>
  <c r="F35" i="39"/>
  <c r="D35" i="39"/>
  <c r="G34" i="39"/>
  <c r="F34" i="39"/>
  <c r="D34" i="39"/>
  <c r="G33" i="39"/>
  <c r="F33" i="39"/>
  <c r="D33" i="39"/>
  <c r="G32" i="39"/>
  <c r="G38" i="39" s="1"/>
  <c r="F32" i="39"/>
  <c r="F38" i="39" s="1"/>
  <c r="D32" i="39"/>
  <c r="G30" i="39"/>
  <c r="F30" i="39"/>
  <c r="E30" i="39"/>
  <c r="C28" i="39"/>
  <c r="G10" i="39"/>
  <c r="F10" i="39"/>
  <c r="E10" i="39"/>
  <c r="B10" i="39"/>
  <c r="AB9" i="39"/>
  <c r="AA9" i="39"/>
  <c r="Z9" i="39"/>
  <c r="Y9" i="39"/>
  <c r="X9" i="39"/>
  <c r="W9" i="39"/>
  <c r="V9" i="39"/>
  <c r="U9" i="39"/>
  <c r="T9" i="39"/>
  <c r="S9" i="39"/>
  <c r="R9" i="39"/>
  <c r="Q9" i="39"/>
  <c r="P9" i="39"/>
  <c r="O9" i="39"/>
  <c r="N9" i="39"/>
  <c r="M9" i="39"/>
  <c r="L9" i="39"/>
  <c r="K9" i="39"/>
  <c r="J9" i="39"/>
  <c r="B9" i="39"/>
  <c r="B8" i="39"/>
  <c r="B7" i="39"/>
  <c r="B6" i="39"/>
  <c r="B5" i="39"/>
  <c r="B4" i="39"/>
  <c r="B3" i="39"/>
  <c r="G160" i="38"/>
  <c r="F160" i="38"/>
  <c r="G159" i="38"/>
  <c r="F159" i="38"/>
  <c r="G158" i="38"/>
  <c r="F158" i="38"/>
  <c r="G157" i="38"/>
  <c r="F157" i="38"/>
  <c r="G156" i="38"/>
  <c r="F156" i="38"/>
  <c r="G155" i="38"/>
  <c r="F155" i="38"/>
  <c r="G154" i="38"/>
  <c r="F154" i="38"/>
  <c r="G153" i="38"/>
  <c r="F153" i="38"/>
  <c r="G152" i="38"/>
  <c r="F152" i="38"/>
  <c r="H162" i="38"/>
  <c r="G151" i="38"/>
  <c r="G162" i="38" s="1"/>
  <c r="F151" i="38"/>
  <c r="F162" i="38" s="1"/>
  <c r="H149" i="38"/>
  <c r="G149" i="38"/>
  <c r="F149" i="38"/>
  <c r="E149" i="38"/>
  <c r="G103" i="38"/>
  <c r="F103" i="38"/>
  <c r="E103" i="38"/>
  <c r="G102" i="38"/>
  <c r="F102" i="38"/>
  <c r="E102" i="38"/>
  <c r="G101" i="38"/>
  <c r="F101" i="38"/>
  <c r="E101" i="38"/>
  <c r="AB120" i="39"/>
  <c r="AA120" i="39"/>
  <c r="Z120" i="39"/>
  <c r="Y120" i="39"/>
  <c r="X120" i="39"/>
  <c r="W120" i="39"/>
  <c r="V120" i="39"/>
  <c r="U120" i="39"/>
  <c r="AN71" i="48" s="1"/>
  <c r="T120" i="39"/>
  <c r="AM71" i="48" s="1"/>
  <c r="S120" i="39"/>
  <c r="AL71" i="48" s="1"/>
  <c r="R120" i="39"/>
  <c r="AK71" i="48" s="1"/>
  <c r="Q120" i="39"/>
  <c r="AJ71" i="48" s="1"/>
  <c r="P120" i="39"/>
  <c r="AI71" i="48" s="1"/>
  <c r="O120" i="39"/>
  <c r="AH71" i="48" s="1"/>
  <c r="N120" i="39"/>
  <c r="AG71" i="48" s="1"/>
  <c r="M120" i="39"/>
  <c r="AF71" i="48" s="1"/>
  <c r="L120" i="39"/>
  <c r="AE71" i="48" s="1"/>
  <c r="K120" i="39"/>
  <c r="AD71" i="48" s="1"/>
  <c r="J120" i="39"/>
  <c r="AC71" i="48" s="1"/>
  <c r="G100" i="38"/>
  <c r="F100" i="38"/>
  <c r="E100" i="38"/>
  <c r="AB106" i="39"/>
  <c r="AA106" i="39"/>
  <c r="Z106" i="39"/>
  <c r="Y106" i="39"/>
  <c r="X106" i="39"/>
  <c r="W106" i="39"/>
  <c r="V106" i="39"/>
  <c r="U106" i="39"/>
  <c r="AN65" i="48" s="1"/>
  <c r="T106" i="39"/>
  <c r="AM65" i="48" s="1"/>
  <c r="S106" i="39"/>
  <c r="AL65" i="48" s="1"/>
  <c r="R106" i="39"/>
  <c r="AK65" i="48" s="1"/>
  <c r="Q106" i="39"/>
  <c r="AJ65" i="48" s="1"/>
  <c r="P106" i="39"/>
  <c r="AI65" i="48" s="1"/>
  <c r="O106" i="39"/>
  <c r="AH65" i="48" s="1"/>
  <c r="N106" i="39"/>
  <c r="AG65" i="48" s="1"/>
  <c r="M106" i="39"/>
  <c r="AF65" i="48" s="1"/>
  <c r="L106" i="39"/>
  <c r="AE65" i="48" s="1"/>
  <c r="K106" i="39"/>
  <c r="AD65" i="48" s="1"/>
  <c r="J106" i="39"/>
  <c r="AC65" i="48" s="1"/>
  <c r="G99" i="38"/>
  <c r="F99" i="38"/>
  <c r="E99" i="38"/>
  <c r="AB92" i="39"/>
  <c r="AA92" i="39"/>
  <c r="Z92" i="39"/>
  <c r="Y92" i="39"/>
  <c r="X92" i="39"/>
  <c r="W92" i="39"/>
  <c r="V92" i="39"/>
  <c r="U92" i="39"/>
  <c r="AN58" i="48" s="1"/>
  <c r="T92" i="39"/>
  <c r="AM58" i="48" s="1"/>
  <c r="S92" i="39"/>
  <c r="AL58" i="48" s="1"/>
  <c r="R92" i="39"/>
  <c r="AK58" i="48" s="1"/>
  <c r="Q92" i="39"/>
  <c r="AJ58" i="48" s="1"/>
  <c r="P92" i="39"/>
  <c r="AI58" i="48" s="1"/>
  <c r="O92" i="39"/>
  <c r="AH58" i="48" s="1"/>
  <c r="N92" i="39"/>
  <c r="AG58" i="48" s="1"/>
  <c r="M92" i="39"/>
  <c r="AF58" i="48" s="1"/>
  <c r="L92" i="39"/>
  <c r="AE58" i="48" s="1"/>
  <c r="K92" i="39"/>
  <c r="AD58" i="48" s="1"/>
  <c r="J92" i="39"/>
  <c r="AC58" i="48" s="1"/>
  <c r="G98" i="38"/>
  <c r="F98" i="38"/>
  <c r="E98" i="38"/>
  <c r="AB78" i="39"/>
  <c r="AA78" i="39"/>
  <c r="Y78" i="39"/>
  <c r="X78" i="39"/>
  <c r="W78" i="39"/>
  <c r="V78" i="39"/>
  <c r="U78" i="39"/>
  <c r="AN51" i="48" s="1"/>
  <c r="T78" i="39"/>
  <c r="AM51" i="48" s="1"/>
  <c r="S78" i="39"/>
  <c r="AL51" i="48" s="1"/>
  <c r="R78" i="39"/>
  <c r="AK51" i="48" s="1"/>
  <c r="Q78" i="39"/>
  <c r="AJ51" i="48" s="1"/>
  <c r="P78" i="39"/>
  <c r="AI51" i="48" s="1"/>
  <c r="O78" i="39"/>
  <c r="AH51" i="48" s="1"/>
  <c r="N78" i="39"/>
  <c r="AG51" i="48" s="1"/>
  <c r="M78" i="39"/>
  <c r="AF51" i="48" s="1"/>
  <c r="L78" i="39"/>
  <c r="AE51" i="48" s="1"/>
  <c r="K78" i="39"/>
  <c r="AD51" i="48" s="1"/>
  <c r="J78" i="39"/>
  <c r="AC51" i="48" s="1"/>
  <c r="G97" i="38"/>
  <c r="F97" i="38"/>
  <c r="E97" i="38"/>
  <c r="AB64" i="39"/>
  <c r="AA64" i="39"/>
  <c r="Z64" i="39"/>
  <c r="Y64" i="39"/>
  <c r="W64" i="39"/>
  <c r="V64" i="39"/>
  <c r="U64" i="39"/>
  <c r="AN44" i="48" s="1"/>
  <c r="T64" i="39"/>
  <c r="AM44" i="48" s="1"/>
  <c r="S64" i="39"/>
  <c r="AL44" i="48" s="1"/>
  <c r="R64" i="39"/>
  <c r="AK44" i="48" s="1"/>
  <c r="Q64" i="39"/>
  <c r="AJ44" i="48" s="1"/>
  <c r="P64" i="39"/>
  <c r="AI44" i="48" s="1"/>
  <c r="O64" i="39"/>
  <c r="AH44" i="48" s="1"/>
  <c r="N64" i="39"/>
  <c r="AG44" i="48" s="1"/>
  <c r="M64" i="39"/>
  <c r="AF44" i="48" s="1"/>
  <c r="L64" i="39"/>
  <c r="AE44" i="48" s="1"/>
  <c r="K64" i="39"/>
  <c r="AD44" i="48" s="1"/>
  <c r="J64" i="39"/>
  <c r="AC44" i="48" s="1"/>
  <c r="G96" i="38"/>
  <c r="F96" i="38"/>
  <c r="E96" i="38"/>
  <c r="AB50" i="39"/>
  <c r="AA50" i="39"/>
  <c r="Z50" i="39"/>
  <c r="Y50" i="39"/>
  <c r="X50" i="39"/>
  <c r="W50" i="39"/>
  <c r="V50" i="39"/>
  <c r="U50" i="39"/>
  <c r="AN37" i="48" s="1"/>
  <c r="T50" i="39"/>
  <c r="AM37" i="48" s="1"/>
  <c r="S50" i="39"/>
  <c r="AL37" i="48" s="1"/>
  <c r="R50" i="39"/>
  <c r="AK37" i="48" s="1"/>
  <c r="Q50" i="39"/>
  <c r="AJ37" i="48" s="1"/>
  <c r="P50" i="39"/>
  <c r="AI37" i="48" s="1"/>
  <c r="O50" i="39"/>
  <c r="AH37" i="48" s="1"/>
  <c r="N50" i="39"/>
  <c r="AG37" i="48" s="1"/>
  <c r="M50" i="39"/>
  <c r="AF37" i="48" s="1"/>
  <c r="L50" i="39"/>
  <c r="AE37" i="48" s="1"/>
  <c r="K50" i="39"/>
  <c r="AD37" i="48" s="1"/>
  <c r="J50" i="39"/>
  <c r="AC37" i="48" s="1"/>
  <c r="G95" i="38"/>
  <c r="F95" i="38"/>
  <c r="E95" i="38"/>
  <c r="AB36" i="39"/>
  <c r="V36" i="39"/>
  <c r="U36" i="39"/>
  <c r="AN30" i="48" s="1"/>
  <c r="T36" i="39"/>
  <c r="AM30" i="48" s="1"/>
  <c r="P36" i="39"/>
  <c r="AI30" i="48" s="1"/>
  <c r="N36" i="39"/>
  <c r="AG30" i="48" s="1"/>
  <c r="M36" i="39"/>
  <c r="AF30" i="48" s="1"/>
  <c r="L36" i="39"/>
  <c r="AE30" i="48" s="1"/>
  <c r="H105" i="38"/>
  <c r="G94" i="38"/>
  <c r="G105" i="38" s="1"/>
  <c r="F94" i="38"/>
  <c r="F105" i="38" s="1"/>
  <c r="E94" i="38"/>
  <c r="H92" i="38"/>
  <c r="G92" i="38"/>
  <c r="F92" i="38"/>
  <c r="E92" i="38"/>
  <c r="G84" i="38"/>
  <c r="F84" i="38"/>
  <c r="E84" i="38"/>
  <c r="G83" i="38"/>
  <c r="F83" i="38"/>
  <c r="E83" i="38"/>
  <c r="G82" i="38"/>
  <c r="F82" i="38"/>
  <c r="E82" i="38"/>
  <c r="AN70" i="48"/>
  <c r="AM70" i="48"/>
  <c r="AL70" i="48"/>
  <c r="AK70" i="48"/>
  <c r="AJ70" i="48"/>
  <c r="AI70" i="48"/>
  <c r="AH70" i="48"/>
  <c r="AG70" i="48"/>
  <c r="AF70" i="48"/>
  <c r="AE70" i="48"/>
  <c r="AD70" i="48"/>
  <c r="AC70" i="48"/>
  <c r="G81" i="38"/>
  <c r="F81" i="38"/>
  <c r="E81" i="38"/>
  <c r="AN64" i="48"/>
  <c r="AM64" i="48"/>
  <c r="AL64" i="48"/>
  <c r="AK64" i="48"/>
  <c r="AJ64" i="48"/>
  <c r="AI64" i="48"/>
  <c r="AH64" i="48"/>
  <c r="AG64" i="48"/>
  <c r="AF64" i="48"/>
  <c r="AE64" i="48"/>
  <c r="AD64" i="48"/>
  <c r="AC64" i="48"/>
  <c r="G80" i="38"/>
  <c r="F80" i="38"/>
  <c r="E80" i="38"/>
  <c r="AN57" i="48"/>
  <c r="AM57" i="48"/>
  <c r="AL57" i="48"/>
  <c r="AK57" i="48"/>
  <c r="AJ57" i="48"/>
  <c r="AI57" i="48"/>
  <c r="AH57" i="48"/>
  <c r="AG57" i="48"/>
  <c r="AF57" i="48"/>
  <c r="AE57" i="48"/>
  <c r="AD57" i="48"/>
  <c r="AC57" i="48"/>
  <c r="G79" i="38"/>
  <c r="F79" i="38"/>
  <c r="E79" i="38"/>
  <c r="AN50" i="48"/>
  <c r="AM50" i="48"/>
  <c r="AL50" i="48"/>
  <c r="AK50" i="48"/>
  <c r="AJ50" i="48"/>
  <c r="AI50" i="48"/>
  <c r="AH50" i="48"/>
  <c r="AG50" i="48"/>
  <c r="AF50" i="48"/>
  <c r="AE50" i="48"/>
  <c r="AD50" i="48"/>
  <c r="AC50" i="48"/>
  <c r="G78" i="38"/>
  <c r="F78" i="38"/>
  <c r="E78" i="38"/>
  <c r="AN43" i="48"/>
  <c r="AM43" i="48"/>
  <c r="AL43" i="48"/>
  <c r="AK43" i="48"/>
  <c r="AJ43" i="48"/>
  <c r="AI43" i="48"/>
  <c r="AH43" i="48"/>
  <c r="AG43" i="48"/>
  <c r="AF43" i="48"/>
  <c r="AE43" i="48"/>
  <c r="AD43" i="48"/>
  <c r="AC43" i="48"/>
  <c r="G77" i="38"/>
  <c r="F77" i="38"/>
  <c r="E77" i="38"/>
  <c r="AN36" i="48"/>
  <c r="AM36" i="48"/>
  <c r="AL36" i="48"/>
  <c r="AK36" i="48"/>
  <c r="AJ36" i="48"/>
  <c r="AI36" i="48"/>
  <c r="AH36" i="48"/>
  <c r="AG36" i="48"/>
  <c r="AF36" i="48"/>
  <c r="AE36" i="48"/>
  <c r="AD36" i="48"/>
  <c r="AC36" i="48"/>
  <c r="G76" i="38"/>
  <c r="F76" i="38"/>
  <c r="E76" i="38"/>
  <c r="AK29" i="48"/>
  <c r="AI29" i="48"/>
  <c r="AH29" i="48"/>
  <c r="AG29" i="48"/>
  <c r="AC29" i="48"/>
  <c r="H86" i="38"/>
  <c r="G75" i="38"/>
  <c r="G86" i="38" s="1"/>
  <c r="F75" i="38"/>
  <c r="F86" i="38" s="1"/>
  <c r="E75" i="38"/>
  <c r="H73" i="38"/>
  <c r="G73" i="38"/>
  <c r="F73" i="38"/>
  <c r="E73" i="38"/>
  <c r="G65" i="38"/>
  <c r="F65" i="38"/>
  <c r="E65" i="38"/>
  <c r="E141" i="38" s="1"/>
  <c r="G64" i="38"/>
  <c r="F64" i="38"/>
  <c r="E64" i="38"/>
  <c r="E140" i="38" s="1"/>
  <c r="G63" i="38"/>
  <c r="F63" i="38"/>
  <c r="E63" i="38"/>
  <c r="E139" i="38" s="1"/>
  <c r="AB118" i="39"/>
  <c r="AA118" i="39"/>
  <c r="Z118" i="39"/>
  <c r="Y118" i="39"/>
  <c r="X118" i="39"/>
  <c r="W118" i="39"/>
  <c r="V118" i="39"/>
  <c r="U118" i="39"/>
  <c r="T118" i="39"/>
  <c r="S118" i="39"/>
  <c r="R118" i="39"/>
  <c r="Q118" i="39"/>
  <c r="P118" i="39"/>
  <c r="O118" i="39"/>
  <c r="N118" i="39"/>
  <c r="M118" i="39"/>
  <c r="L118" i="39"/>
  <c r="K118" i="39"/>
  <c r="J118" i="39"/>
  <c r="G62" i="38"/>
  <c r="F62" i="38"/>
  <c r="E62" i="38"/>
  <c r="E138" i="38" s="1"/>
  <c r="AB104" i="39"/>
  <c r="AA104" i="39"/>
  <c r="Z104" i="39"/>
  <c r="Y104" i="39"/>
  <c r="X104" i="39"/>
  <c r="W104" i="39"/>
  <c r="V104" i="39"/>
  <c r="U104" i="39"/>
  <c r="AN63" i="48" s="1"/>
  <c r="T104" i="39"/>
  <c r="AM63" i="48" s="1"/>
  <c r="S104" i="39"/>
  <c r="AL63" i="48" s="1"/>
  <c r="R104" i="39"/>
  <c r="AK63" i="48" s="1"/>
  <c r="Q104" i="39"/>
  <c r="AJ63" i="48" s="1"/>
  <c r="P104" i="39"/>
  <c r="AI63" i="48" s="1"/>
  <c r="O104" i="39"/>
  <c r="AH63" i="48" s="1"/>
  <c r="N104" i="39"/>
  <c r="AG63" i="48" s="1"/>
  <c r="M104" i="39"/>
  <c r="AF63" i="48" s="1"/>
  <c r="L104" i="39"/>
  <c r="AE63" i="48" s="1"/>
  <c r="K104" i="39"/>
  <c r="AD63" i="48" s="1"/>
  <c r="J104" i="39"/>
  <c r="AC63" i="48" s="1"/>
  <c r="G61" i="38"/>
  <c r="F61" i="38"/>
  <c r="E61" i="38"/>
  <c r="E137" i="38" s="1"/>
  <c r="AB90" i="39"/>
  <c r="AA90" i="39"/>
  <c r="Z90" i="39"/>
  <c r="Y90" i="39"/>
  <c r="X90" i="39"/>
  <c r="W90" i="39"/>
  <c r="V90" i="39"/>
  <c r="U90" i="39"/>
  <c r="AN56" i="48" s="1"/>
  <c r="T90" i="39"/>
  <c r="AM56" i="48" s="1"/>
  <c r="S90" i="39"/>
  <c r="AL56" i="48" s="1"/>
  <c r="R90" i="39"/>
  <c r="AK56" i="48" s="1"/>
  <c r="Q90" i="39"/>
  <c r="AJ56" i="48" s="1"/>
  <c r="P90" i="39"/>
  <c r="AI56" i="48" s="1"/>
  <c r="O90" i="39"/>
  <c r="AH56" i="48" s="1"/>
  <c r="N90" i="39"/>
  <c r="AG56" i="48" s="1"/>
  <c r="M90" i="39"/>
  <c r="AF56" i="48" s="1"/>
  <c r="L90" i="39"/>
  <c r="AE56" i="48" s="1"/>
  <c r="K90" i="39"/>
  <c r="AD56" i="48" s="1"/>
  <c r="J90" i="39"/>
  <c r="AC56" i="48" s="1"/>
  <c r="G60" i="38"/>
  <c r="F60" i="38"/>
  <c r="E60" i="38"/>
  <c r="E136" i="38" s="1"/>
  <c r="AB76" i="39"/>
  <c r="AA76" i="39"/>
  <c r="Z76" i="39"/>
  <c r="Y76" i="39"/>
  <c r="X76" i="39"/>
  <c r="W76" i="39"/>
  <c r="V76" i="39"/>
  <c r="U76" i="39"/>
  <c r="AN49" i="48" s="1"/>
  <c r="T76" i="39"/>
  <c r="AM49" i="48" s="1"/>
  <c r="S76" i="39"/>
  <c r="AL49" i="48" s="1"/>
  <c r="R76" i="39"/>
  <c r="AK49" i="48" s="1"/>
  <c r="Q76" i="39"/>
  <c r="AJ49" i="48" s="1"/>
  <c r="P76" i="39"/>
  <c r="AI49" i="48" s="1"/>
  <c r="O76" i="39"/>
  <c r="AH49" i="48" s="1"/>
  <c r="N76" i="39"/>
  <c r="AG49" i="48" s="1"/>
  <c r="M76" i="39"/>
  <c r="AF49" i="48" s="1"/>
  <c r="L76" i="39"/>
  <c r="AE49" i="48" s="1"/>
  <c r="K76" i="39"/>
  <c r="AD49" i="48" s="1"/>
  <c r="J76" i="39"/>
  <c r="AC49" i="48" s="1"/>
  <c r="G59" i="38"/>
  <c r="F59" i="38"/>
  <c r="E59" i="38"/>
  <c r="E135" i="38" s="1"/>
  <c r="AB62" i="39"/>
  <c r="AA62" i="39"/>
  <c r="Z62" i="39"/>
  <c r="Y62" i="39"/>
  <c r="X62" i="39"/>
  <c r="W62" i="39"/>
  <c r="V62" i="39"/>
  <c r="U62" i="39"/>
  <c r="AN42" i="48" s="1"/>
  <c r="T62" i="39"/>
  <c r="AM42" i="48" s="1"/>
  <c r="S62" i="39"/>
  <c r="AL42" i="48" s="1"/>
  <c r="R62" i="39"/>
  <c r="AK42" i="48" s="1"/>
  <c r="Q62" i="39"/>
  <c r="AJ42" i="48" s="1"/>
  <c r="P62" i="39"/>
  <c r="AI42" i="48" s="1"/>
  <c r="O62" i="39"/>
  <c r="AH42" i="48" s="1"/>
  <c r="N62" i="39"/>
  <c r="AG42" i="48" s="1"/>
  <c r="M62" i="39"/>
  <c r="AF42" i="48" s="1"/>
  <c r="L62" i="39"/>
  <c r="AE42" i="48" s="1"/>
  <c r="K62" i="39"/>
  <c r="AD42" i="48" s="1"/>
  <c r="J62" i="39"/>
  <c r="AC42" i="48" s="1"/>
  <c r="G58" i="38"/>
  <c r="F58" i="38"/>
  <c r="E58" i="38"/>
  <c r="E134" i="38" s="1"/>
  <c r="AB48" i="39"/>
  <c r="AA48" i="39"/>
  <c r="Z48" i="39"/>
  <c r="Y48" i="39"/>
  <c r="X48" i="39"/>
  <c r="W48" i="39"/>
  <c r="V48" i="39"/>
  <c r="U48" i="39"/>
  <c r="AN35" i="48" s="1"/>
  <c r="T48" i="39"/>
  <c r="AM35" i="48" s="1"/>
  <c r="S48" i="39"/>
  <c r="AL35" i="48" s="1"/>
  <c r="R48" i="39"/>
  <c r="AK35" i="48" s="1"/>
  <c r="Q48" i="39"/>
  <c r="AJ35" i="48" s="1"/>
  <c r="P48" i="39"/>
  <c r="AI35" i="48" s="1"/>
  <c r="O48" i="39"/>
  <c r="AH35" i="48" s="1"/>
  <c r="N48" i="39"/>
  <c r="AG35" i="48" s="1"/>
  <c r="M48" i="39"/>
  <c r="AF35" i="48" s="1"/>
  <c r="L48" i="39"/>
  <c r="AE35" i="48" s="1"/>
  <c r="K48" i="39"/>
  <c r="AD35" i="48" s="1"/>
  <c r="J48" i="39"/>
  <c r="AC35" i="48" s="1"/>
  <c r="G57" i="38"/>
  <c r="F57" i="38"/>
  <c r="E57" i="38"/>
  <c r="E133" i="38" s="1"/>
  <c r="AB34" i="39"/>
  <c r="AA34" i="39"/>
  <c r="Z34" i="39"/>
  <c r="Y34" i="39"/>
  <c r="X34" i="39"/>
  <c r="W34" i="39"/>
  <c r="U34" i="39"/>
  <c r="AN28" i="48" s="1"/>
  <c r="T34" i="39"/>
  <c r="AM28" i="48" s="1"/>
  <c r="S34" i="39"/>
  <c r="AL28" i="48" s="1"/>
  <c r="R34" i="39"/>
  <c r="AK28" i="48" s="1"/>
  <c r="Q34" i="39"/>
  <c r="AJ28" i="48" s="1"/>
  <c r="P34" i="39"/>
  <c r="AI28" i="48" s="1"/>
  <c r="O34" i="39"/>
  <c r="AH28" i="48" s="1"/>
  <c r="M34" i="39"/>
  <c r="AF28" i="48" s="1"/>
  <c r="L34" i="39"/>
  <c r="AE28" i="48" s="1"/>
  <c r="K34" i="39"/>
  <c r="AD28" i="48" s="1"/>
  <c r="J34" i="39"/>
  <c r="AC28" i="48" s="1"/>
  <c r="H67" i="38"/>
  <c r="G56" i="38"/>
  <c r="G67" i="38" s="1"/>
  <c r="F56" i="38"/>
  <c r="F67" i="38" s="1"/>
  <c r="E56" i="38"/>
  <c r="E132" i="38" s="1"/>
  <c r="H54" i="38"/>
  <c r="G54" i="38"/>
  <c r="F54" i="38"/>
  <c r="E54" i="38"/>
  <c r="G46" i="38"/>
  <c r="F46" i="38"/>
  <c r="E46" i="38"/>
  <c r="G45" i="38"/>
  <c r="F45" i="38"/>
  <c r="E45" i="38"/>
  <c r="G44" i="38"/>
  <c r="F44" i="38"/>
  <c r="E44" i="38"/>
  <c r="AB117" i="39"/>
  <c r="AA117" i="39"/>
  <c r="Z117" i="39"/>
  <c r="Y117" i="39"/>
  <c r="X117" i="39"/>
  <c r="W117" i="39"/>
  <c r="V117" i="39"/>
  <c r="U117" i="39"/>
  <c r="AN69" i="48" s="1"/>
  <c r="T117" i="39"/>
  <c r="AM69" i="48" s="1"/>
  <c r="S117" i="39"/>
  <c r="AL69" i="48" s="1"/>
  <c r="R117" i="39"/>
  <c r="AK69" i="48" s="1"/>
  <c r="Q117" i="39"/>
  <c r="AJ69" i="48" s="1"/>
  <c r="P117" i="39"/>
  <c r="AI69" i="48" s="1"/>
  <c r="O117" i="39"/>
  <c r="AH69" i="48" s="1"/>
  <c r="N117" i="39"/>
  <c r="AG69" i="48" s="1"/>
  <c r="M117" i="39"/>
  <c r="AF69" i="48" s="1"/>
  <c r="L117" i="39"/>
  <c r="AE69" i="48" s="1"/>
  <c r="K117" i="39"/>
  <c r="AD69" i="48" s="1"/>
  <c r="J117" i="39"/>
  <c r="AC69" i="48" s="1"/>
  <c r="G43" i="38"/>
  <c r="F43" i="38"/>
  <c r="E43" i="38"/>
  <c r="AB103" i="39"/>
  <c r="AA103" i="39"/>
  <c r="Z103" i="39"/>
  <c r="Y103" i="39"/>
  <c r="X103" i="39"/>
  <c r="W103" i="39"/>
  <c r="V103" i="39"/>
  <c r="U103" i="39"/>
  <c r="AN62" i="48" s="1"/>
  <c r="T103" i="39"/>
  <c r="AM62" i="48" s="1"/>
  <c r="S103" i="39"/>
  <c r="AL62" i="48" s="1"/>
  <c r="R103" i="39"/>
  <c r="AK62" i="48" s="1"/>
  <c r="Q103" i="39"/>
  <c r="AJ62" i="48" s="1"/>
  <c r="P103" i="39"/>
  <c r="AI62" i="48" s="1"/>
  <c r="O103" i="39"/>
  <c r="AH62" i="48" s="1"/>
  <c r="N103" i="39"/>
  <c r="AG62" i="48" s="1"/>
  <c r="M103" i="39"/>
  <c r="AF62" i="48" s="1"/>
  <c r="L103" i="39"/>
  <c r="AE62" i="48" s="1"/>
  <c r="K103" i="39"/>
  <c r="AD62" i="48" s="1"/>
  <c r="J103" i="39"/>
  <c r="AC62" i="48" s="1"/>
  <c r="G42" i="38"/>
  <c r="F42" i="38"/>
  <c r="E42" i="38"/>
  <c r="AB89" i="39"/>
  <c r="AA89" i="39"/>
  <c r="Z89" i="39"/>
  <c r="Y89" i="39"/>
  <c r="X89" i="39"/>
  <c r="W89" i="39"/>
  <c r="V89" i="39"/>
  <c r="U89" i="39"/>
  <c r="AN55" i="48" s="1"/>
  <c r="T89" i="39"/>
  <c r="AM55" i="48" s="1"/>
  <c r="S89" i="39"/>
  <c r="AL55" i="48" s="1"/>
  <c r="R89" i="39"/>
  <c r="AK55" i="48" s="1"/>
  <c r="Q89" i="39"/>
  <c r="AJ55" i="48" s="1"/>
  <c r="P89" i="39"/>
  <c r="AI55" i="48" s="1"/>
  <c r="O89" i="39"/>
  <c r="AH55" i="48" s="1"/>
  <c r="N89" i="39"/>
  <c r="AG55" i="48" s="1"/>
  <c r="M89" i="39"/>
  <c r="AF55" i="48" s="1"/>
  <c r="L89" i="39"/>
  <c r="AE55" i="48" s="1"/>
  <c r="K89" i="39"/>
  <c r="AD55" i="48" s="1"/>
  <c r="J89" i="39"/>
  <c r="AC55" i="48" s="1"/>
  <c r="G41" i="38"/>
  <c r="F41" i="38"/>
  <c r="E41" i="38"/>
  <c r="AB75" i="39"/>
  <c r="AA75" i="39"/>
  <c r="Z75" i="39"/>
  <c r="Y75" i="39"/>
  <c r="X75" i="39"/>
  <c r="W75" i="39"/>
  <c r="V75" i="39"/>
  <c r="U75" i="39"/>
  <c r="AN48" i="48" s="1"/>
  <c r="T75" i="39"/>
  <c r="AM48" i="48" s="1"/>
  <c r="S75" i="39"/>
  <c r="AL48" i="48" s="1"/>
  <c r="R75" i="39"/>
  <c r="AK48" i="48" s="1"/>
  <c r="Q75" i="39"/>
  <c r="AJ48" i="48" s="1"/>
  <c r="P75" i="39"/>
  <c r="AI48" i="48" s="1"/>
  <c r="O75" i="39"/>
  <c r="AH48" i="48" s="1"/>
  <c r="N75" i="39"/>
  <c r="AG48" i="48" s="1"/>
  <c r="M75" i="39"/>
  <c r="AF48" i="48" s="1"/>
  <c r="L75" i="39"/>
  <c r="AE48" i="48" s="1"/>
  <c r="K75" i="39"/>
  <c r="AD48" i="48" s="1"/>
  <c r="J75" i="39"/>
  <c r="AC48" i="48" s="1"/>
  <c r="G40" i="38"/>
  <c r="F40" i="38"/>
  <c r="E40" i="38"/>
  <c r="AB61" i="39"/>
  <c r="AA61" i="39"/>
  <c r="Z61" i="39"/>
  <c r="Y61" i="39"/>
  <c r="X61" i="39"/>
  <c r="W61" i="39"/>
  <c r="V61" i="39"/>
  <c r="U61" i="39"/>
  <c r="AN41" i="48" s="1"/>
  <c r="T61" i="39"/>
  <c r="AM41" i="48" s="1"/>
  <c r="S61" i="39"/>
  <c r="AL41" i="48" s="1"/>
  <c r="R61" i="39"/>
  <c r="AK41" i="48" s="1"/>
  <c r="Q61" i="39"/>
  <c r="AJ41" i="48" s="1"/>
  <c r="P61" i="39"/>
  <c r="AI41" i="48" s="1"/>
  <c r="O61" i="39"/>
  <c r="AH41" i="48" s="1"/>
  <c r="N61" i="39"/>
  <c r="AG41" i="48" s="1"/>
  <c r="M61" i="39"/>
  <c r="AF41" i="48" s="1"/>
  <c r="L61" i="39"/>
  <c r="AE41" i="48" s="1"/>
  <c r="K61" i="39"/>
  <c r="AD41" i="48" s="1"/>
  <c r="J61" i="39"/>
  <c r="AC41" i="48" s="1"/>
  <c r="G39" i="38"/>
  <c r="F39" i="38"/>
  <c r="E39" i="38"/>
  <c r="AB47" i="39"/>
  <c r="AA47" i="39"/>
  <c r="Z47" i="39"/>
  <c r="Y47" i="39"/>
  <c r="X47" i="39"/>
  <c r="W47" i="39"/>
  <c r="V47" i="39"/>
  <c r="U47" i="39"/>
  <c r="AN34" i="48" s="1"/>
  <c r="T47" i="39"/>
  <c r="AM34" i="48" s="1"/>
  <c r="S47" i="39"/>
  <c r="AL34" i="48" s="1"/>
  <c r="R47" i="39"/>
  <c r="AK34" i="48" s="1"/>
  <c r="Q47" i="39"/>
  <c r="AJ34" i="48" s="1"/>
  <c r="P47" i="39"/>
  <c r="AI34" i="48" s="1"/>
  <c r="O47" i="39"/>
  <c r="AH34" i="48" s="1"/>
  <c r="N47" i="39"/>
  <c r="AG34" i="48" s="1"/>
  <c r="M47" i="39"/>
  <c r="AF34" i="48" s="1"/>
  <c r="L47" i="39"/>
  <c r="AE34" i="48" s="1"/>
  <c r="K47" i="39"/>
  <c r="AD34" i="48" s="1"/>
  <c r="J47" i="39"/>
  <c r="AC34" i="48" s="1"/>
  <c r="G38" i="38"/>
  <c r="F38" i="38"/>
  <c r="E38" i="38"/>
  <c r="AA33" i="39"/>
  <c r="Y33" i="39"/>
  <c r="V33" i="39"/>
  <c r="U33" i="39"/>
  <c r="AN27" i="48" s="1"/>
  <c r="S33" i="39"/>
  <c r="AL27" i="48" s="1"/>
  <c r="Q33" i="39"/>
  <c r="AJ27" i="48" s="1"/>
  <c r="N33" i="39"/>
  <c r="AG27" i="48" s="1"/>
  <c r="M33" i="39"/>
  <c r="AF27" i="48" s="1"/>
  <c r="K33" i="39"/>
  <c r="AD27" i="48" s="1"/>
  <c r="H48" i="38"/>
  <c r="G37" i="38"/>
  <c r="G48" i="38" s="1"/>
  <c r="F37" i="38"/>
  <c r="F48" i="38" s="1"/>
  <c r="E37" i="38"/>
  <c r="H35" i="38"/>
  <c r="G35" i="38"/>
  <c r="F35" i="38"/>
  <c r="E35" i="38"/>
  <c r="G27" i="38"/>
  <c r="F27" i="38"/>
  <c r="D27" i="38"/>
  <c r="G26" i="38"/>
  <c r="F26" i="38"/>
  <c r="D26" i="38"/>
  <c r="G25" i="38"/>
  <c r="F25" i="38"/>
  <c r="D25" i="38"/>
  <c r="G24" i="38"/>
  <c r="F24" i="38"/>
  <c r="D24" i="38"/>
  <c r="J102" i="39"/>
  <c r="AC61" i="48" s="1"/>
  <c r="G23" i="38"/>
  <c r="F23" i="38"/>
  <c r="D23" i="38"/>
  <c r="J88" i="39"/>
  <c r="AC54" i="48" s="1"/>
  <c r="G22" i="38"/>
  <c r="F22" i="38"/>
  <c r="D22" i="38"/>
  <c r="G21" i="38"/>
  <c r="F21" i="38"/>
  <c r="D21" i="38"/>
  <c r="G20" i="38"/>
  <c r="F20" i="38"/>
  <c r="D20" i="38"/>
  <c r="G19" i="38"/>
  <c r="F19" i="38"/>
  <c r="D19" i="38"/>
  <c r="H29" i="38"/>
  <c r="G18" i="38"/>
  <c r="G29" i="38" s="1"/>
  <c r="F18" i="38"/>
  <c r="F29" i="38" s="1"/>
  <c r="D18" i="38"/>
  <c r="H16" i="38"/>
  <c r="G16" i="38"/>
  <c r="F16" i="38"/>
  <c r="E16" i="38"/>
  <c r="H10" i="38"/>
  <c r="G10" i="38"/>
  <c r="F10" i="38"/>
  <c r="E10" i="38"/>
  <c r="B10" i="38"/>
  <c r="AB9" i="38"/>
  <c r="AA9" i="38"/>
  <c r="Z9" i="38"/>
  <c r="Y9" i="38"/>
  <c r="X9" i="38"/>
  <c r="W9" i="38"/>
  <c r="V9" i="38"/>
  <c r="U9" i="38"/>
  <c r="T9" i="38"/>
  <c r="S9" i="38"/>
  <c r="R9" i="38"/>
  <c r="Q9" i="38"/>
  <c r="P9" i="38"/>
  <c r="O9" i="38"/>
  <c r="N9" i="38"/>
  <c r="M9" i="38"/>
  <c r="L9" i="38"/>
  <c r="K9" i="38"/>
  <c r="J9" i="38"/>
  <c r="B9" i="38"/>
  <c r="B8" i="38"/>
  <c r="B7" i="38"/>
  <c r="B6" i="38"/>
  <c r="B5" i="38"/>
  <c r="B4" i="38"/>
  <c r="B3" i="38"/>
  <c r="G154" i="37"/>
  <c r="F154" i="37"/>
  <c r="G153" i="37"/>
  <c r="F153" i="37"/>
  <c r="G152" i="37"/>
  <c r="F152" i="37"/>
  <c r="G151" i="37"/>
  <c r="F151" i="37"/>
  <c r="H159" i="37"/>
  <c r="G149" i="37"/>
  <c r="G159" i="37" s="1"/>
  <c r="F149" i="37"/>
  <c r="F159" i="37" s="1"/>
  <c r="H147" i="37"/>
  <c r="G147" i="37"/>
  <c r="F147" i="37"/>
  <c r="E147" i="37"/>
  <c r="AB103" i="37"/>
  <c r="AA103" i="37"/>
  <c r="Z103" i="37"/>
  <c r="Y103" i="37"/>
  <c r="X103" i="37"/>
  <c r="W103" i="37"/>
  <c r="W105" i="37" s="1"/>
  <c r="V103" i="37"/>
  <c r="V105" i="37" s="1"/>
  <c r="U103" i="37"/>
  <c r="U105" i="37" s="1"/>
  <c r="T103" i="37"/>
  <c r="T105" i="37" s="1"/>
  <c r="S103" i="37"/>
  <c r="S105" i="37" s="1"/>
  <c r="R103" i="37"/>
  <c r="R87" i="37" s="1"/>
  <c r="M103" i="37"/>
  <c r="L103" i="37"/>
  <c r="K103" i="37"/>
  <c r="J103" i="37"/>
  <c r="G98" i="37"/>
  <c r="F98" i="37"/>
  <c r="G97" i="37"/>
  <c r="F97" i="37"/>
  <c r="G96" i="37"/>
  <c r="F96" i="37"/>
  <c r="G95" i="37"/>
  <c r="F95" i="37"/>
  <c r="H103" i="37"/>
  <c r="G93" i="37"/>
  <c r="G103" i="37" s="1"/>
  <c r="F93" i="37"/>
  <c r="F103" i="37" s="1"/>
  <c r="H91" i="37"/>
  <c r="G91" i="37"/>
  <c r="F91" i="37"/>
  <c r="E91" i="37"/>
  <c r="AB84" i="37"/>
  <c r="AA84" i="37"/>
  <c r="Z84" i="37"/>
  <c r="Y84" i="37"/>
  <c r="X84" i="37"/>
  <c r="R84" i="37"/>
  <c r="M84" i="37"/>
  <c r="M86" i="37" s="1"/>
  <c r="L84" i="37"/>
  <c r="L86" i="37" s="1"/>
  <c r="K84" i="37"/>
  <c r="K86" i="37" s="1"/>
  <c r="J84" i="37"/>
  <c r="J86" i="37" s="1"/>
  <c r="G79" i="37"/>
  <c r="F79" i="37"/>
  <c r="D79" i="37"/>
  <c r="G78" i="37"/>
  <c r="F78" i="37"/>
  <c r="G77" i="37"/>
  <c r="F77" i="37"/>
  <c r="G76" i="37"/>
  <c r="F76" i="37"/>
  <c r="H84" i="37"/>
  <c r="G74" i="37"/>
  <c r="G84" i="37" s="1"/>
  <c r="F74" i="37"/>
  <c r="F84" i="37" s="1"/>
  <c r="D74" i="37"/>
  <c r="H72" i="37"/>
  <c r="G72" i="37"/>
  <c r="F72" i="37"/>
  <c r="E72" i="37"/>
  <c r="AB65" i="37"/>
  <c r="AB68" i="37" s="1"/>
  <c r="AA65" i="37"/>
  <c r="AA68" i="37" s="1"/>
  <c r="Z65" i="37"/>
  <c r="Z68" i="37" s="1"/>
  <c r="Y65" i="37"/>
  <c r="Y68" i="37" s="1"/>
  <c r="X65" i="37"/>
  <c r="X68" i="37" s="1"/>
  <c r="R65" i="37"/>
  <c r="Q65" i="37"/>
  <c r="P65" i="37"/>
  <c r="O65" i="37"/>
  <c r="N65" i="37"/>
  <c r="M65" i="37"/>
  <c r="M67" i="37" s="1"/>
  <c r="L65" i="37"/>
  <c r="L67" i="37" s="1"/>
  <c r="K65" i="37"/>
  <c r="K67" i="37" s="1"/>
  <c r="J65" i="37"/>
  <c r="G60" i="37"/>
  <c r="F60" i="37"/>
  <c r="G59" i="37"/>
  <c r="F59" i="37"/>
  <c r="G58" i="37"/>
  <c r="F58" i="37"/>
  <c r="G57" i="37"/>
  <c r="F57" i="37"/>
  <c r="H65" i="37"/>
  <c r="G55" i="37"/>
  <c r="G65" i="37" s="1"/>
  <c r="F55" i="37"/>
  <c r="F65" i="37" s="1"/>
  <c r="H53" i="37"/>
  <c r="G53" i="37"/>
  <c r="F53" i="37"/>
  <c r="E53" i="37"/>
  <c r="G41" i="37"/>
  <c r="F41" i="37"/>
  <c r="D41" i="37"/>
  <c r="G40" i="37"/>
  <c r="F40" i="37"/>
  <c r="D40" i="37"/>
  <c r="G39" i="37"/>
  <c r="F39" i="37"/>
  <c r="G38" i="37"/>
  <c r="F38" i="37"/>
  <c r="D38" i="37"/>
  <c r="H46" i="37"/>
  <c r="G36" i="37"/>
  <c r="G46" i="37" s="1"/>
  <c r="F36" i="37"/>
  <c r="F46" i="37" s="1"/>
  <c r="H34" i="37"/>
  <c r="G34" i="37"/>
  <c r="F34" i="37"/>
  <c r="E34" i="37"/>
  <c r="G23" i="37"/>
  <c r="F23" i="37"/>
  <c r="D98" i="37"/>
  <c r="G22" i="37"/>
  <c r="F22" i="37"/>
  <c r="G21" i="37"/>
  <c r="F21" i="37"/>
  <c r="H28" i="37"/>
  <c r="G18" i="37"/>
  <c r="F18" i="37"/>
  <c r="D36" i="37"/>
  <c r="H16" i="37"/>
  <c r="G16" i="37"/>
  <c r="F16" i="37"/>
  <c r="E16" i="37"/>
  <c r="H10" i="37"/>
  <c r="G10" i="37"/>
  <c r="F10" i="37"/>
  <c r="E10" i="37"/>
  <c r="B10" i="37"/>
  <c r="AB9" i="37"/>
  <c r="AA9" i="37"/>
  <c r="Z9" i="37"/>
  <c r="Y9" i="37"/>
  <c r="X9" i="37"/>
  <c r="W9" i="37"/>
  <c r="V9" i="37"/>
  <c r="U9" i="37"/>
  <c r="T9" i="37"/>
  <c r="S9" i="37"/>
  <c r="R9" i="37"/>
  <c r="Q9" i="37"/>
  <c r="P9" i="37"/>
  <c r="O9" i="37"/>
  <c r="N9" i="37"/>
  <c r="M9" i="37"/>
  <c r="L9" i="37"/>
  <c r="K9" i="37"/>
  <c r="J9" i="37"/>
  <c r="B9" i="37"/>
  <c r="B8" i="37"/>
  <c r="B7" i="37"/>
  <c r="B6" i="37"/>
  <c r="B5" i="37"/>
  <c r="B4" i="37"/>
  <c r="B3" i="37"/>
  <c r="D32" i="31"/>
  <c r="C154" i="34"/>
  <c r="G162" i="34"/>
  <c r="F162" i="34"/>
  <c r="D162" i="34"/>
  <c r="G161" i="34"/>
  <c r="F161" i="34"/>
  <c r="D161" i="34"/>
  <c r="G160" i="34"/>
  <c r="F160" i="34"/>
  <c r="D160" i="34"/>
  <c r="G159" i="34"/>
  <c r="F159" i="34"/>
  <c r="D159" i="34"/>
  <c r="H164" i="34"/>
  <c r="G158" i="34"/>
  <c r="G164" i="34" s="1"/>
  <c r="F158" i="34"/>
  <c r="F164" i="34" s="1"/>
  <c r="D158" i="34"/>
  <c r="H156" i="34"/>
  <c r="G156" i="34"/>
  <c r="F156" i="34"/>
  <c r="E156" i="34"/>
  <c r="C140" i="34"/>
  <c r="G148" i="34"/>
  <c r="F148" i="34"/>
  <c r="D148" i="34"/>
  <c r="G147" i="34"/>
  <c r="F147" i="34"/>
  <c r="D147" i="34"/>
  <c r="G146" i="34"/>
  <c r="F146" i="34"/>
  <c r="D146" i="34"/>
  <c r="G145" i="34"/>
  <c r="F145" i="34"/>
  <c r="D145" i="34"/>
  <c r="H150" i="34"/>
  <c r="G144" i="34"/>
  <c r="G150" i="34" s="1"/>
  <c r="F144" i="34"/>
  <c r="F150" i="34" s="1"/>
  <c r="D144" i="34"/>
  <c r="H142" i="34"/>
  <c r="G142" i="34"/>
  <c r="F142" i="34"/>
  <c r="E142" i="34"/>
  <c r="C126" i="34"/>
  <c r="G134" i="34"/>
  <c r="F134" i="34"/>
  <c r="D134" i="34"/>
  <c r="G133" i="34"/>
  <c r="F133" i="34"/>
  <c r="D133" i="34"/>
  <c r="G132" i="34"/>
  <c r="F132" i="34"/>
  <c r="D132" i="34"/>
  <c r="G131" i="34"/>
  <c r="F131" i="34"/>
  <c r="D131" i="34"/>
  <c r="H136" i="34"/>
  <c r="G130" i="34"/>
  <c r="G136" i="34" s="1"/>
  <c r="F130" i="34"/>
  <c r="F136" i="34" s="1"/>
  <c r="D130" i="34"/>
  <c r="H128" i="34"/>
  <c r="G128" i="34"/>
  <c r="F128" i="34"/>
  <c r="E128" i="34"/>
  <c r="C112" i="34"/>
  <c r="G120" i="34"/>
  <c r="F120" i="34"/>
  <c r="D120" i="34"/>
  <c r="G119" i="34"/>
  <c r="F119" i="34"/>
  <c r="D119" i="34"/>
  <c r="G118" i="34"/>
  <c r="F118" i="34"/>
  <c r="D118" i="34"/>
  <c r="G117" i="34"/>
  <c r="F117" i="34"/>
  <c r="D117" i="34"/>
  <c r="H122" i="34"/>
  <c r="G116" i="34"/>
  <c r="G122" i="34" s="1"/>
  <c r="F116" i="34"/>
  <c r="F122" i="34" s="1"/>
  <c r="D116" i="34"/>
  <c r="H114" i="34"/>
  <c r="G114" i="34"/>
  <c r="F114" i="34"/>
  <c r="E114" i="34"/>
  <c r="C98" i="34"/>
  <c r="G106" i="34"/>
  <c r="F106" i="34"/>
  <c r="D106" i="34"/>
  <c r="G105" i="34"/>
  <c r="F105" i="34"/>
  <c r="D105" i="34"/>
  <c r="G104" i="34"/>
  <c r="F104" i="34"/>
  <c r="D104" i="34"/>
  <c r="G103" i="34"/>
  <c r="F103" i="34"/>
  <c r="D103" i="34"/>
  <c r="H108" i="34"/>
  <c r="G102" i="34"/>
  <c r="G108" i="34" s="1"/>
  <c r="F102" i="34"/>
  <c r="F108" i="34" s="1"/>
  <c r="D102" i="34"/>
  <c r="H100" i="34"/>
  <c r="G100" i="34"/>
  <c r="F100" i="34"/>
  <c r="E100" i="34"/>
  <c r="C84" i="34"/>
  <c r="G92" i="34"/>
  <c r="F92" i="34"/>
  <c r="D92" i="34"/>
  <c r="G91" i="34"/>
  <c r="F91" i="34"/>
  <c r="D91" i="34"/>
  <c r="G90" i="34"/>
  <c r="F90" i="34"/>
  <c r="D90" i="34"/>
  <c r="G89" i="34"/>
  <c r="F89" i="34"/>
  <c r="D89" i="34"/>
  <c r="H94" i="34"/>
  <c r="G88" i="34"/>
  <c r="G94" i="34" s="1"/>
  <c r="F88" i="34"/>
  <c r="F94" i="34" s="1"/>
  <c r="D88" i="34"/>
  <c r="H86" i="34"/>
  <c r="G86" i="34"/>
  <c r="F86" i="34"/>
  <c r="E86" i="34"/>
  <c r="C70" i="34"/>
  <c r="G78" i="34"/>
  <c r="F78" i="34"/>
  <c r="D78" i="34"/>
  <c r="G77" i="34"/>
  <c r="F77" i="34"/>
  <c r="D77" i="34"/>
  <c r="G76" i="34"/>
  <c r="F76" i="34"/>
  <c r="D76" i="34"/>
  <c r="G75" i="34"/>
  <c r="F75" i="34"/>
  <c r="D75" i="34"/>
  <c r="H80" i="34"/>
  <c r="G74" i="34"/>
  <c r="G80" i="34" s="1"/>
  <c r="F74" i="34"/>
  <c r="F80" i="34" s="1"/>
  <c r="D74" i="34"/>
  <c r="H72" i="34"/>
  <c r="G72" i="34"/>
  <c r="F72" i="34"/>
  <c r="E72" i="34"/>
  <c r="C56" i="34"/>
  <c r="G64" i="34"/>
  <c r="F64" i="34"/>
  <c r="D64" i="34"/>
  <c r="G63" i="34"/>
  <c r="F63" i="34"/>
  <c r="D63" i="34"/>
  <c r="G62" i="34"/>
  <c r="F62" i="34"/>
  <c r="D62" i="34"/>
  <c r="G61" i="34"/>
  <c r="F61" i="34"/>
  <c r="D61" i="34"/>
  <c r="H66" i="34"/>
  <c r="G60" i="34"/>
  <c r="G66" i="34" s="1"/>
  <c r="F60" i="34"/>
  <c r="F66" i="34" s="1"/>
  <c r="D60" i="34"/>
  <c r="H58" i="34"/>
  <c r="G58" i="34"/>
  <c r="F58" i="34"/>
  <c r="E58" i="34"/>
  <c r="C42" i="34"/>
  <c r="G50" i="34"/>
  <c r="F50" i="34"/>
  <c r="D50" i="34"/>
  <c r="G49" i="34"/>
  <c r="F49" i="34"/>
  <c r="D49" i="34"/>
  <c r="G48" i="34"/>
  <c r="F48" i="34"/>
  <c r="D48" i="34"/>
  <c r="G47" i="34"/>
  <c r="F47" i="34"/>
  <c r="D47" i="34"/>
  <c r="H52" i="34"/>
  <c r="G46" i="34"/>
  <c r="G52" i="34" s="1"/>
  <c r="F46" i="34"/>
  <c r="F52" i="34" s="1"/>
  <c r="D46" i="34"/>
  <c r="H44" i="34"/>
  <c r="G44" i="34"/>
  <c r="F44" i="34"/>
  <c r="E44" i="34"/>
  <c r="D36" i="34"/>
  <c r="D35" i="34"/>
  <c r="D34" i="34"/>
  <c r="D33" i="34"/>
  <c r="D32" i="34"/>
  <c r="C28" i="34"/>
  <c r="D29" i="28"/>
  <c r="G36" i="34"/>
  <c r="F36" i="34"/>
  <c r="G35" i="34"/>
  <c r="F35" i="34"/>
  <c r="G34" i="34"/>
  <c r="F34" i="34"/>
  <c r="G33" i="34"/>
  <c r="F33" i="34"/>
  <c r="H38" i="34"/>
  <c r="G32" i="34"/>
  <c r="G38" i="34" s="1"/>
  <c r="F32" i="34"/>
  <c r="F38" i="34" s="1"/>
  <c r="H30" i="34"/>
  <c r="G30" i="34"/>
  <c r="F30" i="34"/>
  <c r="E30" i="34"/>
  <c r="H10" i="34"/>
  <c r="G10" i="34"/>
  <c r="F10" i="34"/>
  <c r="E10" i="34"/>
  <c r="B10" i="34"/>
  <c r="AB9" i="34"/>
  <c r="AA9" i="34"/>
  <c r="Z9" i="34"/>
  <c r="Y9" i="34"/>
  <c r="X9" i="34"/>
  <c r="W9" i="34"/>
  <c r="V9" i="34"/>
  <c r="U9" i="34"/>
  <c r="T9" i="34"/>
  <c r="S9" i="34"/>
  <c r="R9" i="34"/>
  <c r="Q9" i="34"/>
  <c r="P9" i="34"/>
  <c r="O9" i="34"/>
  <c r="N9" i="34"/>
  <c r="M9" i="34"/>
  <c r="L9" i="34"/>
  <c r="K9" i="34"/>
  <c r="J9" i="34"/>
  <c r="B9" i="34"/>
  <c r="B8" i="34"/>
  <c r="B7" i="34"/>
  <c r="B6" i="34"/>
  <c r="B5" i="34"/>
  <c r="B4" i="34"/>
  <c r="B3" i="34"/>
  <c r="D19" i="28"/>
  <c r="D26" i="25"/>
  <c r="D22" i="25"/>
  <c r="D17" i="25"/>
  <c r="E95" i="33"/>
  <c r="E96" i="33"/>
  <c r="E97" i="33"/>
  <c r="E98" i="33"/>
  <c r="E99" i="33"/>
  <c r="E100" i="33"/>
  <c r="E101" i="33"/>
  <c r="E102" i="33"/>
  <c r="E103" i="33"/>
  <c r="E94" i="33"/>
  <c r="E76" i="33"/>
  <c r="E77" i="33"/>
  <c r="E78" i="33"/>
  <c r="E79" i="33"/>
  <c r="E80" i="33"/>
  <c r="E81" i="33"/>
  <c r="E82" i="33"/>
  <c r="E83" i="33"/>
  <c r="E84" i="33"/>
  <c r="E75" i="33"/>
  <c r="E57" i="33"/>
  <c r="E58" i="33"/>
  <c r="E59" i="33"/>
  <c r="E60" i="33"/>
  <c r="E61" i="33"/>
  <c r="E62" i="33"/>
  <c r="E63" i="33"/>
  <c r="E64" i="33"/>
  <c r="E65" i="33"/>
  <c r="E56" i="33"/>
  <c r="E46" i="33"/>
  <c r="E45" i="33"/>
  <c r="E44" i="33"/>
  <c r="E43" i="33"/>
  <c r="E42" i="33"/>
  <c r="E41" i="33"/>
  <c r="E40" i="33"/>
  <c r="E39" i="33"/>
  <c r="E38" i="33"/>
  <c r="E37" i="33"/>
  <c r="D27" i="33"/>
  <c r="D26" i="33"/>
  <c r="D25" i="33"/>
  <c r="D24" i="33"/>
  <c r="D23" i="33"/>
  <c r="D22" i="33"/>
  <c r="D21" i="33"/>
  <c r="D20" i="33"/>
  <c r="D19" i="33"/>
  <c r="D18" i="33"/>
  <c r="E10" i="31" a="1"/>
  <c r="E10" i="31" s="1"/>
  <c r="G160" i="33"/>
  <c r="F160" i="33"/>
  <c r="G159" i="33"/>
  <c r="F159" i="33"/>
  <c r="G158" i="33"/>
  <c r="F158" i="33"/>
  <c r="G157" i="33"/>
  <c r="F157" i="33"/>
  <c r="G156" i="33"/>
  <c r="F156" i="33"/>
  <c r="G155" i="33"/>
  <c r="F155" i="33"/>
  <c r="G154" i="33"/>
  <c r="F154" i="33"/>
  <c r="G153" i="33"/>
  <c r="F153" i="33"/>
  <c r="G152" i="33"/>
  <c r="F152" i="33"/>
  <c r="G151" i="33"/>
  <c r="G162" i="33" s="1"/>
  <c r="F151" i="33"/>
  <c r="F162" i="33" s="1"/>
  <c r="G149" i="33"/>
  <c r="F149" i="33"/>
  <c r="E149" i="33"/>
  <c r="G103" i="33"/>
  <c r="F103" i="33"/>
  <c r="G102" i="33"/>
  <c r="F102" i="33"/>
  <c r="G101" i="33"/>
  <c r="F101" i="33"/>
  <c r="G100" i="33"/>
  <c r="F100" i="33"/>
  <c r="G99" i="33"/>
  <c r="F99" i="33"/>
  <c r="G98" i="33"/>
  <c r="F98" i="33"/>
  <c r="G97" i="33"/>
  <c r="F97" i="33"/>
  <c r="G96" i="33"/>
  <c r="F96" i="33"/>
  <c r="G95" i="33"/>
  <c r="F95" i="33"/>
  <c r="G94" i="33"/>
  <c r="G105" i="33" s="1"/>
  <c r="F94" i="33"/>
  <c r="F105" i="33" s="1"/>
  <c r="G92" i="33"/>
  <c r="F92" i="33"/>
  <c r="E92" i="33"/>
  <c r="G84" i="33"/>
  <c r="F84" i="33"/>
  <c r="G83" i="33"/>
  <c r="F83" i="33"/>
  <c r="G82" i="33"/>
  <c r="F82" i="33"/>
  <c r="G81" i="33"/>
  <c r="F81" i="33"/>
  <c r="G80" i="33"/>
  <c r="F80" i="33"/>
  <c r="G79" i="33"/>
  <c r="F79" i="33"/>
  <c r="G78" i="33"/>
  <c r="F78" i="33"/>
  <c r="G77" i="33"/>
  <c r="F77" i="33"/>
  <c r="G76" i="33"/>
  <c r="F76" i="33"/>
  <c r="G75" i="33"/>
  <c r="G86" i="33" s="1"/>
  <c r="F75" i="33"/>
  <c r="F86" i="33" s="1"/>
  <c r="G73" i="33"/>
  <c r="F73" i="33"/>
  <c r="E73" i="33"/>
  <c r="G65" i="33"/>
  <c r="F65" i="33"/>
  <c r="G64" i="33"/>
  <c r="F64" i="33"/>
  <c r="G63" i="33"/>
  <c r="F63" i="33"/>
  <c r="G62" i="33"/>
  <c r="F62" i="33"/>
  <c r="G61" i="33"/>
  <c r="F61" i="33"/>
  <c r="G60" i="33"/>
  <c r="F60" i="33"/>
  <c r="G59" i="33"/>
  <c r="F59" i="33"/>
  <c r="G58" i="33"/>
  <c r="F58" i="33"/>
  <c r="G57" i="33"/>
  <c r="F57" i="33"/>
  <c r="G56" i="33"/>
  <c r="G67" i="33" s="1"/>
  <c r="F56" i="33"/>
  <c r="F67" i="33" s="1"/>
  <c r="G54" i="33"/>
  <c r="F54" i="33"/>
  <c r="E54" i="33"/>
  <c r="G46" i="33"/>
  <c r="F46" i="33"/>
  <c r="G45" i="33"/>
  <c r="F45" i="33"/>
  <c r="G44" i="33"/>
  <c r="F44" i="33"/>
  <c r="G43" i="33"/>
  <c r="F43" i="33"/>
  <c r="G42" i="33"/>
  <c r="F42" i="33"/>
  <c r="G41" i="33"/>
  <c r="F41" i="33"/>
  <c r="G40" i="33"/>
  <c r="F40" i="33"/>
  <c r="G39" i="33"/>
  <c r="F39" i="33"/>
  <c r="G38" i="33"/>
  <c r="F38" i="33"/>
  <c r="G37" i="33"/>
  <c r="G48" i="33" s="1"/>
  <c r="F37" i="33"/>
  <c r="F48" i="33" s="1"/>
  <c r="G35" i="33"/>
  <c r="F35" i="33"/>
  <c r="E35" i="33"/>
  <c r="G27" i="33"/>
  <c r="F27" i="33"/>
  <c r="G26" i="33"/>
  <c r="F26" i="33"/>
  <c r="G25" i="33"/>
  <c r="F25" i="33"/>
  <c r="G24" i="33"/>
  <c r="F24" i="33"/>
  <c r="G23" i="33"/>
  <c r="F23" i="33"/>
  <c r="G22" i="33"/>
  <c r="F22" i="33"/>
  <c r="G21" i="33"/>
  <c r="F21" i="33"/>
  <c r="G20" i="33"/>
  <c r="F20" i="33"/>
  <c r="G19" i="33"/>
  <c r="F19" i="33"/>
  <c r="G18" i="33"/>
  <c r="G29" i="33" s="1"/>
  <c r="F18" i="33"/>
  <c r="F29" i="33" s="1"/>
  <c r="G16" i="33"/>
  <c r="F16" i="33"/>
  <c r="E16" i="33"/>
  <c r="G10" i="33"/>
  <c r="F10" i="33"/>
  <c r="E10" i="33"/>
  <c r="B10" i="33"/>
  <c r="AB9" i="33"/>
  <c r="AA9" i="33"/>
  <c r="Z9" i="33"/>
  <c r="Y9" i="33"/>
  <c r="X9" i="33"/>
  <c r="W9" i="33"/>
  <c r="V9" i="33"/>
  <c r="U9" i="33"/>
  <c r="T9" i="33"/>
  <c r="S9" i="33"/>
  <c r="R9" i="33"/>
  <c r="Q9" i="33"/>
  <c r="P9" i="33"/>
  <c r="O9" i="33"/>
  <c r="N9" i="33"/>
  <c r="M9" i="33"/>
  <c r="L9" i="33"/>
  <c r="K9" i="33"/>
  <c r="J9" i="33"/>
  <c r="B9" i="33"/>
  <c r="B8" i="33"/>
  <c r="B7" i="33"/>
  <c r="B6" i="33"/>
  <c r="B5" i="33"/>
  <c r="B4" i="33"/>
  <c r="B3" i="33"/>
  <c r="F217" i="32"/>
  <c r="G217" i="32"/>
  <c r="F218" i="32"/>
  <c r="G218" i="32"/>
  <c r="F221" i="32"/>
  <c r="G221" i="32"/>
  <c r="F137" i="32"/>
  <c r="G137" i="32"/>
  <c r="F138" i="32"/>
  <c r="G138" i="32"/>
  <c r="F141" i="32"/>
  <c r="G141" i="32"/>
  <c r="F110" i="32"/>
  <c r="G110" i="32"/>
  <c r="F111" i="32"/>
  <c r="G111" i="32"/>
  <c r="F114" i="32"/>
  <c r="G114" i="32"/>
  <c r="F83" i="32"/>
  <c r="G83" i="32"/>
  <c r="F84" i="32"/>
  <c r="G84" i="32"/>
  <c r="F87" i="32"/>
  <c r="G87" i="32"/>
  <c r="F56" i="32"/>
  <c r="G56" i="32"/>
  <c r="F57" i="32"/>
  <c r="G57" i="32"/>
  <c r="F60" i="32"/>
  <c r="G60" i="32"/>
  <c r="D30" i="32"/>
  <c r="F30" i="32"/>
  <c r="G30" i="32"/>
  <c r="D31" i="32"/>
  <c r="F31" i="32"/>
  <c r="G31" i="32"/>
  <c r="D34" i="32"/>
  <c r="F34" i="32"/>
  <c r="G34" i="32"/>
  <c r="D29" i="32"/>
  <c r="D28" i="32"/>
  <c r="D27" i="32"/>
  <c r="D26" i="32"/>
  <c r="D25" i="32"/>
  <c r="D24" i="32"/>
  <c r="D23" i="32"/>
  <c r="D22" i="32"/>
  <c r="D21" i="32"/>
  <c r="D20" i="32"/>
  <c r="D19" i="32"/>
  <c r="D18" i="32"/>
  <c r="D22" i="31"/>
  <c r="M22" i="31" s="1"/>
  <c r="N22" i="31" s="1"/>
  <c r="D23" i="31"/>
  <c r="D24" i="31"/>
  <c r="D27" i="31"/>
  <c r="D21" i="31"/>
  <c r="D12" i="31"/>
  <c r="D13" i="31"/>
  <c r="D14" i="31"/>
  <c r="D15" i="31"/>
  <c r="D16" i="31"/>
  <c r="D17" i="31"/>
  <c r="D18" i="31"/>
  <c r="D19" i="31"/>
  <c r="D20" i="31"/>
  <c r="D11" i="31"/>
  <c r="G216" i="32"/>
  <c r="F216" i="32"/>
  <c r="G215" i="32"/>
  <c r="F215" i="32"/>
  <c r="G214" i="32"/>
  <c r="F214" i="32"/>
  <c r="G213" i="32"/>
  <c r="F213" i="32"/>
  <c r="G212" i="32"/>
  <c r="F212" i="32"/>
  <c r="G211" i="32"/>
  <c r="F211" i="32"/>
  <c r="G210" i="32"/>
  <c r="F210" i="32"/>
  <c r="G209" i="32"/>
  <c r="F209" i="32"/>
  <c r="G208" i="32"/>
  <c r="F208" i="32"/>
  <c r="G207" i="32"/>
  <c r="F207" i="32"/>
  <c r="G206" i="32"/>
  <c r="F206" i="32"/>
  <c r="G205" i="32"/>
  <c r="G223" i="32" s="1"/>
  <c r="F205" i="32"/>
  <c r="F223" i="32" s="1"/>
  <c r="G203" i="32"/>
  <c r="F203" i="32"/>
  <c r="E203" i="32"/>
  <c r="AB143" i="32"/>
  <c r="AA143" i="32"/>
  <c r="Z143" i="32"/>
  <c r="Y143" i="32"/>
  <c r="X143" i="32"/>
  <c r="U143" i="32"/>
  <c r="T143" i="32"/>
  <c r="S143" i="32"/>
  <c r="M143" i="32"/>
  <c r="L143" i="32"/>
  <c r="K143" i="32"/>
  <c r="J143" i="32"/>
  <c r="G136" i="32"/>
  <c r="F136" i="32"/>
  <c r="G135" i="32"/>
  <c r="F135" i="32"/>
  <c r="G134" i="32"/>
  <c r="F134" i="32"/>
  <c r="G133" i="32"/>
  <c r="F133" i="32"/>
  <c r="G132" i="32"/>
  <c r="F132" i="32"/>
  <c r="G131" i="32"/>
  <c r="F131" i="32"/>
  <c r="G130" i="32"/>
  <c r="F130" i="32"/>
  <c r="G129" i="32"/>
  <c r="F129" i="32"/>
  <c r="G128" i="32"/>
  <c r="F128" i="32"/>
  <c r="G127" i="32"/>
  <c r="F127" i="32"/>
  <c r="G126" i="32"/>
  <c r="F126" i="32"/>
  <c r="G125" i="32"/>
  <c r="G143" i="32" s="1"/>
  <c r="F125" i="32"/>
  <c r="F143" i="32" s="1"/>
  <c r="G123" i="32"/>
  <c r="F123" i="32"/>
  <c r="E123" i="32"/>
  <c r="AB116" i="32"/>
  <c r="AA116" i="32"/>
  <c r="Z116" i="32"/>
  <c r="Y116" i="32"/>
  <c r="X116" i="32"/>
  <c r="R116" i="32"/>
  <c r="G109" i="32"/>
  <c r="F109" i="32"/>
  <c r="G108" i="32"/>
  <c r="F108" i="32"/>
  <c r="G107" i="32"/>
  <c r="F107" i="32"/>
  <c r="G106" i="32"/>
  <c r="F106" i="32"/>
  <c r="G105" i="32"/>
  <c r="F105" i="32"/>
  <c r="G104" i="32"/>
  <c r="F104" i="32"/>
  <c r="G103" i="32"/>
  <c r="F103" i="32"/>
  <c r="G102" i="32"/>
  <c r="F102" i="32"/>
  <c r="G101" i="32"/>
  <c r="F101" i="32"/>
  <c r="G100" i="32"/>
  <c r="F100" i="32"/>
  <c r="G99" i="32"/>
  <c r="F99" i="32"/>
  <c r="G98" i="32"/>
  <c r="G116" i="32" s="1"/>
  <c r="F98" i="32"/>
  <c r="F116" i="32" s="1"/>
  <c r="G96" i="32"/>
  <c r="F96" i="32"/>
  <c r="E96" i="32"/>
  <c r="G82" i="32"/>
  <c r="F82" i="32"/>
  <c r="G81" i="32"/>
  <c r="F81" i="32"/>
  <c r="G80" i="32"/>
  <c r="F80" i="32"/>
  <c r="G79" i="32"/>
  <c r="F79" i="32"/>
  <c r="G78" i="32"/>
  <c r="F78" i="32"/>
  <c r="G77" i="32"/>
  <c r="F77" i="32"/>
  <c r="G76" i="32"/>
  <c r="F76" i="32"/>
  <c r="G75" i="32"/>
  <c r="F75" i="32"/>
  <c r="G74" i="32"/>
  <c r="F74" i="32"/>
  <c r="G73" i="32"/>
  <c r="F73" i="32"/>
  <c r="G72" i="32"/>
  <c r="F72" i="32"/>
  <c r="G71" i="32"/>
  <c r="G89" i="32" s="1"/>
  <c r="F71" i="32"/>
  <c r="F89" i="32" s="1"/>
  <c r="G69" i="32"/>
  <c r="F69" i="32"/>
  <c r="E69" i="32"/>
  <c r="G55" i="32"/>
  <c r="F55" i="32"/>
  <c r="G54" i="32"/>
  <c r="F54" i="32"/>
  <c r="G53" i="32"/>
  <c r="F53" i="32"/>
  <c r="G52" i="32"/>
  <c r="F52" i="32"/>
  <c r="G51" i="32"/>
  <c r="F51" i="32"/>
  <c r="G50" i="32"/>
  <c r="F50" i="32"/>
  <c r="G49" i="32"/>
  <c r="F49" i="32"/>
  <c r="G48" i="32"/>
  <c r="F48" i="32"/>
  <c r="G47" i="32"/>
  <c r="F47" i="32"/>
  <c r="G46" i="32"/>
  <c r="F46" i="32"/>
  <c r="G45" i="32"/>
  <c r="F45" i="32"/>
  <c r="G44" i="32"/>
  <c r="G62" i="32" s="1"/>
  <c r="F44" i="32"/>
  <c r="F62" i="32" s="1"/>
  <c r="G42" i="32"/>
  <c r="F42" i="32"/>
  <c r="E42" i="32"/>
  <c r="Z106" i="37" l="1"/>
  <c r="Z87" i="37"/>
  <c r="AA106" i="37"/>
  <c r="AA87" i="37"/>
  <c r="AB106" i="37"/>
  <c r="AB87" i="37"/>
  <c r="X87" i="37"/>
  <c r="X106" i="37"/>
  <c r="Y87" i="37"/>
  <c r="Y106" i="37"/>
  <c r="U146" i="32"/>
  <c r="R68" i="37"/>
  <c r="R92" i="32"/>
  <c r="S146" i="32"/>
  <c r="T146" i="32"/>
  <c r="X146" i="32"/>
  <c r="X119" i="32"/>
  <c r="Y146" i="32"/>
  <c r="Y119" i="32"/>
  <c r="Z119" i="32"/>
  <c r="Z146" i="32"/>
  <c r="AA119" i="32"/>
  <c r="AA146" i="32"/>
  <c r="AB119" i="32"/>
  <c r="AB146" i="32"/>
  <c r="J145" i="32"/>
  <c r="K145" i="32"/>
  <c r="L145" i="32"/>
  <c r="M145" i="32"/>
  <c r="J94" i="39"/>
  <c r="J108" i="39"/>
  <c r="AC66" i="48"/>
  <c r="AC136" i="48" s="1"/>
  <c r="AC59" i="48"/>
  <c r="AC135" i="48" s="1"/>
  <c r="L37" i="37"/>
  <c r="L113" i="37" s="1"/>
  <c r="K37" i="37"/>
  <c r="K113" i="37" s="1"/>
  <c r="Q23" i="37"/>
  <c r="P154" i="37" s="1"/>
  <c r="J67" i="37"/>
  <c r="N67" i="37"/>
  <c r="O67" i="37"/>
  <c r="P67" i="37"/>
  <c r="Q67" i="37"/>
  <c r="R67" i="37"/>
  <c r="M37" i="37"/>
  <c r="M113" i="37" s="1"/>
  <c r="F28" i="37"/>
  <c r="G28" i="37"/>
  <c r="J105" i="37"/>
  <c r="K105" i="37"/>
  <c r="L105" i="37"/>
  <c r="M105" i="37"/>
  <c r="R86" i="37"/>
  <c r="R105" i="37"/>
  <c r="U145" i="32"/>
  <c r="T145" i="32"/>
  <c r="S145" i="32"/>
  <c r="Z86" i="37"/>
  <c r="Y86" i="37"/>
  <c r="AA86" i="37"/>
  <c r="AB86" i="37"/>
  <c r="X86" i="37"/>
  <c r="Y105" i="37"/>
  <c r="Z105" i="37"/>
  <c r="AA105" i="37"/>
  <c r="AB105" i="37"/>
  <c r="X105" i="37"/>
  <c r="Y67" i="37"/>
  <c r="Z67" i="37"/>
  <c r="AA67" i="37"/>
  <c r="AB67" i="37"/>
  <c r="X67" i="37"/>
  <c r="R91" i="32"/>
  <c r="R118" i="32"/>
  <c r="X145" i="32"/>
  <c r="Y145" i="32"/>
  <c r="Z145" i="32"/>
  <c r="AB145" i="32"/>
  <c r="AA145" i="32"/>
  <c r="E38" i="31"/>
  <c r="E31" i="31"/>
  <c r="D120" i="38"/>
  <c r="D139" i="38"/>
  <c r="D84" i="38"/>
  <c r="D141" i="38"/>
  <c r="D122" i="38"/>
  <c r="D37" i="38"/>
  <c r="D113" i="38"/>
  <c r="D132" i="38"/>
  <c r="D134" i="38"/>
  <c r="D115" i="38"/>
  <c r="D117" i="38"/>
  <c r="D136" i="38"/>
  <c r="D81" i="38"/>
  <c r="D138" i="38"/>
  <c r="D119" i="38"/>
  <c r="D45" i="38"/>
  <c r="D121" i="38"/>
  <c r="D140" i="38"/>
  <c r="D76" i="38"/>
  <c r="D114" i="38"/>
  <c r="D133" i="38"/>
  <c r="D78" i="38"/>
  <c r="D116" i="38"/>
  <c r="D135" i="38"/>
  <c r="D80" i="38"/>
  <c r="D137" i="38"/>
  <c r="D118" i="38"/>
  <c r="Z118" i="32"/>
  <c r="AA118" i="32"/>
  <c r="AB118" i="32"/>
  <c r="X118" i="32"/>
  <c r="Y118" i="32"/>
  <c r="D37" i="33"/>
  <c r="D132" i="33"/>
  <c r="D113" i="33"/>
  <c r="D140" i="33"/>
  <c r="D121" i="33"/>
  <c r="D76" i="33"/>
  <c r="D114" i="33"/>
  <c r="D133" i="33"/>
  <c r="D122" i="33"/>
  <c r="D141" i="33"/>
  <c r="D39" i="33"/>
  <c r="D134" i="33"/>
  <c r="D115" i="33"/>
  <c r="D120" i="33"/>
  <c r="D139" i="33"/>
  <c r="D82" i="33"/>
  <c r="D78" i="33"/>
  <c r="D135" i="33"/>
  <c r="D116" i="33"/>
  <c r="D41" i="33"/>
  <c r="D136" i="33"/>
  <c r="D117" i="33"/>
  <c r="D137" i="33"/>
  <c r="D118" i="33"/>
  <c r="D119" i="33"/>
  <c r="D138" i="33"/>
  <c r="V138" i="33"/>
  <c r="N138" i="33"/>
  <c r="J138" i="33"/>
  <c r="U138" i="33"/>
  <c r="X138" i="33"/>
  <c r="AB138" i="33"/>
  <c r="T138" i="33"/>
  <c r="L138" i="33"/>
  <c r="AA138" i="33"/>
  <c r="S138" i="33"/>
  <c r="K138" i="33"/>
  <c r="P138" i="33"/>
  <c r="O138" i="33"/>
  <c r="Z138" i="33"/>
  <c r="R138" i="33"/>
  <c r="Y138" i="33"/>
  <c r="D75" i="38"/>
  <c r="D83" i="38"/>
  <c r="N18" i="45"/>
  <c r="M25" i="43"/>
  <c r="D208" i="32"/>
  <c r="D155" i="32"/>
  <c r="D181" i="32"/>
  <c r="D109" i="32"/>
  <c r="D163" i="32"/>
  <c r="D189" i="32"/>
  <c r="D111" i="32"/>
  <c r="D165" i="32"/>
  <c r="D191" i="32"/>
  <c r="D209" i="32"/>
  <c r="D156" i="32"/>
  <c r="D182" i="32"/>
  <c r="D211" i="32"/>
  <c r="D184" i="32"/>
  <c r="D158" i="32"/>
  <c r="D210" i="32"/>
  <c r="D157" i="32"/>
  <c r="D183" i="32"/>
  <c r="D51" i="32"/>
  <c r="D159" i="32"/>
  <c r="D185" i="32"/>
  <c r="D194" i="32"/>
  <c r="D141" i="32"/>
  <c r="D168" i="32"/>
  <c r="D217" i="32"/>
  <c r="D164" i="32"/>
  <c r="D190" i="32"/>
  <c r="D133" i="32"/>
  <c r="D160" i="32"/>
  <c r="D186" i="32"/>
  <c r="D99" i="32"/>
  <c r="D153" i="32"/>
  <c r="D179" i="32"/>
  <c r="D214" i="32"/>
  <c r="D161" i="32"/>
  <c r="D187" i="32"/>
  <c r="D44" i="32"/>
  <c r="D152" i="32"/>
  <c r="D178" i="32"/>
  <c r="D73" i="32"/>
  <c r="D154" i="32"/>
  <c r="D180" i="32"/>
  <c r="D54" i="32"/>
  <c r="D188" i="32"/>
  <c r="D162" i="32"/>
  <c r="D135" i="32"/>
  <c r="D55" i="32"/>
  <c r="D47" i="32"/>
  <c r="D74" i="32"/>
  <c r="D136" i="32"/>
  <c r="D216" i="32"/>
  <c r="D107" i="32"/>
  <c r="D46" i="32"/>
  <c r="D215" i="32"/>
  <c r="D81" i="32"/>
  <c r="D101" i="32"/>
  <c r="S100" i="33"/>
  <c r="S120" i="34" s="1"/>
  <c r="Y71" i="48" s="1"/>
  <c r="K100" i="33"/>
  <c r="K120" i="34" s="1"/>
  <c r="Q71" i="48" s="1"/>
  <c r="Y81" i="33"/>
  <c r="Y119" i="34" s="1"/>
  <c r="D152" i="37"/>
  <c r="D61" i="31" s="1"/>
  <c r="D58" i="37"/>
  <c r="J60" i="39"/>
  <c r="J66" i="39" s="1"/>
  <c r="J32" i="39"/>
  <c r="AC26" i="48" s="1"/>
  <c r="J46" i="39"/>
  <c r="J52" i="39" s="1"/>
  <c r="D151" i="37"/>
  <c r="D60" i="31" s="1"/>
  <c r="D95" i="37"/>
  <c r="D57" i="37"/>
  <c r="D76" i="37"/>
  <c r="D39" i="37"/>
  <c r="D158" i="38"/>
  <c r="D101" i="38"/>
  <c r="D63" i="38"/>
  <c r="D44" i="38"/>
  <c r="D82" i="38"/>
  <c r="D149" i="37"/>
  <c r="D58" i="31" s="1"/>
  <c r="D93" i="37"/>
  <c r="D55" i="37"/>
  <c r="D97" i="37"/>
  <c r="D59" i="37"/>
  <c r="D78" i="37"/>
  <c r="D96" i="37"/>
  <c r="D153" i="38"/>
  <c r="D96" i="38"/>
  <c r="D58" i="38"/>
  <c r="D39" i="38"/>
  <c r="D153" i="37"/>
  <c r="D62" i="31" s="1"/>
  <c r="J33" i="39"/>
  <c r="AC27" i="48" s="1"/>
  <c r="D77" i="37"/>
  <c r="D155" i="38"/>
  <c r="D98" i="38"/>
  <c r="D60" i="38"/>
  <c r="D41" i="38"/>
  <c r="L33" i="39"/>
  <c r="AE27" i="48" s="1"/>
  <c r="T33" i="39"/>
  <c r="AM27" i="48" s="1"/>
  <c r="AB33" i="39"/>
  <c r="AF29" i="48"/>
  <c r="AN29" i="48"/>
  <c r="D77" i="38"/>
  <c r="D79" i="38"/>
  <c r="D154" i="37"/>
  <c r="D63" i="31" s="1"/>
  <c r="J74" i="39"/>
  <c r="J80" i="39" s="1"/>
  <c r="O33" i="39"/>
  <c r="AH27" i="48" s="1"/>
  <c r="W33" i="39"/>
  <c r="N34" i="39"/>
  <c r="AG28" i="48" s="1"/>
  <c r="V34" i="39"/>
  <c r="P33" i="39"/>
  <c r="AI27" i="48" s="1"/>
  <c r="X33" i="39"/>
  <c r="D60" i="37"/>
  <c r="J116" i="39"/>
  <c r="J122" i="39" s="1"/>
  <c r="R33" i="39"/>
  <c r="AK27" i="48" s="1"/>
  <c r="Z33" i="39"/>
  <c r="D156" i="38"/>
  <c r="D99" i="38"/>
  <c r="D61" i="38"/>
  <c r="D42" i="38"/>
  <c r="D157" i="38"/>
  <c r="D100" i="38"/>
  <c r="D62" i="38"/>
  <c r="D43" i="38"/>
  <c r="J36" i="39"/>
  <c r="AC30" i="48" s="1"/>
  <c r="R36" i="39"/>
  <c r="AK30" i="48" s="1"/>
  <c r="Z36" i="39"/>
  <c r="K36" i="39"/>
  <c r="AD30" i="48" s="1"/>
  <c r="S36" i="39"/>
  <c r="AL30" i="48" s="1"/>
  <c r="AA36" i="39"/>
  <c r="D154" i="38"/>
  <c r="D97" i="38"/>
  <c r="AJ29" i="48"/>
  <c r="O36" i="39"/>
  <c r="AH30" i="48" s="1"/>
  <c r="W36" i="39"/>
  <c r="D152" i="38"/>
  <c r="D95" i="38"/>
  <c r="D160" i="38"/>
  <c r="D103" i="38"/>
  <c r="D38" i="38"/>
  <c r="D40" i="38"/>
  <c r="D46" i="38"/>
  <c r="AD29" i="48"/>
  <c r="AL29" i="48"/>
  <c r="D151" i="38"/>
  <c r="D94" i="38"/>
  <c r="D159" i="38"/>
  <c r="D102" i="38"/>
  <c r="D56" i="38"/>
  <c r="D57" i="38"/>
  <c r="D59" i="38"/>
  <c r="D64" i="38"/>
  <c r="D65" i="38"/>
  <c r="AE29" i="48"/>
  <c r="AM29" i="48"/>
  <c r="J100" i="33"/>
  <c r="J120" i="34" s="1"/>
  <c r="P71" i="48" s="1"/>
  <c r="AA100" i="33"/>
  <c r="AA120" i="34" s="1"/>
  <c r="Y100" i="33"/>
  <c r="Y120" i="34" s="1"/>
  <c r="X100" i="33"/>
  <c r="X120" i="34" s="1"/>
  <c r="AB81" i="33"/>
  <c r="U100" i="33"/>
  <c r="U120" i="34" s="1"/>
  <c r="AA71" i="48" s="1"/>
  <c r="M100" i="33"/>
  <c r="M120" i="34" s="1"/>
  <c r="S71" i="48" s="1"/>
  <c r="AA81" i="33"/>
  <c r="R62" i="33"/>
  <c r="AB100" i="33"/>
  <c r="AB120" i="34" s="1"/>
  <c r="T100" i="33"/>
  <c r="T120" i="34" s="1"/>
  <c r="Z71" i="48" s="1"/>
  <c r="L100" i="33"/>
  <c r="L120" i="34" s="1"/>
  <c r="R71" i="48" s="1"/>
  <c r="Z81" i="33"/>
  <c r="R81" i="33"/>
  <c r="Z100" i="33"/>
  <c r="Z120" i="34" s="1"/>
  <c r="X81" i="33"/>
  <c r="L10" i="31"/>
  <c r="K10" i="31"/>
  <c r="J10" i="31"/>
  <c r="I10" i="31"/>
  <c r="H10" i="31"/>
  <c r="G10" i="31"/>
  <c r="N10" i="31"/>
  <c r="F10" i="31"/>
  <c r="M10" i="31"/>
  <c r="D207" i="32"/>
  <c r="D60" i="32"/>
  <c r="D56" i="32"/>
  <c r="D84" i="32"/>
  <c r="D114" i="32"/>
  <c r="D110" i="32"/>
  <c r="D138" i="32"/>
  <c r="D218" i="32"/>
  <c r="D221" i="32"/>
  <c r="D82" i="32"/>
  <c r="D128" i="32"/>
  <c r="D57" i="32"/>
  <c r="D87" i="32"/>
  <c r="D83" i="32"/>
  <c r="D137" i="32"/>
  <c r="D38" i="33"/>
  <c r="D152" i="33"/>
  <c r="D95" i="33"/>
  <c r="D57" i="33"/>
  <c r="D42" i="33"/>
  <c r="D99" i="33"/>
  <c r="D61" i="33"/>
  <c r="D156" i="33"/>
  <c r="D46" i="33"/>
  <c r="D160" i="33"/>
  <c r="D103" i="33"/>
  <c r="D65" i="33"/>
  <c r="D151" i="33"/>
  <c r="D75" i="33"/>
  <c r="D94" i="33"/>
  <c r="D56" i="33"/>
  <c r="D79" i="33"/>
  <c r="D155" i="33"/>
  <c r="D98" i="33"/>
  <c r="D60" i="33"/>
  <c r="D159" i="33"/>
  <c r="D83" i="33"/>
  <c r="D102" i="33"/>
  <c r="D64" i="33"/>
  <c r="D84" i="33"/>
  <c r="D81" i="33"/>
  <c r="D100" i="33"/>
  <c r="D157" i="33"/>
  <c r="D62" i="33"/>
  <c r="D45" i="33"/>
  <c r="D153" i="33"/>
  <c r="D77" i="33"/>
  <c r="D96" i="33"/>
  <c r="D58" i="33"/>
  <c r="D40" i="33"/>
  <c r="D97" i="33"/>
  <c r="D154" i="33"/>
  <c r="D59" i="33"/>
  <c r="D44" i="33"/>
  <c r="D101" i="33"/>
  <c r="D63" i="33"/>
  <c r="D158" i="33"/>
  <c r="D43" i="33"/>
  <c r="D80" i="33"/>
  <c r="D80" i="32"/>
  <c r="D134" i="32"/>
  <c r="D206" i="32"/>
  <c r="D53" i="32"/>
  <c r="D72" i="32"/>
  <c r="D126" i="32"/>
  <c r="D45" i="32"/>
  <c r="D108" i="32"/>
  <c r="D127" i="32"/>
  <c r="D100" i="32"/>
  <c r="D48" i="32"/>
  <c r="D77" i="32"/>
  <c r="D75" i="32"/>
  <c r="D102" i="32"/>
  <c r="D129" i="32"/>
  <c r="D78" i="32"/>
  <c r="D132" i="32"/>
  <c r="D131" i="32"/>
  <c r="D212" i="32"/>
  <c r="D105" i="32"/>
  <c r="D76" i="32"/>
  <c r="D130" i="32"/>
  <c r="D52" i="32"/>
  <c r="D106" i="32"/>
  <c r="D213" i="32"/>
  <c r="D50" i="32"/>
  <c r="D104" i="32"/>
  <c r="D49" i="32"/>
  <c r="D103" i="32"/>
  <c r="D79" i="32"/>
  <c r="D98" i="32"/>
  <c r="D205" i="32"/>
  <c r="D71" i="32"/>
  <c r="D125" i="32"/>
  <c r="AA119" i="34" l="1"/>
  <c r="X119" i="34"/>
  <c r="M106" i="47"/>
  <c r="L106" i="47"/>
  <c r="K106" i="47"/>
  <c r="J106" i="47"/>
  <c r="M34" i="43"/>
  <c r="M103" i="47"/>
  <c r="L103" i="47"/>
  <c r="K103" i="47"/>
  <c r="J103" i="47"/>
  <c r="M108" i="47"/>
  <c r="L108" i="47"/>
  <c r="P33" i="43"/>
  <c r="M102" i="47"/>
  <c r="L102" i="47"/>
  <c r="J102" i="47"/>
  <c r="K102" i="47"/>
  <c r="M98" i="47"/>
  <c r="L98" i="47"/>
  <c r="J98" i="47"/>
  <c r="P86" i="47"/>
  <c r="O86" i="47"/>
  <c r="P112" i="47"/>
  <c r="O112" i="47"/>
  <c r="N112" i="47"/>
  <c r="M105" i="47"/>
  <c r="L105" i="47"/>
  <c r="K105" i="47"/>
  <c r="J105" i="47"/>
  <c r="M107" i="47"/>
  <c r="L107" i="47"/>
  <c r="K107" i="47"/>
  <c r="J107" i="47"/>
  <c r="M33" i="43"/>
  <c r="M109" i="47"/>
  <c r="L109" i="47"/>
  <c r="K109" i="47"/>
  <c r="J109" i="47"/>
  <c r="Z119" i="34"/>
  <c r="AB119" i="34"/>
  <c r="R119" i="34"/>
  <c r="AC31" i="48"/>
  <c r="AC131" i="48" s="1"/>
  <c r="P23" i="37"/>
  <c r="O154" i="37" s="1"/>
  <c r="O23" i="37" s="1"/>
  <c r="N154" i="37" s="1"/>
  <c r="N23" i="37" s="1"/>
  <c r="M154" i="37" s="1"/>
  <c r="M23" i="37" s="1"/>
  <c r="L154" i="37" s="1"/>
  <c r="L23" i="37" s="1"/>
  <c r="K154" i="37" s="1"/>
  <c r="K23" i="37" s="1"/>
  <c r="K41" i="37" s="1"/>
  <c r="K117" i="37" s="1"/>
  <c r="K98" i="47"/>
  <c r="J108" i="47"/>
  <c r="K108" i="47"/>
  <c r="Q20" i="37"/>
  <c r="P151" i="37" s="1"/>
  <c r="J104" i="47"/>
  <c r="K104" i="47"/>
  <c r="L104" i="47"/>
  <c r="M104" i="47"/>
  <c r="Q21" i="37"/>
  <c r="P152" i="37" s="1"/>
  <c r="Q22" i="37"/>
  <c r="P153" i="37" s="1"/>
  <c r="M35" i="43"/>
  <c r="N37" i="37"/>
  <c r="N113" i="37" s="1"/>
  <c r="L44" i="37"/>
  <c r="L120" i="37" s="1"/>
  <c r="AC106" i="48"/>
  <c r="AC60" i="48"/>
  <c r="AC107" i="48"/>
  <c r="AC67" i="48"/>
  <c r="E40" i="31"/>
  <c r="E41" i="31"/>
  <c r="E42" i="31"/>
  <c r="AC33" i="48"/>
  <c r="AC38" i="48" s="1"/>
  <c r="AC132" i="48" s="1"/>
  <c r="AC40" i="48"/>
  <c r="AC45" i="48" s="1"/>
  <c r="AC133" i="48" s="1"/>
  <c r="AC68" i="48"/>
  <c r="AC72" i="48" s="1"/>
  <c r="AC47" i="48"/>
  <c r="AC52" i="48" s="1"/>
  <c r="R118" i="34"/>
  <c r="N86" i="47"/>
  <c r="Q86" i="47"/>
  <c r="G31" i="31"/>
  <c r="N31" i="31"/>
  <c r="G38" i="31"/>
  <c r="H31" i="31"/>
  <c r="K31" i="31"/>
  <c r="J31" i="31"/>
  <c r="M31" i="31"/>
  <c r="L31" i="31"/>
  <c r="H38" i="31"/>
  <c r="I31" i="31"/>
  <c r="F31" i="31"/>
  <c r="F38" i="31"/>
  <c r="N148" i="45"/>
  <c r="M27" i="43"/>
  <c r="J38" i="39"/>
  <c r="K46" i="39"/>
  <c r="K52" i="39" s="1"/>
  <c r="K116" i="39"/>
  <c r="K122" i="39" s="1"/>
  <c r="K102" i="39"/>
  <c r="K108" i="39" s="1"/>
  <c r="K88" i="39"/>
  <c r="K94" i="39" s="1"/>
  <c r="K74" i="39"/>
  <c r="K80" i="39" s="1"/>
  <c r="K60" i="39"/>
  <c r="K66" i="39" s="1"/>
  <c r="Q21" i="32" l="1"/>
  <c r="P208" i="32" s="1"/>
  <c r="Q76" i="47"/>
  <c r="Q77" i="47"/>
  <c r="Q72" i="47"/>
  <c r="X70" i="48"/>
  <c r="AC105" i="48"/>
  <c r="AC134" i="48"/>
  <c r="AC46" i="48"/>
  <c r="J154" i="37"/>
  <c r="J23" i="37" s="1"/>
  <c r="J41" i="37" s="1"/>
  <c r="J117" i="37" s="1"/>
  <c r="E43" i="31"/>
  <c r="L41" i="37"/>
  <c r="L117" i="37" s="1"/>
  <c r="Q80" i="47"/>
  <c r="Q23" i="32"/>
  <c r="P210" i="32" s="1"/>
  <c r="Q35" i="43"/>
  <c r="P21" i="37"/>
  <c r="O152" i="37" s="1"/>
  <c r="O21" i="37" s="1"/>
  <c r="N152" i="37" s="1"/>
  <c r="N21" i="37" s="1"/>
  <c r="M152" i="37" s="1"/>
  <c r="M21" i="37" s="1"/>
  <c r="L152" i="37" s="1"/>
  <c r="L21" i="37" s="1"/>
  <c r="K152" i="37" s="1"/>
  <c r="K21" i="37" s="1"/>
  <c r="J152" i="37" s="1"/>
  <c r="J21" i="37" s="1"/>
  <c r="Q18" i="32"/>
  <c r="P205" i="32" s="1"/>
  <c r="P22" i="37"/>
  <c r="O153" i="37" s="1"/>
  <c r="O22" i="37" s="1"/>
  <c r="N153" i="37" s="1"/>
  <c r="N22" i="37" s="1"/>
  <c r="M153" i="37" s="1"/>
  <c r="M22" i="37" s="1"/>
  <c r="Q79" i="47"/>
  <c r="P20" i="37"/>
  <c r="O151" i="37" s="1"/>
  <c r="O20" i="37" s="1"/>
  <c r="N151" i="37" s="1"/>
  <c r="N20" i="37" s="1"/>
  <c r="M151" i="37" s="1"/>
  <c r="M20" i="37" s="1"/>
  <c r="L151" i="37" s="1"/>
  <c r="L20" i="37" s="1"/>
  <c r="P84" i="37"/>
  <c r="P86" i="37" s="1"/>
  <c r="P103" i="37"/>
  <c r="P105" i="37" s="1"/>
  <c r="O84" i="37"/>
  <c r="O86" i="37" s="1"/>
  <c r="O103" i="37"/>
  <c r="O105" i="37" s="1"/>
  <c r="Q109" i="47"/>
  <c r="Q33" i="43"/>
  <c r="Q107" i="47"/>
  <c r="Q104" i="47"/>
  <c r="N84" i="37"/>
  <c r="N86" i="37" s="1"/>
  <c r="N103" i="37"/>
  <c r="N105" i="37" s="1"/>
  <c r="Q103" i="37"/>
  <c r="Q105" i="37" s="1"/>
  <c r="Q112" i="47"/>
  <c r="Q34" i="32"/>
  <c r="P221" i="32" s="1"/>
  <c r="P34" i="32" s="1"/>
  <c r="O221" i="32" s="1"/>
  <c r="O34" i="32" s="1"/>
  <c r="N221" i="32" s="1"/>
  <c r="N34" i="32" s="1"/>
  <c r="M221" i="32" s="1"/>
  <c r="M34" i="32" s="1"/>
  <c r="L221" i="32" s="1"/>
  <c r="M41" i="37"/>
  <c r="M117" i="37" s="1"/>
  <c r="M44" i="37"/>
  <c r="M120" i="37" s="1"/>
  <c r="O37" i="37"/>
  <c r="O113" i="37" s="1"/>
  <c r="N35" i="43"/>
  <c r="O35" i="43"/>
  <c r="N33" i="43"/>
  <c r="P35" i="43"/>
  <c r="O33" i="43"/>
  <c r="AC108" i="48"/>
  <c r="AC73" i="48"/>
  <c r="AC103" i="48"/>
  <c r="AC39" i="48"/>
  <c r="AC53" i="48"/>
  <c r="AC104" i="48"/>
  <c r="AC32" i="48"/>
  <c r="AC102" i="48"/>
  <c r="O98" i="47"/>
  <c r="O124" i="47"/>
  <c r="O108" i="47"/>
  <c r="O134" i="47"/>
  <c r="H45" i="31"/>
  <c r="H40" i="31"/>
  <c r="H42" i="31"/>
  <c r="H41" i="31"/>
  <c r="P98" i="47"/>
  <c r="P124" i="47"/>
  <c r="P102" i="47"/>
  <c r="P128" i="47"/>
  <c r="O103" i="47"/>
  <c r="O129" i="47"/>
  <c r="P108" i="47"/>
  <c r="P134" i="47"/>
  <c r="Q124" i="47"/>
  <c r="Q102" i="47"/>
  <c r="Q128" i="47"/>
  <c r="P103" i="47"/>
  <c r="P129" i="47"/>
  <c r="Q134" i="47"/>
  <c r="N103" i="47"/>
  <c r="N129" i="47"/>
  <c r="N98" i="47"/>
  <c r="N124" i="47"/>
  <c r="N102" i="47"/>
  <c r="N128" i="47"/>
  <c r="Q103" i="47"/>
  <c r="Q129" i="47"/>
  <c r="N108" i="47"/>
  <c r="N134" i="47"/>
  <c r="O102" i="47"/>
  <c r="O128" i="47"/>
  <c r="O104" i="47"/>
  <c r="O130" i="47"/>
  <c r="N105" i="47"/>
  <c r="N131" i="47"/>
  <c r="O122" i="47"/>
  <c r="O143" i="32"/>
  <c r="O100" i="33"/>
  <c r="O120" i="34" s="1"/>
  <c r="U71" i="48" s="1"/>
  <c r="O106" i="47"/>
  <c r="O132" i="47"/>
  <c r="N107" i="47"/>
  <c r="N133" i="47"/>
  <c r="N109" i="47"/>
  <c r="N135" i="47"/>
  <c r="P104" i="47"/>
  <c r="P130" i="47"/>
  <c r="O105" i="47"/>
  <c r="O131" i="47"/>
  <c r="P96" i="47"/>
  <c r="P122" i="47"/>
  <c r="P143" i="32"/>
  <c r="P100" i="33"/>
  <c r="P120" i="34" s="1"/>
  <c r="V71" i="48" s="1"/>
  <c r="P106" i="47"/>
  <c r="P132" i="47"/>
  <c r="O107" i="47"/>
  <c r="O133" i="47"/>
  <c r="O109" i="47"/>
  <c r="O135" i="47"/>
  <c r="F45" i="31"/>
  <c r="F40" i="31"/>
  <c r="F41" i="31"/>
  <c r="F42" i="31"/>
  <c r="Q130" i="47"/>
  <c r="P105" i="47"/>
  <c r="P131" i="47"/>
  <c r="Q122" i="47"/>
  <c r="Q143" i="32"/>
  <c r="Q100" i="33"/>
  <c r="Q120" i="34" s="1"/>
  <c r="W71" i="48" s="1"/>
  <c r="Q106" i="47"/>
  <c r="Q132" i="47"/>
  <c r="P107" i="47"/>
  <c r="P133" i="47"/>
  <c r="P109" i="47"/>
  <c r="P135" i="47"/>
  <c r="G45" i="31"/>
  <c r="G40" i="31"/>
  <c r="G41" i="31"/>
  <c r="G42" i="31"/>
  <c r="N104" i="47"/>
  <c r="N130" i="47"/>
  <c r="Q131" i="47"/>
  <c r="N96" i="47"/>
  <c r="N122" i="47"/>
  <c r="N143" i="32"/>
  <c r="N100" i="33"/>
  <c r="N120" i="34" s="1"/>
  <c r="T71" i="48" s="1"/>
  <c r="N106" i="47"/>
  <c r="N132" i="47"/>
  <c r="Q133" i="47"/>
  <c r="Q135" i="47"/>
  <c r="AD54" i="48"/>
  <c r="AD59" i="48" s="1"/>
  <c r="AD135" i="48" s="1"/>
  <c r="AD40" i="48"/>
  <c r="AD45" i="48" s="1"/>
  <c r="AD133" i="48" s="1"/>
  <c r="AD61" i="48"/>
  <c r="AD66" i="48" s="1"/>
  <c r="AD136" i="48" s="1"/>
  <c r="AD68" i="48"/>
  <c r="AD72" i="48" s="1"/>
  <c r="AD47" i="48"/>
  <c r="AD52" i="48" s="1"/>
  <c r="AD33" i="48"/>
  <c r="AD38" i="48" s="1"/>
  <c r="AD132" i="48" s="1"/>
  <c r="M96" i="47"/>
  <c r="M116" i="32"/>
  <c r="M81" i="33"/>
  <c r="N36" i="43"/>
  <c r="L96" i="47"/>
  <c r="L116" i="32"/>
  <c r="L81" i="33"/>
  <c r="O36" i="43"/>
  <c r="P36" i="43"/>
  <c r="O96" i="47"/>
  <c r="Q36" i="43"/>
  <c r="J96" i="47"/>
  <c r="J116" i="32"/>
  <c r="J81" i="33"/>
  <c r="K96" i="47"/>
  <c r="K116" i="32"/>
  <c r="K81" i="33"/>
  <c r="M36" i="43"/>
  <c r="M38" i="43" s="1"/>
  <c r="N200" i="45"/>
  <c r="N25" i="43"/>
  <c r="L88" i="39"/>
  <c r="L94" i="39" s="1"/>
  <c r="L116" i="39"/>
  <c r="L122" i="39" s="1"/>
  <c r="L46" i="39"/>
  <c r="L52" i="39" s="1"/>
  <c r="L74" i="39"/>
  <c r="L80" i="39" s="1"/>
  <c r="L60" i="39"/>
  <c r="L66" i="39" s="1"/>
  <c r="L102" i="39"/>
  <c r="L108" i="39" s="1"/>
  <c r="K32" i="39"/>
  <c r="L86" i="47" l="1"/>
  <c r="K119" i="34"/>
  <c r="L119" i="34"/>
  <c r="J119" i="34"/>
  <c r="AD105" i="48"/>
  <c r="AD134" i="48"/>
  <c r="AD60" i="48"/>
  <c r="AD73" i="48"/>
  <c r="AD39" i="48"/>
  <c r="AD46" i="48"/>
  <c r="Q22" i="32"/>
  <c r="P209" i="32" s="1"/>
  <c r="M38" i="37"/>
  <c r="M114" i="37" s="1"/>
  <c r="Q25" i="32"/>
  <c r="P212" i="32" s="1"/>
  <c r="Q105" i="47"/>
  <c r="Q27" i="32"/>
  <c r="P214" i="32" s="1"/>
  <c r="Q24" i="32"/>
  <c r="P211" i="32" s="1"/>
  <c r="M39" i="37"/>
  <c r="M115" i="37" s="1"/>
  <c r="K39" i="37"/>
  <c r="K115" i="37" s="1"/>
  <c r="Q70" i="47"/>
  <c r="H43" i="31"/>
  <c r="L39" i="37"/>
  <c r="L115" i="37" s="1"/>
  <c r="L153" i="37"/>
  <c r="L22" i="37" s="1"/>
  <c r="L40" i="37" s="1"/>
  <c r="L116" i="37" s="1"/>
  <c r="M40" i="37"/>
  <c r="M116" i="37" s="1"/>
  <c r="Q28" i="32"/>
  <c r="P215" i="32" s="1"/>
  <c r="Q82" i="47"/>
  <c r="A105" i="37"/>
  <c r="Q78" i="47"/>
  <c r="Q20" i="32"/>
  <c r="P207" i="32" s="1"/>
  <c r="Q19" i="32"/>
  <c r="P206" i="32" s="1"/>
  <c r="Q81" i="47"/>
  <c r="Q83" i="47"/>
  <c r="P21" i="32"/>
  <c r="O208" i="32" s="1"/>
  <c r="P23" i="32"/>
  <c r="O210" i="32" s="1"/>
  <c r="P70" i="47"/>
  <c r="K151" i="37"/>
  <c r="K20" i="37" s="1"/>
  <c r="L38" i="37"/>
  <c r="L114" i="37" s="1"/>
  <c r="Q98" i="47"/>
  <c r="Q108" i="47"/>
  <c r="Q18" i="37"/>
  <c r="P149" i="37" s="1"/>
  <c r="Q84" i="37"/>
  <c r="Q86" i="37" s="1"/>
  <c r="J39" i="37"/>
  <c r="J115" i="37" s="1"/>
  <c r="N38" i="37"/>
  <c r="N114" i="37" s="1"/>
  <c r="N40" i="37"/>
  <c r="N116" i="37" s="1"/>
  <c r="N39" i="37"/>
  <c r="N115" i="37" s="1"/>
  <c r="N44" i="37"/>
  <c r="N120" i="37" s="1"/>
  <c r="P37" i="37"/>
  <c r="P113" i="37" s="1"/>
  <c r="N41" i="37"/>
  <c r="N117" i="37" s="1"/>
  <c r="Q34" i="43"/>
  <c r="Q38" i="43" s="1"/>
  <c r="Q40" i="43" s="1"/>
  <c r="O34" i="43"/>
  <c r="O38" i="43" s="1"/>
  <c r="O40" i="43" s="1"/>
  <c r="N34" i="43"/>
  <c r="N38" i="43" s="1"/>
  <c r="P34" i="43"/>
  <c r="P38" i="43" s="1"/>
  <c r="P40" i="43" s="1"/>
  <c r="AD53" i="48"/>
  <c r="AD107" i="48"/>
  <c r="AD67" i="48"/>
  <c r="AD103" i="48"/>
  <c r="AD104" i="48"/>
  <c r="AD106" i="48"/>
  <c r="AD108" i="48"/>
  <c r="O116" i="32"/>
  <c r="Q116" i="32"/>
  <c r="N81" i="33"/>
  <c r="O81" i="33"/>
  <c r="N116" i="32"/>
  <c r="Q81" i="33"/>
  <c r="Q96" i="47"/>
  <c r="P116" i="32"/>
  <c r="F43" i="31"/>
  <c r="N145" i="32"/>
  <c r="P145" i="32"/>
  <c r="O145" i="32"/>
  <c r="P81" i="33"/>
  <c r="G43" i="31"/>
  <c r="Q145" i="32"/>
  <c r="AE68" i="48"/>
  <c r="AE72" i="48" s="1"/>
  <c r="AE54" i="48"/>
  <c r="AE59" i="48" s="1"/>
  <c r="AE135" i="48" s="1"/>
  <c r="K38" i="39"/>
  <c r="AD26" i="48"/>
  <c r="AD31" i="48" s="1"/>
  <c r="AD131" i="48" s="1"/>
  <c r="AE33" i="48"/>
  <c r="AE38" i="48" s="1"/>
  <c r="AE132" i="48" s="1"/>
  <c r="AE61" i="48"/>
  <c r="AE66" i="48" s="1"/>
  <c r="AE136" i="48" s="1"/>
  <c r="AE40" i="48"/>
  <c r="AE45" i="48" s="1"/>
  <c r="AE133" i="48" s="1"/>
  <c r="AE47" i="48"/>
  <c r="AE52" i="48" s="1"/>
  <c r="L118" i="32"/>
  <c r="K118" i="32"/>
  <c r="J118" i="32"/>
  <c r="M118" i="32"/>
  <c r="M40" i="43"/>
  <c r="M16" i="43"/>
  <c r="O18" i="45"/>
  <c r="N27" i="43"/>
  <c r="M88" i="39"/>
  <c r="M94" i="39" s="1"/>
  <c r="M46" i="39"/>
  <c r="M52" i="39" s="1"/>
  <c r="M116" i="39"/>
  <c r="M122" i="39" s="1"/>
  <c r="M60" i="39"/>
  <c r="M66" i="39" s="1"/>
  <c r="M102" i="39"/>
  <c r="M108" i="39" s="1"/>
  <c r="M74" i="39"/>
  <c r="M80" i="39" s="1"/>
  <c r="P79" i="47" l="1"/>
  <c r="P25" i="32"/>
  <c r="O212" i="32" s="1"/>
  <c r="P22" i="32"/>
  <c r="O209" i="32" s="1"/>
  <c r="P72" i="47"/>
  <c r="P80" i="47"/>
  <c r="P24" i="32"/>
  <c r="O211" i="32" s="1"/>
  <c r="L34" i="32"/>
  <c r="K221" i="32" s="1"/>
  <c r="K34" i="32" s="1"/>
  <c r="P119" i="34"/>
  <c r="N119" i="34"/>
  <c r="O119" i="34"/>
  <c r="AE39" i="48"/>
  <c r="AE105" i="48"/>
  <c r="AE134" i="48"/>
  <c r="AE46" i="48"/>
  <c r="AE60" i="48"/>
  <c r="AE67" i="48"/>
  <c r="AE73" i="48"/>
  <c r="K153" i="37"/>
  <c r="K22" i="37" s="1"/>
  <c r="K40" i="37" s="1"/>
  <c r="K116" i="37" s="1"/>
  <c r="Q29" i="32"/>
  <c r="P216" i="32" s="1"/>
  <c r="Q31" i="32"/>
  <c r="P218" i="32" s="1"/>
  <c r="Q62" i="33"/>
  <c r="Q118" i="34" s="1"/>
  <c r="Q89" i="32"/>
  <c r="Q91" i="32" s="1"/>
  <c r="Q26" i="32"/>
  <c r="P213" i="32" s="1"/>
  <c r="Q30" i="32"/>
  <c r="P217" i="32" s="1"/>
  <c r="P18" i="37"/>
  <c r="O149" i="37" s="1"/>
  <c r="P163" i="37"/>
  <c r="O23" i="32"/>
  <c r="N210" i="32" s="1"/>
  <c r="O21" i="32"/>
  <c r="N208" i="32" s="1"/>
  <c r="P28" i="32"/>
  <c r="O215" i="32" s="1"/>
  <c r="P18" i="32"/>
  <c r="O205" i="32" s="1"/>
  <c r="K38" i="37"/>
  <c r="K114" i="37" s="1"/>
  <c r="J151" i="37"/>
  <c r="J20" i="37" s="1"/>
  <c r="N118" i="32"/>
  <c r="O41" i="37"/>
  <c r="O117" i="37" s="1"/>
  <c r="O44" i="37"/>
  <c r="O120" i="37" s="1"/>
  <c r="O39" i="37"/>
  <c r="O115" i="37" s="1"/>
  <c r="O40" i="37"/>
  <c r="O116" i="37" s="1"/>
  <c r="O38" i="37"/>
  <c r="O114" i="37" s="1"/>
  <c r="Q37" i="37"/>
  <c r="Q113" i="37" s="1"/>
  <c r="Q118" i="32"/>
  <c r="N40" i="43"/>
  <c r="N16" i="43"/>
  <c r="O118" i="32"/>
  <c r="AD102" i="48"/>
  <c r="AD32" i="48"/>
  <c r="AE53" i="48"/>
  <c r="AE108" i="48"/>
  <c r="AE104" i="48"/>
  <c r="AE106" i="48"/>
  <c r="AE103" i="48"/>
  <c r="AE107" i="48"/>
  <c r="P118" i="32"/>
  <c r="AF68" i="48"/>
  <c r="AF72" i="48" s="1"/>
  <c r="AF33" i="48"/>
  <c r="AF38" i="48" s="1"/>
  <c r="AF132" i="48" s="1"/>
  <c r="AF54" i="48"/>
  <c r="AF59" i="48" s="1"/>
  <c r="AF135" i="48" s="1"/>
  <c r="AF47" i="48"/>
  <c r="AF52" i="48" s="1"/>
  <c r="AF61" i="48"/>
  <c r="AF66" i="48" s="1"/>
  <c r="AF136" i="48" s="1"/>
  <c r="AF40" i="48"/>
  <c r="AF45" i="48" s="1"/>
  <c r="AF133" i="48" s="1"/>
  <c r="O148" i="45"/>
  <c r="O25" i="43"/>
  <c r="O16" i="43" s="1"/>
  <c r="L32" i="39"/>
  <c r="N60" i="39"/>
  <c r="N66" i="39" s="1"/>
  <c r="N46" i="39"/>
  <c r="N52" i="39" s="1"/>
  <c r="N74" i="39"/>
  <c r="N80" i="39" s="1"/>
  <c r="N116" i="39"/>
  <c r="N122" i="39" s="1"/>
  <c r="N88" i="39"/>
  <c r="N94" i="39" s="1"/>
  <c r="N102" i="39"/>
  <c r="N108" i="39" s="1"/>
  <c r="P27" i="32" l="1"/>
  <c r="O214" i="32" s="1"/>
  <c r="O79" i="47" s="1"/>
  <c r="P20" i="32"/>
  <c r="O207" i="32" s="1"/>
  <c r="O72" i="47" s="1"/>
  <c r="O22" i="32"/>
  <c r="N209" i="32" s="1"/>
  <c r="P31" i="32"/>
  <c r="O218" i="32" s="1"/>
  <c r="P77" i="47"/>
  <c r="P78" i="47"/>
  <c r="P29" i="32"/>
  <c r="O216" i="32" s="1"/>
  <c r="P82" i="47"/>
  <c r="P76" i="47"/>
  <c r="J221" i="32"/>
  <c r="J34" i="32" s="1"/>
  <c r="K60" i="32"/>
  <c r="J153" i="37"/>
  <c r="J22" i="37" s="1"/>
  <c r="J40" i="37" s="1"/>
  <c r="J116" i="37" s="1"/>
  <c r="AF46" i="48"/>
  <c r="AF39" i="48"/>
  <c r="AF67" i="48"/>
  <c r="AF73" i="48"/>
  <c r="AF105" i="48"/>
  <c r="AF134" i="48"/>
  <c r="P227" i="32"/>
  <c r="O18" i="37"/>
  <c r="N149" i="37" s="1"/>
  <c r="O163" i="37"/>
  <c r="N21" i="32"/>
  <c r="M208" i="32" s="1"/>
  <c r="N23" i="32"/>
  <c r="M210" i="32" s="1"/>
  <c r="P19" i="32"/>
  <c r="O206" i="32" s="1"/>
  <c r="O77" i="47"/>
  <c r="O76" i="47"/>
  <c r="O80" i="47"/>
  <c r="O70" i="47"/>
  <c r="J38" i="37"/>
  <c r="J114" i="37" s="1"/>
  <c r="P40" i="37"/>
  <c r="P116" i="37" s="1"/>
  <c r="P39" i="37"/>
  <c r="P115" i="37" s="1"/>
  <c r="P44" i="37"/>
  <c r="P120" i="37" s="1"/>
  <c r="P38" i="37"/>
  <c r="P114" i="37" s="1"/>
  <c r="P41" i="37"/>
  <c r="P117" i="37" s="1"/>
  <c r="M60" i="32"/>
  <c r="M60" i="47" s="1"/>
  <c r="AF106" i="48"/>
  <c r="AF60" i="48"/>
  <c r="AF53" i="48"/>
  <c r="AF107" i="48"/>
  <c r="AF103" i="48"/>
  <c r="AF108" i="48"/>
  <c r="AF104" i="48"/>
  <c r="AG33" i="48"/>
  <c r="AG38" i="48" s="1"/>
  <c r="AG132" i="48" s="1"/>
  <c r="L38" i="39"/>
  <c r="AE26" i="48"/>
  <c r="AE31" i="48" s="1"/>
  <c r="AE131" i="48" s="1"/>
  <c r="AG60" i="48"/>
  <c r="AG54" i="48"/>
  <c r="AG59" i="48" s="1"/>
  <c r="AG135" i="48" s="1"/>
  <c r="AG68" i="48"/>
  <c r="AG72" i="48" s="1"/>
  <c r="AG40" i="48"/>
  <c r="AG45" i="48" s="1"/>
  <c r="AG133" i="48" s="1"/>
  <c r="AG61" i="48"/>
  <c r="AG66" i="48" s="1"/>
  <c r="AG136" i="48" s="1"/>
  <c r="AG47" i="48"/>
  <c r="AG52" i="48" s="1"/>
  <c r="O200" i="45"/>
  <c r="O27" i="43"/>
  <c r="O46" i="39"/>
  <c r="O52" i="39" s="1"/>
  <c r="O88" i="39"/>
  <c r="O94" i="39" s="1"/>
  <c r="O102" i="39"/>
  <c r="O108" i="39" s="1"/>
  <c r="O60" i="39"/>
  <c r="O66" i="39" s="1"/>
  <c r="O116" i="39"/>
  <c r="O122" i="39" s="1"/>
  <c r="O74" i="39"/>
  <c r="O80" i="39" s="1"/>
  <c r="P62" i="33" l="1"/>
  <c r="P118" i="34" s="1"/>
  <c r="V70" i="48" s="1"/>
  <c r="P89" i="32"/>
  <c r="P91" i="32" s="1"/>
  <c r="P30" i="32"/>
  <c r="O217" i="32" s="1"/>
  <c r="P81" i="47"/>
  <c r="O81" i="47"/>
  <c r="N22" i="32"/>
  <c r="M209" i="32" s="1"/>
  <c r="P83" i="47"/>
  <c r="P26" i="32"/>
  <c r="O213" i="32" s="1"/>
  <c r="O227" i="32" s="1"/>
  <c r="O30" i="32"/>
  <c r="N217" i="32" s="1"/>
  <c r="K60" i="47"/>
  <c r="K168" i="32"/>
  <c r="L60" i="32" s="1"/>
  <c r="J34" i="47"/>
  <c r="J60" i="32"/>
  <c r="J60" i="47" s="1"/>
  <c r="J164" i="47" s="1"/>
  <c r="J216" i="47" s="1"/>
  <c r="K34" i="47" s="1"/>
  <c r="O31" i="32"/>
  <c r="N218" i="32" s="1"/>
  <c r="AG46" i="48"/>
  <c r="AE32" i="48"/>
  <c r="AG39" i="48"/>
  <c r="AG73" i="48"/>
  <c r="AG105" i="48"/>
  <c r="AG134" i="48"/>
  <c r="M23" i="32"/>
  <c r="M21" i="32"/>
  <c r="N18" i="37"/>
  <c r="M149" i="37" s="1"/>
  <c r="N163" i="37"/>
  <c r="O18" i="32"/>
  <c r="N205" i="32" s="1"/>
  <c r="O25" i="32"/>
  <c r="N212" i="32" s="1"/>
  <c r="O28" i="32"/>
  <c r="N215" i="32" s="1"/>
  <c r="O27" i="32"/>
  <c r="N214" i="32" s="1"/>
  <c r="O24" i="32"/>
  <c r="N211" i="32" s="1"/>
  <c r="O20" i="32"/>
  <c r="N207" i="32" s="1"/>
  <c r="O83" i="47"/>
  <c r="Q41" i="37"/>
  <c r="Q117" i="37" s="1"/>
  <c r="Q44" i="37"/>
  <c r="Q120" i="37" s="1"/>
  <c r="R37" i="37"/>
  <c r="R113" i="37" s="1"/>
  <c r="R150" i="37" s="1"/>
  <c r="S19" i="37" s="1"/>
  <c r="Q39" i="37"/>
  <c r="Q115" i="37" s="1"/>
  <c r="Q40" i="37"/>
  <c r="Q116" i="37" s="1"/>
  <c r="Q38" i="37"/>
  <c r="Q114" i="37" s="1"/>
  <c r="M168" i="32"/>
  <c r="AG107" i="48"/>
  <c r="AG67" i="48"/>
  <c r="AG53" i="48"/>
  <c r="AG106" i="48"/>
  <c r="AG103" i="48"/>
  <c r="AG104" i="48"/>
  <c r="AE102" i="48"/>
  <c r="AG108" i="48"/>
  <c r="AH33" i="48"/>
  <c r="AH38" i="48" s="1"/>
  <c r="AH132" i="48" s="1"/>
  <c r="AH47" i="48"/>
  <c r="AH52" i="48" s="1"/>
  <c r="AH68" i="48"/>
  <c r="AH72" i="48" s="1"/>
  <c r="AH40" i="48"/>
  <c r="AH45" i="48" s="1"/>
  <c r="AH133" i="48" s="1"/>
  <c r="AH54" i="48"/>
  <c r="AH59" i="48" s="1"/>
  <c r="AH135" i="48" s="1"/>
  <c r="AH61" i="48"/>
  <c r="AH66" i="48" s="1"/>
  <c r="AH136" i="48" s="1"/>
  <c r="P18" i="45"/>
  <c r="P25" i="43"/>
  <c r="P16" i="43" s="1"/>
  <c r="P46" i="39"/>
  <c r="P52" i="39" s="1"/>
  <c r="P88" i="39"/>
  <c r="P94" i="39" s="1"/>
  <c r="P74" i="39"/>
  <c r="P80" i="39" s="1"/>
  <c r="P102" i="39"/>
  <c r="P108" i="39" s="1"/>
  <c r="M32" i="39"/>
  <c r="P116" i="39"/>
  <c r="P122" i="39" s="1"/>
  <c r="P60" i="39"/>
  <c r="P66" i="39" s="1"/>
  <c r="K164" i="47" l="1"/>
  <c r="K216" i="47" s="1"/>
  <c r="L34" i="47" s="1"/>
  <c r="M22" i="32"/>
  <c r="O82" i="47"/>
  <c r="O29" i="32"/>
  <c r="N216" i="32" s="1"/>
  <c r="N81" i="47" s="1"/>
  <c r="N31" i="32"/>
  <c r="M218" i="32" s="1"/>
  <c r="L60" i="47"/>
  <c r="L168" i="32"/>
  <c r="J168" i="32"/>
  <c r="AH105" i="48"/>
  <c r="AH134" i="48"/>
  <c r="AH46" i="48"/>
  <c r="AH67" i="48"/>
  <c r="AH73" i="48"/>
  <c r="AH60" i="48"/>
  <c r="AH39" i="48"/>
  <c r="O19" i="32"/>
  <c r="N206" i="32" s="1"/>
  <c r="M47" i="32"/>
  <c r="M155" i="32" s="1"/>
  <c r="L208" i="32"/>
  <c r="L210" i="32"/>
  <c r="M49" i="32"/>
  <c r="M157" i="32" s="1"/>
  <c r="M18" i="37"/>
  <c r="L149" i="37" s="1"/>
  <c r="M163" i="37"/>
  <c r="N77" i="47"/>
  <c r="N82" i="47"/>
  <c r="N70" i="47"/>
  <c r="N72" i="47"/>
  <c r="N76" i="47"/>
  <c r="N79" i="47"/>
  <c r="N80" i="47"/>
  <c r="S37" i="37"/>
  <c r="R44" i="37"/>
  <c r="R120" i="37" s="1"/>
  <c r="R157" i="37" s="1"/>
  <c r="S26" i="37" s="1"/>
  <c r="N47" i="32"/>
  <c r="N155" i="32" s="1"/>
  <c r="N48" i="32"/>
  <c r="N156" i="32" s="1"/>
  <c r="N49" i="32"/>
  <c r="N157" i="32" s="1"/>
  <c r="N60" i="32"/>
  <c r="N60" i="47" s="1"/>
  <c r="M180" i="47"/>
  <c r="AH53" i="48"/>
  <c r="AH108" i="48"/>
  <c r="AH107" i="48"/>
  <c r="AH106" i="48"/>
  <c r="AH104" i="48"/>
  <c r="AH103" i="48"/>
  <c r="AI40" i="48"/>
  <c r="AI45" i="48" s="1"/>
  <c r="AI133" i="48" s="1"/>
  <c r="M38" i="39"/>
  <c r="AF26" i="48"/>
  <c r="AF31" i="48" s="1"/>
  <c r="AF131" i="48" s="1"/>
  <c r="AI33" i="48"/>
  <c r="AI38" i="48" s="1"/>
  <c r="AI132" i="48" s="1"/>
  <c r="AI68" i="48"/>
  <c r="AI72" i="48" s="1"/>
  <c r="AI54" i="48"/>
  <c r="AI59" i="48" s="1"/>
  <c r="AI135" i="48" s="1"/>
  <c r="AI61" i="48"/>
  <c r="AI66" i="48" s="1"/>
  <c r="AI136" i="48" s="1"/>
  <c r="AI47" i="48"/>
  <c r="AI52" i="48" s="1"/>
  <c r="Q190" i="47"/>
  <c r="P148" i="45"/>
  <c r="P27" i="43"/>
  <c r="Q116" i="39"/>
  <c r="Q122" i="39" s="1"/>
  <c r="Q60" i="39"/>
  <c r="Q66" i="39" s="1"/>
  <c r="Q102" i="39"/>
  <c r="Q108" i="39" s="1"/>
  <c r="Q46" i="39"/>
  <c r="Q52" i="39" s="1"/>
  <c r="Q74" i="39"/>
  <c r="Q80" i="39" s="1"/>
  <c r="Q88" i="39"/>
  <c r="Q94" i="39" s="1"/>
  <c r="L164" i="47" l="1"/>
  <c r="L216" i="47" s="1"/>
  <c r="M34" i="47" s="1"/>
  <c r="M164" i="47" s="1"/>
  <c r="M216" i="47" s="1"/>
  <c r="N34" i="47" s="1"/>
  <c r="N164" i="47" s="1"/>
  <c r="N216" i="47" s="1"/>
  <c r="O34" i="47" s="1"/>
  <c r="N83" i="47"/>
  <c r="O26" i="32"/>
  <c r="N213" i="32" s="1"/>
  <c r="N78" i="47" s="1"/>
  <c r="O62" i="33"/>
  <c r="O118" i="34" s="1"/>
  <c r="U70" i="48" s="1"/>
  <c r="O89" i="32"/>
  <c r="O91" i="32" s="1"/>
  <c r="L209" i="32"/>
  <c r="L22" i="32" s="1"/>
  <c r="L48" i="32" s="1"/>
  <c r="L156" i="32" s="1"/>
  <c r="M48" i="32"/>
  <c r="M156" i="32" s="1"/>
  <c r="L21" i="32"/>
  <c r="M83" i="47"/>
  <c r="O78" i="47"/>
  <c r="N227" i="32"/>
  <c r="N19" i="32"/>
  <c r="L23" i="32"/>
  <c r="AI39" i="48"/>
  <c r="AI46" i="48"/>
  <c r="AF32" i="48"/>
  <c r="AI73" i="48"/>
  <c r="AI67" i="48"/>
  <c r="AI105" i="48"/>
  <c r="AI134" i="48"/>
  <c r="M28" i="37"/>
  <c r="M30" i="37" s="1"/>
  <c r="M36" i="37"/>
  <c r="M46" i="37" s="1"/>
  <c r="M48" i="37" s="1"/>
  <c r="N20" i="32"/>
  <c r="M207" i="32" s="1"/>
  <c r="L18" i="37"/>
  <c r="L163" i="37"/>
  <c r="L159" i="37"/>
  <c r="N24" i="32"/>
  <c r="M211" i="32" s="1"/>
  <c r="N28" i="32"/>
  <c r="M215" i="32" s="1"/>
  <c r="N29" i="32"/>
  <c r="M216" i="32" s="1"/>
  <c r="N18" i="32"/>
  <c r="M205" i="32" s="1"/>
  <c r="N30" i="32"/>
  <c r="M217" i="32" s="1"/>
  <c r="N27" i="32"/>
  <c r="M214" i="32" s="1"/>
  <c r="N25" i="32"/>
  <c r="M212" i="32" s="1"/>
  <c r="N168" i="32"/>
  <c r="R41" i="37"/>
  <c r="R117" i="37" s="1"/>
  <c r="R154" i="37" s="1"/>
  <c r="S23" i="37" s="1"/>
  <c r="R38" i="37"/>
  <c r="R114" i="37" s="1"/>
  <c r="R151" i="37" s="1"/>
  <c r="S20" i="37" s="1"/>
  <c r="S44" i="37"/>
  <c r="S120" i="37" s="1"/>
  <c r="S157" i="37" s="1"/>
  <c r="T26" i="37" s="1"/>
  <c r="R40" i="37"/>
  <c r="R116" i="37" s="1"/>
  <c r="R153" i="37" s="1"/>
  <c r="S22" i="37" s="1"/>
  <c r="R39" i="37"/>
  <c r="R115" i="37" s="1"/>
  <c r="R152" i="37" s="1"/>
  <c r="S21" i="37" s="1"/>
  <c r="O47" i="32"/>
  <c r="O155" i="32" s="1"/>
  <c r="O49" i="32"/>
  <c r="O157" i="32" s="1"/>
  <c r="O48" i="32"/>
  <c r="O156" i="32" s="1"/>
  <c r="O60" i="32"/>
  <c r="O60" i="47" s="1"/>
  <c r="M183" i="47"/>
  <c r="M185" i="47"/>
  <c r="M181" i="47"/>
  <c r="M182" i="47"/>
  <c r="O45" i="32"/>
  <c r="O153" i="32" s="1"/>
  <c r="M187" i="47"/>
  <c r="M186" i="47"/>
  <c r="AI106" i="48"/>
  <c r="AI60" i="48"/>
  <c r="AI53" i="48"/>
  <c r="AI107" i="48"/>
  <c r="AF102" i="48"/>
  <c r="AI103" i="48"/>
  <c r="AI104" i="48"/>
  <c r="AI108" i="48"/>
  <c r="AJ54" i="48"/>
  <c r="AJ59" i="48" s="1"/>
  <c r="AJ135" i="48" s="1"/>
  <c r="AJ47" i="48"/>
  <c r="AJ52" i="48" s="1"/>
  <c r="AJ33" i="48"/>
  <c r="AJ38" i="48" s="1"/>
  <c r="AJ132" i="48" s="1"/>
  <c r="AJ61" i="48"/>
  <c r="AJ66" i="48" s="1"/>
  <c r="AJ136" i="48" s="1"/>
  <c r="AJ68" i="48"/>
  <c r="AJ72" i="48" s="1"/>
  <c r="AJ40" i="48"/>
  <c r="AJ45" i="48" s="1"/>
  <c r="AJ133" i="48" s="1"/>
  <c r="P200" i="45"/>
  <c r="Q25" i="43"/>
  <c r="Q16" i="43" s="1"/>
  <c r="R74" i="39"/>
  <c r="R80" i="39" s="1"/>
  <c r="R102" i="39"/>
  <c r="R108" i="39" s="1"/>
  <c r="R46" i="39"/>
  <c r="R52" i="39" s="1"/>
  <c r="R60" i="39"/>
  <c r="R66" i="39" s="1"/>
  <c r="R116" i="39"/>
  <c r="R122" i="39" s="1"/>
  <c r="R88" i="39"/>
  <c r="R94" i="39" s="1"/>
  <c r="N32" i="39"/>
  <c r="N89" i="32" l="1"/>
  <c r="N91" i="32" s="1"/>
  <c r="M112" i="37"/>
  <c r="N26" i="32"/>
  <c r="M213" i="32" s="1"/>
  <c r="M78" i="47" s="1"/>
  <c r="M206" i="32"/>
  <c r="N45" i="32"/>
  <c r="N153" i="32" s="1"/>
  <c r="K209" i="32"/>
  <c r="N62" i="33"/>
  <c r="N118" i="34" s="1"/>
  <c r="T70" i="48" s="1"/>
  <c r="K208" i="32"/>
  <c r="K21" i="32" s="1"/>
  <c r="L47" i="32"/>
  <c r="L155" i="32" s="1"/>
  <c r="O164" i="47"/>
  <c r="O216" i="47" s="1"/>
  <c r="P34" i="47" s="1"/>
  <c r="M31" i="32"/>
  <c r="L49" i="32"/>
  <c r="L157" i="32" s="1"/>
  <c r="K210" i="32"/>
  <c r="K23" i="32" s="1"/>
  <c r="AJ105" i="48"/>
  <c r="AJ134" i="48"/>
  <c r="AJ73" i="48"/>
  <c r="AJ60" i="48"/>
  <c r="AJ67" i="48"/>
  <c r="AJ46" i="48"/>
  <c r="M49" i="37"/>
  <c r="N50" i="32"/>
  <c r="N50" i="47" s="1"/>
  <c r="M82" i="47"/>
  <c r="M76" i="47"/>
  <c r="M77" i="47"/>
  <c r="K149" i="37"/>
  <c r="L36" i="37"/>
  <c r="L46" i="37" s="1"/>
  <c r="L48" i="37" s="1"/>
  <c r="L28" i="37"/>
  <c r="M79" i="47"/>
  <c r="M70" i="47"/>
  <c r="M72" i="47"/>
  <c r="M81" i="47"/>
  <c r="M80" i="47"/>
  <c r="M18" i="32"/>
  <c r="L205" i="32" s="1"/>
  <c r="N51" i="32"/>
  <c r="N51" i="47" s="1"/>
  <c r="N52" i="32"/>
  <c r="N52" i="47" s="1"/>
  <c r="N54" i="32"/>
  <c r="N54" i="47" s="1"/>
  <c r="S39" i="37"/>
  <c r="T44" i="37"/>
  <c r="T120" i="37" s="1"/>
  <c r="T157" i="37" s="1"/>
  <c r="S40" i="37"/>
  <c r="S38" i="37"/>
  <c r="S41" i="37"/>
  <c r="M122" i="37"/>
  <c r="M124" i="37" s="1"/>
  <c r="M140" i="37"/>
  <c r="P45" i="32"/>
  <c r="P153" i="32" s="1"/>
  <c r="P48" i="32"/>
  <c r="P156" i="32" s="1"/>
  <c r="P49" i="32"/>
  <c r="P157" i="32" s="1"/>
  <c r="P47" i="32"/>
  <c r="P155" i="32" s="1"/>
  <c r="M176" i="47"/>
  <c r="O168" i="32"/>
  <c r="AJ53" i="48"/>
  <c r="AJ103" i="48"/>
  <c r="AJ39" i="48"/>
  <c r="AJ108" i="48"/>
  <c r="AJ107" i="48"/>
  <c r="AJ106" i="48"/>
  <c r="AJ104" i="48"/>
  <c r="AK54" i="48"/>
  <c r="AK59" i="48" s="1"/>
  <c r="AK135" i="48" s="1"/>
  <c r="AK68" i="48"/>
  <c r="AK72" i="48" s="1"/>
  <c r="AK40" i="48"/>
  <c r="AK45" i="48" s="1"/>
  <c r="AK133" i="48" s="1"/>
  <c r="AK33" i="48"/>
  <c r="AK38" i="48" s="1"/>
  <c r="AK132" i="48" s="1"/>
  <c r="AK61" i="48"/>
  <c r="AK66" i="48" s="1"/>
  <c r="AK136" i="48" s="1"/>
  <c r="N38" i="39"/>
  <c r="AG26" i="48"/>
  <c r="AG31" i="48" s="1"/>
  <c r="AG131" i="48" s="1"/>
  <c r="AK47" i="48"/>
  <c r="AK52" i="48" s="1"/>
  <c r="Q18" i="45"/>
  <c r="Q27" i="43"/>
  <c r="S102" i="39"/>
  <c r="S108" i="39" s="1"/>
  <c r="S60" i="39"/>
  <c r="S66" i="39" s="1"/>
  <c r="S88" i="39"/>
  <c r="S94" i="39" s="1"/>
  <c r="S46" i="39"/>
  <c r="S52" i="39" s="1"/>
  <c r="S116" i="39"/>
  <c r="S122" i="39" s="1"/>
  <c r="S74" i="39"/>
  <c r="S80" i="39" s="1"/>
  <c r="M227" i="32" l="1"/>
  <c r="M19" i="32"/>
  <c r="M45" i="32" s="1"/>
  <c r="M153" i="32" s="1"/>
  <c r="K22" i="32"/>
  <c r="J209" i="32" s="1"/>
  <c r="M57" i="32"/>
  <c r="L218" i="32"/>
  <c r="AK67" i="48"/>
  <c r="AK39" i="48"/>
  <c r="AK105" i="48"/>
  <c r="AK134" i="48"/>
  <c r="AK46" i="48"/>
  <c r="AG32" i="48"/>
  <c r="AK73" i="48"/>
  <c r="N158" i="32"/>
  <c r="O50" i="32" s="1"/>
  <c r="O50" i="47" s="1"/>
  <c r="L112" i="37"/>
  <c r="L122" i="37" s="1"/>
  <c r="L124" i="37" s="1"/>
  <c r="M28" i="32"/>
  <c r="M29" i="32"/>
  <c r="L216" i="32" s="1"/>
  <c r="M27" i="32"/>
  <c r="L214" i="32" s="1"/>
  <c r="M24" i="32"/>
  <c r="L211" i="32" s="1"/>
  <c r="M20" i="32"/>
  <c r="L30" i="37"/>
  <c r="L49" i="37"/>
  <c r="L161" i="37"/>
  <c r="M62" i="33"/>
  <c r="M118" i="34" s="1"/>
  <c r="K18" i="37"/>
  <c r="K163" i="37"/>
  <c r="K159" i="37"/>
  <c r="M26" i="32"/>
  <c r="M89" i="32"/>
  <c r="M91" i="32" s="1"/>
  <c r="M30" i="32"/>
  <c r="M25" i="32"/>
  <c r="L212" i="32" s="1"/>
  <c r="J210" i="32"/>
  <c r="K49" i="32"/>
  <c r="K157" i="32" s="1"/>
  <c r="J208" i="32"/>
  <c r="K47" i="32"/>
  <c r="K155" i="32" s="1"/>
  <c r="L18" i="32"/>
  <c r="M44" i="32"/>
  <c r="M152" i="32" s="1"/>
  <c r="N162" i="32"/>
  <c r="O54" i="32" s="1"/>
  <c r="O54" i="47" s="1"/>
  <c r="N160" i="32"/>
  <c r="O52" i="32" s="1"/>
  <c r="O52" i="47" s="1"/>
  <c r="M142" i="37"/>
  <c r="Q47" i="32"/>
  <c r="Q155" i="32" s="1"/>
  <c r="N56" i="32"/>
  <c r="N56" i="47" s="1"/>
  <c r="Q49" i="32"/>
  <c r="Q157" i="32" s="1"/>
  <c r="N159" i="32"/>
  <c r="Q48" i="32"/>
  <c r="Q156" i="32" s="1"/>
  <c r="N55" i="32"/>
  <c r="N55" i="47" s="1"/>
  <c r="N57" i="32"/>
  <c r="N57" i="47" s="1"/>
  <c r="P60" i="32"/>
  <c r="P60" i="47" s="1"/>
  <c r="P164" i="47" s="1"/>
  <c r="P216" i="47" s="1"/>
  <c r="Q34" i="47" s="1"/>
  <c r="N53" i="32"/>
  <c r="N53" i="47" s="1"/>
  <c r="Q45" i="32"/>
  <c r="Q153" i="32" s="1"/>
  <c r="AK53" i="48"/>
  <c r="AK106" i="48"/>
  <c r="AK60" i="48"/>
  <c r="AG102" i="48"/>
  <c r="AK104" i="48"/>
  <c r="AK108" i="48"/>
  <c r="AK107" i="48"/>
  <c r="AK103" i="48"/>
  <c r="AL61" i="48"/>
  <c r="AL66" i="48" s="1"/>
  <c r="AL136" i="48" s="1"/>
  <c r="AL47" i="48"/>
  <c r="AL52" i="48" s="1"/>
  <c r="AL68" i="48"/>
  <c r="AL72" i="48" s="1"/>
  <c r="AL73" i="48" s="1"/>
  <c r="AL33" i="48"/>
  <c r="AL38" i="48" s="1"/>
  <c r="AL132" i="48" s="1"/>
  <c r="AL40" i="48"/>
  <c r="AL45" i="48" s="1"/>
  <c r="AL133" i="48" s="1"/>
  <c r="AL54" i="48"/>
  <c r="AL59" i="48" s="1"/>
  <c r="AL135" i="48" s="1"/>
  <c r="U26" i="37"/>
  <c r="U44" i="37" s="1"/>
  <c r="Q148" i="45"/>
  <c r="R25" i="43"/>
  <c r="R16" i="43" s="1"/>
  <c r="T88" i="39"/>
  <c r="T94" i="39" s="1"/>
  <c r="T46" i="39"/>
  <c r="T52" i="39" s="1"/>
  <c r="O32" i="39"/>
  <c r="T102" i="39"/>
  <c r="T108" i="39" s="1"/>
  <c r="T74" i="39"/>
  <c r="T80" i="39" s="1"/>
  <c r="T60" i="39"/>
  <c r="T66" i="39" s="1"/>
  <c r="T116" i="39"/>
  <c r="T122" i="39" s="1"/>
  <c r="K48" i="32" l="1"/>
  <c r="K156" i="32" s="1"/>
  <c r="L206" i="32"/>
  <c r="L19" i="32" s="1"/>
  <c r="L83" i="47"/>
  <c r="M57" i="47"/>
  <c r="M165" i="32"/>
  <c r="L79" i="47"/>
  <c r="L29" i="32"/>
  <c r="O158" i="32"/>
  <c r="AL105" i="48"/>
  <c r="AL134" i="48"/>
  <c r="AL60" i="48"/>
  <c r="AL67" i="48"/>
  <c r="AL39" i="48"/>
  <c r="AL46" i="48"/>
  <c r="M44" i="47"/>
  <c r="L215" i="32"/>
  <c r="M54" i="32"/>
  <c r="J149" i="37"/>
  <c r="K36" i="37"/>
  <c r="K46" i="37" s="1"/>
  <c r="K48" i="37" s="1"/>
  <c r="K28" i="37"/>
  <c r="M52" i="32"/>
  <c r="L213" i="32"/>
  <c r="L207" i="32"/>
  <c r="M46" i="32"/>
  <c r="M46" i="47" s="1"/>
  <c r="L217" i="32"/>
  <c r="M56" i="32"/>
  <c r="M56" i="47" s="1"/>
  <c r="L77" i="47"/>
  <c r="L76" i="47"/>
  <c r="J21" i="32"/>
  <c r="J23" i="32"/>
  <c r="L70" i="47"/>
  <c r="J22" i="32"/>
  <c r="J48" i="32" s="1"/>
  <c r="J156" i="32" s="1"/>
  <c r="K205" i="32"/>
  <c r="L44" i="32"/>
  <c r="N163" i="32"/>
  <c r="O55" i="32" s="1"/>
  <c r="O55" i="47" s="1"/>
  <c r="N165" i="32"/>
  <c r="O57" i="32" s="1"/>
  <c r="O57" i="47" s="1"/>
  <c r="P168" i="32"/>
  <c r="Q60" i="32" s="1"/>
  <c r="Q60" i="47" s="1"/>
  <c r="Q164" i="47" s="1"/>
  <c r="Q216" i="47" s="1"/>
  <c r="R34" i="47" s="1"/>
  <c r="N164" i="32"/>
  <c r="O56" i="32" s="1"/>
  <c r="O56" i="47" s="1"/>
  <c r="M159" i="37"/>
  <c r="N161" i="32"/>
  <c r="N46" i="32"/>
  <c r="N46" i="47" s="1"/>
  <c r="O51" i="32"/>
  <c r="O51" i="47" s="1"/>
  <c r="O162" i="32"/>
  <c r="O160" i="32"/>
  <c r="P50" i="32"/>
  <c r="P50" i="47" s="1"/>
  <c r="AL53" i="48"/>
  <c r="AL107" i="48"/>
  <c r="AL103" i="48"/>
  <c r="AL106" i="48"/>
  <c r="AL108" i="48"/>
  <c r="AL104" i="48"/>
  <c r="O38" i="39"/>
  <c r="AH26" i="48"/>
  <c r="AH31" i="48" s="1"/>
  <c r="AH131" i="48" s="1"/>
  <c r="AM61" i="48"/>
  <c r="AM66" i="48" s="1"/>
  <c r="AM136" i="48" s="1"/>
  <c r="AM54" i="48"/>
  <c r="AM59" i="48" s="1"/>
  <c r="AM135" i="48" s="1"/>
  <c r="AM68" i="48"/>
  <c r="AM72" i="48" s="1"/>
  <c r="AM47" i="48"/>
  <c r="AM52" i="48" s="1"/>
  <c r="AM33" i="48"/>
  <c r="AM38" i="48" s="1"/>
  <c r="AM132" i="48" s="1"/>
  <c r="AM40" i="48"/>
  <c r="AM45" i="48" s="1"/>
  <c r="AM133" i="48" s="1"/>
  <c r="U120" i="37"/>
  <c r="U157" i="37" s="1"/>
  <c r="Q200" i="45"/>
  <c r="R27" i="43"/>
  <c r="U60" i="39"/>
  <c r="U66" i="39" s="1"/>
  <c r="U102" i="39"/>
  <c r="U108" i="39" s="1"/>
  <c r="U74" i="39"/>
  <c r="U80" i="39" s="1"/>
  <c r="U46" i="39"/>
  <c r="U52" i="39" s="1"/>
  <c r="U116" i="39"/>
  <c r="U122" i="39" s="1"/>
  <c r="U88" i="39"/>
  <c r="U94" i="39" s="1"/>
  <c r="V26" i="37" l="1"/>
  <c r="G65" i="31"/>
  <c r="L45" i="32"/>
  <c r="L153" i="32" s="1"/>
  <c r="K206" i="32"/>
  <c r="L31" i="32"/>
  <c r="K218" i="32" s="1"/>
  <c r="L27" i="32"/>
  <c r="K214" i="32" s="1"/>
  <c r="L82" i="47"/>
  <c r="L28" i="32"/>
  <c r="L54" i="32" s="1"/>
  <c r="L54" i="47" s="1"/>
  <c r="L26" i="32"/>
  <c r="L52" i="32" s="1"/>
  <c r="L52" i="47" s="1"/>
  <c r="L81" i="47"/>
  <c r="AM60" i="48"/>
  <c r="AM46" i="48"/>
  <c r="AM67" i="48"/>
  <c r="AH32" i="48"/>
  <c r="AM105" i="48"/>
  <c r="AM134" i="48"/>
  <c r="AM39" i="48"/>
  <c r="AM73" i="48"/>
  <c r="L24" i="32"/>
  <c r="L50" i="32" s="1"/>
  <c r="K112" i="37"/>
  <c r="K122" i="37" s="1"/>
  <c r="K124" i="37" s="1"/>
  <c r="M54" i="47"/>
  <c r="M162" i="32"/>
  <c r="M184" i="47" s="1"/>
  <c r="M52" i="47"/>
  <c r="M160" i="32"/>
  <c r="K161" i="37"/>
  <c r="K30" i="37"/>
  <c r="K49" i="37"/>
  <c r="J163" i="37"/>
  <c r="J18" i="37"/>
  <c r="J159" i="37"/>
  <c r="M154" i="32"/>
  <c r="M164" i="32"/>
  <c r="L20" i="32"/>
  <c r="L223" i="32"/>
  <c r="L227" i="32"/>
  <c r="L25" i="32"/>
  <c r="J49" i="32"/>
  <c r="J157" i="32" s="1"/>
  <c r="J47" i="32"/>
  <c r="J155" i="32" s="1"/>
  <c r="K216" i="32"/>
  <c r="L55" i="32"/>
  <c r="L55" i="47" s="1"/>
  <c r="K70" i="47"/>
  <c r="K18" i="32"/>
  <c r="L152" i="32"/>
  <c r="L44" i="47"/>
  <c r="Q168" i="32"/>
  <c r="O164" i="32"/>
  <c r="P56" i="32" s="1"/>
  <c r="P56" i="47" s="1"/>
  <c r="O163" i="32"/>
  <c r="P55" i="32" s="1"/>
  <c r="P55" i="47" s="1"/>
  <c r="N154" i="32"/>
  <c r="O46" i="32" s="1"/>
  <c r="O46" i="47" s="1"/>
  <c r="O165" i="32"/>
  <c r="P57" i="32" s="1"/>
  <c r="P57" i="47" s="1"/>
  <c r="M161" i="37"/>
  <c r="N36" i="37"/>
  <c r="N46" i="37" s="1"/>
  <c r="N48" i="37" s="1"/>
  <c r="N28" i="37"/>
  <c r="R45" i="32"/>
  <c r="R153" i="32" s="1"/>
  <c r="R206" i="32" s="1"/>
  <c r="S19" i="32" s="1"/>
  <c r="R47" i="32"/>
  <c r="R155" i="32" s="1"/>
  <c r="R208" i="32" s="1"/>
  <c r="S21" i="32" s="1"/>
  <c r="O159" i="32"/>
  <c r="R48" i="32"/>
  <c r="R156" i="32" s="1"/>
  <c r="R209" i="32" s="1"/>
  <c r="S22" i="32" s="1"/>
  <c r="R60" i="32"/>
  <c r="R60" i="47" s="1"/>
  <c r="R164" i="47" s="1"/>
  <c r="R216" i="47" s="1"/>
  <c r="S34" i="47" s="1"/>
  <c r="O53" i="32"/>
  <c r="O53" i="47" s="1"/>
  <c r="M138" i="33"/>
  <c r="M119" i="34" s="1"/>
  <c r="S70" i="48" s="1"/>
  <c r="M174" i="47"/>
  <c r="M196" i="32"/>
  <c r="R49" i="32"/>
  <c r="R157" i="32" s="1"/>
  <c r="R210" i="32" s="1"/>
  <c r="S23" i="32" s="1"/>
  <c r="P158" i="32"/>
  <c r="P52" i="32"/>
  <c r="P52" i="47" s="1"/>
  <c r="P54" i="32"/>
  <c r="P54" i="47" s="1"/>
  <c r="AM53" i="48"/>
  <c r="AM107" i="48"/>
  <c r="AM103" i="48"/>
  <c r="AM108" i="48"/>
  <c r="AH102" i="48"/>
  <c r="AM104" i="48"/>
  <c r="AM106" i="48"/>
  <c r="AN68" i="48"/>
  <c r="AN72" i="48" s="1"/>
  <c r="AN33" i="48"/>
  <c r="AN38" i="48" s="1"/>
  <c r="AN132" i="48" s="1"/>
  <c r="AN54" i="48"/>
  <c r="AN59" i="48" s="1"/>
  <c r="AN135" i="48" s="1"/>
  <c r="AN61" i="48"/>
  <c r="AN66" i="48" s="1"/>
  <c r="AN136" i="48" s="1"/>
  <c r="AN47" i="48"/>
  <c r="AN52" i="48" s="1"/>
  <c r="AN40" i="48"/>
  <c r="AN45" i="48" s="1"/>
  <c r="AN133" i="48" s="1"/>
  <c r="R18" i="45"/>
  <c r="S25" i="43"/>
  <c r="V46" i="39"/>
  <c r="V52" i="39" s="1"/>
  <c r="V74" i="39"/>
  <c r="V80" i="39" s="1"/>
  <c r="V116" i="39"/>
  <c r="V122" i="39" s="1"/>
  <c r="V102" i="39"/>
  <c r="V108" i="39" s="1"/>
  <c r="P32" i="39"/>
  <c r="V60" i="39"/>
  <c r="V66" i="39" s="1"/>
  <c r="V88" i="39"/>
  <c r="V94" i="39" s="1"/>
  <c r="L53" i="32" l="1"/>
  <c r="L53" i="47" s="1"/>
  <c r="K211" i="32"/>
  <c r="K76" i="47" s="1"/>
  <c r="L57" i="32"/>
  <c r="L57" i="47" s="1"/>
  <c r="K19" i="32"/>
  <c r="K83" i="47"/>
  <c r="K31" i="32"/>
  <c r="L30" i="32"/>
  <c r="K217" i="32" s="1"/>
  <c r="L78" i="47"/>
  <c r="L80" i="47"/>
  <c r="AN67" i="48"/>
  <c r="AN46" i="48"/>
  <c r="AN105" i="48"/>
  <c r="AN134" i="48"/>
  <c r="AN60" i="48"/>
  <c r="AN39" i="48"/>
  <c r="AN73" i="48"/>
  <c r="K215" i="32"/>
  <c r="K213" i="32"/>
  <c r="N49" i="37"/>
  <c r="L160" i="32"/>
  <c r="K207" i="32"/>
  <c r="L46" i="32"/>
  <c r="L46" i="47" s="1"/>
  <c r="L162" i="32"/>
  <c r="L72" i="47"/>
  <c r="L62" i="33"/>
  <c r="L118" i="34" s="1"/>
  <c r="R70" i="48" s="1"/>
  <c r="L89" i="32"/>
  <c r="L91" i="32" s="1"/>
  <c r="L51" i="32"/>
  <c r="L51" i="47" s="1"/>
  <c r="K212" i="32"/>
  <c r="J36" i="37"/>
  <c r="J46" i="37" s="1"/>
  <c r="J48" i="37" s="1"/>
  <c r="J28" i="37"/>
  <c r="L50" i="47"/>
  <c r="L158" i="32"/>
  <c r="M50" i="32" s="1"/>
  <c r="K81" i="47"/>
  <c r="K79" i="47"/>
  <c r="L163" i="32"/>
  <c r="M55" i="32" s="1"/>
  <c r="J205" i="32"/>
  <c r="K44" i="32"/>
  <c r="P163" i="32"/>
  <c r="Q55" i="32" s="1"/>
  <c r="Q55" i="47" s="1"/>
  <c r="P162" i="32"/>
  <c r="Q54" i="32" s="1"/>
  <c r="Q54" i="47" s="1"/>
  <c r="P164" i="32"/>
  <c r="P160" i="32"/>
  <c r="Q52" i="32" s="1"/>
  <c r="Q52" i="47" s="1"/>
  <c r="N30" i="37"/>
  <c r="N112" i="37"/>
  <c r="S48" i="32"/>
  <c r="S47" i="32"/>
  <c r="S49" i="32"/>
  <c r="S45" i="32"/>
  <c r="O161" i="32"/>
  <c r="O154" i="32"/>
  <c r="R168" i="32"/>
  <c r="R221" i="32" s="1"/>
  <c r="S34" i="32" s="1"/>
  <c r="Q56" i="32"/>
  <c r="Q56" i="47" s="1"/>
  <c r="Q50" i="32"/>
  <c r="Q50" i="47" s="1"/>
  <c r="M198" i="32"/>
  <c r="P51" i="32"/>
  <c r="P51" i="47" s="1"/>
  <c r="P165" i="32"/>
  <c r="M223" i="32"/>
  <c r="N36" i="32"/>
  <c r="AN53" i="48"/>
  <c r="AN103" i="48"/>
  <c r="AN107" i="48"/>
  <c r="AN104" i="48"/>
  <c r="AN108" i="48"/>
  <c r="AN106" i="48"/>
  <c r="P38" i="39"/>
  <c r="AI26" i="48"/>
  <c r="AI31" i="48" s="1"/>
  <c r="AI131" i="48" s="1"/>
  <c r="R148" i="45"/>
  <c r="S27" i="43"/>
  <c r="W60" i="39"/>
  <c r="W66" i="39" s="1"/>
  <c r="W102" i="39"/>
  <c r="W108" i="39" s="1"/>
  <c r="W74" i="39"/>
  <c r="W80" i="39" s="1"/>
  <c r="W46" i="39"/>
  <c r="W52" i="39" s="1"/>
  <c r="W116" i="39"/>
  <c r="W122" i="39" s="1"/>
  <c r="W88" i="39"/>
  <c r="W94" i="39" s="1"/>
  <c r="AB9" i="32"/>
  <c r="AA9" i="32"/>
  <c r="Z9" i="32"/>
  <c r="Y9" i="32"/>
  <c r="X9" i="32"/>
  <c r="W9" i="32"/>
  <c r="V9" i="32"/>
  <c r="U9" i="32"/>
  <c r="T9" i="32"/>
  <c r="S9" i="32"/>
  <c r="R9" i="32"/>
  <c r="Q9" i="32"/>
  <c r="P9" i="32"/>
  <c r="O9" i="32"/>
  <c r="G19" i="32"/>
  <c r="G20" i="32"/>
  <c r="G21" i="32"/>
  <c r="G22" i="32"/>
  <c r="G23" i="32"/>
  <c r="G24" i="32"/>
  <c r="G25" i="32"/>
  <c r="G26" i="32"/>
  <c r="G27" i="32"/>
  <c r="G28" i="32"/>
  <c r="G29" i="32"/>
  <c r="G18" i="32"/>
  <c r="F20" i="32"/>
  <c r="F21" i="32"/>
  <c r="F22" i="32"/>
  <c r="F23" i="32"/>
  <c r="F24" i="32"/>
  <c r="F25" i="32"/>
  <c r="F26" i="32"/>
  <c r="F27" i="32"/>
  <c r="F28" i="32"/>
  <c r="F29" i="32"/>
  <c r="M36" i="32"/>
  <c r="L36" i="32"/>
  <c r="F19" i="32"/>
  <c r="F18" i="32"/>
  <c r="G16" i="32"/>
  <c r="F16" i="32"/>
  <c r="E16" i="32"/>
  <c r="G10" i="32"/>
  <c r="F10" i="32"/>
  <c r="E10" i="32"/>
  <c r="B10" i="32"/>
  <c r="N9" i="32"/>
  <c r="M9" i="32"/>
  <c r="L9" i="32"/>
  <c r="K9" i="32"/>
  <c r="J9" i="32"/>
  <c r="B9" i="32"/>
  <c r="B8" i="32"/>
  <c r="B7" i="32"/>
  <c r="B6" i="32"/>
  <c r="B5" i="32"/>
  <c r="B4" i="32"/>
  <c r="B3" i="32"/>
  <c r="A27" i="31"/>
  <c r="A24" i="31"/>
  <c r="A23" i="31"/>
  <c r="A22" i="31"/>
  <c r="A21" i="31"/>
  <c r="A15" i="31"/>
  <c r="A16" i="31"/>
  <c r="A17" i="31"/>
  <c r="A18" i="31"/>
  <c r="A19" i="31"/>
  <c r="A11" i="31"/>
  <c r="L165" i="32" l="1"/>
  <c r="L161" i="32"/>
  <c r="M53" i="32" s="1"/>
  <c r="M53" i="47" s="1"/>
  <c r="K24" i="32"/>
  <c r="K50" i="32" s="1"/>
  <c r="K50" i="47" s="1"/>
  <c r="K45" i="32"/>
  <c r="K153" i="32" s="1"/>
  <c r="J206" i="32"/>
  <c r="K80" i="47"/>
  <c r="K30" i="32"/>
  <c r="J217" i="32" s="1"/>
  <c r="K223" i="32"/>
  <c r="K77" i="47"/>
  <c r="J218" i="32"/>
  <c r="K57" i="32"/>
  <c r="K57" i="47" s="1"/>
  <c r="M161" i="32"/>
  <c r="K227" i="32"/>
  <c r="L159" i="32"/>
  <c r="M51" i="32" s="1"/>
  <c r="M43" i="33" s="1"/>
  <c r="M117" i="34" s="1"/>
  <c r="S69" i="48" s="1"/>
  <c r="K27" i="32"/>
  <c r="J214" i="32" s="1"/>
  <c r="J112" i="37"/>
  <c r="J122" i="37" s="1"/>
  <c r="J124" i="37" s="1"/>
  <c r="J49" i="37"/>
  <c r="J30" i="37"/>
  <c r="J161" i="37"/>
  <c r="L154" i="32"/>
  <c r="M158" i="32"/>
  <c r="M50" i="47"/>
  <c r="K72" i="47"/>
  <c r="K78" i="47"/>
  <c r="J70" i="47"/>
  <c r="K26" i="32"/>
  <c r="M163" i="32"/>
  <c r="M55" i="47"/>
  <c r="K29" i="32"/>
  <c r="K152" i="32"/>
  <c r="K44" i="47"/>
  <c r="J18" i="32"/>
  <c r="Q158" i="32"/>
  <c r="Q180" i="47" s="1"/>
  <c r="Q160" i="32"/>
  <c r="Q182" i="47" s="1"/>
  <c r="Q163" i="32"/>
  <c r="N122" i="37"/>
  <c r="N124" i="37" s="1"/>
  <c r="Q57" i="32"/>
  <c r="Q57" i="47" s="1"/>
  <c r="P53" i="32"/>
  <c r="P53" i="47" s="1"/>
  <c r="Q162" i="32"/>
  <c r="P159" i="32"/>
  <c r="Q164" i="32"/>
  <c r="P46" i="32"/>
  <c r="P46" i="47" s="1"/>
  <c r="N44" i="32"/>
  <c r="S60" i="32"/>
  <c r="S60" i="47" s="1"/>
  <c r="S164" i="47" s="1"/>
  <c r="S216" i="47" s="1"/>
  <c r="T34" i="47" s="1"/>
  <c r="AI102" i="48"/>
  <c r="AI32" i="48"/>
  <c r="F36" i="32"/>
  <c r="G36" i="32"/>
  <c r="R200" i="45"/>
  <c r="T25" i="43"/>
  <c r="L38" i="32"/>
  <c r="M38" i="32"/>
  <c r="N38" i="32"/>
  <c r="X46" i="39"/>
  <c r="X52" i="39" s="1"/>
  <c r="X88" i="39"/>
  <c r="X94" i="39" s="1"/>
  <c r="X74" i="39"/>
  <c r="X80" i="39" s="1"/>
  <c r="X116" i="39"/>
  <c r="X122" i="39" s="1"/>
  <c r="X60" i="39"/>
  <c r="X66" i="39" s="1"/>
  <c r="Q32" i="39"/>
  <c r="X102" i="39"/>
  <c r="X108" i="39" s="1"/>
  <c r="K158" i="32" l="1"/>
  <c r="J211" i="32"/>
  <c r="J76" i="47" s="1"/>
  <c r="K56" i="32"/>
  <c r="K56" i="47" s="1"/>
  <c r="K28" i="32"/>
  <c r="K165" i="32"/>
  <c r="J19" i="32"/>
  <c r="J45" i="32" s="1"/>
  <c r="J153" i="32" s="1"/>
  <c r="K82" i="47"/>
  <c r="J83" i="47"/>
  <c r="M62" i="32"/>
  <c r="M64" i="32" s="1"/>
  <c r="M159" i="32"/>
  <c r="M170" i="32" s="1"/>
  <c r="M172" i="32" s="1"/>
  <c r="K53" i="32"/>
  <c r="K53" i="47" s="1"/>
  <c r="M51" i="47"/>
  <c r="K20" i="32"/>
  <c r="K25" i="32"/>
  <c r="K62" i="33"/>
  <c r="K118" i="34" s="1"/>
  <c r="Q70" i="48" s="1"/>
  <c r="K89" i="32"/>
  <c r="K91" i="32" s="1"/>
  <c r="J216" i="32"/>
  <c r="K55" i="32"/>
  <c r="K55" i="47" s="1"/>
  <c r="J82" i="47"/>
  <c r="J213" i="32"/>
  <c r="K52" i="32"/>
  <c r="K160" i="32" s="1"/>
  <c r="J79" i="47"/>
  <c r="K54" i="32"/>
  <c r="K54" i="47" s="1"/>
  <c r="J215" i="32"/>
  <c r="J44" i="32"/>
  <c r="J152" i="32" s="1"/>
  <c r="J18" i="47"/>
  <c r="R52" i="32"/>
  <c r="R52" i="47" s="1"/>
  <c r="Q165" i="32"/>
  <c r="Q187" i="47" s="1"/>
  <c r="Q185" i="47"/>
  <c r="R55" i="32"/>
  <c r="R55" i="47" s="1"/>
  <c r="R50" i="32"/>
  <c r="R50" i="47" s="1"/>
  <c r="P161" i="32"/>
  <c r="Q53" i="32" s="1"/>
  <c r="Q53" i="47" s="1"/>
  <c r="P154" i="32"/>
  <c r="Q46" i="32" s="1"/>
  <c r="N159" i="37"/>
  <c r="S168" i="32"/>
  <c r="S221" i="32" s="1"/>
  <c r="T34" i="32" s="1"/>
  <c r="N44" i="47"/>
  <c r="N62" i="32"/>
  <c r="N65" i="32" s="1"/>
  <c r="N43" i="33"/>
  <c r="Q186" i="47"/>
  <c r="N152" i="32"/>
  <c r="Q51" i="32"/>
  <c r="Q51" i="47" s="1"/>
  <c r="Q184" i="47"/>
  <c r="Q38" i="39"/>
  <c r="AJ26" i="48"/>
  <c r="AJ31" i="48" s="1"/>
  <c r="AJ131" i="48" s="1"/>
  <c r="S18" i="45"/>
  <c r="T27" i="43"/>
  <c r="Y88" i="39"/>
  <c r="Y94" i="39" s="1"/>
  <c r="Y60" i="39"/>
  <c r="Y66" i="39" s="1"/>
  <c r="Y116" i="39"/>
  <c r="Y122" i="39" s="1"/>
  <c r="Y46" i="39"/>
  <c r="Y52" i="39" s="1"/>
  <c r="Y102" i="39"/>
  <c r="Y108" i="39" s="1"/>
  <c r="Y74" i="39"/>
  <c r="Y80" i="39" s="1"/>
  <c r="AJ32" i="48" l="1"/>
  <c r="K164" i="32"/>
  <c r="L56" i="32" s="1"/>
  <c r="J24" i="32"/>
  <c r="J50" i="32" s="1"/>
  <c r="J50" i="47" s="1"/>
  <c r="M65" i="32"/>
  <c r="M225" i="32"/>
  <c r="J31" i="32"/>
  <c r="K161" i="32"/>
  <c r="K162" i="32"/>
  <c r="J27" i="32"/>
  <c r="J27" i="47" s="1"/>
  <c r="K163" i="32"/>
  <c r="J212" i="32"/>
  <c r="K51" i="32"/>
  <c r="K51" i="47" s="1"/>
  <c r="J207" i="32"/>
  <c r="K46" i="32"/>
  <c r="K46" i="47" s="1"/>
  <c r="K36" i="32"/>
  <c r="K38" i="32" s="1"/>
  <c r="J80" i="47"/>
  <c r="K52" i="47"/>
  <c r="J30" i="32"/>
  <c r="L164" i="32"/>
  <c r="L170" i="32" s="1"/>
  <c r="L172" i="32" s="1"/>
  <c r="L43" i="33"/>
  <c r="L117" i="34" s="1"/>
  <c r="R69" i="48" s="1"/>
  <c r="L62" i="32"/>
  <c r="L56" i="47"/>
  <c r="J81" i="47"/>
  <c r="J44" i="47"/>
  <c r="J148" i="47" s="1"/>
  <c r="J200" i="47" s="1"/>
  <c r="K18" i="47" s="1"/>
  <c r="K148" i="47" s="1"/>
  <c r="K200" i="47" s="1"/>
  <c r="L18" i="47" s="1"/>
  <c r="L148" i="47" s="1"/>
  <c r="L200" i="47" s="1"/>
  <c r="M18" i="47" s="1"/>
  <c r="M148" i="47" s="1"/>
  <c r="M200" i="47" s="1"/>
  <c r="N18" i="47" s="1"/>
  <c r="N148" i="47" s="1"/>
  <c r="N200" i="47" s="1"/>
  <c r="O18" i="47" s="1"/>
  <c r="Q161" i="32"/>
  <c r="Q46" i="47"/>
  <c r="Q154" i="32"/>
  <c r="Q176" i="47" s="1"/>
  <c r="R160" i="32"/>
  <c r="R213" i="32" s="1"/>
  <c r="S26" i="32" s="1"/>
  <c r="S52" i="32" s="1"/>
  <c r="S52" i="47" s="1"/>
  <c r="Q159" i="32"/>
  <c r="Q181" i="47" s="1"/>
  <c r="O36" i="37"/>
  <c r="O46" i="37" s="1"/>
  <c r="O48" i="37" s="1"/>
  <c r="O28" i="37"/>
  <c r="N161" i="37"/>
  <c r="Q183" i="47"/>
  <c r="N170" i="32"/>
  <c r="N172" i="32" s="1"/>
  <c r="N117" i="34"/>
  <c r="T69" i="48" s="1"/>
  <c r="T60" i="32"/>
  <c r="T60" i="47" s="1"/>
  <c r="T164" i="47" s="1"/>
  <c r="T216" i="47" s="1"/>
  <c r="U34" i="47" s="1"/>
  <c r="N64" i="32"/>
  <c r="R163" i="32"/>
  <c r="R216" i="32" s="1"/>
  <c r="S29" i="32" s="1"/>
  <c r="R158" i="32"/>
  <c r="R211" i="32" s="1"/>
  <c r="S24" i="32" s="1"/>
  <c r="AJ102" i="48"/>
  <c r="S148" i="45"/>
  <c r="U25" i="43"/>
  <c r="Z60" i="39"/>
  <c r="Z66" i="39" s="1"/>
  <c r="Z74" i="39"/>
  <c r="Z80" i="39" s="1"/>
  <c r="Z46" i="39"/>
  <c r="Z52" i="39" s="1"/>
  <c r="Z88" i="39"/>
  <c r="Z94" i="39" s="1"/>
  <c r="Z102" i="39"/>
  <c r="Z108" i="39" s="1"/>
  <c r="R32" i="39"/>
  <c r="Z116" i="39"/>
  <c r="Z122" i="39" s="1"/>
  <c r="J24" i="47" l="1"/>
  <c r="J154" i="47" s="1"/>
  <c r="J206" i="47" s="1"/>
  <c r="K24" i="47" s="1"/>
  <c r="K154" i="47" s="1"/>
  <c r="K206" i="47" s="1"/>
  <c r="L24" i="47" s="1"/>
  <c r="L154" i="47" s="1"/>
  <c r="L206" i="47" s="1"/>
  <c r="M24" i="47" s="1"/>
  <c r="M154" i="47" s="1"/>
  <c r="M206" i="47" s="1"/>
  <c r="N24" i="47" s="1"/>
  <c r="N154" i="47" s="1"/>
  <c r="N206" i="47" s="1"/>
  <c r="O24" i="47" s="1"/>
  <c r="O154" i="47" s="1"/>
  <c r="O206" i="47" s="1"/>
  <c r="P24" i="47" s="1"/>
  <c r="P154" i="47" s="1"/>
  <c r="P206" i="47" s="1"/>
  <c r="Q24" i="47" s="1"/>
  <c r="Q154" i="47" s="1"/>
  <c r="Q206" i="47" s="1"/>
  <c r="R24" i="47" s="1"/>
  <c r="R154" i="47" s="1"/>
  <c r="R206" i="47" s="1"/>
  <c r="S24" i="47" s="1"/>
  <c r="J57" i="32"/>
  <c r="J57" i="47" s="1"/>
  <c r="J31" i="47"/>
  <c r="J53" i="32"/>
  <c r="J53" i="47" s="1"/>
  <c r="J157" i="47" s="1"/>
  <c r="J209" i="47" s="1"/>
  <c r="K27" i="47" s="1"/>
  <c r="K157" i="47" s="1"/>
  <c r="K209" i="47" s="1"/>
  <c r="L27" i="47" s="1"/>
  <c r="L157" i="47" s="1"/>
  <c r="L209" i="47" s="1"/>
  <c r="M27" i="47" s="1"/>
  <c r="M157" i="47" s="1"/>
  <c r="M209" i="47" s="1"/>
  <c r="N27" i="47" s="1"/>
  <c r="N157" i="47" s="1"/>
  <c r="N209" i="47" s="1"/>
  <c r="O27" i="47" s="1"/>
  <c r="O157" i="47" s="1"/>
  <c r="O209" i="47" s="1"/>
  <c r="P27" i="47" s="1"/>
  <c r="P157" i="47" s="1"/>
  <c r="P209" i="47" s="1"/>
  <c r="Q27" i="47" s="1"/>
  <c r="Q157" i="47" s="1"/>
  <c r="Q209" i="47" s="1"/>
  <c r="R27" i="47" s="1"/>
  <c r="J227" i="32"/>
  <c r="K43" i="33"/>
  <c r="K117" i="34" s="1"/>
  <c r="Q69" i="48" s="1"/>
  <c r="K62" i="32"/>
  <c r="K65" i="32" s="1"/>
  <c r="J223" i="32"/>
  <c r="K159" i="32"/>
  <c r="K154" i="32"/>
  <c r="J72" i="47"/>
  <c r="J29" i="32"/>
  <c r="J55" i="32" s="1"/>
  <c r="J55" i="47" s="1"/>
  <c r="J77" i="47"/>
  <c r="J78" i="47"/>
  <c r="J158" i="32"/>
  <c r="L64" i="32"/>
  <c r="L65" i="32"/>
  <c r="L225" i="32"/>
  <c r="J56" i="32"/>
  <c r="J56" i="47" s="1"/>
  <c r="J30" i="47"/>
  <c r="J28" i="32"/>
  <c r="J26" i="32"/>
  <c r="O49" i="37"/>
  <c r="R53" i="32"/>
  <c r="R53" i="47" s="1"/>
  <c r="O30" i="37"/>
  <c r="O112" i="37"/>
  <c r="T168" i="32"/>
  <c r="T221" i="32" s="1"/>
  <c r="U34" i="32" s="1"/>
  <c r="N223" i="32"/>
  <c r="R54" i="32"/>
  <c r="R54" i="47" s="1"/>
  <c r="S50" i="32"/>
  <c r="S50" i="47" s="1"/>
  <c r="S55" i="32"/>
  <c r="S55" i="47" s="1"/>
  <c r="R51" i="32"/>
  <c r="R51" i="47" s="1"/>
  <c r="R57" i="32"/>
  <c r="R57" i="47" s="1"/>
  <c r="R56" i="32"/>
  <c r="R56" i="47" s="1"/>
  <c r="R38" i="39"/>
  <c r="AK26" i="48"/>
  <c r="AK31" i="48" s="1"/>
  <c r="AK131" i="48" s="1"/>
  <c r="S200" i="45"/>
  <c r="U27" i="43"/>
  <c r="AA88" i="39"/>
  <c r="AA94" i="39" s="1"/>
  <c r="AA46" i="39"/>
  <c r="AA52" i="39" s="1"/>
  <c r="AA116" i="39"/>
  <c r="AA122" i="39" s="1"/>
  <c r="AA74" i="39"/>
  <c r="AA80" i="39" s="1"/>
  <c r="AA102" i="39"/>
  <c r="AA108" i="39" s="1"/>
  <c r="AA60" i="39"/>
  <c r="AA66" i="39" s="1"/>
  <c r="J165" i="32" l="1"/>
  <c r="J161" i="32"/>
  <c r="J161" i="47"/>
  <c r="J213" i="47" s="1"/>
  <c r="K31" i="47" s="1"/>
  <c r="K161" i="47" s="1"/>
  <c r="K213" i="47" s="1"/>
  <c r="L31" i="47" s="1"/>
  <c r="L161" i="47" s="1"/>
  <c r="L213" i="47" s="1"/>
  <c r="M31" i="47" s="1"/>
  <c r="M161" i="47" s="1"/>
  <c r="M213" i="47" s="1"/>
  <c r="N31" i="47" s="1"/>
  <c r="N161" i="47" s="1"/>
  <c r="N213" i="47" s="1"/>
  <c r="O31" i="47" s="1"/>
  <c r="O161" i="47" s="1"/>
  <c r="O213" i="47" s="1"/>
  <c r="P31" i="47" s="1"/>
  <c r="P161" i="47" s="1"/>
  <c r="P213" i="47" s="1"/>
  <c r="Q31" i="47" s="1"/>
  <c r="Q161" i="47" s="1"/>
  <c r="Q213" i="47" s="1"/>
  <c r="R31" i="47" s="1"/>
  <c r="R161" i="47" s="1"/>
  <c r="R213" i="47" s="1"/>
  <c r="S31" i="47" s="1"/>
  <c r="AK32" i="48"/>
  <c r="K225" i="32"/>
  <c r="K64" i="32"/>
  <c r="J163" i="32"/>
  <c r="J29" i="47"/>
  <c r="J159" i="47" s="1"/>
  <c r="J211" i="47" s="1"/>
  <c r="K29" i="47" s="1"/>
  <c r="K159" i="47" s="1"/>
  <c r="K211" i="47" s="1"/>
  <c r="L29" i="47" s="1"/>
  <c r="L159" i="47" s="1"/>
  <c r="L211" i="47" s="1"/>
  <c r="M29" i="47" s="1"/>
  <c r="M159" i="47" s="1"/>
  <c r="M211" i="47" s="1"/>
  <c r="N29" i="47" s="1"/>
  <c r="N159" i="47" s="1"/>
  <c r="N211" i="47" s="1"/>
  <c r="O29" i="47" s="1"/>
  <c r="O159" i="47" s="1"/>
  <c r="O211" i="47" s="1"/>
  <c r="P29" i="47" s="1"/>
  <c r="P159" i="47" s="1"/>
  <c r="P211" i="47" s="1"/>
  <c r="Q29" i="47" s="1"/>
  <c r="Q159" i="47" s="1"/>
  <c r="Q211" i="47" s="1"/>
  <c r="R29" i="47" s="1"/>
  <c r="R159" i="47" s="1"/>
  <c r="R211" i="47" s="1"/>
  <c r="S29" i="47" s="1"/>
  <c r="K170" i="32"/>
  <c r="K172" i="32" s="1"/>
  <c r="R157" i="47"/>
  <c r="R209" i="47" s="1"/>
  <c r="S27" i="47" s="1"/>
  <c r="J160" i="47"/>
  <c r="J212" i="47" s="1"/>
  <c r="K30" i="47" s="1"/>
  <c r="K160" i="47" s="1"/>
  <c r="K212" i="47" s="1"/>
  <c r="L30" i="47" s="1"/>
  <c r="L160" i="47" s="1"/>
  <c r="L212" i="47" s="1"/>
  <c r="M30" i="47" s="1"/>
  <c r="M160" i="47" s="1"/>
  <c r="M212" i="47" s="1"/>
  <c r="N30" i="47" s="1"/>
  <c r="N160" i="47" s="1"/>
  <c r="N212" i="47" s="1"/>
  <c r="O30" i="47" s="1"/>
  <c r="O160" i="47" s="1"/>
  <c r="O212" i="47" s="1"/>
  <c r="P30" i="47" s="1"/>
  <c r="P160" i="47" s="1"/>
  <c r="P212" i="47" s="1"/>
  <c r="Q30" i="47" s="1"/>
  <c r="Q160" i="47" s="1"/>
  <c r="Q212" i="47" s="1"/>
  <c r="R30" i="47" s="1"/>
  <c r="R160" i="47" s="1"/>
  <c r="R212" i="47" s="1"/>
  <c r="S30" i="47" s="1"/>
  <c r="J25" i="32"/>
  <c r="J62" i="33"/>
  <c r="J118" i="34" s="1"/>
  <c r="P70" i="48" s="1"/>
  <c r="J20" i="32"/>
  <c r="J89" i="32"/>
  <c r="J91" i="32" s="1"/>
  <c r="J26" i="47"/>
  <c r="J52" i="32"/>
  <c r="J160" i="32" s="1"/>
  <c r="J54" i="32"/>
  <c r="J54" i="47" s="1"/>
  <c r="J28" i="47"/>
  <c r="J164" i="32"/>
  <c r="R161" i="32"/>
  <c r="R214" i="32" s="1"/>
  <c r="S27" i="32" s="1"/>
  <c r="S53" i="32" s="1"/>
  <c r="S53" i="47" s="1"/>
  <c r="R165" i="32"/>
  <c r="R218" i="32" s="1"/>
  <c r="S31" i="32" s="1"/>
  <c r="S57" i="32" s="1"/>
  <c r="S57" i="47" s="1"/>
  <c r="O122" i="37"/>
  <c r="O124" i="37" s="1"/>
  <c r="R162" i="32"/>
  <c r="R215" i="32" s="1"/>
  <c r="S28" i="32" s="1"/>
  <c r="R46" i="32"/>
  <c r="R46" i="47" s="1"/>
  <c r="R159" i="32"/>
  <c r="R212" i="32" s="1"/>
  <c r="S25" i="32" s="1"/>
  <c r="N225" i="32"/>
  <c r="O44" i="32"/>
  <c r="O36" i="32"/>
  <c r="R164" i="32"/>
  <c r="R217" i="32" s="1"/>
  <c r="S30" i="32" s="1"/>
  <c r="U60" i="32"/>
  <c r="U60" i="47" s="1"/>
  <c r="U164" i="47" s="1"/>
  <c r="U216" i="47" s="1"/>
  <c r="V34" i="47" s="1"/>
  <c r="AK102" i="48"/>
  <c r="T18" i="45"/>
  <c r="AB88" i="39"/>
  <c r="AB94" i="39" s="1"/>
  <c r="AB74" i="39"/>
  <c r="AB80" i="39" s="1"/>
  <c r="AB102" i="39"/>
  <c r="AB108" i="39" s="1"/>
  <c r="AB46" i="39"/>
  <c r="AB52" i="39" s="1"/>
  <c r="AB116" i="39"/>
  <c r="AB122" i="39" s="1"/>
  <c r="S32" i="39"/>
  <c r="AB60" i="39"/>
  <c r="AB66" i="39" s="1"/>
  <c r="J51" i="32" l="1"/>
  <c r="J51" i="47" s="1"/>
  <c r="J25" i="47"/>
  <c r="J20" i="47"/>
  <c r="J46" i="32"/>
  <c r="J46" i="47" s="1"/>
  <c r="J24" i="33"/>
  <c r="J116" i="34" s="1"/>
  <c r="J36" i="32"/>
  <c r="J38" i="32" s="1"/>
  <c r="J162" i="32"/>
  <c r="J158" i="47"/>
  <c r="J210" i="47" s="1"/>
  <c r="K28" i="47" s="1"/>
  <c r="K158" i="47" s="1"/>
  <c r="K210" i="47" s="1"/>
  <c r="L28" i="47" s="1"/>
  <c r="L158" i="47" s="1"/>
  <c r="L210" i="47" s="1"/>
  <c r="M28" i="47" s="1"/>
  <c r="M158" i="47" s="1"/>
  <c r="M210" i="47" s="1"/>
  <c r="N28" i="47" s="1"/>
  <c r="N158" i="47" s="1"/>
  <c r="N210" i="47" s="1"/>
  <c r="O28" i="47" s="1"/>
  <c r="O158" i="47" s="1"/>
  <c r="O210" i="47" s="1"/>
  <c r="P28" i="47" s="1"/>
  <c r="P158" i="47" s="1"/>
  <c r="P210" i="47" s="1"/>
  <c r="Q28" i="47" s="1"/>
  <c r="Q158" i="47" s="1"/>
  <c r="Q210" i="47" s="1"/>
  <c r="R28" i="47" s="1"/>
  <c r="R158" i="47" s="1"/>
  <c r="R210" i="47" s="1"/>
  <c r="S28" i="47" s="1"/>
  <c r="J52" i="47"/>
  <c r="J156" i="47" s="1"/>
  <c r="J208" i="47" s="1"/>
  <c r="K26" i="47" s="1"/>
  <c r="K156" i="47" s="1"/>
  <c r="K208" i="47" s="1"/>
  <c r="L26" i="47" s="1"/>
  <c r="L156" i="47" s="1"/>
  <c r="L208" i="47" s="1"/>
  <c r="M26" i="47" s="1"/>
  <c r="M156" i="47" s="1"/>
  <c r="M208" i="47" s="1"/>
  <c r="N26" i="47" s="1"/>
  <c r="N156" i="47" s="1"/>
  <c r="N208" i="47" s="1"/>
  <c r="O26" i="47" s="1"/>
  <c r="O156" i="47" s="1"/>
  <c r="O208" i="47" s="1"/>
  <c r="P26" i="47" s="1"/>
  <c r="P156" i="47" s="1"/>
  <c r="P208" i="47" s="1"/>
  <c r="Q26" i="47" s="1"/>
  <c r="Q156" i="47" s="1"/>
  <c r="Q208" i="47" s="1"/>
  <c r="R26" i="47" s="1"/>
  <c r="R156" i="47" s="1"/>
  <c r="R208" i="47" s="1"/>
  <c r="S26" i="47" s="1"/>
  <c r="O159" i="37"/>
  <c r="O43" i="33"/>
  <c r="O62" i="32"/>
  <c r="O65" i="32" s="1"/>
  <c r="O44" i="47"/>
  <c r="O148" i="47" s="1"/>
  <c r="O200" i="47" s="1"/>
  <c r="P18" i="47" s="1"/>
  <c r="O152" i="32"/>
  <c r="R154" i="32"/>
  <c r="R207" i="32" s="1"/>
  <c r="S20" i="32" s="1"/>
  <c r="S56" i="32"/>
  <c r="S56" i="47" s="1"/>
  <c r="S51" i="32"/>
  <c r="S51" i="47" s="1"/>
  <c r="S54" i="32"/>
  <c r="S54" i="47" s="1"/>
  <c r="U168" i="32"/>
  <c r="U221" i="32" s="1"/>
  <c r="V34" i="32" s="1"/>
  <c r="O38" i="32"/>
  <c r="S38" i="39"/>
  <c r="AL26" i="48"/>
  <c r="AL31" i="48" s="1"/>
  <c r="AL131" i="48" s="1"/>
  <c r="T148" i="45"/>
  <c r="P68" i="48" l="1"/>
  <c r="J159" i="32"/>
  <c r="J154" i="32"/>
  <c r="J170" i="32" s="1"/>
  <c r="J172" i="32" s="1"/>
  <c r="J155" i="47"/>
  <c r="J207" i="47" s="1"/>
  <c r="K25" i="47" s="1"/>
  <c r="K155" i="47" s="1"/>
  <c r="K207" i="47" s="1"/>
  <c r="L25" i="47" s="1"/>
  <c r="L155" i="47" s="1"/>
  <c r="L207" i="47" s="1"/>
  <c r="M25" i="47" s="1"/>
  <c r="M155" i="47" s="1"/>
  <c r="M207" i="47" s="1"/>
  <c r="N25" i="47" s="1"/>
  <c r="N155" i="47" s="1"/>
  <c r="N207" i="47" s="1"/>
  <c r="O25" i="47" s="1"/>
  <c r="O155" i="47" s="1"/>
  <c r="O207" i="47" s="1"/>
  <c r="P25" i="47" s="1"/>
  <c r="P155" i="47" s="1"/>
  <c r="P207" i="47" s="1"/>
  <c r="Q25" i="47" s="1"/>
  <c r="Q155" i="47" s="1"/>
  <c r="Q207" i="47" s="1"/>
  <c r="R25" i="47" s="1"/>
  <c r="R155" i="47" s="1"/>
  <c r="R207" i="47" s="1"/>
  <c r="S25" i="47" s="1"/>
  <c r="J150" i="47"/>
  <c r="J202" i="47" s="1"/>
  <c r="K20" i="47" s="1"/>
  <c r="K150" i="47" s="1"/>
  <c r="K202" i="47" s="1"/>
  <c r="L20" i="47" s="1"/>
  <c r="L150" i="47" s="1"/>
  <c r="L202" i="47" s="1"/>
  <c r="M20" i="47" s="1"/>
  <c r="M150" i="47" s="1"/>
  <c r="M202" i="47" s="1"/>
  <c r="N20" i="47" s="1"/>
  <c r="N150" i="47" s="1"/>
  <c r="N202" i="47" s="1"/>
  <c r="O20" i="47" s="1"/>
  <c r="O150" i="47" s="1"/>
  <c r="O202" i="47" s="1"/>
  <c r="P20" i="47" s="1"/>
  <c r="P150" i="47" s="1"/>
  <c r="P202" i="47" s="1"/>
  <c r="Q20" i="47" s="1"/>
  <c r="Q150" i="47" s="1"/>
  <c r="Q202" i="47" s="1"/>
  <c r="R20" i="47" s="1"/>
  <c r="R150" i="47" s="1"/>
  <c r="R202" i="47" s="1"/>
  <c r="S20" i="47" s="1"/>
  <c r="J62" i="32"/>
  <c r="J43" i="33"/>
  <c r="J117" i="34" s="1"/>
  <c r="P69" i="48" s="1"/>
  <c r="O161" i="37"/>
  <c r="P36" i="37"/>
  <c r="P46" i="37" s="1"/>
  <c r="P48" i="37" s="1"/>
  <c r="P28" i="37"/>
  <c r="O64" i="32"/>
  <c r="O117" i="34"/>
  <c r="U69" i="48" s="1"/>
  <c r="O170" i="32"/>
  <c r="O172" i="32" s="1"/>
  <c r="S46" i="32"/>
  <c r="S46" i="47" s="1"/>
  <c r="AL102" i="48"/>
  <c r="AL32" i="48"/>
  <c r="T200" i="45"/>
  <c r="T32" i="39"/>
  <c r="J122" i="34" l="1"/>
  <c r="P72" i="48"/>
  <c r="J119" i="33"/>
  <c r="J157" i="33" s="1"/>
  <c r="J64" i="32"/>
  <c r="J65" i="32"/>
  <c r="J225" i="32"/>
  <c r="P49" i="37"/>
  <c r="P30" i="37"/>
  <c r="P112" i="37"/>
  <c r="O223" i="32"/>
  <c r="T38" i="39"/>
  <c r="AM26" i="48"/>
  <c r="AM31" i="48" s="1"/>
  <c r="AM131" i="48" s="1"/>
  <c r="U18" i="45"/>
  <c r="A27" i="43"/>
  <c r="AM32" i="48" l="1"/>
  <c r="K24" i="33"/>
  <c r="K119" i="33" s="1"/>
  <c r="K157" i="33" s="1"/>
  <c r="J124" i="34"/>
  <c r="P122" i="37"/>
  <c r="P124" i="37" s="1"/>
  <c r="O225" i="32"/>
  <c r="P44" i="32"/>
  <c r="P36" i="32"/>
  <c r="AM102" i="48"/>
  <c r="U148" i="45"/>
  <c r="U32" i="39"/>
  <c r="K116" i="34" l="1"/>
  <c r="L24" i="33"/>
  <c r="P108" i="48"/>
  <c r="P73" i="48"/>
  <c r="P159" i="37"/>
  <c r="P43" i="33"/>
  <c r="P62" i="32"/>
  <c r="P65" i="32" s="1"/>
  <c r="P44" i="47"/>
  <c r="P148" i="47" s="1"/>
  <c r="P200" i="47" s="1"/>
  <c r="Q18" i="47" s="1"/>
  <c r="P152" i="32"/>
  <c r="P38" i="32"/>
  <c r="U38" i="39"/>
  <c r="AN26" i="48"/>
  <c r="AN31" i="48" s="1"/>
  <c r="AN131" i="48" s="1"/>
  <c r="U200" i="45"/>
  <c r="U140" i="33"/>
  <c r="M140" i="33"/>
  <c r="AB140" i="33"/>
  <c r="T140" i="33"/>
  <c r="L140" i="33"/>
  <c r="J140" i="33"/>
  <c r="AA140" i="33"/>
  <c r="S140" i="33"/>
  <c r="K140" i="33"/>
  <c r="Z140" i="33"/>
  <c r="R140" i="33"/>
  <c r="Y140" i="33"/>
  <c r="X140" i="33"/>
  <c r="P140" i="33"/>
  <c r="O140" i="33"/>
  <c r="V140" i="33"/>
  <c r="N140" i="33"/>
  <c r="O139" i="33"/>
  <c r="V139" i="33"/>
  <c r="N139" i="33"/>
  <c r="U139" i="33"/>
  <c r="M139" i="33"/>
  <c r="AB139" i="33"/>
  <c r="T139" i="33"/>
  <c r="L139" i="33"/>
  <c r="AA139" i="33"/>
  <c r="S139" i="33"/>
  <c r="K139" i="33"/>
  <c r="Z139" i="33"/>
  <c r="R139" i="33"/>
  <c r="J139" i="33"/>
  <c r="Y139" i="33"/>
  <c r="X139" i="33"/>
  <c r="P139" i="33"/>
  <c r="L44" i="33"/>
  <c r="K101" i="33"/>
  <c r="AB82" i="33"/>
  <c r="Y101" i="33"/>
  <c r="O44" i="33"/>
  <c r="L101" i="33"/>
  <c r="N63" i="33"/>
  <c r="J63" i="33"/>
  <c r="U101" i="33"/>
  <c r="AA101" i="33"/>
  <c r="P63" i="33"/>
  <c r="K63" i="33"/>
  <c r="X101" i="33"/>
  <c r="J82" i="33"/>
  <c r="M101" i="33"/>
  <c r="L82" i="33"/>
  <c r="O63" i="33"/>
  <c r="N44" i="33"/>
  <c r="M82" i="33"/>
  <c r="M133" i="34" s="1"/>
  <c r="K82" i="33"/>
  <c r="O101" i="33"/>
  <c r="J44" i="33"/>
  <c r="Y82" i="33"/>
  <c r="P44" i="33"/>
  <c r="AA82" i="33"/>
  <c r="J25" i="33"/>
  <c r="M63" i="33"/>
  <c r="R63" i="33"/>
  <c r="N101" i="33"/>
  <c r="T101" i="33"/>
  <c r="Z82" i="33"/>
  <c r="Z133" i="34" s="1"/>
  <c r="K44" i="33"/>
  <c r="J101" i="33"/>
  <c r="Q82" i="33"/>
  <c r="Q63" i="33"/>
  <c r="AB101" i="33"/>
  <c r="L63" i="33"/>
  <c r="O82" i="33"/>
  <c r="R82" i="33"/>
  <c r="R133" i="34" s="1"/>
  <c r="S101" i="33"/>
  <c r="Q101" i="33"/>
  <c r="P101" i="33"/>
  <c r="X82" i="33"/>
  <c r="Z101" i="33"/>
  <c r="P82" i="33"/>
  <c r="M44" i="33"/>
  <c r="N82" i="33"/>
  <c r="O64" i="33"/>
  <c r="AA102" i="33"/>
  <c r="AA148" i="34" s="1"/>
  <c r="K83" i="33"/>
  <c r="J102" i="33"/>
  <c r="J148" i="34" s="1"/>
  <c r="P85" i="48" s="1"/>
  <c r="J83" i="33"/>
  <c r="Q102" i="33"/>
  <c r="Q148" i="34" s="1"/>
  <c r="W85" i="48" s="1"/>
  <c r="O83" i="33"/>
  <c r="L45" i="33"/>
  <c r="L145" i="34" s="1"/>
  <c r="R82" i="48" s="1"/>
  <c r="O102" i="33"/>
  <c r="O148" i="34" s="1"/>
  <c r="U85" i="48" s="1"/>
  <c r="N102" i="33"/>
  <c r="N148" i="34" s="1"/>
  <c r="T85" i="48" s="1"/>
  <c r="Z83" i="33"/>
  <c r="R83" i="33"/>
  <c r="X102" i="33"/>
  <c r="X148" i="34" s="1"/>
  <c r="P83" i="33"/>
  <c r="M102" i="33"/>
  <c r="M148" i="34" s="1"/>
  <c r="S85" i="48" s="1"/>
  <c r="J45" i="33"/>
  <c r="J145" i="34" s="1"/>
  <c r="P82" i="48" s="1"/>
  <c r="N83" i="33"/>
  <c r="S102" i="33"/>
  <c r="S148" i="34" s="1"/>
  <c r="Y85" i="48" s="1"/>
  <c r="K102" i="33"/>
  <c r="K148" i="34" s="1"/>
  <c r="Q85" i="48" s="1"/>
  <c r="R64" i="33"/>
  <c r="M83" i="33"/>
  <c r="K45" i="33"/>
  <c r="K145" i="34" s="1"/>
  <c r="Q82" i="48" s="1"/>
  <c r="Q83" i="33"/>
  <c r="L83" i="33"/>
  <c r="AB102" i="33"/>
  <c r="AB148" i="34" s="1"/>
  <c r="AB83" i="33"/>
  <c r="AB147" i="34" s="1"/>
  <c r="N64" i="33"/>
  <c r="N45" i="33"/>
  <c r="N145" i="34" s="1"/>
  <c r="T82" i="48" s="1"/>
  <c r="Z102" i="33"/>
  <c r="Z148" i="34" s="1"/>
  <c r="L64" i="33"/>
  <c r="K64" i="33"/>
  <c r="P102" i="33"/>
  <c r="P148" i="34" s="1"/>
  <c r="V85" i="48" s="1"/>
  <c r="O45" i="33"/>
  <c r="O145" i="34" s="1"/>
  <c r="U82" i="48" s="1"/>
  <c r="J64" i="33"/>
  <c r="J146" i="34" s="1"/>
  <c r="P83" i="48" s="1"/>
  <c r="AA83" i="33"/>
  <c r="J26" i="33"/>
  <c r="M45" i="33"/>
  <c r="M145" i="34" s="1"/>
  <c r="S82" i="48" s="1"/>
  <c r="Y102" i="33"/>
  <c r="Y148" i="34" s="1"/>
  <c r="Y83" i="33"/>
  <c r="Y147" i="34" s="1"/>
  <c r="P64" i="33"/>
  <c r="X83" i="33"/>
  <c r="X147" i="34" s="1"/>
  <c r="T102" i="33"/>
  <c r="T148" i="34" s="1"/>
  <c r="Z85" i="48" s="1"/>
  <c r="Q64" i="33"/>
  <c r="U102" i="33"/>
  <c r="U148" i="34" s="1"/>
  <c r="AA85" i="48" s="1"/>
  <c r="M64" i="33"/>
  <c r="P45" i="33"/>
  <c r="P145" i="34" s="1"/>
  <c r="V82" i="48" s="1"/>
  <c r="L102" i="33"/>
  <c r="L148" i="34" s="1"/>
  <c r="R85" i="48" s="1"/>
  <c r="AA133" i="34" l="1"/>
  <c r="AA147" i="34"/>
  <c r="L133" i="34"/>
  <c r="R77" i="48" s="1"/>
  <c r="J133" i="34"/>
  <c r="P77" i="48" s="1"/>
  <c r="X133" i="34"/>
  <c r="AB133" i="34"/>
  <c r="N133" i="34"/>
  <c r="T77" i="48" s="1"/>
  <c r="Y133" i="34"/>
  <c r="K133" i="34"/>
  <c r="Q77" i="48" s="1"/>
  <c r="O133" i="34"/>
  <c r="U77" i="48" s="1"/>
  <c r="P133" i="34"/>
  <c r="V77" i="48" s="1"/>
  <c r="Z147" i="34"/>
  <c r="L147" i="34"/>
  <c r="R84" i="48" s="1"/>
  <c r="J147" i="34"/>
  <c r="P84" i="48" s="1"/>
  <c r="M147" i="34"/>
  <c r="S84" i="48" s="1"/>
  <c r="K147" i="34"/>
  <c r="Q84" i="48" s="1"/>
  <c r="N147" i="34"/>
  <c r="T84" i="48" s="1"/>
  <c r="O147" i="34"/>
  <c r="U84" i="48" s="1"/>
  <c r="P147" i="34"/>
  <c r="V84" i="48" s="1"/>
  <c r="R147" i="34"/>
  <c r="X84" i="48" s="1"/>
  <c r="Q68" i="48"/>
  <c r="Q72" i="48" s="1"/>
  <c r="K122" i="34"/>
  <c r="K124" i="34" s="1"/>
  <c r="L119" i="33"/>
  <c r="L157" i="33" s="1"/>
  <c r="L116" i="34"/>
  <c r="P161" i="37"/>
  <c r="Q36" i="37"/>
  <c r="Q28" i="37"/>
  <c r="P117" i="34"/>
  <c r="V69" i="48" s="1"/>
  <c r="P64" i="32"/>
  <c r="P170" i="32"/>
  <c r="P172" i="32" s="1"/>
  <c r="AN102" i="48"/>
  <c r="AN32" i="48"/>
  <c r="Q146" i="34"/>
  <c r="W83" i="48" s="1"/>
  <c r="N146" i="34"/>
  <c r="T83" i="48" s="1"/>
  <c r="R146" i="34"/>
  <c r="X83" i="48" s="1"/>
  <c r="P146" i="34"/>
  <c r="V83" i="48" s="1"/>
  <c r="K146" i="34"/>
  <c r="Q83" i="48" s="1"/>
  <c r="O146" i="34"/>
  <c r="U83" i="48" s="1"/>
  <c r="L146" i="34"/>
  <c r="R83" i="48" s="1"/>
  <c r="M146" i="34"/>
  <c r="S83" i="48" s="1"/>
  <c r="A20" i="31"/>
  <c r="V18" i="45"/>
  <c r="J121" i="33"/>
  <c r="J159" i="33" s="1"/>
  <c r="J120" i="33"/>
  <c r="J158" i="33" s="1"/>
  <c r="M131" i="34"/>
  <c r="S75" i="48" s="1"/>
  <c r="P134" i="34"/>
  <c r="V78" i="48" s="1"/>
  <c r="K134" i="34"/>
  <c r="Q78" i="48" s="1"/>
  <c r="Q134" i="34"/>
  <c r="W78" i="48" s="1"/>
  <c r="L132" i="34"/>
  <c r="R76" i="48" s="1"/>
  <c r="T134" i="34"/>
  <c r="Z78" i="48" s="1"/>
  <c r="N131" i="34"/>
  <c r="T75" i="48" s="1"/>
  <c r="L134" i="34"/>
  <c r="R78" i="48" s="1"/>
  <c r="L131" i="34"/>
  <c r="R75" i="48" s="1"/>
  <c r="S77" i="48"/>
  <c r="X134" i="34"/>
  <c r="J144" i="34"/>
  <c r="Z134" i="34"/>
  <c r="AB134" i="34"/>
  <c r="N134" i="34"/>
  <c r="T78" i="48" s="1"/>
  <c r="O132" i="34"/>
  <c r="U76" i="48" s="1"/>
  <c r="K132" i="34"/>
  <c r="Q76" i="48" s="1"/>
  <c r="U134" i="34"/>
  <c r="AA78" i="48" s="1"/>
  <c r="O131" i="34"/>
  <c r="U75" i="48" s="1"/>
  <c r="P131" i="34"/>
  <c r="V75" i="48" s="1"/>
  <c r="S134" i="34"/>
  <c r="Y78" i="48" s="1"/>
  <c r="Q132" i="34"/>
  <c r="W76" i="48" s="1"/>
  <c r="R132" i="34"/>
  <c r="X76" i="48" s="1"/>
  <c r="J131" i="34"/>
  <c r="P75" i="48" s="1"/>
  <c r="P132" i="34"/>
  <c r="V76" i="48" s="1"/>
  <c r="J132" i="34"/>
  <c r="P76" i="48" s="1"/>
  <c r="O134" i="34"/>
  <c r="Y134" i="34"/>
  <c r="J134" i="34"/>
  <c r="P78" i="48" s="1"/>
  <c r="M132" i="34"/>
  <c r="S76" i="48" s="1"/>
  <c r="M134" i="34"/>
  <c r="S78" i="48" s="1"/>
  <c r="AA134" i="34"/>
  <c r="N132" i="34"/>
  <c r="T76" i="48" s="1"/>
  <c r="K131" i="34"/>
  <c r="Q75" i="48" s="1"/>
  <c r="J130" i="34"/>
  <c r="V32" i="39"/>
  <c r="V38" i="39" s="1"/>
  <c r="R68" i="48" l="1"/>
  <c r="R72" i="48" s="1"/>
  <c r="L122" i="34"/>
  <c r="P74" i="48"/>
  <c r="P79" i="48" s="1"/>
  <c r="P137" i="48" s="1"/>
  <c r="J136" i="34"/>
  <c r="J138" i="34" s="1"/>
  <c r="P81" i="48"/>
  <c r="P86" i="48" s="1"/>
  <c r="J150" i="34"/>
  <c r="J152" i="34" s="1"/>
  <c r="M24" i="33"/>
  <c r="Q73" i="48"/>
  <c r="Q108" i="48"/>
  <c r="Q30" i="37"/>
  <c r="Q46" i="37"/>
  <c r="Q48" i="37" s="1"/>
  <c r="Q112" i="37"/>
  <c r="P223" i="32"/>
  <c r="X77" i="48"/>
  <c r="U78" i="48"/>
  <c r="K26" i="33"/>
  <c r="K121" i="33" s="1"/>
  <c r="K159" i="33" s="1"/>
  <c r="V148" i="45"/>
  <c r="K25" i="33"/>
  <c r="K120" i="33" s="1"/>
  <c r="P87" i="48" l="1"/>
  <c r="P109" i="48"/>
  <c r="P80" i="48"/>
  <c r="P138" i="48"/>
  <c r="P110" i="48"/>
  <c r="M119" i="33"/>
  <c r="M157" i="33" s="1"/>
  <c r="M116" i="34"/>
  <c r="L124" i="34"/>
  <c r="Q49" i="37"/>
  <c r="Q122" i="37"/>
  <c r="Q124" i="37" s="1"/>
  <c r="Q44" i="32"/>
  <c r="Q152" i="32" s="1"/>
  <c r="Q36" i="32"/>
  <c r="P225" i="32"/>
  <c r="K144" i="34"/>
  <c r="L26" i="33"/>
  <c r="L121" i="33" s="1"/>
  <c r="L159" i="33" s="1"/>
  <c r="V200" i="45"/>
  <c r="K158" i="33"/>
  <c r="K130" i="34"/>
  <c r="W32" i="39"/>
  <c r="W38" i="39" s="1"/>
  <c r="S68" i="48" l="1"/>
  <c r="S72" i="48" s="1"/>
  <c r="M122" i="34"/>
  <c r="Q81" i="48"/>
  <c r="Q86" i="48" s="1"/>
  <c r="Q138" i="48" s="1"/>
  <c r="K150" i="34"/>
  <c r="Q74" i="48"/>
  <c r="Q79" i="48" s="1"/>
  <c r="Q109" i="48" s="1"/>
  <c r="K136" i="34"/>
  <c r="K138" i="34" s="1"/>
  <c r="R73" i="48"/>
  <c r="R108" i="48"/>
  <c r="N24" i="33"/>
  <c r="Q38" i="32"/>
  <c r="Q140" i="37"/>
  <c r="Q170" i="32"/>
  <c r="Q172" i="32" s="1"/>
  <c r="Q43" i="33"/>
  <c r="Q62" i="32"/>
  <c r="Q65" i="32" s="1"/>
  <c r="Q44" i="47"/>
  <c r="Q148" i="47" s="1"/>
  <c r="Q45" i="33"/>
  <c r="Q145" i="34" s="1"/>
  <c r="W82" i="48" s="1"/>
  <c r="Q44" i="33"/>
  <c r="Q131" i="34" s="1"/>
  <c r="W75" i="48" s="1"/>
  <c r="M26" i="33"/>
  <c r="M121" i="33" s="1"/>
  <c r="M159" i="33" s="1"/>
  <c r="L144" i="34"/>
  <c r="W18" i="45"/>
  <c r="L25" i="33"/>
  <c r="L120" i="33" s="1"/>
  <c r="Q137" i="48" l="1"/>
  <c r="Q87" i="48"/>
  <c r="K152" i="34"/>
  <c r="Q80" i="48"/>
  <c r="Q110" i="48"/>
  <c r="R81" i="48"/>
  <c r="R86" i="48" s="1"/>
  <c r="R138" i="48" s="1"/>
  <c r="L150" i="34"/>
  <c r="L152" i="34" s="1"/>
  <c r="M124" i="34"/>
  <c r="N119" i="33"/>
  <c r="N157" i="33" s="1"/>
  <c r="N116" i="34"/>
  <c r="Q159" i="37"/>
  <c r="Q161" i="37" s="1"/>
  <c r="Q142" i="37"/>
  <c r="Q223" i="32"/>
  <c r="Q117" i="34"/>
  <c r="W69" i="48" s="1"/>
  <c r="Q196" i="32"/>
  <c r="Q174" i="47"/>
  <c r="Q200" i="47" s="1"/>
  <c r="R18" i="47" s="1"/>
  <c r="Q138" i="33"/>
  <c r="Q119" i="34" s="1"/>
  <c r="W70" i="48" s="1"/>
  <c r="Q139" i="33"/>
  <c r="Q133" i="34" s="1"/>
  <c r="W77" i="48" s="1"/>
  <c r="Q140" i="33"/>
  <c r="Q147" i="34" s="1"/>
  <c r="W84" i="48" s="1"/>
  <c r="Q64" i="32"/>
  <c r="N26" i="33"/>
  <c r="N121" i="33" s="1"/>
  <c r="N159" i="33" s="1"/>
  <c r="M144" i="34"/>
  <c r="W148" i="45"/>
  <c r="L158" i="33"/>
  <c r="L130" i="34"/>
  <c r="L136" i="34" s="1"/>
  <c r="X32" i="39"/>
  <c r="X38" i="39" s="1"/>
  <c r="R110" i="48" l="1"/>
  <c r="S81" i="48"/>
  <c r="S86" i="48" s="1"/>
  <c r="S138" i="48" s="1"/>
  <c r="M150" i="34"/>
  <c r="M152" i="34" s="1"/>
  <c r="T68" i="48"/>
  <c r="T72" i="48" s="1"/>
  <c r="N122" i="34"/>
  <c r="R87" i="48"/>
  <c r="O24" i="33"/>
  <c r="S108" i="48"/>
  <c r="S73" i="48"/>
  <c r="R36" i="37"/>
  <c r="R28" i="37"/>
  <c r="R44" i="32"/>
  <c r="R36" i="32"/>
  <c r="R38" i="32" s="1"/>
  <c r="Q198" i="32"/>
  <c r="Q225" i="32"/>
  <c r="R74" i="48"/>
  <c r="R79" i="48" s="1"/>
  <c r="R137" i="48" s="1"/>
  <c r="N144" i="34"/>
  <c r="O26" i="33"/>
  <c r="O121" i="33" s="1"/>
  <c r="O159" i="33" s="1"/>
  <c r="W200" i="45"/>
  <c r="L138" i="34"/>
  <c r="M25" i="33"/>
  <c r="M120" i="33" s="1"/>
  <c r="S110" i="48" l="1"/>
  <c r="S87" i="48"/>
  <c r="T81" i="48"/>
  <c r="T86" i="48" s="1"/>
  <c r="T138" i="48" s="1"/>
  <c r="N150" i="34"/>
  <c r="N152" i="34" s="1"/>
  <c r="O119" i="33"/>
  <c r="O157" i="33" s="1"/>
  <c r="O116" i="34"/>
  <c r="N124" i="34"/>
  <c r="R30" i="37"/>
  <c r="R46" i="37"/>
  <c r="R49" i="37" s="1"/>
  <c r="R112" i="37"/>
  <c r="R44" i="47"/>
  <c r="R62" i="32"/>
  <c r="R65" i="32" s="1"/>
  <c r="R43" i="33"/>
  <c r="R117" i="34" s="1"/>
  <c r="X69" i="48" s="1"/>
  <c r="R44" i="33"/>
  <c r="R131" i="34" s="1"/>
  <c r="X75" i="48" s="1"/>
  <c r="R45" i="33"/>
  <c r="R145" i="34" s="1"/>
  <c r="X82" i="48" s="1"/>
  <c r="R109" i="48"/>
  <c r="R80" i="48"/>
  <c r="O144" i="34"/>
  <c r="P26" i="33"/>
  <c r="P121" i="33" s="1"/>
  <c r="P159" i="33" s="1"/>
  <c r="X18" i="45"/>
  <c r="M158" i="33"/>
  <c r="M130" i="34"/>
  <c r="M136" i="34" s="1"/>
  <c r="Y32" i="39"/>
  <c r="Y38" i="39" s="1"/>
  <c r="T110" i="48" l="1"/>
  <c r="T87" i="48"/>
  <c r="U81" i="48"/>
  <c r="U86" i="48" s="1"/>
  <c r="U138" i="48" s="1"/>
  <c r="O150" i="34"/>
  <c r="O152" i="34" s="1"/>
  <c r="U68" i="48"/>
  <c r="U72" i="48" s="1"/>
  <c r="O122" i="34"/>
  <c r="T108" i="48"/>
  <c r="T73" i="48"/>
  <c r="P24" i="33"/>
  <c r="R48" i="37"/>
  <c r="R122" i="37"/>
  <c r="R124" i="37" s="1"/>
  <c r="R149" i="37"/>
  <c r="R163" i="37" s="1"/>
  <c r="R64" i="32"/>
  <c r="S74" i="48"/>
  <c r="S79" i="48" s="1"/>
  <c r="S137" i="48" s="1"/>
  <c r="P144" i="34"/>
  <c r="Q26" i="33"/>
  <c r="Q121" i="33" s="1"/>
  <c r="Q159" i="33" s="1"/>
  <c r="X148" i="45"/>
  <c r="M138" i="34"/>
  <c r="N25" i="33"/>
  <c r="N120" i="33" s="1"/>
  <c r="U110" i="48" l="1"/>
  <c r="U87" i="48"/>
  <c r="V81" i="48"/>
  <c r="V86" i="48" s="1"/>
  <c r="V138" i="48" s="1"/>
  <c r="P150" i="34"/>
  <c r="P152" i="34" s="1"/>
  <c r="P116" i="34"/>
  <c r="P119" i="33"/>
  <c r="P157" i="33" s="1"/>
  <c r="O124" i="34"/>
  <c r="R159" i="37"/>
  <c r="R162" i="37" s="1"/>
  <c r="S18" i="37"/>
  <c r="S109" i="48"/>
  <c r="S80" i="48"/>
  <c r="R26" i="33"/>
  <c r="Q144" i="34"/>
  <c r="X200" i="45"/>
  <c r="N158" i="33"/>
  <c r="N130" i="34"/>
  <c r="N136" i="34" s="1"/>
  <c r="Z32" i="39"/>
  <c r="Z38" i="39" s="1"/>
  <c r="V110" i="48" l="1"/>
  <c r="V87" i="48"/>
  <c r="V68" i="48"/>
  <c r="V72" i="48" s="1"/>
  <c r="P122" i="34"/>
  <c r="W81" i="48"/>
  <c r="W86" i="48" s="1"/>
  <c r="W138" i="48" s="1"/>
  <c r="Q150" i="34"/>
  <c r="Q152" i="34" s="1"/>
  <c r="U108" i="48"/>
  <c r="U73" i="48"/>
  <c r="Q24" i="33"/>
  <c r="S36" i="37"/>
  <c r="S28" i="37"/>
  <c r="R161" i="37"/>
  <c r="T74" i="48"/>
  <c r="T79" i="48" s="1"/>
  <c r="T137" i="48" s="1"/>
  <c r="R144" i="34"/>
  <c r="Y18" i="45"/>
  <c r="N138" i="34"/>
  <c r="O25" i="33"/>
  <c r="O120" i="33" s="1"/>
  <c r="W110" i="48" l="1"/>
  <c r="W87" i="48"/>
  <c r="X81" i="48"/>
  <c r="Q116" i="34"/>
  <c r="Q119" i="33"/>
  <c r="Q157" i="33" s="1"/>
  <c r="P124" i="34"/>
  <c r="S30" i="37"/>
  <c r="S46" i="37"/>
  <c r="S49" i="37" s="1"/>
  <c r="T80" i="48"/>
  <c r="T109" i="48"/>
  <c r="Y148" i="45"/>
  <c r="O158" i="33"/>
  <c r="O130" i="34"/>
  <c r="O136" i="34" s="1"/>
  <c r="AA32" i="39"/>
  <c r="AA38" i="39" s="1"/>
  <c r="W68" i="48" l="1"/>
  <c r="W72" i="48" s="1"/>
  <c r="Q122" i="34"/>
  <c r="V73" i="48"/>
  <c r="V108" i="48"/>
  <c r="R24" i="33"/>
  <c r="R116" i="34" s="1"/>
  <c r="S48" i="37"/>
  <c r="U74" i="48"/>
  <c r="U79" i="48" s="1"/>
  <c r="U137" i="48" s="1"/>
  <c r="Y200" i="45"/>
  <c r="O138" i="34"/>
  <c r="P25" i="33"/>
  <c r="P120" i="33" s="1"/>
  <c r="X68" i="48" l="1"/>
  <c r="Q124" i="34"/>
  <c r="U80" i="48"/>
  <c r="U109" i="48"/>
  <c r="Z18" i="45"/>
  <c r="P158" i="33"/>
  <c r="P130" i="34"/>
  <c r="P136" i="34" s="1"/>
  <c r="AB32" i="39"/>
  <c r="AB38" i="39" s="1"/>
  <c r="W73" i="48" l="1"/>
  <c r="W108" i="48"/>
  <c r="V74" i="48"/>
  <c r="V79" i="48" s="1"/>
  <c r="V137" i="48" s="1"/>
  <c r="Z148" i="45"/>
  <c r="Q25" i="33"/>
  <c r="Q120" i="33" s="1"/>
  <c r="P138" i="34"/>
  <c r="V80" i="48" l="1"/>
  <c r="V109" i="48"/>
  <c r="Z200" i="45"/>
  <c r="Q158" i="33"/>
  <c r="Q130" i="34"/>
  <c r="Q136" i="34" s="1"/>
  <c r="W74" i="48" l="1"/>
  <c r="W79" i="48" s="1"/>
  <c r="W137" i="48" s="1"/>
  <c r="AA18" i="45"/>
  <c r="Q138" i="34"/>
  <c r="R25" i="33"/>
  <c r="B4" i="31"/>
  <c r="B3" i="31"/>
  <c r="W109" i="48" l="1"/>
  <c r="W80" i="48"/>
  <c r="AA148" i="45"/>
  <c r="R130" i="34"/>
  <c r="D56" i="4"/>
  <c r="E64" i="4"/>
  <c r="D64" i="4"/>
  <c r="D51" i="4"/>
  <c r="X74" i="48" l="1"/>
  <c r="AA200" i="45"/>
  <c r="J17" i="4"/>
  <c r="B3" i="25"/>
  <c r="B3" i="4"/>
  <c r="D35" i="28"/>
  <c r="D34" i="28"/>
  <c r="B6" i="28"/>
  <c r="B4" i="28"/>
  <c r="J7" i="49" l="1"/>
  <c r="N7" i="50"/>
  <c r="J7" i="42"/>
  <c r="J7" i="46"/>
  <c r="J7" i="47"/>
  <c r="J7" i="45"/>
  <c r="J7" i="43"/>
  <c r="J7" i="39"/>
  <c r="J7" i="34"/>
  <c r="J7" i="37"/>
  <c r="J7" i="38"/>
  <c r="AB18" i="45"/>
  <c r="J7" i="32"/>
  <c r="J7" i="33"/>
  <c r="J15" i="4"/>
  <c r="K17" i="4"/>
  <c r="K7" i="49" l="1"/>
  <c r="O7" i="50"/>
  <c r="Z77" i="47"/>
  <c r="AA77" i="47"/>
  <c r="Y77" i="47"/>
  <c r="AB77" i="47"/>
  <c r="J5" i="49"/>
  <c r="N5" i="50"/>
  <c r="K7" i="33"/>
  <c r="K7" i="42"/>
  <c r="K7" i="46"/>
  <c r="K7" i="47"/>
  <c r="K7" i="45"/>
  <c r="K7" i="43"/>
  <c r="K7" i="39"/>
  <c r="K7" i="34"/>
  <c r="K7" i="37"/>
  <c r="K7" i="38"/>
  <c r="J5" i="47"/>
  <c r="J5" i="42"/>
  <c r="J5" i="45"/>
  <c r="J5" i="46"/>
  <c r="AB148" i="45"/>
  <c r="J5" i="43"/>
  <c r="J5" i="39"/>
  <c r="J5" i="37"/>
  <c r="J5" i="38"/>
  <c r="J5" i="34"/>
  <c r="J16" i="4"/>
  <c r="J5" i="33"/>
  <c r="K7" i="32"/>
  <c r="J5" i="32"/>
  <c r="L17" i="4"/>
  <c r="L7" i="49" l="1"/>
  <c r="P7" i="50"/>
  <c r="Y79" i="47"/>
  <c r="Z79" i="47"/>
  <c r="AA79" i="47"/>
  <c r="AB79" i="47"/>
  <c r="Z70" i="47"/>
  <c r="AA70" i="47"/>
  <c r="J6" i="49"/>
  <c r="N6" i="50"/>
  <c r="J6" i="47"/>
  <c r="J6" i="42"/>
  <c r="L7" i="33"/>
  <c r="L7" i="42"/>
  <c r="L7" i="47"/>
  <c r="L7" i="46"/>
  <c r="L7" i="45"/>
  <c r="L7" i="43"/>
  <c r="L7" i="37"/>
  <c r="L7" i="34"/>
  <c r="L7" i="38"/>
  <c r="L7" i="39"/>
  <c r="J6" i="45"/>
  <c r="J6" i="46"/>
  <c r="AB200" i="45"/>
  <c r="J6" i="43"/>
  <c r="J6" i="39"/>
  <c r="J6" i="38"/>
  <c r="J6" i="37"/>
  <c r="K15" i="4"/>
  <c r="J6" i="34"/>
  <c r="J18" i="4"/>
  <c r="J6" i="32"/>
  <c r="J6" i="33"/>
  <c r="L7" i="32"/>
  <c r="M17" i="4"/>
  <c r="B4" i="25"/>
  <c r="M7" i="49" l="1"/>
  <c r="Q7" i="50"/>
  <c r="Y70" i="47"/>
  <c r="AB70" i="47"/>
  <c r="X70" i="47"/>
  <c r="Y72" i="47"/>
  <c r="AB72" i="47"/>
  <c r="AA72" i="47"/>
  <c r="Z72" i="47"/>
  <c r="X77" i="47"/>
  <c r="J8" i="49"/>
  <c r="N8" i="50"/>
  <c r="K5" i="49"/>
  <c r="O5" i="50"/>
  <c r="M7" i="33"/>
  <c r="M7" i="42"/>
  <c r="M7" i="47"/>
  <c r="M7" i="46"/>
  <c r="M7" i="45"/>
  <c r="M7" i="43"/>
  <c r="M7" i="37"/>
  <c r="M7" i="38"/>
  <c r="M7" i="39"/>
  <c r="M7" i="34"/>
  <c r="J8" i="47"/>
  <c r="J8" i="42"/>
  <c r="K5" i="47"/>
  <c r="K5" i="42"/>
  <c r="K5" i="45"/>
  <c r="K5" i="46"/>
  <c r="J8" i="45"/>
  <c r="J8" i="46"/>
  <c r="J8" i="43"/>
  <c r="K5" i="43"/>
  <c r="K16" i="4"/>
  <c r="O6" i="50" s="1"/>
  <c r="J8" i="39"/>
  <c r="J8" i="38"/>
  <c r="J8" i="37"/>
  <c r="K5" i="39"/>
  <c r="K5" i="38"/>
  <c r="K5" i="37"/>
  <c r="K5" i="33"/>
  <c r="K5" i="32"/>
  <c r="J8" i="34"/>
  <c r="K5" i="34"/>
  <c r="J8" i="32"/>
  <c r="J8" i="33"/>
  <c r="J20" i="4"/>
  <c r="M7" i="32"/>
  <c r="N17" i="4"/>
  <c r="B4" i="4"/>
  <c r="N7" i="49" l="1"/>
  <c r="R7" i="50"/>
  <c r="X79" i="47"/>
  <c r="Z81" i="47"/>
  <c r="AB81" i="47"/>
  <c r="Y81" i="47"/>
  <c r="AA81" i="47"/>
  <c r="J10" i="49"/>
  <c r="N10" i="50"/>
  <c r="K6" i="42"/>
  <c r="K6" i="49"/>
  <c r="N7" i="33"/>
  <c r="N7" i="42"/>
  <c r="N7" i="46"/>
  <c r="N7" i="47"/>
  <c r="N7" i="45"/>
  <c r="N7" i="43"/>
  <c r="N7" i="38"/>
  <c r="N7" i="39"/>
  <c r="N7" i="34"/>
  <c r="N7" i="37"/>
  <c r="J10" i="47"/>
  <c r="J42" i="47" s="1"/>
  <c r="J10" i="42"/>
  <c r="J14" i="42" s="1"/>
  <c r="K6" i="46"/>
  <c r="K6" i="47"/>
  <c r="J10" i="45"/>
  <c r="J198" i="45" s="1"/>
  <c r="J10" i="46"/>
  <c r="K6" i="45"/>
  <c r="J10" i="43"/>
  <c r="J31" i="43" s="1"/>
  <c r="K6" i="37"/>
  <c r="K6" i="43"/>
  <c r="K6" i="34"/>
  <c r="K18" i="4"/>
  <c r="K6" i="33"/>
  <c r="K6" i="38"/>
  <c r="K6" i="39"/>
  <c r="K6" i="32"/>
  <c r="L15" i="4"/>
  <c r="P5" i="50" s="1"/>
  <c r="J10" i="39"/>
  <c r="J14" i="39" s="1"/>
  <c r="J10" i="38"/>
  <c r="J10" i="37"/>
  <c r="J167" i="37" s="1"/>
  <c r="J10" i="34"/>
  <c r="J10" i="32"/>
  <c r="J231" i="32" s="1"/>
  <c r="J10" i="33"/>
  <c r="N7" i="32"/>
  <c r="O17" i="4"/>
  <c r="O7" i="49" l="1"/>
  <c r="S7" i="50"/>
  <c r="AB82" i="47"/>
  <c r="AA82" i="47"/>
  <c r="Y82" i="47"/>
  <c r="Z82" i="47"/>
  <c r="X72" i="47"/>
  <c r="N26" i="50"/>
  <c r="N38" i="50"/>
  <c r="N16" i="50"/>
  <c r="K8" i="49"/>
  <c r="O8" i="50"/>
  <c r="L5" i="42"/>
  <c r="L5" i="49"/>
  <c r="J68" i="47"/>
  <c r="J198" i="47"/>
  <c r="J30" i="34"/>
  <c r="J14" i="34"/>
  <c r="J16" i="47"/>
  <c r="J94" i="47"/>
  <c r="J16" i="45"/>
  <c r="J146" i="47"/>
  <c r="J68" i="45"/>
  <c r="J120" i="47"/>
  <c r="J172" i="47"/>
  <c r="J130" i="38"/>
  <c r="J111" i="38"/>
  <c r="J110" i="37"/>
  <c r="J128" i="37"/>
  <c r="J120" i="45"/>
  <c r="J20" i="43"/>
  <c r="J42" i="45"/>
  <c r="K8" i="47"/>
  <c r="K8" i="42"/>
  <c r="J94" i="45"/>
  <c r="J128" i="42"/>
  <c r="J44" i="42"/>
  <c r="J30" i="42"/>
  <c r="J114" i="42"/>
  <c r="J142" i="42"/>
  <c r="J100" i="42"/>
  <c r="J72" i="42"/>
  <c r="J86" i="42"/>
  <c r="J58" i="42"/>
  <c r="J156" i="42"/>
  <c r="J172" i="45"/>
  <c r="O7" i="42"/>
  <c r="O7" i="46"/>
  <c r="O7" i="47"/>
  <c r="O7" i="45"/>
  <c r="O7" i="43"/>
  <c r="O7" i="38"/>
  <c r="O7" i="39"/>
  <c r="O7" i="34"/>
  <c r="O7" i="37"/>
  <c r="L5" i="46"/>
  <c r="L5" i="47"/>
  <c r="J149" i="46"/>
  <c r="J111" i="46"/>
  <c r="J92" i="46"/>
  <c r="J130" i="46"/>
  <c r="J73" i="46"/>
  <c r="J54" i="46"/>
  <c r="J16" i="46"/>
  <c r="J35" i="46"/>
  <c r="K8" i="45"/>
  <c r="K8" i="46"/>
  <c r="J146" i="45"/>
  <c r="L5" i="45"/>
  <c r="K8" i="43"/>
  <c r="L16" i="4"/>
  <c r="P6" i="50" s="1"/>
  <c r="K8" i="37"/>
  <c r="K8" i="39"/>
  <c r="K8" i="33"/>
  <c r="L5" i="39"/>
  <c r="L5" i="43"/>
  <c r="K20" i="4"/>
  <c r="O10" i="50" s="1"/>
  <c r="K8" i="32"/>
  <c r="K8" i="38"/>
  <c r="L5" i="34"/>
  <c r="L5" i="33"/>
  <c r="K8" i="34"/>
  <c r="L5" i="38"/>
  <c r="L5" i="37"/>
  <c r="L5" i="32"/>
  <c r="J130" i="33"/>
  <c r="J111" i="33"/>
  <c r="J150" i="32"/>
  <c r="J176" i="32"/>
  <c r="J128" i="39"/>
  <c r="J156" i="39"/>
  <c r="J142" i="39"/>
  <c r="J86" i="39"/>
  <c r="J114" i="39"/>
  <c r="J44" i="39"/>
  <c r="J100" i="39"/>
  <c r="J30" i="39"/>
  <c r="J58" i="39"/>
  <c r="J72" i="39"/>
  <c r="J92" i="38"/>
  <c r="J149" i="38"/>
  <c r="J73" i="38"/>
  <c r="J54" i="38"/>
  <c r="J16" i="38"/>
  <c r="J35" i="38"/>
  <c r="J72" i="37"/>
  <c r="J147" i="37"/>
  <c r="J91" i="37"/>
  <c r="J34" i="37"/>
  <c r="J16" i="37"/>
  <c r="J53" i="37"/>
  <c r="J142" i="34"/>
  <c r="J72" i="34"/>
  <c r="J114" i="34"/>
  <c r="J156" i="34"/>
  <c r="J58" i="34"/>
  <c r="J44" i="34"/>
  <c r="J128" i="34"/>
  <c r="J100" i="34"/>
  <c r="J86" i="34"/>
  <c r="O7" i="32"/>
  <c r="O7" i="33"/>
  <c r="J92" i="33"/>
  <c r="J54" i="33"/>
  <c r="J149" i="33"/>
  <c r="J73" i="33"/>
  <c r="J35" i="33"/>
  <c r="J16" i="33"/>
  <c r="J96" i="32"/>
  <c r="J123" i="32"/>
  <c r="J16" i="32"/>
  <c r="J42" i="32"/>
  <c r="J69" i="32"/>
  <c r="J203" i="32"/>
  <c r="P17" i="4"/>
  <c r="P7" i="49" l="1"/>
  <c r="T7" i="50"/>
  <c r="X81" i="47"/>
  <c r="Z76" i="47"/>
  <c r="AB76" i="47"/>
  <c r="AA76" i="47"/>
  <c r="Y76" i="47"/>
  <c r="Y83" i="47"/>
  <c r="Z83" i="47"/>
  <c r="AA83" i="47"/>
  <c r="AB83" i="47"/>
  <c r="O26" i="50"/>
  <c r="O38" i="50"/>
  <c r="O16" i="50"/>
  <c r="K10" i="42"/>
  <c r="K14" i="42" s="1"/>
  <c r="K10" i="49"/>
  <c r="L6" i="32"/>
  <c r="L6" i="49"/>
  <c r="K10" i="32"/>
  <c r="K176" i="32" s="1"/>
  <c r="L6" i="34"/>
  <c r="L6" i="47"/>
  <c r="L6" i="42"/>
  <c r="P7" i="42"/>
  <c r="P7" i="47"/>
  <c r="P7" i="46"/>
  <c r="P7" i="45"/>
  <c r="P7" i="43"/>
  <c r="P7" i="39"/>
  <c r="P7" i="34"/>
  <c r="P7" i="37"/>
  <c r="P7" i="38"/>
  <c r="K10" i="33"/>
  <c r="K10" i="47"/>
  <c r="K10" i="45"/>
  <c r="K120" i="45" s="1"/>
  <c r="K10" i="46"/>
  <c r="K10" i="34"/>
  <c r="L6" i="45"/>
  <c r="L6" i="46"/>
  <c r="L6" i="33"/>
  <c r="L6" i="39"/>
  <c r="L6" i="38"/>
  <c r="M15" i="4"/>
  <c r="Q5" i="50" s="1"/>
  <c r="L18" i="4"/>
  <c r="P8" i="50" s="1"/>
  <c r="L6" i="37"/>
  <c r="K10" i="43"/>
  <c r="K31" i="43" s="1"/>
  <c r="L6" i="43"/>
  <c r="K10" i="39"/>
  <c r="K10" i="37"/>
  <c r="K10" i="38"/>
  <c r="P7" i="32"/>
  <c r="P7" i="33"/>
  <c r="Q17" i="4"/>
  <c r="K128" i="42" l="1"/>
  <c r="K100" i="42"/>
  <c r="Q7" i="49"/>
  <c r="U7" i="50"/>
  <c r="K58" i="42"/>
  <c r="K114" i="42"/>
  <c r="L8" i="38"/>
  <c r="K30" i="42"/>
  <c r="K72" i="42"/>
  <c r="K142" i="42"/>
  <c r="K86" i="42"/>
  <c r="K44" i="42"/>
  <c r="K156" i="42"/>
  <c r="Y78" i="47"/>
  <c r="AB78" i="47"/>
  <c r="AA78" i="47"/>
  <c r="Z78" i="47"/>
  <c r="X82" i="47"/>
  <c r="K123" i="32"/>
  <c r="K96" i="32"/>
  <c r="K150" i="32"/>
  <c r="K42" i="32"/>
  <c r="K128" i="37"/>
  <c r="K167" i="37"/>
  <c r="K203" i="32"/>
  <c r="K231" i="32"/>
  <c r="K16" i="32"/>
  <c r="M5" i="33"/>
  <c r="K69" i="32"/>
  <c r="K111" i="33"/>
  <c r="L8" i="42"/>
  <c r="L8" i="49"/>
  <c r="M5" i="39"/>
  <c r="M5" i="49"/>
  <c r="M5" i="32"/>
  <c r="M16" i="4"/>
  <c r="M5" i="37"/>
  <c r="M5" i="38"/>
  <c r="M5" i="34"/>
  <c r="K30" i="39"/>
  <c r="K14" i="39"/>
  <c r="K100" i="39"/>
  <c r="K58" i="34"/>
  <c r="K14" i="34"/>
  <c r="K100" i="34"/>
  <c r="K156" i="34"/>
  <c r="K30" i="34"/>
  <c r="K16" i="33"/>
  <c r="K54" i="33"/>
  <c r="K156" i="39"/>
  <c r="K92" i="33"/>
  <c r="K35" i="33"/>
  <c r="K149" i="38"/>
  <c r="K130" i="38"/>
  <c r="K111" i="38"/>
  <c r="K54" i="38"/>
  <c r="K16" i="38"/>
  <c r="K35" i="38"/>
  <c r="K92" i="38"/>
  <c r="K73" i="38"/>
  <c r="K53" i="37"/>
  <c r="K110" i="37"/>
  <c r="K147" i="37"/>
  <c r="Q7" i="42"/>
  <c r="Q7" i="47"/>
  <c r="Q7" i="46"/>
  <c r="Q7" i="45"/>
  <c r="Q7" i="43"/>
  <c r="Q7" i="39"/>
  <c r="Q7" i="34"/>
  <c r="Q7" i="37"/>
  <c r="Q7" i="38"/>
  <c r="K86" i="39"/>
  <c r="K146" i="45"/>
  <c r="K42" i="45"/>
  <c r="K149" i="33"/>
  <c r="K114" i="39"/>
  <c r="K68" i="45"/>
  <c r="K16" i="45"/>
  <c r="K44" i="39"/>
  <c r="K142" i="39"/>
  <c r="M5" i="47"/>
  <c r="M5" i="42"/>
  <c r="K172" i="45"/>
  <c r="K72" i="39"/>
  <c r="K128" i="39"/>
  <c r="K73" i="33"/>
  <c r="K198" i="45"/>
  <c r="K58" i="39"/>
  <c r="K130" i="33"/>
  <c r="K20" i="43"/>
  <c r="K94" i="45"/>
  <c r="K172" i="47"/>
  <c r="K198" i="47"/>
  <c r="K146" i="47"/>
  <c r="K120" i="47"/>
  <c r="K42" i="47"/>
  <c r="K94" i="47"/>
  <c r="K68" i="47"/>
  <c r="K16" i="47"/>
  <c r="M5" i="43"/>
  <c r="L8" i="43"/>
  <c r="L8" i="47"/>
  <c r="K72" i="34"/>
  <c r="K128" i="34"/>
  <c r="K114" i="34"/>
  <c r="L8" i="39"/>
  <c r="K149" i="46"/>
  <c r="K92" i="46"/>
  <c r="K130" i="46"/>
  <c r="K73" i="46"/>
  <c r="K35" i="46"/>
  <c r="K111" i="46"/>
  <c r="K54" i="46"/>
  <c r="K16" i="46"/>
  <c r="L8" i="45"/>
  <c r="L8" i="46"/>
  <c r="L8" i="33"/>
  <c r="K142" i="34"/>
  <c r="K44" i="34"/>
  <c r="M5" i="45"/>
  <c r="M5" i="46"/>
  <c r="L20" i="4"/>
  <c r="L8" i="32"/>
  <c r="K86" i="34"/>
  <c r="L8" i="34"/>
  <c r="L8" i="37"/>
  <c r="K91" i="37"/>
  <c r="K72" i="37"/>
  <c r="K16" i="37"/>
  <c r="K34" i="37"/>
  <c r="M6" i="33"/>
  <c r="Q7" i="32"/>
  <c r="Q7" i="33"/>
  <c r="R17" i="4"/>
  <c r="R7" i="49" l="1"/>
  <c r="V7" i="50"/>
  <c r="X76" i="47"/>
  <c r="X78" i="47"/>
  <c r="X83" i="47"/>
  <c r="L10" i="49"/>
  <c r="P10" i="50"/>
  <c r="M6" i="34"/>
  <c r="Q6" i="50"/>
  <c r="M6" i="37"/>
  <c r="M6" i="43"/>
  <c r="M18" i="4"/>
  <c r="M6" i="47"/>
  <c r="M6" i="32"/>
  <c r="M6" i="39"/>
  <c r="M6" i="45"/>
  <c r="N15" i="4"/>
  <c r="N5" i="47" s="1"/>
  <c r="M6" i="38"/>
  <c r="M6" i="46"/>
  <c r="M6" i="42"/>
  <c r="M6" i="49"/>
  <c r="L10" i="47"/>
  <c r="L94" i="47" s="1"/>
  <c r="L10" i="42"/>
  <c r="L14" i="42" s="1"/>
  <c r="L10" i="37"/>
  <c r="L10" i="32"/>
  <c r="L10" i="34"/>
  <c r="L10" i="38"/>
  <c r="R7" i="33"/>
  <c r="R7" i="42"/>
  <c r="R7" i="46"/>
  <c r="R7" i="47"/>
  <c r="R7" i="45"/>
  <c r="R7" i="43"/>
  <c r="R7" i="39"/>
  <c r="R7" i="34"/>
  <c r="R7" i="37"/>
  <c r="R7" i="38"/>
  <c r="L10" i="33"/>
  <c r="L10" i="39"/>
  <c r="L72" i="39" s="1"/>
  <c r="L10" i="43"/>
  <c r="L31" i="43" s="1"/>
  <c r="L10" i="45"/>
  <c r="L10" i="46"/>
  <c r="M8" i="45"/>
  <c r="M8" i="46"/>
  <c r="N5" i="45"/>
  <c r="N5" i="43"/>
  <c r="M8" i="43"/>
  <c r="M8" i="39"/>
  <c r="M8" i="38"/>
  <c r="M8" i="37"/>
  <c r="N5" i="39"/>
  <c r="N5" i="37"/>
  <c r="M8" i="33"/>
  <c r="M8" i="34"/>
  <c r="N5" i="33"/>
  <c r="S17" i="4"/>
  <c r="R7" i="32"/>
  <c r="M8" i="32"/>
  <c r="M20" i="4"/>
  <c r="N16" i="4"/>
  <c r="L172" i="47" l="1"/>
  <c r="L68" i="47"/>
  <c r="L198" i="47"/>
  <c r="S7" i="49"/>
  <c r="W7" i="50"/>
  <c r="P26" i="50"/>
  <c r="P38" i="50"/>
  <c r="L128" i="37"/>
  <c r="L167" i="37"/>
  <c r="L150" i="32"/>
  <c r="L231" i="32"/>
  <c r="L42" i="32"/>
  <c r="N6" i="49"/>
  <c r="R6" i="50"/>
  <c r="L146" i="47"/>
  <c r="M10" i="49"/>
  <c r="Q10" i="50"/>
  <c r="M8" i="49"/>
  <c r="Q8" i="50"/>
  <c r="N5" i="49"/>
  <c r="R5" i="50"/>
  <c r="P16" i="50"/>
  <c r="L120" i="47"/>
  <c r="N5" i="38"/>
  <c r="N5" i="46"/>
  <c r="N5" i="42"/>
  <c r="N5" i="34"/>
  <c r="M8" i="42"/>
  <c r="N5" i="32"/>
  <c r="M8" i="47"/>
  <c r="L44" i="39"/>
  <c r="L92" i="33"/>
  <c r="L100" i="39"/>
  <c r="L14" i="39"/>
  <c r="L128" i="39"/>
  <c r="L58" i="39"/>
  <c r="L114" i="39"/>
  <c r="L86" i="39"/>
  <c r="L156" i="39"/>
  <c r="L142" i="39"/>
  <c r="L44" i="34"/>
  <c r="L14" i="34"/>
  <c r="L16" i="32"/>
  <c r="L30" i="39"/>
  <c r="L176" i="32"/>
  <c r="L42" i="47"/>
  <c r="L96" i="32"/>
  <c r="L69" i="32"/>
  <c r="L203" i="32"/>
  <c r="L123" i="32"/>
  <c r="L58" i="34"/>
  <c r="L142" i="34"/>
  <c r="L16" i="47"/>
  <c r="L156" i="34"/>
  <c r="L72" i="34"/>
  <c r="L114" i="34"/>
  <c r="L86" i="34"/>
  <c r="L30" i="34"/>
  <c r="L100" i="34"/>
  <c r="L128" i="34"/>
  <c r="L73" i="38"/>
  <c r="L130" i="38"/>
  <c r="L111" i="38"/>
  <c r="L92" i="38"/>
  <c r="L54" i="38"/>
  <c r="L35" i="38"/>
  <c r="L16" i="38"/>
  <c r="L149" i="38"/>
  <c r="L147" i="37"/>
  <c r="L110" i="37"/>
  <c r="L91" i="37"/>
  <c r="L53" i="37"/>
  <c r="L16" i="37"/>
  <c r="L34" i="37"/>
  <c r="L72" i="37"/>
  <c r="L54" i="33"/>
  <c r="L130" i="33"/>
  <c r="L44" i="42"/>
  <c r="L30" i="42"/>
  <c r="L58" i="42"/>
  <c r="L86" i="42"/>
  <c r="L72" i="42"/>
  <c r="L156" i="42"/>
  <c r="L114" i="42"/>
  <c r="L100" i="42"/>
  <c r="L142" i="42"/>
  <c r="L128" i="42"/>
  <c r="N6" i="47"/>
  <c r="N6" i="42"/>
  <c r="L111" i="33"/>
  <c r="M10" i="47"/>
  <c r="M68" i="47" s="1"/>
  <c r="M10" i="42"/>
  <c r="M14" i="42" s="1"/>
  <c r="L73" i="33"/>
  <c r="S7" i="42"/>
  <c r="S7" i="46"/>
  <c r="S7" i="47"/>
  <c r="S7" i="45"/>
  <c r="S7" i="43"/>
  <c r="S7" i="39"/>
  <c r="S7" i="34"/>
  <c r="S7" i="37"/>
  <c r="S7" i="38"/>
  <c r="T17" i="4"/>
  <c r="L35" i="33"/>
  <c r="L149" i="33"/>
  <c r="L20" i="43"/>
  <c r="L16" i="33"/>
  <c r="M10" i="45"/>
  <c r="M94" i="45" s="1"/>
  <c r="M10" i="46"/>
  <c r="L149" i="46"/>
  <c r="L130" i="46"/>
  <c r="L73" i="46"/>
  <c r="L111" i="46"/>
  <c r="L54" i="46"/>
  <c r="L92" i="46"/>
  <c r="L16" i="46"/>
  <c r="L35" i="46"/>
  <c r="N6" i="45"/>
  <c r="N6" i="46"/>
  <c r="L172" i="45"/>
  <c r="L94" i="45"/>
  <c r="L146" i="45"/>
  <c r="L68" i="45"/>
  <c r="L42" i="45"/>
  <c r="L16" i="45"/>
  <c r="L120" i="45"/>
  <c r="L198" i="45"/>
  <c r="M10" i="43"/>
  <c r="M31" i="43" s="1"/>
  <c r="N6" i="43"/>
  <c r="N6" i="39"/>
  <c r="N6" i="38"/>
  <c r="N6" i="37"/>
  <c r="M10" i="39"/>
  <c r="M14" i="39" s="1"/>
  <c r="M10" i="38"/>
  <c r="M10" i="37"/>
  <c r="M167" i="37" s="1"/>
  <c r="M10" i="33"/>
  <c r="M10" i="34"/>
  <c r="M14" i="34" s="1"/>
  <c r="N6" i="33"/>
  <c r="N6" i="34"/>
  <c r="S7" i="32"/>
  <c r="S7" i="33"/>
  <c r="M10" i="32"/>
  <c r="M231" i="32" s="1"/>
  <c r="O15" i="4"/>
  <c r="N6" i="32"/>
  <c r="N18" i="4"/>
  <c r="T7" i="49" l="1"/>
  <c r="X7" i="50"/>
  <c r="Q26" i="50"/>
  <c r="Q38" i="50"/>
  <c r="N8" i="49"/>
  <c r="R8" i="50"/>
  <c r="O5" i="49"/>
  <c r="S5" i="50"/>
  <c r="Q16" i="50"/>
  <c r="M42" i="47"/>
  <c r="M198" i="47"/>
  <c r="M120" i="45"/>
  <c r="M94" i="47"/>
  <c r="M42" i="45"/>
  <c r="M120" i="47"/>
  <c r="M146" i="47"/>
  <c r="M172" i="47"/>
  <c r="M16" i="47"/>
  <c r="M16" i="45"/>
  <c r="M111" i="38"/>
  <c r="M130" i="38"/>
  <c r="M110" i="37"/>
  <c r="M128" i="37"/>
  <c r="T7" i="42"/>
  <c r="T7" i="47"/>
  <c r="T7" i="46"/>
  <c r="T7" i="45"/>
  <c r="T7" i="43"/>
  <c r="T7" i="37"/>
  <c r="T7" i="39"/>
  <c r="T7" i="38"/>
  <c r="T7" i="34"/>
  <c r="O5" i="47"/>
  <c r="O5" i="42"/>
  <c r="U17" i="4"/>
  <c r="M156" i="42"/>
  <c r="M142" i="42"/>
  <c r="M44" i="42"/>
  <c r="M128" i="42"/>
  <c r="M86" i="42"/>
  <c r="M30" i="42"/>
  <c r="M72" i="42"/>
  <c r="M114" i="42"/>
  <c r="M58" i="42"/>
  <c r="M100" i="42"/>
  <c r="T7" i="33"/>
  <c r="N8" i="47"/>
  <c r="N8" i="42"/>
  <c r="T7" i="32"/>
  <c r="M172" i="45"/>
  <c r="M68" i="45"/>
  <c r="M198" i="45"/>
  <c r="M146" i="45"/>
  <c r="M20" i="43"/>
  <c r="M149" i="46"/>
  <c r="M130" i="46"/>
  <c r="M111" i="46"/>
  <c r="M92" i="46"/>
  <c r="M73" i="46"/>
  <c r="M16" i="46"/>
  <c r="M54" i="46"/>
  <c r="M35" i="46"/>
  <c r="O5" i="45"/>
  <c r="O5" i="46"/>
  <c r="N8" i="45"/>
  <c r="N8" i="46"/>
  <c r="N8" i="43"/>
  <c r="O5" i="43"/>
  <c r="M92" i="33"/>
  <c r="M111" i="33"/>
  <c r="M130" i="33"/>
  <c r="M176" i="32"/>
  <c r="M150" i="32"/>
  <c r="M147" i="37"/>
  <c r="M53" i="37"/>
  <c r="M91" i="37"/>
  <c r="M34" i="37"/>
  <c r="M16" i="37"/>
  <c r="M72" i="37"/>
  <c r="M149" i="38"/>
  <c r="M54" i="38"/>
  <c r="M16" i="38"/>
  <c r="M35" i="38"/>
  <c r="M92" i="38"/>
  <c r="M73" i="38"/>
  <c r="M142" i="39"/>
  <c r="M114" i="39"/>
  <c r="M128" i="39"/>
  <c r="M156" i="39"/>
  <c r="M100" i="39"/>
  <c r="M58" i="39"/>
  <c r="M72" i="39"/>
  <c r="M86" i="39"/>
  <c r="M44" i="39"/>
  <c r="M30" i="39"/>
  <c r="N8" i="39"/>
  <c r="N8" i="38"/>
  <c r="N8" i="37"/>
  <c r="O5" i="39"/>
  <c r="O5" i="38"/>
  <c r="O5" i="37"/>
  <c r="M73" i="33"/>
  <c r="O5" i="34"/>
  <c r="M156" i="34"/>
  <c r="M58" i="34"/>
  <c r="M44" i="34"/>
  <c r="M128" i="34"/>
  <c r="M100" i="34"/>
  <c r="M86" i="34"/>
  <c r="M142" i="34"/>
  <c r="M72" i="34"/>
  <c r="M114" i="34"/>
  <c r="M149" i="33"/>
  <c r="M35" i="33"/>
  <c r="M54" i="33"/>
  <c r="M16" i="33"/>
  <c r="N8" i="33"/>
  <c r="N8" i="34"/>
  <c r="M30" i="34"/>
  <c r="U7" i="32"/>
  <c r="U7" i="33"/>
  <c r="O5" i="32"/>
  <c r="O5" i="33"/>
  <c r="M203" i="32"/>
  <c r="M42" i="32"/>
  <c r="M123" i="32"/>
  <c r="M96" i="32"/>
  <c r="M69" i="32"/>
  <c r="V17" i="4"/>
  <c r="N8" i="32"/>
  <c r="N20" i="4"/>
  <c r="O16" i="4"/>
  <c r="M16" i="32"/>
  <c r="U7" i="49" l="1"/>
  <c r="Y7" i="50"/>
  <c r="O6" i="49"/>
  <c r="S6" i="50"/>
  <c r="N10" i="49"/>
  <c r="R10" i="50"/>
  <c r="N10" i="47"/>
  <c r="N198" i="47" s="1"/>
  <c r="N10" i="42"/>
  <c r="N14" i="42" s="1"/>
  <c r="V7" i="33"/>
  <c r="V7" i="42"/>
  <c r="V7" i="46"/>
  <c r="V7" i="47"/>
  <c r="V7" i="45"/>
  <c r="V7" i="38"/>
  <c r="V7" i="39"/>
  <c r="V7" i="34"/>
  <c r="V7" i="37"/>
  <c r="U7" i="42"/>
  <c r="U7" i="47"/>
  <c r="U7" i="46"/>
  <c r="U7" i="45"/>
  <c r="U7" i="44"/>
  <c r="U7" i="43"/>
  <c r="U7" i="37"/>
  <c r="U7" i="38"/>
  <c r="U7" i="39"/>
  <c r="U7" i="34"/>
  <c r="O6" i="47"/>
  <c r="O6" i="42"/>
  <c r="O6" i="45"/>
  <c r="O6" i="46"/>
  <c r="N10" i="45"/>
  <c r="N94" i="45" s="1"/>
  <c r="N10" i="46"/>
  <c r="O6" i="43"/>
  <c r="N10" i="43"/>
  <c r="N31" i="43" s="1"/>
  <c r="O6" i="39"/>
  <c r="O6" i="38"/>
  <c r="O6" i="37"/>
  <c r="N10" i="39"/>
  <c r="N14" i="39" s="1"/>
  <c r="N10" i="37"/>
  <c r="N167" i="37" s="1"/>
  <c r="N10" i="38"/>
  <c r="O6" i="34"/>
  <c r="N10" i="33"/>
  <c r="N10" i="34"/>
  <c r="N14" i="34" s="1"/>
  <c r="O6" i="32"/>
  <c r="O6" i="33"/>
  <c r="W17" i="4"/>
  <c r="V7" i="32"/>
  <c r="P15" i="4"/>
  <c r="O18" i="4"/>
  <c r="N10" i="32"/>
  <c r="N231" i="32" s="1"/>
  <c r="AD20" i="4"/>
  <c r="N42" i="47" l="1"/>
  <c r="N94" i="47"/>
  <c r="R26" i="50"/>
  <c r="R38" i="50"/>
  <c r="R16" i="50"/>
  <c r="O8" i="49"/>
  <c r="S8" i="50"/>
  <c r="P5" i="49"/>
  <c r="T5" i="50"/>
  <c r="N172" i="47"/>
  <c r="N16" i="47"/>
  <c r="N68" i="47"/>
  <c r="N146" i="47"/>
  <c r="N120" i="47"/>
  <c r="N146" i="45"/>
  <c r="N16" i="45"/>
  <c r="N198" i="45"/>
  <c r="N130" i="38"/>
  <c r="N111" i="38"/>
  <c r="N110" i="37"/>
  <c r="N128" i="37"/>
  <c r="N142" i="42"/>
  <c r="N44" i="42"/>
  <c r="N72" i="42"/>
  <c r="N30" i="42"/>
  <c r="N128" i="42"/>
  <c r="N58" i="42"/>
  <c r="N156" i="42"/>
  <c r="N114" i="42"/>
  <c r="N86" i="42"/>
  <c r="N100" i="42"/>
  <c r="O8" i="47"/>
  <c r="O8" i="42"/>
  <c r="W7" i="33"/>
  <c r="W7" i="42"/>
  <c r="W7" i="46"/>
  <c r="W7" i="47"/>
  <c r="W7" i="45"/>
  <c r="W7" i="38"/>
  <c r="W7" i="39"/>
  <c r="W7" i="34"/>
  <c r="W7" i="37"/>
  <c r="P5" i="47"/>
  <c r="P5" i="42"/>
  <c r="P5" i="45"/>
  <c r="P5" i="46"/>
  <c r="N172" i="45"/>
  <c r="N120" i="45"/>
  <c r="N68" i="45"/>
  <c r="O8" i="45"/>
  <c r="O8" i="46"/>
  <c r="N149" i="46"/>
  <c r="N130" i="46"/>
  <c r="N111" i="46"/>
  <c r="N92" i="46"/>
  <c r="N73" i="46"/>
  <c r="N54" i="46"/>
  <c r="N16" i="46"/>
  <c r="N35" i="46"/>
  <c r="N42" i="45"/>
  <c r="N20" i="43"/>
  <c r="P5" i="43"/>
  <c r="O8" i="43"/>
  <c r="N73" i="33"/>
  <c r="N111" i="33"/>
  <c r="N130" i="33"/>
  <c r="N176" i="32"/>
  <c r="N150" i="32"/>
  <c r="N54" i="33"/>
  <c r="N16" i="33"/>
  <c r="N149" i="33"/>
  <c r="N149" i="38"/>
  <c r="N92" i="38"/>
  <c r="N35" i="38"/>
  <c r="N73" i="38"/>
  <c r="N54" i="38"/>
  <c r="N16" i="38"/>
  <c r="N72" i="37"/>
  <c r="N34" i="37"/>
  <c r="N147" i="37"/>
  <c r="N91" i="37"/>
  <c r="N16" i="37"/>
  <c r="N53" i="37"/>
  <c r="N142" i="39"/>
  <c r="N114" i="39"/>
  <c r="N156" i="39"/>
  <c r="N128" i="39"/>
  <c r="N100" i="39"/>
  <c r="N86" i="39"/>
  <c r="N72" i="39"/>
  <c r="N58" i="39"/>
  <c r="N44" i="39"/>
  <c r="N30" i="39"/>
  <c r="O8" i="38"/>
  <c r="O8" i="39"/>
  <c r="O8" i="37"/>
  <c r="N92" i="33"/>
  <c r="N35" i="33"/>
  <c r="P5" i="39"/>
  <c r="P5" i="38"/>
  <c r="P5" i="37"/>
  <c r="O8" i="34"/>
  <c r="N156" i="34"/>
  <c r="N128" i="34"/>
  <c r="N100" i="34"/>
  <c r="N86" i="34"/>
  <c r="N142" i="34"/>
  <c r="N72" i="34"/>
  <c r="N114" i="34"/>
  <c r="N44" i="34"/>
  <c r="N58" i="34"/>
  <c r="P5" i="34"/>
  <c r="N30" i="34"/>
  <c r="O8" i="32"/>
  <c r="O8" i="33"/>
  <c r="P5" i="32"/>
  <c r="P5" i="33"/>
  <c r="N42" i="32"/>
  <c r="N203" i="32"/>
  <c r="N69" i="32"/>
  <c r="N123" i="32"/>
  <c r="N96" i="32"/>
  <c r="W7" i="32"/>
  <c r="X17" i="4"/>
  <c r="N16" i="32"/>
  <c r="O20" i="4"/>
  <c r="P16" i="4"/>
  <c r="Y80" i="47" l="1"/>
  <c r="Z80" i="47"/>
  <c r="AB80" i="47"/>
  <c r="AA80" i="47"/>
  <c r="P6" i="49"/>
  <c r="T6" i="50"/>
  <c r="O10" i="49"/>
  <c r="S10" i="50"/>
  <c r="P6" i="47"/>
  <c r="P6" i="42"/>
  <c r="O10" i="47"/>
  <c r="O16" i="47" s="1"/>
  <c r="O10" i="42"/>
  <c r="O14" i="42" s="1"/>
  <c r="X7" i="33"/>
  <c r="X7" i="42"/>
  <c r="X7" i="47"/>
  <c r="X7" i="46"/>
  <c r="X7" i="45"/>
  <c r="X7" i="38"/>
  <c r="X7" i="39"/>
  <c r="X7" i="34"/>
  <c r="X7" i="37"/>
  <c r="P6" i="45"/>
  <c r="P6" i="46"/>
  <c r="O10" i="45"/>
  <c r="O16" i="45" s="1"/>
  <c r="O10" i="46"/>
  <c r="P6" i="43"/>
  <c r="O10" i="43"/>
  <c r="O31" i="43" s="1"/>
  <c r="P6" i="39"/>
  <c r="P6" i="38"/>
  <c r="P6" i="37"/>
  <c r="O10" i="39"/>
  <c r="O14" i="39" s="1"/>
  <c r="O10" i="38"/>
  <c r="O10" i="37"/>
  <c r="O167" i="37" s="1"/>
  <c r="O10" i="34"/>
  <c r="P6" i="34"/>
  <c r="O10" i="32"/>
  <c r="O231" i="32" s="1"/>
  <c r="O10" i="33"/>
  <c r="P6" i="32"/>
  <c r="P6" i="33"/>
  <c r="X7" i="32"/>
  <c r="Y17" i="4"/>
  <c r="Q15" i="4"/>
  <c r="P18" i="4"/>
  <c r="S26" i="50" l="1"/>
  <c r="S38" i="50"/>
  <c r="P8" i="49"/>
  <c r="T8" i="50"/>
  <c r="S16" i="50"/>
  <c r="Q5" i="49"/>
  <c r="U5" i="50"/>
  <c r="O68" i="47"/>
  <c r="O172" i="47"/>
  <c r="O30" i="34"/>
  <c r="O14" i="34"/>
  <c r="O94" i="45"/>
  <c r="O42" i="47"/>
  <c r="O68" i="45"/>
  <c r="O94" i="47"/>
  <c r="O120" i="47"/>
  <c r="O146" i="47"/>
  <c r="O198" i="47"/>
  <c r="O130" i="38"/>
  <c r="O111" i="38"/>
  <c r="O110" i="37"/>
  <c r="O128" i="37"/>
  <c r="Q5" i="47"/>
  <c r="Q5" i="42"/>
  <c r="Y7" i="33"/>
  <c r="Y7" i="42"/>
  <c r="Y7" i="47"/>
  <c r="Y7" i="46"/>
  <c r="Y7" i="45"/>
  <c r="Y7" i="39"/>
  <c r="Y7" i="34"/>
  <c r="Y7" i="37"/>
  <c r="Y7" i="38"/>
  <c r="O120" i="45"/>
  <c r="O42" i="45"/>
  <c r="O198" i="45"/>
  <c r="O44" i="42"/>
  <c r="O30" i="42"/>
  <c r="O142" i="42"/>
  <c r="O156" i="42"/>
  <c r="O128" i="42"/>
  <c r="O114" i="42"/>
  <c r="O100" i="42"/>
  <c r="O86" i="42"/>
  <c r="O58" i="42"/>
  <c r="O72" i="42"/>
  <c r="P8" i="47"/>
  <c r="P8" i="42"/>
  <c r="O146" i="45"/>
  <c r="O172" i="45"/>
  <c r="O130" i="46"/>
  <c r="O92" i="46"/>
  <c r="O73" i="46"/>
  <c r="O149" i="46"/>
  <c r="O111" i="46"/>
  <c r="O35" i="46"/>
  <c r="O54" i="46"/>
  <c r="O16" i="46"/>
  <c r="Q5" i="45"/>
  <c r="Q5" i="46"/>
  <c r="P8" i="45"/>
  <c r="P8" i="46"/>
  <c r="O20" i="43"/>
  <c r="P8" i="43"/>
  <c r="Q5" i="43"/>
  <c r="O111" i="33"/>
  <c r="O130" i="33"/>
  <c r="O123" i="32"/>
  <c r="O150" i="32"/>
  <c r="O176" i="32"/>
  <c r="Q5" i="39"/>
  <c r="Q5" i="38"/>
  <c r="Q5" i="37"/>
  <c r="O53" i="37"/>
  <c r="O91" i="37"/>
  <c r="O72" i="37"/>
  <c r="O16" i="37"/>
  <c r="O147" i="37"/>
  <c r="O34" i="37"/>
  <c r="P8" i="39"/>
  <c r="P8" i="38"/>
  <c r="P8" i="37"/>
  <c r="O114" i="39"/>
  <c r="O156" i="39"/>
  <c r="O128" i="39"/>
  <c r="O100" i="39"/>
  <c r="O142" i="39"/>
  <c r="O72" i="39"/>
  <c r="O86" i="39"/>
  <c r="O58" i="39"/>
  <c r="O44" i="39"/>
  <c r="O30" i="39"/>
  <c r="O149" i="38"/>
  <c r="O92" i="38"/>
  <c r="O73" i="38"/>
  <c r="O54" i="38"/>
  <c r="O16" i="38"/>
  <c r="O35" i="38"/>
  <c r="P8" i="34"/>
  <c r="O203" i="32"/>
  <c r="Q5" i="34"/>
  <c r="O96" i="32"/>
  <c r="O128" i="34"/>
  <c r="O100" i="34"/>
  <c r="O86" i="34"/>
  <c r="O142" i="34"/>
  <c r="O72" i="34"/>
  <c r="O114" i="34"/>
  <c r="O156" i="34"/>
  <c r="O44" i="34"/>
  <c r="O58" i="34"/>
  <c r="O69" i="32"/>
  <c r="O42" i="32"/>
  <c r="O16" i="32"/>
  <c r="P8" i="32"/>
  <c r="P8" i="33"/>
  <c r="Q5" i="32"/>
  <c r="Q5" i="33"/>
  <c r="O73" i="33"/>
  <c r="O35" i="33"/>
  <c r="O92" i="33"/>
  <c r="O54" i="33"/>
  <c r="O149" i="33"/>
  <c r="O16" i="33"/>
  <c r="Y7" i="32"/>
  <c r="Z17" i="4"/>
  <c r="Q16" i="4"/>
  <c r="P20" i="4"/>
  <c r="X80" i="47" l="1"/>
  <c r="P10" i="49"/>
  <c r="T10" i="50"/>
  <c r="Q6" i="49"/>
  <c r="U6" i="50"/>
  <c r="P10" i="47"/>
  <c r="P68" i="47" s="1"/>
  <c r="P10" i="42"/>
  <c r="P14" i="42" s="1"/>
  <c r="Z7" i="33"/>
  <c r="Z7" i="42"/>
  <c r="Z7" i="47"/>
  <c r="Z7" i="46"/>
  <c r="Z7" i="45"/>
  <c r="Z7" i="39"/>
  <c r="Z7" i="34"/>
  <c r="Z7" i="37"/>
  <c r="Z7" i="38"/>
  <c r="Q6" i="47"/>
  <c r="Q6" i="42"/>
  <c r="P10" i="45"/>
  <c r="P146" i="45" s="1"/>
  <c r="P10" i="46"/>
  <c r="Q6" i="45"/>
  <c r="Q6" i="46"/>
  <c r="P10" i="43"/>
  <c r="P31" i="43" s="1"/>
  <c r="Q6" i="43"/>
  <c r="Q6" i="39"/>
  <c r="Q6" i="38"/>
  <c r="Q6" i="37"/>
  <c r="P10" i="39"/>
  <c r="P14" i="39" s="1"/>
  <c r="P10" i="38"/>
  <c r="P10" i="37"/>
  <c r="P167" i="37" s="1"/>
  <c r="P10" i="34"/>
  <c r="Q6" i="34"/>
  <c r="Q6" i="32"/>
  <c r="Q6" i="33"/>
  <c r="P10" i="32"/>
  <c r="P231" i="32" s="1"/>
  <c r="P10" i="33"/>
  <c r="Z7" i="32"/>
  <c r="AA17" i="4"/>
  <c r="R15" i="4"/>
  <c r="Q18" i="4"/>
  <c r="P16" i="47" l="1"/>
  <c r="P146" i="47"/>
  <c r="P94" i="47"/>
  <c r="P198" i="47"/>
  <c r="T26" i="50"/>
  <c r="T38" i="50"/>
  <c r="Q8" i="49"/>
  <c r="U8" i="50"/>
  <c r="R5" i="49"/>
  <c r="V5" i="50"/>
  <c r="T16" i="50"/>
  <c r="P30" i="34"/>
  <c r="P14" i="34"/>
  <c r="P94" i="45"/>
  <c r="P198" i="45"/>
  <c r="P120" i="47"/>
  <c r="P68" i="45"/>
  <c r="P172" i="47"/>
  <c r="P120" i="45"/>
  <c r="P42" i="47"/>
  <c r="P42" i="45"/>
  <c r="P172" i="45"/>
  <c r="P16" i="45"/>
  <c r="P111" i="38"/>
  <c r="P130" i="38"/>
  <c r="P110" i="37"/>
  <c r="P128" i="37"/>
  <c r="R5" i="47"/>
  <c r="R5" i="42"/>
  <c r="P44" i="42"/>
  <c r="P30" i="42"/>
  <c r="P72" i="42"/>
  <c r="P86" i="42"/>
  <c r="P100" i="42"/>
  <c r="P156" i="42"/>
  <c r="P142" i="42"/>
  <c r="P128" i="42"/>
  <c r="P58" i="42"/>
  <c r="P114" i="42"/>
  <c r="AA7" i="33"/>
  <c r="AA7" i="42"/>
  <c r="AA7" i="46"/>
  <c r="AA7" i="47"/>
  <c r="AA7" i="45"/>
  <c r="AA7" i="39"/>
  <c r="AA7" i="34"/>
  <c r="AA7" i="37"/>
  <c r="AA7" i="38"/>
  <c r="Q8" i="47"/>
  <c r="Q8" i="42"/>
  <c r="R5" i="45"/>
  <c r="R5" i="46"/>
  <c r="P73" i="46"/>
  <c r="P149" i="46"/>
  <c r="P111" i="46"/>
  <c r="P54" i="46"/>
  <c r="P130" i="46"/>
  <c r="P35" i="46"/>
  <c r="P92" i="46"/>
  <c r="P16" i="46"/>
  <c r="Q8" i="45"/>
  <c r="Q8" i="46"/>
  <c r="P20" i="43"/>
  <c r="Q8" i="43"/>
  <c r="R5" i="43"/>
  <c r="P111" i="33"/>
  <c r="P130" i="33"/>
  <c r="P96" i="32"/>
  <c r="P150" i="32"/>
  <c r="P176" i="32"/>
  <c r="P147" i="37"/>
  <c r="P72" i="37"/>
  <c r="P16" i="37"/>
  <c r="P53" i="37"/>
  <c r="P91" i="37"/>
  <c r="P34" i="37"/>
  <c r="P149" i="38"/>
  <c r="P92" i="38"/>
  <c r="P73" i="38"/>
  <c r="P54" i="38"/>
  <c r="P35" i="38"/>
  <c r="P16" i="38"/>
  <c r="Q8" i="39"/>
  <c r="Q8" i="38"/>
  <c r="Q8" i="37"/>
  <c r="P114" i="39"/>
  <c r="P156" i="39"/>
  <c r="P128" i="39"/>
  <c r="P142" i="39"/>
  <c r="P72" i="39"/>
  <c r="P100" i="39"/>
  <c r="P44" i="39"/>
  <c r="P30" i="39"/>
  <c r="P86" i="39"/>
  <c r="P58" i="39"/>
  <c r="R5" i="39"/>
  <c r="R5" i="38"/>
  <c r="R5" i="37"/>
  <c r="Q8" i="34"/>
  <c r="P69" i="32"/>
  <c r="P16" i="32"/>
  <c r="R5" i="34"/>
  <c r="P128" i="34"/>
  <c r="P100" i="34"/>
  <c r="P86" i="34"/>
  <c r="P142" i="34"/>
  <c r="P72" i="34"/>
  <c r="P114" i="34"/>
  <c r="P156" i="34"/>
  <c r="P58" i="34"/>
  <c r="P44" i="34"/>
  <c r="P203" i="32"/>
  <c r="P123" i="32"/>
  <c r="P42" i="32"/>
  <c r="Q8" i="32"/>
  <c r="Q8" i="33"/>
  <c r="P92" i="33"/>
  <c r="P54" i="33"/>
  <c r="P149" i="33"/>
  <c r="P73" i="33"/>
  <c r="P35" i="33"/>
  <c r="P16" i="33"/>
  <c r="R5" i="32"/>
  <c r="R5" i="33"/>
  <c r="AA7" i="32"/>
  <c r="AB17" i="4"/>
  <c r="Q20" i="4"/>
  <c r="R16" i="4"/>
  <c r="R6" i="49" l="1"/>
  <c r="V6" i="50"/>
  <c r="Q10" i="49"/>
  <c r="U10" i="50"/>
  <c r="AB7" i="33"/>
  <c r="AB7" i="42"/>
  <c r="AB7" i="46"/>
  <c r="AB7" i="47"/>
  <c r="AB7" i="45"/>
  <c r="AB7" i="37"/>
  <c r="AB7" i="38"/>
  <c r="AB7" i="34"/>
  <c r="AB7" i="39"/>
  <c r="R6" i="47"/>
  <c r="R6" i="42"/>
  <c r="Q10" i="47"/>
  <c r="Q198" i="47" s="1"/>
  <c r="Q10" i="42"/>
  <c r="Q14" i="42" s="1"/>
  <c r="Q10" i="45"/>
  <c r="Q198" i="45" s="1"/>
  <c r="Q10" i="46"/>
  <c r="R6" i="45"/>
  <c r="R6" i="46"/>
  <c r="R6" i="43"/>
  <c r="Q10" i="43"/>
  <c r="Q31" i="43" s="1"/>
  <c r="R6" i="39"/>
  <c r="R6" i="37"/>
  <c r="R6" i="38"/>
  <c r="Q10" i="39"/>
  <c r="Q14" i="39" s="1"/>
  <c r="Q10" i="38"/>
  <c r="Q10" i="37"/>
  <c r="Q167" i="37" s="1"/>
  <c r="Q10" i="34"/>
  <c r="R6" i="33"/>
  <c r="R6" i="34"/>
  <c r="Q10" i="32"/>
  <c r="Q231" i="32" s="1"/>
  <c r="Q10" i="33"/>
  <c r="S15" i="4"/>
  <c r="R6" i="32"/>
  <c r="AB7" i="32"/>
  <c r="R18" i="4"/>
  <c r="U26" i="50" l="1"/>
  <c r="U38" i="50"/>
  <c r="R8" i="49"/>
  <c r="V8" i="50"/>
  <c r="S5" i="49"/>
  <c r="W5" i="50"/>
  <c r="U16" i="50"/>
  <c r="Q120" i="45"/>
  <c r="Q68" i="45"/>
  <c r="Q30" i="34"/>
  <c r="Q14" i="34"/>
  <c r="Q16" i="45"/>
  <c r="Q146" i="45"/>
  <c r="Q42" i="45"/>
  <c r="Q68" i="47"/>
  <c r="Q94" i="45"/>
  <c r="Q94" i="47"/>
  <c r="Q172" i="45"/>
  <c r="Q111" i="38"/>
  <c r="Q130" i="38"/>
  <c r="Q110" i="37"/>
  <c r="Q128" i="37"/>
  <c r="Q16" i="47"/>
  <c r="S5" i="47"/>
  <c r="S5" i="42"/>
  <c r="Q42" i="47"/>
  <c r="Q156" i="42"/>
  <c r="Q142" i="42"/>
  <c r="Q128" i="42"/>
  <c r="Q58" i="42"/>
  <c r="Q72" i="42"/>
  <c r="Q30" i="42"/>
  <c r="Q114" i="42"/>
  <c r="Q44" i="42"/>
  <c r="Q100" i="42"/>
  <c r="Q86" i="42"/>
  <c r="R8" i="47"/>
  <c r="R8" i="42"/>
  <c r="Q120" i="47"/>
  <c r="Q146" i="47"/>
  <c r="Q172" i="47"/>
  <c r="R8" i="45"/>
  <c r="R8" i="46"/>
  <c r="S5" i="45"/>
  <c r="S5" i="46"/>
  <c r="Q149" i="46"/>
  <c r="Q130" i="46"/>
  <c r="Q111" i="46"/>
  <c r="Q92" i="46"/>
  <c r="Q16" i="46"/>
  <c r="Q35" i="46"/>
  <c r="Q73" i="46"/>
  <c r="Q54" i="46"/>
  <c r="Q20" i="43"/>
  <c r="S5" i="43"/>
  <c r="R8" i="43"/>
  <c r="Q130" i="33"/>
  <c r="Q111" i="33"/>
  <c r="Q16" i="32"/>
  <c r="Q176" i="32"/>
  <c r="Q150" i="32"/>
  <c r="R8" i="39"/>
  <c r="R8" i="37"/>
  <c r="R8" i="38"/>
  <c r="Q91" i="37"/>
  <c r="Q53" i="37"/>
  <c r="Q72" i="37"/>
  <c r="Q147" i="37"/>
  <c r="Q34" i="37"/>
  <c r="Q16" i="37"/>
  <c r="Q92" i="38"/>
  <c r="Q149" i="38"/>
  <c r="Q73" i="38"/>
  <c r="Q54" i="38"/>
  <c r="Q16" i="38"/>
  <c r="Q35" i="38"/>
  <c r="S5" i="38"/>
  <c r="S5" i="39"/>
  <c r="S5" i="37"/>
  <c r="Q156" i="39"/>
  <c r="Q128" i="39"/>
  <c r="Q142" i="39"/>
  <c r="Q114" i="39"/>
  <c r="Q86" i="39"/>
  <c r="Q100" i="39"/>
  <c r="Q72" i="39"/>
  <c r="Q44" i="39"/>
  <c r="Q30" i="39"/>
  <c r="Q58" i="39"/>
  <c r="R8" i="34"/>
  <c r="Q203" i="32"/>
  <c r="Q42" i="32"/>
  <c r="Q142" i="34"/>
  <c r="Q72" i="34"/>
  <c r="Q114" i="34"/>
  <c r="Q156" i="34"/>
  <c r="Q58" i="34"/>
  <c r="Q44" i="34"/>
  <c r="Q86" i="34"/>
  <c r="Q100" i="34"/>
  <c r="Q128" i="34"/>
  <c r="S5" i="33"/>
  <c r="S5" i="34"/>
  <c r="Q69" i="32"/>
  <c r="R8" i="32"/>
  <c r="R8" i="33"/>
  <c r="Q123" i="32"/>
  <c r="Q96" i="32"/>
  <c r="Q35" i="33"/>
  <c r="Q92" i="33"/>
  <c r="Q54" i="33"/>
  <c r="Q149" i="33"/>
  <c r="Q73" i="33"/>
  <c r="Q16" i="33"/>
  <c r="S16" i="4"/>
  <c r="S5" i="32"/>
  <c r="R20" i="4"/>
  <c r="R10" i="49" l="1"/>
  <c r="V10" i="50"/>
  <c r="V16" i="50" s="1"/>
  <c r="S6" i="49"/>
  <c r="W6" i="50"/>
  <c r="S6" i="47"/>
  <c r="S6" i="42"/>
  <c r="R10" i="47"/>
  <c r="R68" i="47" s="1"/>
  <c r="R10" i="42"/>
  <c r="R14" i="42" s="1"/>
  <c r="R10" i="45"/>
  <c r="R172" i="45" s="1"/>
  <c r="R10" i="46"/>
  <c r="S6" i="45"/>
  <c r="S6" i="46"/>
  <c r="R10" i="43"/>
  <c r="R31" i="43" s="1"/>
  <c r="S6" i="43"/>
  <c r="R10" i="39"/>
  <c r="R14" i="39" s="1"/>
  <c r="R10" i="38"/>
  <c r="R10" i="37"/>
  <c r="R167" i="37" s="1"/>
  <c r="S6" i="39"/>
  <c r="S6" i="38"/>
  <c r="S6" i="37"/>
  <c r="R10" i="34"/>
  <c r="S6" i="33"/>
  <c r="S6" i="34"/>
  <c r="R10" i="32"/>
  <c r="R231" i="32" s="1"/>
  <c r="R10" i="33"/>
  <c r="S6" i="32"/>
  <c r="S18" i="4"/>
  <c r="T15" i="4"/>
  <c r="V26" i="50" l="1"/>
  <c r="V38" i="50"/>
  <c r="T5" i="49"/>
  <c r="X5" i="50"/>
  <c r="S8" i="49"/>
  <c r="W8" i="50"/>
  <c r="R30" i="34"/>
  <c r="R14" i="34"/>
  <c r="R42" i="45"/>
  <c r="R146" i="45"/>
  <c r="R16" i="45"/>
  <c r="R120" i="45"/>
  <c r="R146" i="47"/>
  <c r="R94" i="45"/>
  <c r="R120" i="47"/>
  <c r="R20" i="43"/>
  <c r="R198" i="45"/>
  <c r="R16" i="47"/>
  <c r="R172" i="47"/>
  <c r="R198" i="47"/>
  <c r="R68" i="45"/>
  <c r="R94" i="47"/>
  <c r="R42" i="47"/>
  <c r="R130" i="38"/>
  <c r="R111" i="38"/>
  <c r="R110" i="37"/>
  <c r="R128" i="37"/>
  <c r="R156" i="42"/>
  <c r="R44" i="42"/>
  <c r="R30" i="42"/>
  <c r="R86" i="42"/>
  <c r="R142" i="42"/>
  <c r="R72" i="42"/>
  <c r="R128" i="42"/>
  <c r="R114" i="42"/>
  <c r="R58" i="42"/>
  <c r="R100" i="42"/>
  <c r="T5" i="47"/>
  <c r="T5" i="42"/>
  <c r="S8" i="47"/>
  <c r="S8" i="42"/>
  <c r="T5" i="45"/>
  <c r="T5" i="46"/>
  <c r="R149" i="46"/>
  <c r="R130" i="46"/>
  <c r="R111" i="46"/>
  <c r="R92" i="46"/>
  <c r="R73" i="46"/>
  <c r="R54" i="46"/>
  <c r="R16" i="46"/>
  <c r="R35" i="46"/>
  <c r="S8" i="45"/>
  <c r="S8" i="46"/>
  <c r="T5" i="43"/>
  <c r="S8" i="43"/>
  <c r="R130" i="33"/>
  <c r="R111" i="33"/>
  <c r="R16" i="32"/>
  <c r="R150" i="32"/>
  <c r="R176" i="32"/>
  <c r="R42" i="32"/>
  <c r="T5" i="39"/>
  <c r="T5" i="38"/>
  <c r="T5" i="37"/>
  <c r="S8" i="39"/>
  <c r="S8" i="38"/>
  <c r="S8" i="37"/>
  <c r="R147" i="37"/>
  <c r="R91" i="37"/>
  <c r="R72" i="37"/>
  <c r="R53" i="37"/>
  <c r="R34" i="37"/>
  <c r="R16" i="37"/>
  <c r="R73" i="38"/>
  <c r="R92" i="38"/>
  <c r="R54" i="38"/>
  <c r="R16" i="38"/>
  <c r="R149" i="38"/>
  <c r="R35" i="38"/>
  <c r="R128" i="39"/>
  <c r="R142" i="39"/>
  <c r="R114" i="39"/>
  <c r="R86" i="39"/>
  <c r="R72" i="39"/>
  <c r="R44" i="39"/>
  <c r="R30" i="39"/>
  <c r="R156" i="39"/>
  <c r="R100" i="39"/>
  <c r="R58" i="39"/>
  <c r="R96" i="32"/>
  <c r="R69" i="32"/>
  <c r="R203" i="32"/>
  <c r="R123" i="32"/>
  <c r="R142" i="34"/>
  <c r="R72" i="34"/>
  <c r="R114" i="34"/>
  <c r="R156" i="34"/>
  <c r="R58" i="34"/>
  <c r="R44" i="34"/>
  <c r="R128" i="34"/>
  <c r="R100" i="34"/>
  <c r="R86" i="34"/>
  <c r="T5" i="33"/>
  <c r="T5" i="34"/>
  <c r="S8" i="33"/>
  <c r="S8" i="34"/>
  <c r="R92" i="33"/>
  <c r="R54" i="33"/>
  <c r="R149" i="33"/>
  <c r="R73" i="33"/>
  <c r="R35" i="33"/>
  <c r="R16" i="33"/>
  <c r="S20" i="4"/>
  <c r="S8" i="32"/>
  <c r="T16" i="4"/>
  <c r="T5" i="32"/>
  <c r="S10" i="49" l="1"/>
  <c r="W10" i="50"/>
  <c r="W16" i="50" s="1"/>
  <c r="T6" i="49"/>
  <c r="X6" i="50"/>
  <c r="T6" i="47"/>
  <c r="T6" i="42"/>
  <c r="S10" i="47"/>
  <c r="S198" i="47" s="1"/>
  <c r="S10" i="42"/>
  <c r="S14" i="42" s="1"/>
  <c r="T6" i="45"/>
  <c r="T6" i="46"/>
  <c r="S10" i="45"/>
  <c r="S198" i="45" s="1"/>
  <c r="S10" i="46"/>
  <c r="T6" i="43"/>
  <c r="S10" i="43"/>
  <c r="S31" i="43" s="1"/>
  <c r="T6" i="39"/>
  <c r="T6" i="38"/>
  <c r="T6" i="37"/>
  <c r="S10" i="39"/>
  <c r="S14" i="39" s="1"/>
  <c r="S10" i="38"/>
  <c r="S10" i="37"/>
  <c r="S167" i="37" s="1"/>
  <c r="S10" i="34"/>
  <c r="T6" i="33"/>
  <c r="T6" i="34"/>
  <c r="S10" i="32"/>
  <c r="S231" i="32" s="1"/>
  <c r="S10" i="33"/>
  <c r="T6" i="32"/>
  <c r="T18" i="4"/>
  <c r="U15" i="4"/>
  <c r="W26" i="50" l="1"/>
  <c r="W38" i="50"/>
  <c r="T8" i="49"/>
  <c r="X8" i="50"/>
  <c r="U5" i="49"/>
  <c r="Y5" i="50"/>
  <c r="S30" i="34"/>
  <c r="S14" i="34"/>
  <c r="S94" i="45"/>
  <c r="S16" i="47"/>
  <c r="S68" i="47"/>
  <c r="S172" i="47"/>
  <c r="S42" i="47"/>
  <c r="S130" i="38"/>
  <c r="S111" i="38"/>
  <c r="S110" i="37"/>
  <c r="S128" i="37"/>
  <c r="S94" i="47"/>
  <c r="T8" i="47"/>
  <c r="T8" i="42"/>
  <c r="S120" i="45"/>
  <c r="S120" i="47"/>
  <c r="S16" i="45"/>
  <c r="S146" i="47"/>
  <c r="U5" i="47"/>
  <c r="U5" i="42"/>
  <c r="S44" i="42"/>
  <c r="S142" i="42"/>
  <c r="S30" i="42"/>
  <c r="S128" i="42"/>
  <c r="S58" i="42"/>
  <c r="S114" i="42"/>
  <c r="S156" i="42"/>
  <c r="S100" i="42"/>
  <c r="S86" i="42"/>
  <c r="S72" i="42"/>
  <c r="S68" i="45"/>
  <c r="U5" i="45"/>
  <c r="U5" i="46"/>
  <c r="S130" i="46"/>
  <c r="S149" i="46"/>
  <c r="S92" i="46"/>
  <c r="S73" i="46"/>
  <c r="S111" i="46"/>
  <c r="S35" i="46"/>
  <c r="S16" i="46"/>
  <c r="S54" i="46"/>
  <c r="T8" i="45"/>
  <c r="T8" i="46"/>
  <c r="S42" i="45"/>
  <c r="S172" i="45"/>
  <c r="S146" i="45"/>
  <c r="S20" i="43"/>
  <c r="T8" i="43"/>
  <c r="U5" i="43"/>
  <c r="U5" i="44"/>
  <c r="S111" i="33"/>
  <c r="S130" i="33"/>
  <c r="S96" i="32"/>
  <c r="S176" i="32"/>
  <c r="S150" i="32"/>
  <c r="T8" i="39"/>
  <c r="T8" i="38"/>
  <c r="T8" i="37"/>
  <c r="S73" i="38"/>
  <c r="S92" i="38"/>
  <c r="S54" i="38"/>
  <c r="S35" i="38"/>
  <c r="S149" i="38"/>
  <c r="S16" i="38"/>
  <c r="S128" i="39"/>
  <c r="S142" i="39"/>
  <c r="S114" i="39"/>
  <c r="S156" i="39"/>
  <c r="S86" i="39"/>
  <c r="S100" i="39"/>
  <c r="S72" i="39"/>
  <c r="S44" i="39"/>
  <c r="S30" i="39"/>
  <c r="S58" i="39"/>
  <c r="U5" i="39"/>
  <c r="U5" i="38"/>
  <c r="U5" i="37"/>
  <c r="S72" i="37"/>
  <c r="S53" i="37"/>
  <c r="S147" i="37"/>
  <c r="S34" i="37"/>
  <c r="S91" i="37"/>
  <c r="S16" i="37"/>
  <c r="S114" i="34"/>
  <c r="S156" i="34"/>
  <c r="S58" i="34"/>
  <c r="S44" i="34"/>
  <c r="S128" i="34"/>
  <c r="S100" i="34"/>
  <c r="S86" i="34"/>
  <c r="S142" i="34"/>
  <c r="S72" i="34"/>
  <c r="S42" i="32"/>
  <c r="S123" i="32"/>
  <c r="S16" i="32"/>
  <c r="S203" i="32"/>
  <c r="U5" i="33"/>
  <c r="U5" i="34"/>
  <c r="S69" i="32"/>
  <c r="T8" i="33"/>
  <c r="T8" i="34"/>
  <c r="S54" i="33"/>
  <c r="S149" i="33"/>
  <c r="S73" i="33"/>
  <c r="S92" i="33"/>
  <c r="S35" i="33"/>
  <c r="S16" i="33"/>
  <c r="U16" i="4"/>
  <c r="U5" i="32"/>
  <c r="T20" i="4"/>
  <c r="T8" i="32"/>
  <c r="U6" i="49" l="1"/>
  <c r="Y6" i="50"/>
  <c r="T10" i="49"/>
  <c r="X10" i="50"/>
  <c r="T10" i="47"/>
  <c r="T94" i="47" s="1"/>
  <c r="T10" i="42"/>
  <c r="T14" i="42" s="1"/>
  <c r="U6" i="47"/>
  <c r="U6" i="42"/>
  <c r="U6" i="45"/>
  <c r="U6" i="46"/>
  <c r="T10" i="45"/>
  <c r="T172" i="45" s="1"/>
  <c r="T10" i="46"/>
  <c r="U6" i="43"/>
  <c r="U6" i="44"/>
  <c r="T10" i="43"/>
  <c r="T31" i="43" s="1"/>
  <c r="T10" i="39"/>
  <c r="T14" i="39" s="1"/>
  <c r="T10" i="38"/>
  <c r="T10" i="37"/>
  <c r="T167" i="37" s="1"/>
  <c r="U6" i="39"/>
  <c r="U6" i="38"/>
  <c r="U6" i="37"/>
  <c r="T10" i="34"/>
  <c r="U6" i="33"/>
  <c r="U6" i="34"/>
  <c r="T10" i="32"/>
  <c r="T231" i="32" s="1"/>
  <c r="T10" i="33"/>
  <c r="U6" i="32"/>
  <c r="V15" i="4"/>
  <c r="U18" i="4"/>
  <c r="X26" i="50" l="1"/>
  <c r="X38" i="50"/>
  <c r="X16" i="50"/>
  <c r="U8" i="49"/>
  <c r="Y8" i="50"/>
  <c r="T30" i="34"/>
  <c r="T14" i="34"/>
  <c r="T146" i="47"/>
  <c r="T120" i="47"/>
  <c r="T198" i="47"/>
  <c r="T172" i="47"/>
  <c r="T42" i="47"/>
  <c r="T68" i="47"/>
  <c r="T16" i="47"/>
  <c r="T42" i="45"/>
  <c r="T130" i="38"/>
  <c r="T111" i="38"/>
  <c r="T110" i="37"/>
  <c r="T128" i="37"/>
  <c r="V5" i="47"/>
  <c r="V5" i="42"/>
  <c r="U8" i="47"/>
  <c r="U8" i="42"/>
  <c r="T120" i="45"/>
  <c r="T58" i="42"/>
  <c r="T30" i="42"/>
  <c r="T44" i="42"/>
  <c r="T156" i="42"/>
  <c r="T142" i="42"/>
  <c r="T128" i="42"/>
  <c r="T72" i="42"/>
  <c r="T114" i="42"/>
  <c r="T100" i="42"/>
  <c r="T86" i="42"/>
  <c r="T68" i="45"/>
  <c r="T146" i="45"/>
  <c r="T16" i="45"/>
  <c r="T198" i="45"/>
  <c r="U8" i="45"/>
  <c r="U8" i="46"/>
  <c r="V5" i="45"/>
  <c r="V5" i="46"/>
  <c r="T149" i="46"/>
  <c r="T73" i="46"/>
  <c r="T130" i="46"/>
  <c r="T111" i="46"/>
  <c r="T54" i="46"/>
  <c r="T92" i="46"/>
  <c r="T35" i="46"/>
  <c r="T16" i="46"/>
  <c r="T94" i="45"/>
  <c r="T20" i="43"/>
  <c r="U8" i="43"/>
  <c r="U8" i="44"/>
  <c r="T111" i="33"/>
  <c r="T130" i="33"/>
  <c r="T69" i="32"/>
  <c r="T176" i="32"/>
  <c r="T150" i="32"/>
  <c r="V5" i="39"/>
  <c r="V5" i="37"/>
  <c r="V5" i="38"/>
  <c r="U8" i="39"/>
  <c r="U8" i="38"/>
  <c r="U8" i="37"/>
  <c r="T147" i="37"/>
  <c r="T91" i="37"/>
  <c r="T34" i="37"/>
  <c r="T53" i="37"/>
  <c r="T72" i="37"/>
  <c r="T16" i="37"/>
  <c r="T149" i="38"/>
  <c r="T73" i="38"/>
  <c r="T92" i="38"/>
  <c r="T54" i="38"/>
  <c r="T16" i="38"/>
  <c r="T35" i="38"/>
  <c r="T142" i="39"/>
  <c r="T156" i="39"/>
  <c r="T114" i="39"/>
  <c r="T86" i="39"/>
  <c r="T100" i="39"/>
  <c r="T58" i="39"/>
  <c r="T44" i="39"/>
  <c r="T30" i="39"/>
  <c r="T72" i="39"/>
  <c r="T128" i="39"/>
  <c r="T114" i="34"/>
  <c r="T156" i="34"/>
  <c r="T58" i="34"/>
  <c r="T44" i="34"/>
  <c r="T128" i="34"/>
  <c r="T100" i="34"/>
  <c r="T86" i="34"/>
  <c r="T142" i="34"/>
  <c r="T72" i="34"/>
  <c r="T123" i="32"/>
  <c r="T203" i="32"/>
  <c r="T16" i="32"/>
  <c r="T42" i="32"/>
  <c r="U8" i="33"/>
  <c r="U8" i="34"/>
  <c r="V5" i="33"/>
  <c r="V5" i="34"/>
  <c r="T96" i="32"/>
  <c r="T54" i="33"/>
  <c r="T149" i="33"/>
  <c r="T73" i="33"/>
  <c r="T35" i="33"/>
  <c r="T16" i="33"/>
  <c r="T92" i="33"/>
  <c r="U20" i="4"/>
  <c r="U8" i="32"/>
  <c r="V16" i="4"/>
  <c r="V5" i="32"/>
  <c r="U10" i="49" l="1"/>
  <c r="U16" i="49" s="1"/>
  <c r="Y10" i="50"/>
  <c r="V6" i="47"/>
  <c r="V6" i="42"/>
  <c r="U10" i="47"/>
  <c r="U94" i="47" s="1"/>
  <c r="U10" i="42"/>
  <c r="U14" i="42" s="1"/>
  <c r="U10" i="45"/>
  <c r="U172" i="45" s="1"/>
  <c r="U10" i="46"/>
  <c r="V6" i="45"/>
  <c r="V6" i="46"/>
  <c r="U10" i="43"/>
  <c r="U31" i="43" s="1"/>
  <c r="U10" i="44"/>
  <c r="U10" i="39"/>
  <c r="U14" i="39" s="1"/>
  <c r="U10" i="37"/>
  <c r="U167" i="37" s="1"/>
  <c r="U10" i="38"/>
  <c r="V6" i="39"/>
  <c r="V6" i="38"/>
  <c r="V6" i="37"/>
  <c r="U10" i="34"/>
  <c r="V6" i="33"/>
  <c r="V6" i="34"/>
  <c r="U10" i="32"/>
  <c r="U231" i="32" s="1"/>
  <c r="U10" i="33"/>
  <c r="V6" i="32"/>
  <c r="W15" i="4"/>
  <c r="V18" i="4"/>
  <c r="Y26" i="50" l="1"/>
  <c r="Y38" i="50"/>
  <c r="Y16" i="50"/>
  <c r="U30" i="34"/>
  <c r="U14" i="34"/>
  <c r="U42" i="44"/>
  <c r="U55" i="44"/>
  <c r="U74" i="44"/>
  <c r="U16" i="47"/>
  <c r="U68" i="47"/>
  <c r="U16" i="45"/>
  <c r="U68" i="45"/>
  <c r="U120" i="47"/>
  <c r="U146" i="47"/>
  <c r="U172" i="47"/>
  <c r="U198" i="47"/>
  <c r="U42" i="47"/>
  <c r="U94" i="45"/>
  <c r="U130" i="38"/>
  <c r="U111" i="38"/>
  <c r="U110" i="37"/>
  <c r="U128" i="37"/>
  <c r="V8" i="47"/>
  <c r="V8" i="42"/>
  <c r="W5" i="47"/>
  <c r="W5" i="42"/>
  <c r="U120" i="45"/>
  <c r="U86" i="42"/>
  <c r="U30" i="42"/>
  <c r="U58" i="42"/>
  <c r="U100" i="42"/>
  <c r="U72" i="42"/>
  <c r="U114" i="42"/>
  <c r="U156" i="42"/>
  <c r="U142" i="42"/>
  <c r="U44" i="42"/>
  <c r="U128" i="42"/>
  <c r="U198" i="45"/>
  <c r="U42" i="45"/>
  <c r="U146" i="45"/>
  <c r="V8" i="45"/>
  <c r="V8" i="46"/>
  <c r="U149" i="46"/>
  <c r="U130" i="46"/>
  <c r="U111" i="46"/>
  <c r="U92" i="46"/>
  <c r="U73" i="46"/>
  <c r="U35" i="46"/>
  <c r="U54" i="46"/>
  <c r="U16" i="46"/>
  <c r="W5" i="45"/>
  <c r="W5" i="46"/>
  <c r="U20" i="43"/>
  <c r="U29" i="44"/>
  <c r="U16" i="44"/>
  <c r="U111" i="33"/>
  <c r="U130" i="33"/>
  <c r="U16" i="32"/>
  <c r="U176" i="32"/>
  <c r="U150" i="32"/>
  <c r="V8" i="39"/>
  <c r="V8" i="38"/>
  <c r="V8" i="37"/>
  <c r="W5" i="39"/>
  <c r="W5" i="38"/>
  <c r="W5" i="37"/>
  <c r="U149" i="38"/>
  <c r="U92" i="38"/>
  <c r="U54" i="38"/>
  <c r="U16" i="38"/>
  <c r="U35" i="38"/>
  <c r="U73" i="38"/>
  <c r="U147" i="37"/>
  <c r="U72" i="37"/>
  <c r="U53" i="37"/>
  <c r="U34" i="37"/>
  <c r="U16" i="37"/>
  <c r="U91" i="37"/>
  <c r="U142" i="39"/>
  <c r="U114" i="39"/>
  <c r="U128" i="39"/>
  <c r="U100" i="39"/>
  <c r="U58" i="39"/>
  <c r="U30" i="39"/>
  <c r="U156" i="39"/>
  <c r="U44" i="39"/>
  <c r="U72" i="39"/>
  <c r="U86" i="39"/>
  <c r="U156" i="34"/>
  <c r="U58" i="34"/>
  <c r="U44" i="34"/>
  <c r="U128" i="34"/>
  <c r="U100" i="34"/>
  <c r="U86" i="34"/>
  <c r="U142" i="34"/>
  <c r="U72" i="34"/>
  <c r="U114" i="34"/>
  <c r="V8" i="33"/>
  <c r="V8" i="34"/>
  <c r="W5" i="33"/>
  <c r="W5" i="34"/>
  <c r="U123" i="32"/>
  <c r="U69" i="32"/>
  <c r="U42" i="32"/>
  <c r="U203" i="32"/>
  <c r="U96" i="32"/>
  <c r="U149" i="33"/>
  <c r="U73" i="33"/>
  <c r="U92" i="33"/>
  <c r="U54" i="33"/>
  <c r="U35" i="33"/>
  <c r="U16" i="33"/>
  <c r="W16" i="4"/>
  <c r="W5" i="32"/>
  <c r="V20" i="4"/>
  <c r="Z10" i="50" s="1"/>
  <c r="V8" i="32"/>
  <c r="Z38" i="50" l="1"/>
  <c r="Z16" i="50"/>
  <c r="Z26" i="50"/>
  <c r="W6" i="47"/>
  <c r="W6" i="42"/>
  <c r="V10" i="47"/>
  <c r="V146" i="47" s="1"/>
  <c r="V10" i="42"/>
  <c r="V14" i="42" s="1"/>
  <c r="V10" i="45"/>
  <c r="V120" i="45" s="1"/>
  <c r="V10" i="46"/>
  <c r="W6" i="45"/>
  <c r="W6" i="46"/>
  <c r="G74" i="31"/>
  <c r="G56" i="31"/>
  <c r="V10" i="39"/>
  <c r="V14" i="39" s="1"/>
  <c r="V10" i="38"/>
  <c r="V10" i="37"/>
  <c r="V167" i="37" s="1"/>
  <c r="W6" i="39"/>
  <c r="W6" i="38"/>
  <c r="W6" i="37"/>
  <c r="V10" i="34"/>
  <c r="W6" i="33"/>
  <c r="W6" i="34"/>
  <c r="V10" i="32"/>
  <c r="V231" i="32" s="1"/>
  <c r="V10" i="33"/>
  <c r="W18" i="4"/>
  <c r="W6" i="32"/>
  <c r="X15" i="4"/>
  <c r="V30" i="34" l="1"/>
  <c r="V14" i="34"/>
  <c r="V146" i="45"/>
  <c r="V42" i="45"/>
  <c r="V16" i="47"/>
  <c r="V16" i="45"/>
  <c r="V94" i="47"/>
  <c r="V68" i="45"/>
  <c r="V120" i="47"/>
  <c r="V198" i="45"/>
  <c r="V172" i="47"/>
  <c r="V198" i="47"/>
  <c r="V130" i="38"/>
  <c r="V111" i="38"/>
  <c r="V110" i="37"/>
  <c r="V128" i="37"/>
  <c r="V114" i="42"/>
  <c r="V100" i="42"/>
  <c r="V156" i="42"/>
  <c r="V30" i="42"/>
  <c r="V58" i="42"/>
  <c r="V44" i="42"/>
  <c r="V86" i="42"/>
  <c r="V72" i="42"/>
  <c r="V128" i="42"/>
  <c r="V142" i="42"/>
  <c r="V94" i="45"/>
  <c r="V42" i="47"/>
  <c r="V172" i="45"/>
  <c r="V68" i="47"/>
  <c r="X5" i="47"/>
  <c r="X5" i="42"/>
  <c r="W8" i="47"/>
  <c r="W8" i="42"/>
  <c r="X5" i="45"/>
  <c r="X5" i="46"/>
  <c r="W8" i="45"/>
  <c r="W8" i="46"/>
  <c r="V149" i="46"/>
  <c r="V130" i="46"/>
  <c r="V111" i="46"/>
  <c r="V92" i="46"/>
  <c r="V73" i="46"/>
  <c r="V54" i="46"/>
  <c r="V16" i="46"/>
  <c r="V35" i="46"/>
  <c r="V111" i="33"/>
  <c r="V130" i="33"/>
  <c r="V16" i="32"/>
  <c r="V176" i="32"/>
  <c r="V150" i="32"/>
  <c r="V69" i="32"/>
  <c r="V72" i="37"/>
  <c r="V34" i="37"/>
  <c r="V147" i="37"/>
  <c r="V91" i="37"/>
  <c r="V16" i="37"/>
  <c r="V53" i="37"/>
  <c r="X5" i="39"/>
  <c r="X5" i="38"/>
  <c r="X5" i="37"/>
  <c r="V149" i="38"/>
  <c r="V92" i="38"/>
  <c r="V35" i="38"/>
  <c r="V73" i="38"/>
  <c r="V16" i="38"/>
  <c r="V54" i="38"/>
  <c r="W8" i="38"/>
  <c r="W8" i="39"/>
  <c r="W8" i="37"/>
  <c r="V142" i="39"/>
  <c r="V114" i="39"/>
  <c r="V156" i="39"/>
  <c r="V128" i="39"/>
  <c r="V100" i="39"/>
  <c r="V58" i="39"/>
  <c r="V44" i="39"/>
  <c r="V86" i="39"/>
  <c r="V30" i="39"/>
  <c r="V72" i="39"/>
  <c r="V203" i="32"/>
  <c r="V123" i="32"/>
  <c r="V96" i="32"/>
  <c r="V156" i="34"/>
  <c r="V128" i="34"/>
  <c r="V100" i="34"/>
  <c r="V86" i="34"/>
  <c r="V142" i="34"/>
  <c r="V72" i="34"/>
  <c r="V114" i="34"/>
  <c r="V58" i="34"/>
  <c r="V44" i="34"/>
  <c r="W8" i="33"/>
  <c r="W8" i="34"/>
  <c r="X5" i="33"/>
  <c r="X5" i="34"/>
  <c r="V42" i="32"/>
  <c r="V73" i="33"/>
  <c r="V35" i="33"/>
  <c r="V92" i="33"/>
  <c r="V149" i="33"/>
  <c r="V16" i="33"/>
  <c r="V54" i="33"/>
  <c r="W20" i="4"/>
  <c r="AA10" i="50" s="1"/>
  <c r="W8" i="32"/>
  <c r="X16" i="4"/>
  <c r="X5" i="32"/>
  <c r="AA38" i="50" l="1"/>
  <c r="AA16" i="50"/>
  <c r="AA26" i="50"/>
  <c r="X6" i="47"/>
  <c r="X6" i="42"/>
  <c r="W10" i="47"/>
  <c r="W172" i="47" s="1"/>
  <c r="W10" i="42"/>
  <c r="W14" i="42" s="1"/>
  <c r="X6" i="45"/>
  <c r="X6" i="46"/>
  <c r="W10" i="45"/>
  <c r="W172" i="45" s="1"/>
  <c r="W10" i="46"/>
  <c r="X6" i="39"/>
  <c r="X6" i="38"/>
  <c r="X6" i="37"/>
  <c r="W10" i="39"/>
  <c r="W14" i="39" s="1"/>
  <c r="W10" i="38"/>
  <c r="W10" i="37"/>
  <c r="W167" i="37" s="1"/>
  <c r="W10" i="34"/>
  <c r="X6" i="33"/>
  <c r="X6" i="34"/>
  <c r="W10" i="32"/>
  <c r="W231" i="32" s="1"/>
  <c r="W10" i="33"/>
  <c r="X18" i="4"/>
  <c r="X6" i="32"/>
  <c r="Y15" i="4"/>
  <c r="W30" i="34" l="1"/>
  <c r="W14" i="34"/>
  <c r="W120" i="47"/>
  <c r="W16" i="47"/>
  <c r="W68" i="47"/>
  <c r="W42" i="45"/>
  <c r="W42" i="47"/>
  <c r="W16" i="45"/>
  <c r="W94" i="47"/>
  <c r="W146" i="47"/>
  <c r="W198" i="47"/>
  <c r="W130" i="38"/>
  <c r="W111" i="38"/>
  <c r="W110" i="37"/>
  <c r="W128" i="37"/>
  <c r="X8" i="47"/>
  <c r="X8" i="42"/>
  <c r="Y5" i="47"/>
  <c r="Y5" i="42"/>
  <c r="W44" i="42"/>
  <c r="W142" i="42"/>
  <c r="W128" i="42"/>
  <c r="W30" i="42"/>
  <c r="W114" i="42"/>
  <c r="W100" i="42"/>
  <c r="W58" i="42"/>
  <c r="W156" i="42"/>
  <c r="W86" i="42"/>
  <c r="W72" i="42"/>
  <c r="W94" i="45"/>
  <c r="W68" i="45"/>
  <c r="W120" i="45"/>
  <c r="W198" i="45"/>
  <c r="W130" i="46"/>
  <c r="W92" i="46"/>
  <c r="W149" i="46"/>
  <c r="W73" i="46"/>
  <c r="W111" i="46"/>
  <c r="W35" i="46"/>
  <c r="W54" i="46"/>
  <c r="W16" i="46"/>
  <c r="Y5" i="45"/>
  <c r="Y5" i="46"/>
  <c r="X8" i="45"/>
  <c r="X8" i="46"/>
  <c r="W146" i="45"/>
  <c r="W111" i="33"/>
  <c r="W130" i="33"/>
  <c r="W203" i="32"/>
  <c r="W150" i="32"/>
  <c r="W176" i="32"/>
  <c r="W96" i="32"/>
  <c r="W69" i="32"/>
  <c r="Y5" i="39"/>
  <c r="Y5" i="38"/>
  <c r="Y5" i="37"/>
  <c r="W53" i="37"/>
  <c r="W147" i="37"/>
  <c r="W91" i="37"/>
  <c r="W34" i="37"/>
  <c r="W16" i="37"/>
  <c r="W72" i="37"/>
  <c r="W149" i="38"/>
  <c r="W73" i="38"/>
  <c r="W54" i="38"/>
  <c r="W92" i="38"/>
  <c r="W35" i="38"/>
  <c r="W16" i="38"/>
  <c r="X8" i="39"/>
  <c r="X8" i="38"/>
  <c r="X8" i="37"/>
  <c r="W114" i="39"/>
  <c r="W156" i="39"/>
  <c r="W100" i="39"/>
  <c r="W72" i="39"/>
  <c r="W142" i="39"/>
  <c r="W58" i="39"/>
  <c r="W128" i="39"/>
  <c r="W86" i="39"/>
  <c r="W44" i="39"/>
  <c r="W30" i="39"/>
  <c r="W123" i="32"/>
  <c r="W42" i="32"/>
  <c r="W16" i="32"/>
  <c r="W128" i="34"/>
  <c r="W100" i="34"/>
  <c r="W86" i="34"/>
  <c r="W142" i="34"/>
  <c r="W72" i="34"/>
  <c r="W114" i="34"/>
  <c r="W58" i="34"/>
  <c r="W44" i="34"/>
  <c r="W156" i="34"/>
  <c r="Y5" i="33"/>
  <c r="Y5" i="34"/>
  <c r="X8" i="33"/>
  <c r="X8" i="34"/>
  <c r="W73" i="33"/>
  <c r="W35" i="33"/>
  <c r="W92" i="33"/>
  <c r="W54" i="33"/>
  <c r="W149" i="33"/>
  <c r="W16" i="33"/>
  <c r="Y16" i="4"/>
  <c r="Y5" i="32"/>
  <c r="X20" i="4"/>
  <c r="AB10" i="50" s="1"/>
  <c r="X8" i="32"/>
  <c r="AB38" i="50" l="1"/>
  <c r="AB16" i="50"/>
  <c r="AB26" i="50"/>
  <c r="X10" i="47"/>
  <c r="X146" i="47" s="1"/>
  <c r="X10" i="42"/>
  <c r="X14" i="42" s="1"/>
  <c r="Y6" i="47"/>
  <c r="Y6" i="42"/>
  <c r="X10" i="45"/>
  <c r="X172" i="45" s="1"/>
  <c r="X10" i="46"/>
  <c r="Y6" i="45"/>
  <c r="Y6" i="46"/>
  <c r="X10" i="39"/>
  <c r="X14" i="39" s="1"/>
  <c r="X10" i="38"/>
  <c r="X10" i="37"/>
  <c r="X167" i="37" s="1"/>
  <c r="Y6" i="39"/>
  <c r="Y6" i="38"/>
  <c r="Y6" i="37"/>
  <c r="X10" i="34"/>
  <c r="Y6" i="33"/>
  <c r="Y6" i="34"/>
  <c r="X10" i="32"/>
  <c r="X231" i="32" s="1"/>
  <c r="X10" i="33"/>
  <c r="Y18" i="4"/>
  <c r="Y6" i="32"/>
  <c r="Z15" i="4"/>
  <c r="X30" i="34" l="1"/>
  <c r="X14" i="34"/>
  <c r="X94" i="47"/>
  <c r="X68" i="47"/>
  <c r="X172" i="47"/>
  <c r="X198" i="47"/>
  <c r="X42" i="47"/>
  <c r="X16" i="47"/>
  <c r="X111" i="38"/>
  <c r="X130" i="38"/>
  <c r="X110" i="37"/>
  <c r="X128" i="37"/>
  <c r="X44" i="42"/>
  <c r="X30" i="42"/>
  <c r="X156" i="42"/>
  <c r="X142" i="42"/>
  <c r="X58" i="42"/>
  <c r="X128" i="42"/>
  <c r="X114" i="42"/>
  <c r="X100" i="42"/>
  <c r="X86" i="42"/>
  <c r="X72" i="42"/>
  <c r="X16" i="45"/>
  <c r="X120" i="47"/>
  <c r="X68" i="45"/>
  <c r="Z5" i="47"/>
  <c r="Z5" i="42"/>
  <c r="X198" i="45"/>
  <c r="Y8" i="47"/>
  <c r="Y8" i="42"/>
  <c r="X94" i="45"/>
  <c r="X120" i="45"/>
  <c r="X42" i="45"/>
  <c r="X146" i="45"/>
  <c r="Y8" i="45"/>
  <c r="Y8" i="46"/>
  <c r="X130" i="46"/>
  <c r="X149" i="46"/>
  <c r="X73" i="46"/>
  <c r="X111" i="46"/>
  <c r="X54" i="46"/>
  <c r="X92" i="46"/>
  <c r="X16" i="46"/>
  <c r="X35" i="46"/>
  <c r="Z5" i="45"/>
  <c r="Z5" i="46"/>
  <c r="X111" i="33"/>
  <c r="X130" i="33"/>
  <c r="X16" i="32"/>
  <c r="X150" i="32"/>
  <c r="X176" i="32"/>
  <c r="Z5" i="39"/>
  <c r="Z5" i="38"/>
  <c r="Z5" i="37"/>
  <c r="X147" i="37"/>
  <c r="X91" i="37"/>
  <c r="X72" i="37"/>
  <c r="X34" i="37"/>
  <c r="X16" i="37"/>
  <c r="X53" i="37"/>
  <c r="X149" i="38"/>
  <c r="X92" i="38"/>
  <c r="X73" i="38"/>
  <c r="X54" i="38"/>
  <c r="X16" i="38"/>
  <c r="X35" i="38"/>
  <c r="Y8" i="39"/>
  <c r="Y8" i="38"/>
  <c r="Y8" i="37"/>
  <c r="X114" i="39"/>
  <c r="X156" i="39"/>
  <c r="X128" i="39"/>
  <c r="X142" i="39"/>
  <c r="X72" i="39"/>
  <c r="X58" i="39"/>
  <c r="X86" i="39"/>
  <c r="X100" i="39"/>
  <c r="X30" i="39"/>
  <c r="X44" i="39"/>
  <c r="X128" i="34"/>
  <c r="X100" i="34"/>
  <c r="X86" i="34"/>
  <c r="X142" i="34"/>
  <c r="X72" i="34"/>
  <c r="X114" i="34"/>
  <c r="X156" i="34"/>
  <c r="X58" i="34"/>
  <c r="X44" i="34"/>
  <c r="Y8" i="33"/>
  <c r="Y8" i="34"/>
  <c r="Z5" i="33"/>
  <c r="Z5" i="34"/>
  <c r="X123" i="32"/>
  <c r="X42" i="32"/>
  <c r="X203" i="32"/>
  <c r="X96" i="32"/>
  <c r="X69" i="32"/>
  <c r="X92" i="33"/>
  <c r="X54" i="33"/>
  <c r="X149" i="33"/>
  <c r="X73" i="33"/>
  <c r="X35" i="33"/>
  <c r="X16" i="33"/>
  <c r="Y20" i="4"/>
  <c r="AC10" i="50" s="1"/>
  <c r="Y8" i="32"/>
  <c r="Z16" i="4"/>
  <c r="Z5" i="32"/>
  <c r="AC38" i="50" l="1"/>
  <c r="AC26" i="50"/>
  <c r="AC16" i="50"/>
  <c r="Y10" i="47"/>
  <c r="Y172" i="47" s="1"/>
  <c r="Y10" i="42"/>
  <c r="Y14" i="42" s="1"/>
  <c r="Z6" i="47"/>
  <c r="Z6" i="42"/>
  <c r="Y10" i="45"/>
  <c r="Y146" i="45" s="1"/>
  <c r="Y10" i="46"/>
  <c r="Z6" i="45"/>
  <c r="Z6" i="46"/>
  <c r="Y10" i="39"/>
  <c r="Y14" i="39" s="1"/>
  <c r="Y10" i="38"/>
  <c r="Y10" i="37"/>
  <c r="Y167" i="37" s="1"/>
  <c r="Z6" i="39"/>
  <c r="Z6" i="38"/>
  <c r="Z6" i="37"/>
  <c r="Y10" i="34"/>
  <c r="Z6" i="33"/>
  <c r="Z6" i="34"/>
  <c r="Y10" i="32"/>
  <c r="Y231" i="32" s="1"/>
  <c r="Y10" i="33"/>
  <c r="Z18" i="4"/>
  <c r="Z6" i="32"/>
  <c r="AA15" i="4"/>
  <c r="Y198" i="47" l="1"/>
  <c r="Y30" i="34"/>
  <c r="Y14" i="34"/>
  <c r="Y16" i="47"/>
  <c r="Y42" i="47"/>
  <c r="Y68" i="47"/>
  <c r="Y94" i="47"/>
  <c r="Y120" i="47"/>
  <c r="Y146" i="47"/>
  <c r="Y172" i="45"/>
  <c r="Y68" i="45"/>
  <c r="Y111" i="38"/>
  <c r="Y130" i="38"/>
  <c r="Y110" i="37"/>
  <c r="Y128" i="37"/>
  <c r="Z8" i="47"/>
  <c r="Z8" i="42"/>
  <c r="Y94" i="45"/>
  <c r="Y156" i="42"/>
  <c r="Y142" i="42"/>
  <c r="Y58" i="42"/>
  <c r="Y30" i="42"/>
  <c r="Y128" i="42"/>
  <c r="Y114" i="42"/>
  <c r="Y100" i="42"/>
  <c r="Y72" i="42"/>
  <c r="Y86" i="42"/>
  <c r="Y44" i="42"/>
  <c r="AA5" i="47"/>
  <c r="AA5" i="42"/>
  <c r="Y198" i="45"/>
  <c r="Y42" i="45"/>
  <c r="Y120" i="45"/>
  <c r="Y16" i="45"/>
  <c r="AA5" i="45"/>
  <c r="AA5" i="46"/>
  <c r="Z8" i="45"/>
  <c r="Z8" i="46"/>
  <c r="Y149" i="46"/>
  <c r="Y130" i="46"/>
  <c r="Y111" i="46"/>
  <c r="Y92" i="46"/>
  <c r="Y35" i="46"/>
  <c r="Y73" i="46"/>
  <c r="Y54" i="46"/>
  <c r="Y16" i="46"/>
  <c r="Y130" i="33"/>
  <c r="Y111" i="33"/>
  <c r="Y16" i="32"/>
  <c r="Y176" i="32"/>
  <c r="Y150" i="32"/>
  <c r="AA5" i="39"/>
  <c r="AA5" i="38"/>
  <c r="AA5" i="37"/>
  <c r="Z8" i="39"/>
  <c r="Z8" i="38"/>
  <c r="Z8" i="37"/>
  <c r="Y91" i="37"/>
  <c r="Y53" i="37"/>
  <c r="Y72" i="37"/>
  <c r="Y147" i="37"/>
  <c r="Y34" i="37"/>
  <c r="Y16" i="37"/>
  <c r="Y92" i="38"/>
  <c r="Y73" i="38"/>
  <c r="Y54" i="38"/>
  <c r="Y149" i="38"/>
  <c r="Y35" i="38"/>
  <c r="Y16" i="38"/>
  <c r="Y156" i="39"/>
  <c r="Y128" i="39"/>
  <c r="Y142" i="39"/>
  <c r="Y86" i="39"/>
  <c r="Y44" i="39"/>
  <c r="Y114" i="39"/>
  <c r="Y58" i="39"/>
  <c r="Y30" i="39"/>
  <c r="Y100" i="39"/>
  <c r="Y72" i="39"/>
  <c r="Y142" i="34"/>
  <c r="Y72" i="34"/>
  <c r="Y114" i="34"/>
  <c r="Y156" i="34"/>
  <c r="Y58" i="34"/>
  <c r="Y44" i="34"/>
  <c r="Y86" i="34"/>
  <c r="Y100" i="34"/>
  <c r="Y128" i="34"/>
  <c r="Z8" i="33"/>
  <c r="Z8" i="34"/>
  <c r="AA5" i="33"/>
  <c r="AA5" i="34"/>
  <c r="Y69" i="32"/>
  <c r="Y203" i="32"/>
  <c r="Y42" i="32"/>
  <c r="Y123" i="32"/>
  <c r="Y96" i="32"/>
  <c r="Y35" i="33"/>
  <c r="Y92" i="33"/>
  <c r="Y54" i="33"/>
  <c r="Y149" i="33"/>
  <c r="Y16" i="33"/>
  <c r="Y73" i="33"/>
  <c r="Z20" i="4"/>
  <c r="AD10" i="50" s="1"/>
  <c r="Z8" i="32"/>
  <c r="AA16" i="4"/>
  <c r="AA5" i="32"/>
  <c r="AD38" i="50" l="1"/>
  <c r="AD26" i="50"/>
  <c r="AD16" i="50"/>
  <c r="AA6" i="47"/>
  <c r="AA6" i="42"/>
  <c r="Z10" i="47"/>
  <c r="Z172" i="47" s="1"/>
  <c r="Z10" i="42"/>
  <c r="Z14" i="42" s="1"/>
  <c r="AA6" i="45"/>
  <c r="AA6" i="46"/>
  <c r="Z10" i="45"/>
  <c r="Z172" i="45" s="1"/>
  <c r="Z10" i="46"/>
  <c r="Z10" i="39"/>
  <c r="Z14" i="39" s="1"/>
  <c r="Z10" i="38"/>
  <c r="Z10" i="37"/>
  <c r="Z167" i="37" s="1"/>
  <c r="AA6" i="39"/>
  <c r="AA6" i="38"/>
  <c r="AA6" i="37"/>
  <c r="Z10" i="34"/>
  <c r="AA6" i="33"/>
  <c r="AA6" i="34"/>
  <c r="Z10" i="32"/>
  <c r="Z231" i="32" s="1"/>
  <c r="Z10" i="33"/>
  <c r="AA18" i="4"/>
  <c r="AA6" i="32"/>
  <c r="AB15" i="4"/>
  <c r="Z198" i="47" l="1"/>
  <c r="Z30" i="34"/>
  <c r="Z14" i="34"/>
  <c r="Z16" i="47"/>
  <c r="Z42" i="47"/>
  <c r="Z146" i="47"/>
  <c r="Z42" i="45"/>
  <c r="Z68" i="47"/>
  <c r="Z94" i="47"/>
  <c r="Z120" i="47"/>
  <c r="Z130" i="38"/>
  <c r="Z111" i="38"/>
  <c r="Z110" i="37"/>
  <c r="Z128" i="37"/>
  <c r="AB5" i="47"/>
  <c r="AB5" i="42"/>
  <c r="Z120" i="45"/>
  <c r="Z128" i="42"/>
  <c r="Z30" i="42"/>
  <c r="Z114" i="42"/>
  <c r="Z44" i="42"/>
  <c r="Z156" i="42"/>
  <c r="Z142" i="42"/>
  <c r="Z58" i="42"/>
  <c r="Z100" i="42"/>
  <c r="Z72" i="42"/>
  <c r="Z86" i="42"/>
  <c r="AA8" i="47"/>
  <c r="AA8" i="42"/>
  <c r="Z146" i="45"/>
  <c r="Z94" i="45"/>
  <c r="Z149" i="46"/>
  <c r="Z130" i="46"/>
  <c r="Z111" i="46"/>
  <c r="Z92" i="46"/>
  <c r="Z73" i="46"/>
  <c r="Z54" i="46"/>
  <c r="Z16" i="46"/>
  <c r="Z35" i="46"/>
  <c r="AA8" i="45"/>
  <c r="AA8" i="46"/>
  <c r="Z16" i="45"/>
  <c r="Z198" i="45"/>
  <c r="AB5" i="45"/>
  <c r="AB5" i="46"/>
  <c r="Z68" i="45"/>
  <c r="Z130" i="33"/>
  <c r="Z111" i="33"/>
  <c r="Z96" i="32"/>
  <c r="Z150" i="32"/>
  <c r="Z176" i="32"/>
  <c r="Z203" i="32"/>
  <c r="AA8" i="39"/>
  <c r="AA8" i="38"/>
  <c r="AA8" i="37"/>
  <c r="Z147" i="37"/>
  <c r="Z72" i="37"/>
  <c r="Z53" i="37"/>
  <c r="Z91" i="37"/>
  <c r="Z34" i="37"/>
  <c r="Z16" i="37"/>
  <c r="Z73" i="38"/>
  <c r="Z54" i="38"/>
  <c r="Z16" i="38"/>
  <c r="Z149" i="38"/>
  <c r="Z92" i="38"/>
  <c r="Z35" i="38"/>
  <c r="AB5" i="39"/>
  <c r="AB5" i="38"/>
  <c r="AB5" i="37"/>
  <c r="Z42" i="32"/>
  <c r="Z128" i="39"/>
  <c r="Z86" i="39"/>
  <c r="Z44" i="39"/>
  <c r="Z142" i="39"/>
  <c r="Z114" i="39"/>
  <c r="Z30" i="39"/>
  <c r="Z72" i="39"/>
  <c r="Z100" i="39"/>
  <c r="Z156" i="39"/>
  <c r="Z58" i="39"/>
  <c r="Z69" i="32"/>
  <c r="Z16" i="32"/>
  <c r="Z123" i="32"/>
  <c r="Z142" i="34"/>
  <c r="Z72" i="34"/>
  <c r="Z114" i="34"/>
  <c r="Z156" i="34"/>
  <c r="Z58" i="34"/>
  <c r="Z44" i="34"/>
  <c r="Z128" i="34"/>
  <c r="Z100" i="34"/>
  <c r="Z86" i="34"/>
  <c r="AB5" i="33"/>
  <c r="AB5" i="34"/>
  <c r="AA8" i="33"/>
  <c r="AA8" i="34"/>
  <c r="Z92" i="33"/>
  <c r="Z54" i="33"/>
  <c r="Z149" i="33"/>
  <c r="Z73" i="33"/>
  <c r="Z35" i="33"/>
  <c r="Z16" i="33"/>
  <c r="AB5" i="32"/>
  <c r="AB16" i="4"/>
  <c r="AA20" i="4"/>
  <c r="AE10" i="50" s="1"/>
  <c r="AA8" i="32"/>
  <c r="AE38" i="50" l="1"/>
  <c r="AE16" i="50"/>
  <c r="AE26" i="50"/>
  <c r="Y86" i="47"/>
  <c r="Y64" i="33"/>
  <c r="Y146" i="34" s="1"/>
  <c r="Y63" i="33"/>
  <c r="Y132" i="34" s="1"/>
  <c r="Y89" i="32"/>
  <c r="Y92" i="32" s="1"/>
  <c r="Y62" i="33"/>
  <c r="Y118" i="34" s="1"/>
  <c r="AB89" i="32"/>
  <c r="AB92" i="32" s="1"/>
  <c r="AB63" i="33"/>
  <c r="AB132" i="34" s="1"/>
  <c r="AB62" i="33"/>
  <c r="AB118" i="34" s="1"/>
  <c r="AB86" i="47"/>
  <c r="AB64" i="33"/>
  <c r="AB146" i="34" s="1"/>
  <c r="Z86" i="47"/>
  <c r="Z64" i="33"/>
  <c r="Z146" i="34" s="1"/>
  <c r="Z89" i="32"/>
  <c r="Z92" i="32" s="1"/>
  <c r="Z62" i="33"/>
  <c r="Z118" i="34" s="1"/>
  <c r="Z63" i="33"/>
  <c r="Z132" i="34" s="1"/>
  <c r="AA64" i="33"/>
  <c r="AA146" i="34" s="1"/>
  <c r="AA86" i="47"/>
  <c r="AA89" i="32"/>
  <c r="AA92" i="32" s="1"/>
  <c r="AA62" i="33"/>
  <c r="AA118" i="34" s="1"/>
  <c r="AA63" i="33"/>
  <c r="AA132" i="34" s="1"/>
  <c r="X86" i="47"/>
  <c r="X64" i="33"/>
  <c r="X146" i="34" s="1"/>
  <c r="X62" i="33"/>
  <c r="X118" i="34" s="1"/>
  <c r="X63" i="33"/>
  <c r="X132" i="34" s="1"/>
  <c r="X89" i="32"/>
  <c r="X92" i="32" s="1"/>
  <c r="AA10" i="47"/>
  <c r="AA146" i="47" s="1"/>
  <c r="AA10" i="42"/>
  <c r="AA14" i="42" s="1"/>
  <c r="AB6" i="47"/>
  <c r="AB6" i="42"/>
  <c r="AB6" i="45"/>
  <c r="AB6" i="46"/>
  <c r="AA10" i="45"/>
  <c r="AA198" i="45" s="1"/>
  <c r="AA10" i="46"/>
  <c r="AA10" i="39"/>
  <c r="AA14" i="39" s="1"/>
  <c r="AA10" i="38"/>
  <c r="AA10" i="37"/>
  <c r="AA167" i="37" s="1"/>
  <c r="AB6" i="39"/>
  <c r="AB6" i="38"/>
  <c r="AB6" i="37"/>
  <c r="AA10" i="34"/>
  <c r="AB6" i="33"/>
  <c r="AB6" i="34"/>
  <c r="AA10" i="32"/>
  <c r="AA231" i="32" s="1"/>
  <c r="AA10" i="33"/>
  <c r="AB6" i="32"/>
  <c r="AB18" i="4"/>
  <c r="AA91" i="32" l="1"/>
  <c r="X91" i="32"/>
  <c r="Z91" i="32"/>
  <c r="Y91" i="32"/>
  <c r="AB91" i="32"/>
  <c r="AA198" i="47"/>
  <c r="AA42" i="47"/>
  <c r="AA16" i="47"/>
  <c r="AA120" i="47"/>
  <c r="AA68" i="47"/>
  <c r="AA172" i="47"/>
  <c r="AA94" i="47"/>
  <c r="AA30" i="34"/>
  <c r="AA14" i="34"/>
  <c r="AA120" i="45"/>
  <c r="AA130" i="38"/>
  <c r="AA111" i="38"/>
  <c r="AA110" i="37"/>
  <c r="AA128" i="37"/>
  <c r="AB8" i="47"/>
  <c r="AB8" i="42"/>
  <c r="AA44" i="42"/>
  <c r="AA142" i="42"/>
  <c r="AA128" i="42"/>
  <c r="AA114" i="42"/>
  <c r="AA30" i="42"/>
  <c r="AA100" i="42"/>
  <c r="AA86" i="42"/>
  <c r="AA72" i="42"/>
  <c r="AA58" i="42"/>
  <c r="AA156" i="42"/>
  <c r="AA94" i="45"/>
  <c r="AA68" i="45"/>
  <c r="AA146" i="45"/>
  <c r="AA149" i="46"/>
  <c r="AA92" i="46"/>
  <c r="AA73" i="46"/>
  <c r="AA130" i="46"/>
  <c r="AA35" i="46"/>
  <c r="AA111" i="46"/>
  <c r="AA54" i="46"/>
  <c r="AA16" i="46"/>
  <c r="AA42" i="45"/>
  <c r="AA172" i="45"/>
  <c r="AB8" i="45"/>
  <c r="AB8" i="46"/>
  <c r="AA16" i="45"/>
  <c r="AA111" i="33"/>
  <c r="AA130" i="33"/>
  <c r="AA16" i="32"/>
  <c r="AA176" i="32"/>
  <c r="AA150" i="32"/>
  <c r="AB8" i="39"/>
  <c r="AB8" i="38"/>
  <c r="AB8" i="37"/>
  <c r="AA91" i="37"/>
  <c r="AA53" i="37"/>
  <c r="AA72" i="37"/>
  <c r="AA34" i="37"/>
  <c r="AA16" i="37"/>
  <c r="AA147" i="37"/>
  <c r="AA73" i="38"/>
  <c r="AA54" i="38"/>
  <c r="AA149" i="38"/>
  <c r="AA35" i="38"/>
  <c r="AA92" i="38"/>
  <c r="AA16" i="38"/>
  <c r="AA128" i="39"/>
  <c r="AA142" i="39"/>
  <c r="AA114" i="39"/>
  <c r="AA156" i="39"/>
  <c r="AA86" i="39"/>
  <c r="AA100" i="39"/>
  <c r="AA72" i="39"/>
  <c r="AA30" i="39"/>
  <c r="AA44" i="39"/>
  <c r="AA58" i="39"/>
  <c r="AA42" i="32"/>
  <c r="AA96" i="32"/>
  <c r="AA69" i="32"/>
  <c r="AA114" i="34"/>
  <c r="AA156" i="34"/>
  <c r="AA58" i="34"/>
  <c r="AA44" i="34"/>
  <c r="AA128" i="34"/>
  <c r="AA100" i="34"/>
  <c r="AA86" i="34"/>
  <c r="AA142" i="34"/>
  <c r="AA72" i="34"/>
  <c r="AB8" i="33"/>
  <c r="AB8" i="34"/>
  <c r="AA203" i="32"/>
  <c r="AA123" i="32"/>
  <c r="AA54" i="33"/>
  <c r="AA149" i="33"/>
  <c r="AA73" i="33"/>
  <c r="AA92" i="33"/>
  <c r="AA16" i="33"/>
  <c r="AA35" i="33"/>
  <c r="AB8" i="32"/>
  <c r="AB20" i="4"/>
  <c r="AF10" i="50" s="1"/>
  <c r="AF38" i="50" l="1"/>
  <c r="AF26" i="50"/>
  <c r="AF16" i="50"/>
  <c r="AB10" i="47"/>
  <c r="AB42" i="47" s="1"/>
  <c r="AB10" i="42"/>
  <c r="AB14" i="42" s="1"/>
  <c r="AB10" i="45"/>
  <c r="AB198" i="45" s="1"/>
  <c r="AB10" i="46"/>
  <c r="AB10" i="39"/>
  <c r="AB14" i="39" s="1"/>
  <c r="AB10" i="38"/>
  <c r="AB10" i="37"/>
  <c r="AB167" i="37" s="1"/>
  <c r="AB10" i="33"/>
  <c r="AB10" i="34"/>
  <c r="AB14" i="34" s="1"/>
  <c r="AB10" i="32"/>
  <c r="AB231" i="32" s="1"/>
  <c r="AE20" i="4"/>
  <c r="AB42" i="45" l="1"/>
  <c r="AB120" i="47"/>
  <c r="AB146" i="47"/>
  <c r="AB68" i="47"/>
  <c r="AB16" i="47"/>
  <c r="AB94" i="47"/>
  <c r="AB172" i="47"/>
  <c r="AB198" i="47"/>
  <c r="AB130" i="38"/>
  <c r="AB111" i="38"/>
  <c r="AB110" i="37"/>
  <c r="AB128" i="37"/>
  <c r="AB16" i="45"/>
  <c r="AB94" i="45"/>
  <c r="AB44" i="42"/>
  <c r="AB58" i="42"/>
  <c r="AB30" i="42"/>
  <c r="AB142" i="42"/>
  <c r="AB128" i="42"/>
  <c r="AB114" i="42"/>
  <c r="AB100" i="42"/>
  <c r="AB86" i="42"/>
  <c r="AB72" i="42"/>
  <c r="AB156" i="42"/>
  <c r="AB146" i="45"/>
  <c r="AB68" i="45"/>
  <c r="AB172" i="45"/>
  <c r="AB120" i="45"/>
  <c r="AB149" i="46"/>
  <c r="AB130" i="46"/>
  <c r="AB73" i="46"/>
  <c r="AB111" i="46"/>
  <c r="AB54" i="46"/>
  <c r="AB92" i="46"/>
  <c r="AB16" i="46"/>
  <c r="AB35" i="46"/>
  <c r="AB54" i="33"/>
  <c r="AB111" i="33"/>
  <c r="AB130" i="33"/>
  <c r="AB176" i="32"/>
  <c r="AB150" i="32"/>
  <c r="AB147" i="37"/>
  <c r="AB72" i="37"/>
  <c r="AB34" i="37"/>
  <c r="AB53" i="37"/>
  <c r="AB91" i="37"/>
  <c r="AB16" i="37"/>
  <c r="AB149" i="38"/>
  <c r="AB73" i="38"/>
  <c r="AB54" i="38"/>
  <c r="AB16" i="38"/>
  <c r="AB92" i="38"/>
  <c r="AB35" i="38"/>
  <c r="AB142" i="39"/>
  <c r="AB156" i="39"/>
  <c r="AB86" i="39"/>
  <c r="AB58" i="39"/>
  <c r="AB100" i="39"/>
  <c r="AB114" i="39"/>
  <c r="AB72" i="39"/>
  <c r="AB30" i="39"/>
  <c r="AB128" i="39"/>
  <c r="AB44" i="39"/>
  <c r="AB114" i="34"/>
  <c r="AB156" i="34"/>
  <c r="AB58" i="34"/>
  <c r="AB44" i="34"/>
  <c r="AB128" i="34"/>
  <c r="AB100" i="34"/>
  <c r="AB86" i="34"/>
  <c r="AB142" i="34"/>
  <c r="AB72" i="34"/>
  <c r="AB92" i="33"/>
  <c r="AB16" i="33"/>
  <c r="AB35" i="33"/>
  <c r="AB73" i="33"/>
  <c r="AB149" i="33"/>
  <c r="AB30" i="34"/>
  <c r="AB16" i="32"/>
  <c r="AB123" i="32"/>
  <c r="AB203" i="32"/>
  <c r="AB69" i="32"/>
  <c r="AB42" i="32"/>
  <c r="AB96" i="32"/>
  <c r="R102" i="33" l="1"/>
  <c r="R148" i="34" s="1"/>
  <c r="R100" i="33"/>
  <c r="R120" i="34" s="1"/>
  <c r="R101" i="33"/>
  <c r="R134" i="34" s="1"/>
  <c r="R152" i="32"/>
  <c r="R205" i="32" s="1"/>
  <c r="R227" i="32" s="1"/>
  <c r="R143" i="32"/>
  <c r="R122" i="47"/>
  <c r="X78" i="48" l="1"/>
  <c r="X79" i="48" s="1"/>
  <c r="R136" i="34"/>
  <c r="X71" i="48"/>
  <c r="X72" i="48" s="1"/>
  <c r="R122" i="34"/>
  <c r="X85" i="48"/>
  <c r="X86" i="48" s="1"/>
  <c r="R150" i="34"/>
  <c r="R106" i="37"/>
  <c r="A106" i="37" s="1"/>
  <c r="R146" i="32"/>
  <c r="R119" i="32"/>
  <c r="S18" i="32"/>
  <c r="S44" i="32" s="1"/>
  <c r="R223" i="32"/>
  <c r="R226" i="32" s="1"/>
  <c r="R148" i="47"/>
  <c r="R145" i="32"/>
  <c r="R170" i="32"/>
  <c r="R172" i="32" s="1"/>
  <c r="R120" i="33"/>
  <c r="R158" i="33" s="1"/>
  <c r="R119" i="33"/>
  <c r="R157" i="33" s="1"/>
  <c r="R121" i="33"/>
  <c r="R159" i="33" s="1"/>
  <c r="S44" i="47" l="1"/>
  <c r="S62" i="32"/>
  <c r="S65" i="32" s="1"/>
  <c r="S43" i="33"/>
  <c r="S117" i="34" s="1"/>
  <c r="Y69" i="48" s="1"/>
  <c r="S44" i="33"/>
  <c r="S131" i="34" s="1"/>
  <c r="Y75" i="48" s="1"/>
  <c r="S45" i="33"/>
  <c r="S145" i="34" s="1"/>
  <c r="Y82" i="48" s="1"/>
  <c r="R225" i="32"/>
  <c r="S36" i="32"/>
  <c r="R200" i="47"/>
  <c r="S26" i="33"/>
  <c r="S25" i="33"/>
  <c r="S24" i="33"/>
  <c r="S64" i="32" l="1"/>
  <c r="S38" i="32"/>
  <c r="S116" i="34"/>
  <c r="S144" i="34"/>
  <c r="R124" i="34"/>
  <c r="S130" i="34"/>
  <c r="X138" i="48"/>
  <c r="R152" i="34"/>
  <c r="R138" i="34"/>
  <c r="X137" i="48"/>
  <c r="S18" i="47"/>
  <c r="Y74" i="48" l="1"/>
  <c r="Y81" i="48"/>
  <c r="Y68" i="48"/>
  <c r="X87" i="48"/>
  <c r="X110" i="48"/>
  <c r="X80" i="48"/>
  <c r="X109" i="48"/>
  <c r="X73" i="48"/>
  <c r="X108" i="48"/>
  <c r="J23" i="33" l="1"/>
  <c r="J102" i="34" s="1"/>
  <c r="J42" i="33"/>
  <c r="J103" i="34" s="1"/>
  <c r="P62" i="48" s="1"/>
  <c r="J61" i="33"/>
  <c r="J104" i="34" s="1"/>
  <c r="P63" i="48" s="1"/>
  <c r="J80" i="33"/>
  <c r="J99" i="33"/>
  <c r="J106" i="34" s="1"/>
  <c r="P65" i="48" s="1"/>
  <c r="J137" i="33"/>
  <c r="K42" i="33"/>
  <c r="K103" i="34" s="1"/>
  <c r="Q62" i="48" s="1"/>
  <c r="K61" i="33"/>
  <c r="K80" i="33"/>
  <c r="K99" i="33"/>
  <c r="K106" i="34" s="1"/>
  <c r="Q65" i="48" s="1"/>
  <c r="K137" i="33"/>
  <c r="L42" i="33"/>
  <c r="L103" i="34" s="1"/>
  <c r="R62" i="48" s="1"/>
  <c r="L61" i="33"/>
  <c r="L80" i="33"/>
  <c r="L99" i="33"/>
  <c r="L106" i="34" s="1"/>
  <c r="R65" i="48" s="1"/>
  <c r="L137" i="33"/>
  <c r="M42" i="33"/>
  <c r="M103" i="34" s="1"/>
  <c r="S62" i="48" s="1"/>
  <c r="M61" i="33"/>
  <c r="M80" i="33"/>
  <c r="M99" i="33"/>
  <c r="M106" i="34" s="1"/>
  <c r="S65" i="48" s="1"/>
  <c r="M137" i="33"/>
  <c r="N42" i="33"/>
  <c r="N103" i="34" s="1"/>
  <c r="T62" i="48" s="1"/>
  <c r="N61" i="33"/>
  <c r="N80" i="33"/>
  <c r="N99" i="33"/>
  <c r="N106" i="34" s="1"/>
  <c r="T65" i="48" s="1"/>
  <c r="N137" i="33"/>
  <c r="O42" i="33"/>
  <c r="O103" i="34" s="1"/>
  <c r="U62" i="48" s="1"/>
  <c r="O61" i="33"/>
  <c r="O80" i="33"/>
  <c r="O99" i="33"/>
  <c r="O106" i="34" s="1"/>
  <c r="U65" i="48" s="1"/>
  <c r="O137" i="33"/>
  <c r="P42" i="33"/>
  <c r="P103" i="34" s="1"/>
  <c r="V62" i="48" s="1"/>
  <c r="P61" i="33"/>
  <c r="P80" i="33"/>
  <c r="P99" i="33"/>
  <c r="P106" i="34" s="1"/>
  <c r="V65" i="48" s="1"/>
  <c r="P137" i="33"/>
  <c r="Q42" i="33"/>
  <c r="Q103" i="34" s="1"/>
  <c r="W62" i="48" s="1"/>
  <c r="Q61" i="33"/>
  <c r="Q80" i="33"/>
  <c r="Q99" i="33"/>
  <c r="Q106" i="34" s="1"/>
  <c r="W65" i="48" s="1"/>
  <c r="Q137" i="33"/>
  <c r="R42" i="33"/>
  <c r="R103" i="34" s="1"/>
  <c r="X62" i="48" s="1"/>
  <c r="R61" i="33"/>
  <c r="R80" i="33"/>
  <c r="R99" i="33"/>
  <c r="R106" i="34" s="1"/>
  <c r="X65" i="48" s="1"/>
  <c r="R137" i="33"/>
  <c r="S42" i="33"/>
  <c r="S103" i="34" s="1"/>
  <c r="Y62" i="48" s="1"/>
  <c r="S99" i="33"/>
  <c r="S106" i="34" s="1"/>
  <c r="Y65" i="48" s="1"/>
  <c r="S137" i="33"/>
  <c r="T99" i="33"/>
  <c r="T106" i="34" s="1"/>
  <c r="Z65" i="48" s="1"/>
  <c r="T137" i="33"/>
  <c r="U99" i="33"/>
  <c r="U106" i="34" s="1"/>
  <c r="AA65" i="48" s="1"/>
  <c r="U137" i="33"/>
  <c r="V137" i="33"/>
  <c r="X61" i="33"/>
  <c r="X80" i="33"/>
  <c r="X99" i="33"/>
  <c r="X106" i="34" s="1"/>
  <c r="X137" i="33"/>
  <c r="Y61" i="33"/>
  <c r="Y80" i="33"/>
  <c r="Y99" i="33"/>
  <c r="Y106" i="34" s="1"/>
  <c r="Y137" i="33"/>
  <c r="Z61" i="33"/>
  <c r="Z80" i="33"/>
  <c r="Z105" i="34" s="1"/>
  <c r="Z99" i="33"/>
  <c r="Z106" i="34" s="1"/>
  <c r="Z137" i="33"/>
  <c r="AA61" i="33"/>
  <c r="AA80" i="33"/>
  <c r="AA99" i="33"/>
  <c r="AA106" i="34" s="1"/>
  <c r="AA137" i="33"/>
  <c r="AB61" i="33"/>
  <c r="AB80" i="33"/>
  <c r="AB105" i="34" s="1"/>
  <c r="AB99" i="33"/>
  <c r="AB106" i="34" s="1"/>
  <c r="AB137" i="33"/>
  <c r="X105" i="34" l="1"/>
  <c r="Y105" i="34"/>
  <c r="AA105" i="34"/>
  <c r="L105" i="34"/>
  <c r="R64" i="48" s="1"/>
  <c r="J105" i="34"/>
  <c r="P64" i="48" s="1"/>
  <c r="M105" i="34"/>
  <c r="S64" i="48" s="1"/>
  <c r="K105" i="34"/>
  <c r="Q64" i="48" s="1"/>
  <c r="N105" i="34"/>
  <c r="T64" i="48" s="1"/>
  <c r="Q105" i="34"/>
  <c r="W64" i="48" s="1"/>
  <c r="O105" i="34"/>
  <c r="U64" i="48" s="1"/>
  <c r="P105" i="34"/>
  <c r="V64" i="48" s="1"/>
  <c r="R105" i="34"/>
  <c r="X64" i="48" s="1"/>
  <c r="P61" i="48"/>
  <c r="J108" i="34"/>
  <c r="Y104" i="34"/>
  <c r="AB104" i="34"/>
  <c r="L104" i="34"/>
  <c r="R63" i="48" s="1"/>
  <c r="O104" i="34"/>
  <c r="U63" i="48" s="1"/>
  <c r="N104" i="34"/>
  <c r="T63" i="48" s="1"/>
  <c r="Z104" i="34"/>
  <c r="R104" i="34"/>
  <c r="X63" i="48" s="1"/>
  <c r="M104" i="34"/>
  <c r="S63" i="48" s="1"/>
  <c r="X104" i="34"/>
  <c r="P104" i="34"/>
  <c r="V63" i="48" s="1"/>
  <c r="AA104" i="34"/>
  <c r="K104" i="34"/>
  <c r="Q63" i="48" s="1"/>
  <c r="Q104" i="34"/>
  <c r="W63" i="48" s="1"/>
  <c r="J118" i="33"/>
  <c r="J156" i="33" s="1"/>
  <c r="P66" i="48" l="1"/>
  <c r="K23" i="33"/>
  <c r="P136" i="48" l="1"/>
  <c r="J110" i="34"/>
  <c r="K102" i="34"/>
  <c r="K118" i="33"/>
  <c r="K156" i="33" s="1"/>
  <c r="Q61" i="48" l="1"/>
  <c r="Q66" i="48" s="1"/>
  <c r="K108" i="34"/>
  <c r="P67" i="48"/>
  <c r="P107" i="48"/>
  <c r="L23" i="33"/>
  <c r="Q136" i="48" l="1"/>
  <c r="K110" i="34"/>
  <c r="L118" i="33"/>
  <c r="L156" i="33" s="1"/>
  <c r="L102" i="34"/>
  <c r="R61" i="48" l="1"/>
  <c r="R66" i="48" s="1"/>
  <c r="L108" i="34"/>
  <c r="Q67" i="48"/>
  <c r="Q107" i="48"/>
  <c r="M23" i="33"/>
  <c r="M118" i="33" l="1"/>
  <c r="M156" i="33" s="1"/>
  <c r="M102" i="34"/>
  <c r="L110" i="34"/>
  <c r="R136" i="48"/>
  <c r="S61" i="48" l="1"/>
  <c r="S66" i="48" s="1"/>
  <c r="M108" i="34"/>
  <c r="R107" i="48"/>
  <c r="R67" i="48"/>
  <c r="N23" i="33"/>
  <c r="N118" i="33" l="1"/>
  <c r="N156" i="33" s="1"/>
  <c r="N102" i="34"/>
  <c r="S136" i="48"/>
  <c r="M110" i="34"/>
  <c r="T61" i="48" l="1"/>
  <c r="T66" i="48" s="1"/>
  <c r="N108" i="34"/>
  <c r="S107" i="48"/>
  <c r="S67" i="48"/>
  <c r="O23" i="33"/>
  <c r="O102" i="34" l="1"/>
  <c r="O118" i="33"/>
  <c r="O156" i="33" s="1"/>
  <c r="N110" i="34"/>
  <c r="T136" i="48"/>
  <c r="U61" i="48" l="1"/>
  <c r="U66" i="48" s="1"/>
  <c r="O108" i="34"/>
  <c r="T67" i="48"/>
  <c r="T107" i="48"/>
  <c r="P23" i="33"/>
  <c r="P118" i="33" l="1"/>
  <c r="P156" i="33" s="1"/>
  <c r="P102" i="34"/>
  <c r="O110" i="34"/>
  <c r="U136" i="48"/>
  <c r="V61" i="48" l="1"/>
  <c r="V66" i="48" s="1"/>
  <c r="P108" i="34"/>
  <c r="U67" i="48"/>
  <c r="U107" i="48"/>
  <c r="Q23" i="33"/>
  <c r="Q118" i="33" l="1"/>
  <c r="Q156" i="33" s="1"/>
  <c r="Q102" i="34"/>
  <c r="P110" i="34"/>
  <c r="V136" i="48"/>
  <c r="W61" i="48" l="1"/>
  <c r="W66" i="48" s="1"/>
  <c r="Q108" i="34"/>
  <c r="V67" i="48"/>
  <c r="V107" i="48"/>
  <c r="R23" i="33"/>
  <c r="W136" i="48" l="1"/>
  <c r="Q110" i="34"/>
  <c r="R118" i="33"/>
  <c r="R156" i="33" s="1"/>
  <c r="R102" i="34"/>
  <c r="X61" i="48" l="1"/>
  <c r="X66" i="48" s="1"/>
  <c r="R108" i="34"/>
  <c r="W107" i="48"/>
  <c r="W67" i="48"/>
  <c r="S23" i="33"/>
  <c r="X136" i="48" l="1"/>
  <c r="R110" i="34"/>
  <c r="S102" i="34"/>
  <c r="Y61" i="48" l="1"/>
  <c r="X67" i="48"/>
  <c r="X107" i="48"/>
  <c r="N134" i="33" l="1"/>
  <c r="M134" i="33"/>
  <c r="AB134" i="33"/>
  <c r="V134" i="33"/>
  <c r="AA134" i="33"/>
  <c r="X134" i="33"/>
  <c r="P134" i="33"/>
  <c r="Z134" i="33"/>
  <c r="L134" i="33"/>
  <c r="J134" i="33"/>
  <c r="R134" i="33"/>
  <c r="O134" i="33"/>
  <c r="Y134" i="33"/>
  <c r="K134" i="33"/>
  <c r="Q134" i="33"/>
  <c r="T134" i="33"/>
  <c r="S134" i="33"/>
  <c r="U134" i="33"/>
  <c r="Y77" i="33"/>
  <c r="AA58" i="33"/>
  <c r="S96" i="33"/>
  <c r="S64" i="34" s="1"/>
  <c r="Y44" i="48" s="1"/>
  <c r="Z58" i="33"/>
  <c r="X96" i="33"/>
  <c r="X64" i="34" s="1"/>
  <c r="R96" i="33"/>
  <c r="R64" i="34" s="1"/>
  <c r="X44" i="48" s="1"/>
  <c r="Y58" i="33"/>
  <c r="R77" i="33"/>
  <c r="P39" i="33"/>
  <c r="P61" i="34" s="1"/>
  <c r="V41" i="48" s="1"/>
  <c r="N58" i="33"/>
  <c r="J58" i="33"/>
  <c r="J62" i="34" s="1"/>
  <c r="P42" i="48" s="1"/>
  <c r="AB58" i="33"/>
  <c r="K58" i="33"/>
  <c r="AB77" i="33"/>
  <c r="J77" i="33"/>
  <c r="M39" i="33"/>
  <c r="M61" i="34" s="1"/>
  <c r="S41" i="48" s="1"/>
  <c r="L77" i="33"/>
  <c r="L39" i="33"/>
  <c r="L61" i="34" s="1"/>
  <c r="R41" i="48" s="1"/>
  <c r="X77" i="33"/>
  <c r="J39" i="33"/>
  <c r="J61" i="34" s="1"/>
  <c r="P41" i="48" s="1"/>
  <c r="R39" i="33"/>
  <c r="R61" i="34" s="1"/>
  <c r="X41" i="48" s="1"/>
  <c r="K96" i="33"/>
  <c r="K64" i="34" s="1"/>
  <c r="Q44" i="48" s="1"/>
  <c r="AA77" i="33"/>
  <c r="K77" i="33"/>
  <c r="M58" i="33"/>
  <c r="N77" i="33"/>
  <c r="P96" i="33"/>
  <c r="P64" i="34" s="1"/>
  <c r="V44" i="48" s="1"/>
  <c r="Q39" i="33"/>
  <c r="Q61" i="34" s="1"/>
  <c r="W41" i="48" s="1"/>
  <c r="AB96" i="33"/>
  <c r="AB64" i="34" s="1"/>
  <c r="M77" i="33"/>
  <c r="T96" i="33"/>
  <c r="T64" i="34" s="1"/>
  <c r="Z44" i="48" s="1"/>
  <c r="Y96" i="33"/>
  <c r="Y64" i="34" s="1"/>
  <c r="N96" i="33"/>
  <c r="N64" i="34" s="1"/>
  <c r="T44" i="48" s="1"/>
  <c r="R58" i="33"/>
  <c r="X58" i="33"/>
  <c r="Q96" i="33"/>
  <c r="Q64" i="34" s="1"/>
  <c r="W44" i="48" s="1"/>
  <c r="J20" i="33"/>
  <c r="J60" i="34" s="1"/>
  <c r="U96" i="33"/>
  <c r="U64" i="34" s="1"/>
  <c r="AA44" i="48" s="1"/>
  <c r="Z77" i="33"/>
  <c r="S39" i="33"/>
  <c r="S61" i="34" s="1"/>
  <c r="Y41" i="48" s="1"/>
  <c r="L96" i="33"/>
  <c r="L64" i="34" s="1"/>
  <c r="R44" i="48" s="1"/>
  <c r="Z96" i="33"/>
  <c r="Z64" i="34" s="1"/>
  <c r="O58" i="33"/>
  <c r="O96" i="33"/>
  <c r="O64" i="34" s="1"/>
  <c r="U44" i="48" s="1"/>
  <c r="Q77" i="33"/>
  <c r="AA96" i="33"/>
  <c r="AA64" i="34" s="1"/>
  <c r="N39" i="33"/>
  <c r="N61" i="34" s="1"/>
  <c r="T41" i="48" s="1"/>
  <c r="M96" i="33"/>
  <c r="M64" i="34" s="1"/>
  <c r="S44" i="48" s="1"/>
  <c r="P58" i="33"/>
  <c r="O77" i="33"/>
  <c r="O39" i="33"/>
  <c r="O61" i="34" s="1"/>
  <c r="U41" i="48" s="1"/>
  <c r="Q58" i="33"/>
  <c r="L58" i="33"/>
  <c r="K39" i="33"/>
  <c r="K61" i="34" s="1"/>
  <c r="Q41" i="48" s="1"/>
  <c r="J96" i="33"/>
  <c r="J64" i="34" s="1"/>
  <c r="P44" i="48" s="1"/>
  <c r="P77" i="33"/>
  <c r="AB63" i="34" l="1"/>
  <c r="X63" i="34"/>
  <c r="Y63" i="34"/>
  <c r="AA63" i="34"/>
  <c r="Z63" i="34"/>
  <c r="M63" i="34"/>
  <c r="S43" i="48" s="1"/>
  <c r="L63" i="34"/>
  <c r="R43" i="48" s="1"/>
  <c r="K63" i="34"/>
  <c r="Q43" i="48" s="1"/>
  <c r="J63" i="34"/>
  <c r="J66" i="34" s="1"/>
  <c r="Q63" i="34"/>
  <c r="W43" i="48" s="1"/>
  <c r="O63" i="34"/>
  <c r="U43" i="48" s="1"/>
  <c r="N63" i="34"/>
  <c r="T43" i="48" s="1"/>
  <c r="P63" i="34"/>
  <c r="V43" i="48" s="1"/>
  <c r="P40" i="48"/>
  <c r="R63" i="34"/>
  <c r="X43" i="48" s="1"/>
  <c r="Q62" i="34"/>
  <c r="W42" i="48" s="1"/>
  <c r="R62" i="34"/>
  <c r="X42" i="48" s="1"/>
  <c r="L62" i="34"/>
  <c r="R42" i="48" s="1"/>
  <c r="X62" i="34"/>
  <c r="O62" i="34"/>
  <c r="U42" i="48" s="1"/>
  <c r="Y62" i="34"/>
  <c r="Z62" i="34"/>
  <c r="AB62" i="34"/>
  <c r="AA62" i="34"/>
  <c r="P62" i="34"/>
  <c r="V42" i="48" s="1"/>
  <c r="M62" i="34"/>
  <c r="S42" i="48" s="1"/>
  <c r="J115" i="33"/>
  <c r="J153" i="33" s="1"/>
  <c r="N62" i="34"/>
  <c r="T42" i="48" s="1"/>
  <c r="K62" i="34"/>
  <c r="Q42" i="48" s="1"/>
  <c r="P43" i="48" l="1"/>
  <c r="P45" i="48" s="1"/>
  <c r="K20" i="33"/>
  <c r="K60" i="34" l="1"/>
  <c r="K115" i="33"/>
  <c r="K153" i="33" s="1"/>
  <c r="J68" i="34"/>
  <c r="P133" i="48"/>
  <c r="Q40" i="48" l="1"/>
  <c r="Q45" i="48" s="1"/>
  <c r="K66" i="34"/>
  <c r="P46" i="48"/>
  <c r="P104" i="48"/>
  <c r="L20" i="33"/>
  <c r="L60" i="34" l="1"/>
  <c r="L115" i="33"/>
  <c r="L153" i="33" s="1"/>
  <c r="K68" i="34"/>
  <c r="Q133" i="48"/>
  <c r="R40" i="48" l="1"/>
  <c r="R45" i="48" s="1"/>
  <c r="L66" i="34"/>
  <c r="Q46" i="48"/>
  <c r="Q104" i="48"/>
  <c r="M20" i="33"/>
  <c r="M115" i="33" l="1"/>
  <c r="M153" i="33" s="1"/>
  <c r="M60" i="34"/>
  <c r="R133" i="48"/>
  <c r="L68" i="34"/>
  <c r="S40" i="48" l="1"/>
  <c r="S45" i="48" s="1"/>
  <c r="M66" i="34"/>
  <c r="R46" i="48"/>
  <c r="R104" i="48"/>
  <c r="N20" i="33"/>
  <c r="M68" i="34" l="1"/>
  <c r="S133" i="48"/>
  <c r="N60" i="34"/>
  <c r="N115" i="33"/>
  <c r="N153" i="33" s="1"/>
  <c r="T40" i="48" l="1"/>
  <c r="T45" i="48" s="1"/>
  <c r="N66" i="34"/>
  <c r="S104" i="48"/>
  <c r="S46" i="48"/>
  <c r="O20" i="33"/>
  <c r="O60" i="34" l="1"/>
  <c r="O115" i="33"/>
  <c r="O153" i="33" s="1"/>
  <c r="N68" i="34"/>
  <c r="T133" i="48"/>
  <c r="U40" i="48" l="1"/>
  <c r="U45" i="48" s="1"/>
  <c r="O66" i="34"/>
  <c r="T46" i="48"/>
  <c r="T104" i="48"/>
  <c r="P20" i="33"/>
  <c r="O68" i="34" l="1"/>
  <c r="U133" i="48"/>
  <c r="P60" i="34"/>
  <c r="P115" i="33"/>
  <c r="P153" i="33" s="1"/>
  <c r="V40" i="48" l="1"/>
  <c r="V45" i="48" s="1"/>
  <c r="P66" i="34"/>
  <c r="U46" i="48"/>
  <c r="U104" i="48"/>
  <c r="Q20" i="33"/>
  <c r="Q60" i="34" l="1"/>
  <c r="Q115" i="33"/>
  <c r="Q153" i="33" s="1"/>
  <c r="P68" i="34"/>
  <c r="V133" i="48"/>
  <c r="W40" i="48" l="1"/>
  <c r="W45" i="48" s="1"/>
  <c r="Q66" i="34"/>
  <c r="V104" i="48"/>
  <c r="V46" i="48"/>
  <c r="R20" i="33"/>
  <c r="R60" i="34" l="1"/>
  <c r="R115" i="33"/>
  <c r="R153" i="33" s="1"/>
  <c r="Q68" i="34"/>
  <c r="W133" i="48"/>
  <c r="X40" i="48" l="1"/>
  <c r="X45" i="48" s="1"/>
  <c r="R66" i="34"/>
  <c r="W104" i="48"/>
  <c r="W46" i="48"/>
  <c r="S20" i="33"/>
  <c r="S60" i="34" l="1"/>
  <c r="R68" i="34"/>
  <c r="X133" i="48"/>
  <c r="Y40" i="48" l="1"/>
  <c r="X46" i="48"/>
  <c r="X104" i="48"/>
  <c r="P133" i="33" l="1"/>
  <c r="Q133" i="33"/>
  <c r="K133" i="33"/>
  <c r="X133" i="33"/>
  <c r="U133" i="33"/>
  <c r="N133" i="33"/>
  <c r="V133" i="33"/>
  <c r="J133" i="33"/>
  <c r="Y133" i="33"/>
  <c r="R133" i="33"/>
  <c r="O133" i="33"/>
  <c r="M133" i="33"/>
  <c r="S133" i="33"/>
  <c r="Z133" i="33"/>
  <c r="AB133" i="33"/>
  <c r="L133" i="33"/>
  <c r="T133" i="33"/>
  <c r="AA133" i="33"/>
  <c r="AA76" i="33"/>
  <c r="Y95" i="33"/>
  <c r="Y50" i="34" s="1"/>
  <c r="Z76" i="33"/>
  <c r="Z95" i="33"/>
  <c r="Z50" i="34" s="1"/>
  <c r="O76" i="33"/>
  <c r="R38" i="33"/>
  <c r="R47" i="34" s="1"/>
  <c r="X34" i="48" s="1"/>
  <c r="P95" i="33"/>
  <c r="P50" i="34" s="1"/>
  <c r="V37" i="48" s="1"/>
  <c r="O95" i="33"/>
  <c r="O50" i="34" s="1"/>
  <c r="U37" i="48" s="1"/>
  <c r="J95" i="33"/>
  <c r="J50" i="34" s="1"/>
  <c r="P37" i="48" s="1"/>
  <c r="Y57" i="33"/>
  <c r="Y48" i="34" s="1"/>
  <c r="X76" i="33"/>
  <c r="L76" i="33"/>
  <c r="U95" i="33"/>
  <c r="U50" i="34" s="1"/>
  <c r="AA37" i="48" s="1"/>
  <c r="Z57" i="33"/>
  <c r="Z48" i="34" s="1"/>
  <c r="AB95" i="33"/>
  <c r="AB50" i="34" s="1"/>
  <c r="J57" i="33"/>
  <c r="J48" i="34" s="1"/>
  <c r="P35" i="48" s="1"/>
  <c r="N95" i="33"/>
  <c r="N50" i="34" s="1"/>
  <c r="T37" i="48" s="1"/>
  <c r="M38" i="33"/>
  <c r="M47" i="34" s="1"/>
  <c r="S34" i="48" s="1"/>
  <c r="Q95" i="33"/>
  <c r="Q50" i="34" s="1"/>
  <c r="W37" i="48" s="1"/>
  <c r="X95" i="33"/>
  <c r="X50" i="34" s="1"/>
  <c r="AB76" i="33"/>
  <c r="T95" i="33"/>
  <c r="T50" i="34" s="1"/>
  <c r="Z37" i="48" s="1"/>
  <c r="M95" i="33"/>
  <c r="M50" i="34" s="1"/>
  <c r="S37" i="48" s="1"/>
  <c r="Y76" i="33"/>
  <c r="Y49" i="34" s="1"/>
  <c r="P38" i="33"/>
  <c r="P47" i="34" s="1"/>
  <c r="V34" i="48" s="1"/>
  <c r="N57" i="33"/>
  <c r="N48" i="34" s="1"/>
  <c r="T35" i="48" s="1"/>
  <c r="X57" i="33"/>
  <c r="X48" i="34" s="1"/>
  <c r="J38" i="33"/>
  <c r="J47" i="34" s="1"/>
  <c r="P34" i="48" s="1"/>
  <c r="K95" i="33"/>
  <c r="K50" i="34" s="1"/>
  <c r="Q37" i="48" s="1"/>
  <c r="K76" i="33"/>
  <c r="S38" i="33"/>
  <c r="S47" i="34" s="1"/>
  <c r="Y34" i="48" s="1"/>
  <c r="R76" i="33"/>
  <c r="L95" i="33"/>
  <c r="L50" i="34" s="1"/>
  <c r="R37" i="48" s="1"/>
  <c r="P57" i="33"/>
  <c r="P76" i="33"/>
  <c r="J76" i="33"/>
  <c r="K38" i="33"/>
  <c r="K47" i="34" s="1"/>
  <c r="Q34" i="48" s="1"/>
  <c r="L57" i="33"/>
  <c r="L48" i="34" s="1"/>
  <c r="R35" i="48" s="1"/>
  <c r="M57" i="33"/>
  <c r="M48" i="34" s="1"/>
  <c r="S35" i="48" s="1"/>
  <c r="O57" i="33"/>
  <c r="O48" i="34" s="1"/>
  <c r="U35" i="48" s="1"/>
  <c r="Q57" i="33"/>
  <c r="AA95" i="33"/>
  <c r="AA50" i="34" s="1"/>
  <c r="AB57" i="33"/>
  <c r="AB48" i="34" s="1"/>
  <c r="AA57" i="33"/>
  <c r="AA48" i="34" s="1"/>
  <c r="R57" i="33"/>
  <c r="R48" i="34" s="1"/>
  <c r="X35" i="48" s="1"/>
  <c r="Q76" i="33"/>
  <c r="N38" i="33"/>
  <c r="N47" i="34" s="1"/>
  <c r="T34" i="48" s="1"/>
  <c r="O38" i="33"/>
  <c r="O47" i="34" s="1"/>
  <c r="U34" i="48" s="1"/>
  <c r="M76" i="33"/>
  <c r="N76" i="33"/>
  <c r="R95" i="33"/>
  <c r="R50" i="34" s="1"/>
  <c r="X37" i="48" s="1"/>
  <c r="Q38" i="33"/>
  <c r="Q47" i="34" s="1"/>
  <c r="W34" i="48" s="1"/>
  <c r="K57" i="33"/>
  <c r="K48" i="34" s="1"/>
  <c r="Q35" i="48" s="1"/>
  <c r="L38" i="33"/>
  <c r="L47" i="34" s="1"/>
  <c r="R34" i="48" s="1"/>
  <c r="S95" i="33"/>
  <c r="S50" i="34" s="1"/>
  <c r="Y37" i="48" s="1"/>
  <c r="J19" i="33"/>
  <c r="J46" i="34" s="1"/>
  <c r="AB49" i="34" l="1"/>
  <c r="X49" i="34"/>
  <c r="AA49" i="34"/>
  <c r="Z49" i="34"/>
  <c r="K49" i="34"/>
  <c r="Q36" i="48" s="1"/>
  <c r="J49" i="34"/>
  <c r="P36" i="48" s="1"/>
  <c r="L49" i="34"/>
  <c r="R36" i="48" s="1"/>
  <c r="M49" i="34"/>
  <c r="S36" i="48" s="1"/>
  <c r="Q49" i="34"/>
  <c r="W36" i="48" s="1"/>
  <c r="O49" i="34"/>
  <c r="U36" i="48" s="1"/>
  <c r="P49" i="34"/>
  <c r="V36" i="48" s="1"/>
  <c r="N49" i="34"/>
  <c r="T36" i="48" s="1"/>
  <c r="P33" i="48"/>
  <c r="R49" i="34"/>
  <c r="X36" i="48" s="1"/>
  <c r="J114" i="33"/>
  <c r="J152" i="33" s="1"/>
  <c r="K19" i="33" s="1"/>
  <c r="Q48" i="34"/>
  <c r="W35" i="48" s="1"/>
  <c r="P48" i="34"/>
  <c r="V35" i="48" s="1"/>
  <c r="J52" i="34" l="1"/>
  <c r="P38" i="48"/>
  <c r="J54" i="34"/>
  <c r="K46" i="34"/>
  <c r="K114" i="33"/>
  <c r="K152" i="33" s="1"/>
  <c r="Q33" i="48" l="1"/>
  <c r="Q38" i="48" s="1"/>
  <c r="K52" i="34"/>
  <c r="L19" i="33"/>
  <c r="P39" i="48" l="1"/>
  <c r="P132" i="48"/>
  <c r="P103" i="48"/>
  <c r="L46" i="34"/>
  <c r="L114" i="33"/>
  <c r="L152" i="33" s="1"/>
  <c r="Q132" i="48"/>
  <c r="K54" i="34"/>
  <c r="R33" i="48" l="1"/>
  <c r="R38" i="48" s="1"/>
  <c r="L52" i="34"/>
  <c r="Q39" i="48"/>
  <c r="Q103" i="48"/>
  <c r="M19" i="33"/>
  <c r="M46" i="34" l="1"/>
  <c r="M114" i="33"/>
  <c r="M152" i="33" s="1"/>
  <c r="L54" i="34"/>
  <c r="R132" i="48"/>
  <c r="S33" i="48" l="1"/>
  <c r="S38" i="48" s="1"/>
  <c r="M52" i="34"/>
  <c r="R103" i="48"/>
  <c r="R39" i="48"/>
  <c r="N19" i="33"/>
  <c r="N46" i="34" l="1"/>
  <c r="N114" i="33"/>
  <c r="N152" i="33" s="1"/>
  <c r="M54" i="34"/>
  <c r="S132" i="48"/>
  <c r="T33" i="48" l="1"/>
  <c r="T38" i="48" s="1"/>
  <c r="N52" i="34"/>
  <c r="S103" i="48"/>
  <c r="S39" i="48"/>
  <c r="O19" i="33"/>
  <c r="O46" i="34" l="1"/>
  <c r="O114" i="33"/>
  <c r="O152" i="33" s="1"/>
  <c r="N54" i="34"/>
  <c r="T132" i="48"/>
  <c r="U33" i="48" l="1"/>
  <c r="U38" i="48" s="1"/>
  <c r="O52" i="34"/>
  <c r="T39" i="48"/>
  <c r="T103" i="48"/>
  <c r="P19" i="33"/>
  <c r="P46" i="34" l="1"/>
  <c r="P114" i="33"/>
  <c r="P152" i="33" s="1"/>
  <c r="O54" i="34"/>
  <c r="U132" i="48"/>
  <c r="V33" i="48" l="1"/>
  <c r="V38" i="48" s="1"/>
  <c r="P52" i="34"/>
  <c r="U39" i="48"/>
  <c r="U103" i="48"/>
  <c r="Q19" i="33"/>
  <c r="Q46" i="34" l="1"/>
  <c r="Q114" i="33"/>
  <c r="Q152" i="33" s="1"/>
  <c r="P54" i="34"/>
  <c r="V132" i="48"/>
  <c r="W33" i="48" l="1"/>
  <c r="W38" i="48" s="1"/>
  <c r="Q52" i="34"/>
  <c r="V39" i="48"/>
  <c r="V103" i="48"/>
  <c r="R19" i="33"/>
  <c r="R46" i="34" l="1"/>
  <c r="R114" i="33"/>
  <c r="R152" i="33" s="1"/>
  <c r="W132" i="48"/>
  <c r="Q54" i="34"/>
  <c r="X33" i="48" l="1"/>
  <c r="X38" i="48" s="1"/>
  <c r="R52" i="34"/>
  <c r="W103" i="48"/>
  <c r="W39" i="48"/>
  <c r="S19" i="33"/>
  <c r="S46" i="34" l="1"/>
  <c r="R54" i="34"/>
  <c r="X132" i="48"/>
  <c r="Y33" i="48" l="1"/>
  <c r="X39" i="48"/>
  <c r="X103" i="48"/>
  <c r="N136" i="33" l="1"/>
  <c r="O136" i="33"/>
  <c r="L136" i="33"/>
  <c r="K136" i="33"/>
  <c r="Y136" i="33"/>
  <c r="U136" i="33"/>
  <c r="M136" i="33"/>
  <c r="Z136" i="33"/>
  <c r="AA136" i="33"/>
  <c r="V136" i="33"/>
  <c r="J136" i="33"/>
  <c r="X136" i="33"/>
  <c r="S136" i="33"/>
  <c r="AB136" i="33"/>
  <c r="P136" i="33"/>
  <c r="R136" i="33"/>
  <c r="T136" i="33"/>
  <c r="Q136" i="33"/>
  <c r="AA79" i="33"/>
  <c r="AA91" i="34" s="1"/>
  <c r="AB98" i="33"/>
  <c r="AB92" i="34" s="1"/>
  <c r="Z60" i="33"/>
  <c r="Z90" i="34" s="1"/>
  <c r="AA60" i="33"/>
  <c r="AA90" i="34" s="1"/>
  <c r="Y98" i="33"/>
  <c r="Y92" i="34" s="1"/>
  <c r="Z79" i="33"/>
  <c r="Y60" i="33"/>
  <c r="Y90" i="34" s="1"/>
  <c r="AB60" i="33"/>
  <c r="AB90" i="34" s="1"/>
  <c r="S41" i="33"/>
  <c r="S89" i="34" s="1"/>
  <c r="Y55" i="48" s="1"/>
  <c r="P98" i="33"/>
  <c r="P92" i="34" s="1"/>
  <c r="V58" i="48" s="1"/>
  <c r="R79" i="33"/>
  <c r="M98" i="33"/>
  <c r="M92" i="34" s="1"/>
  <c r="S58" i="48" s="1"/>
  <c r="AB79" i="33"/>
  <c r="AA98" i="33"/>
  <c r="AA92" i="34" s="1"/>
  <c r="K79" i="33"/>
  <c r="Q41" i="33"/>
  <c r="Q89" i="34" s="1"/>
  <c r="W55" i="48" s="1"/>
  <c r="T98" i="33"/>
  <c r="T92" i="34" s="1"/>
  <c r="Z58" i="48" s="1"/>
  <c r="L79" i="33"/>
  <c r="J41" i="33"/>
  <c r="J89" i="34" s="1"/>
  <c r="P55" i="48" s="1"/>
  <c r="P79" i="33"/>
  <c r="J98" i="33"/>
  <c r="J92" i="34" s="1"/>
  <c r="P58" i="48" s="1"/>
  <c r="P41" i="33"/>
  <c r="P89" i="34" s="1"/>
  <c r="V55" i="48" s="1"/>
  <c r="L98" i="33"/>
  <c r="L92" i="34" s="1"/>
  <c r="R58" i="48" s="1"/>
  <c r="Q79" i="33"/>
  <c r="R98" i="33"/>
  <c r="R92" i="34" s="1"/>
  <c r="X58" i="48" s="1"/>
  <c r="N98" i="33"/>
  <c r="N92" i="34" s="1"/>
  <c r="T58" i="48" s="1"/>
  <c r="N79" i="33"/>
  <c r="X98" i="33"/>
  <c r="X92" i="34" s="1"/>
  <c r="L41" i="33"/>
  <c r="L89" i="34" s="1"/>
  <c r="R55" i="48" s="1"/>
  <c r="Y79" i="33"/>
  <c r="Y91" i="34" s="1"/>
  <c r="M79" i="33"/>
  <c r="N41" i="33"/>
  <c r="N89" i="34" s="1"/>
  <c r="T55" i="48" s="1"/>
  <c r="O60" i="33"/>
  <c r="O90" i="34" s="1"/>
  <c r="U56" i="48" s="1"/>
  <c r="Z98" i="33"/>
  <c r="Z92" i="34" s="1"/>
  <c r="R41" i="33"/>
  <c r="R89" i="34" s="1"/>
  <c r="X55" i="48" s="1"/>
  <c r="O41" i="33"/>
  <c r="O89" i="34" s="1"/>
  <c r="U55" i="48" s="1"/>
  <c r="K98" i="33"/>
  <c r="K92" i="34" s="1"/>
  <c r="Q58" i="48" s="1"/>
  <c r="O79" i="33"/>
  <c r="K41" i="33"/>
  <c r="K89" i="34" s="1"/>
  <c r="Q55" i="48" s="1"/>
  <c r="J60" i="33"/>
  <c r="J90" i="34" s="1"/>
  <c r="P56" i="48" s="1"/>
  <c r="S98" i="33"/>
  <c r="S92" i="34" s="1"/>
  <c r="Y58" i="48" s="1"/>
  <c r="J79" i="33"/>
  <c r="M41" i="33"/>
  <c r="M89" i="34" s="1"/>
  <c r="S55" i="48" s="1"/>
  <c r="X79" i="33"/>
  <c r="X91" i="34" s="1"/>
  <c r="Q98" i="33"/>
  <c r="Q92" i="34" s="1"/>
  <c r="W58" i="48" s="1"/>
  <c r="X60" i="33"/>
  <c r="X90" i="34" s="1"/>
  <c r="AB135" i="33"/>
  <c r="L135" i="33"/>
  <c r="Y78" i="33"/>
  <c r="Z135" i="33"/>
  <c r="U98" i="33"/>
  <c r="U92" i="34" s="1"/>
  <c r="AA58" i="48" s="1"/>
  <c r="S135" i="33"/>
  <c r="Q135" i="33"/>
  <c r="X97" i="33"/>
  <c r="O98" i="33"/>
  <c r="O92" i="34" s="1"/>
  <c r="U58" i="48" s="1"/>
  <c r="N135" i="33"/>
  <c r="O97" i="33"/>
  <c r="O78" i="34" s="1"/>
  <c r="L97" i="33"/>
  <c r="L78" i="34" s="1"/>
  <c r="K78" i="33"/>
  <c r="L60" i="33"/>
  <c r="N60" i="33"/>
  <c r="N90" i="34" s="1"/>
  <c r="T56" i="48" s="1"/>
  <c r="V135" i="33"/>
  <c r="Q40" i="33"/>
  <c r="Q75" i="34" s="1"/>
  <c r="W48" i="48" s="1"/>
  <c r="U97" i="33"/>
  <c r="M97" i="33"/>
  <c r="M78" i="34" s="1"/>
  <c r="S51" i="48" s="1"/>
  <c r="Y135" i="33"/>
  <c r="K60" i="33"/>
  <c r="K90" i="34" s="1"/>
  <c r="Q56" i="48" s="1"/>
  <c r="N78" i="33"/>
  <c r="O78" i="33"/>
  <c r="R60" i="33"/>
  <c r="R135" i="33"/>
  <c r="X135" i="33"/>
  <c r="N97" i="33"/>
  <c r="N78" i="34" s="1"/>
  <c r="P97" i="33"/>
  <c r="P78" i="34" s="1"/>
  <c r="V51" i="48" s="1"/>
  <c r="P60" i="33"/>
  <c r="P90" i="34" s="1"/>
  <c r="V56" i="48" s="1"/>
  <c r="K135" i="33"/>
  <c r="N40" i="33"/>
  <c r="N75" i="34" s="1"/>
  <c r="O40" i="33"/>
  <c r="AB78" i="33"/>
  <c r="AB77" i="34" s="1"/>
  <c r="X78" i="33"/>
  <c r="X77" i="34" s="1"/>
  <c r="X59" i="33"/>
  <c r="X76" i="34" s="1"/>
  <c r="Y97" i="33"/>
  <c r="Y78" i="34" s="1"/>
  <c r="S97" i="33"/>
  <c r="S78" i="34" s="1"/>
  <c r="Y51" i="48" s="1"/>
  <c r="AA59" i="33"/>
  <c r="AA76" i="34" s="1"/>
  <c r="M60" i="33"/>
  <c r="M90" i="34" s="1"/>
  <c r="S56" i="48" s="1"/>
  <c r="P135" i="33"/>
  <c r="L40" i="33"/>
  <c r="L75" i="34" s="1"/>
  <c r="K40" i="33"/>
  <c r="T97" i="33"/>
  <c r="T78" i="34" s="1"/>
  <c r="AA78" i="33"/>
  <c r="Y59" i="33"/>
  <c r="Y76" i="34" s="1"/>
  <c r="M135" i="33"/>
  <c r="R40" i="33"/>
  <c r="R75" i="34" s="1"/>
  <c r="Z78" i="33"/>
  <c r="Z77" i="34" s="1"/>
  <c r="S40" i="33"/>
  <c r="S75" i="34" s="1"/>
  <c r="AA97" i="33"/>
  <c r="AA78" i="34" s="1"/>
  <c r="N59" i="33"/>
  <c r="P59" i="33"/>
  <c r="AA135" i="33"/>
  <c r="O135" i="33"/>
  <c r="P78" i="33"/>
  <c r="U135" i="33"/>
  <c r="Z59" i="33"/>
  <c r="Q78" i="33"/>
  <c r="Z97" i="33"/>
  <c r="Z78" i="34" s="1"/>
  <c r="P40" i="33"/>
  <c r="P75" i="34" s="1"/>
  <c r="Q60" i="33"/>
  <c r="Q90" i="34" s="1"/>
  <c r="W56" i="48" s="1"/>
  <c r="J22" i="33"/>
  <c r="J88" i="34" s="1"/>
  <c r="M40" i="33"/>
  <c r="M75" i="34" s="1"/>
  <c r="Q97" i="33"/>
  <c r="L78" i="33"/>
  <c r="L77" i="34" s="1"/>
  <c r="R97" i="33"/>
  <c r="AB97" i="33"/>
  <c r="AB78" i="34" s="1"/>
  <c r="K97" i="33"/>
  <c r="K78" i="34" s="1"/>
  <c r="M78" i="33"/>
  <c r="J40" i="33"/>
  <c r="J75" i="34" s="1"/>
  <c r="R59" i="33"/>
  <c r="L59" i="33"/>
  <c r="L76" i="34" s="1"/>
  <c r="R49" i="48" s="1"/>
  <c r="R78" i="33"/>
  <c r="R77" i="34" s="1"/>
  <c r="M59" i="33"/>
  <c r="O59" i="33"/>
  <c r="Q59" i="33"/>
  <c r="T135" i="33"/>
  <c r="J135" i="33"/>
  <c r="K59" i="33"/>
  <c r="J97" i="33"/>
  <c r="J78" i="34" s="1"/>
  <c r="AB59" i="33"/>
  <c r="AB76" i="34" s="1"/>
  <c r="J59" i="33"/>
  <c r="J76" i="34" s="1"/>
  <c r="J78" i="33"/>
  <c r="J21" i="33"/>
  <c r="Q77" i="34" l="1"/>
  <c r="AB91" i="34"/>
  <c r="M77" i="34"/>
  <c r="S50" i="48" s="1"/>
  <c r="AA77" i="34"/>
  <c r="P77" i="34"/>
  <c r="Z91" i="34"/>
  <c r="Y77" i="34"/>
  <c r="J77" i="34"/>
  <c r="P50" i="48" s="1"/>
  <c r="K77" i="34"/>
  <c r="Q50" i="48" s="1"/>
  <c r="J91" i="34"/>
  <c r="P57" i="48" s="1"/>
  <c r="L91" i="34"/>
  <c r="R57" i="48" s="1"/>
  <c r="M91" i="34"/>
  <c r="S57" i="48" s="1"/>
  <c r="K91" i="34"/>
  <c r="Q57" i="48" s="1"/>
  <c r="O77" i="34"/>
  <c r="U50" i="48" s="1"/>
  <c r="N77" i="34"/>
  <c r="T50" i="48" s="1"/>
  <c r="P91" i="34"/>
  <c r="V57" i="48" s="1"/>
  <c r="N91" i="34"/>
  <c r="T57" i="48" s="1"/>
  <c r="O91" i="34"/>
  <c r="U57" i="48" s="1"/>
  <c r="Q91" i="34"/>
  <c r="W57" i="48" s="1"/>
  <c r="R91" i="34"/>
  <c r="X57" i="48" s="1"/>
  <c r="P54" i="48"/>
  <c r="J94" i="34"/>
  <c r="J117" i="33"/>
  <c r="J155" i="33" s="1"/>
  <c r="Z103" i="33"/>
  <c r="Z162" i="34" s="1"/>
  <c r="J27" i="33"/>
  <c r="J158" i="34" s="1"/>
  <c r="U103" i="33"/>
  <c r="U162" i="34" s="1"/>
  <c r="AA92" i="48" s="1"/>
  <c r="J74" i="34"/>
  <c r="J116" i="33"/>
  <c r="Q78" i="34"/>
  <c r="O65" i="33"/>
  <c r="R76" i="34"/>
  <c r="Z76" i="34"/>
  <c r="R84" i="33"/>
  <c r="P49" i="48"/>
  <c r="L65" i="33"/>
  <c r="R78" i="34"/>
  <c r="AB141" i="33"/>
  <c r="M141" i="33"/>
  <c r="Y141" i="33"/>
  <c r="Z141" i="33"/>
  <c r="S141" i="33"/>
  <c r="L141" i="33"/>
  <c r="Q141" i="33"/>
  <c r="R141" i="33"/>
  <c r="X141" i="33"/>
  <c r="V141" i="33"/>
  <c r="U141" i="33"/>
  <c r="AA141" i="33"/>
  <c r="K141" i="33"/>
  <c r="J141" i="33"/>
  <c r="P141" i="33"/>
  <c r="N141" i="33"/>
  <c r="O141" i="33"/>
  <c r="T141" i="33"/>
  <c r="X65" i="33"/>
  <c r="O46" i="33"/>
  <c r="O159" i="34" s="1"/>
  <c r="U89" i="48" s="1"/>
  <c r="X103" i="33"/>
  <c r="X162" i="34" s="1"/>
  <c r="O84" i="33"/>
  <c r="Y103" i="33"/>
  <c r="Y162" i="34" s="1"/>
  <c r="M46" i="33"/>
  <c r="Y84" i="33"/>
  <c r="AB84" i="33"/>
  <c r="L46" i="33"/>
  <c r="P46" i="33"/>
  <c r="P159" i="34" s="1"/>
  <c r="V89" i="48" s="1"/>
  <c r="Q103" i="33"/>
  <c r="Q162" i="34" s="1"/>
  <c r="W92" i="48" s="1"/>
  <c r="Y65" i="33"/>
  <c r="O103" i="33"/>
  <c r="O162" i="34" s="1"/>
  <c r="U92" i="48" s="1"/>
  <c r="N46" i="33"/>
  <c r="AA103" i="33"/>
  <c r="L103" i="33"/>
  <c r="L162" i="34" s="1"/>
  <c r="R92" i="48" s="1"/>
  <c r="N103" i="33"/>
  <c r="N162" i="34" s="1"/>
  <c r="T92" i="48" s="1"/>
  <c r="Q84" i="33"/>
  <c r="X84" i="33"/>
  <c r="L84" i="33"/>
  <c r="L161" i="34" s="1"/>
  <c r="M103" i="33"/>
  <c r="M162" i="34" s="1"/>
  <c r="S92" i="48" s="1"/>
  <c r="T103" i="33"/>
  <c r="AA84" i="33"/>
  <c r="AB65" i="33"/>
  <c r="AB160" i="34" s="1"/>
  <c r="N84" i="33"/>
  <c r="Z84" i="33"/>
  <c r="P84" i="33"/>
  <c r="J46" i="33"/>
  <c r="R46" i="33"/>
  <c r="R159" i="34" s="1"/>
  <c r="X89" i="48" s="1"/>
  <c r="K84" i="33"/>
  <c r="J84" i="33"/>
  <c r="S103" i="33"/>
  <c r="AB103" i="33"/>
  <c r="AB162" i="34" s="1"/>
  <c r="M84" i="33"/>
  <c r="Q65" i="33"/>
  <c r="R103" i="33"/>
  <c r="R162" i="34" s="1"/>
  <c r="X92" i="48" s="1"/>
  <c r="R65" i="33"/>
  <c r="P103" i="33"/>
  <c r="P162" i="34" s="1"/>
  <c r="K46" i="33"/>
  <c r="K159" i="34" s="1"/>
  <c r="Q89" i="48" s="1"/>
  <c r="M65" i="33"/>
  <c r="J103" i="33"/>
  <c r="A13" i="31"/>
  <c r="AA65" i="33"/>
  <c r="AA160" i="34" s="1"/>
  <c r="K65" i="33"/>
  <c r="N65" i="33"/>
  <c r="J65" i="33"/>
  <c r="Z65" i="33"/>
  <c r="Z160" i="34" s="1"/>
  <c r="P65" i="33"/>
  <c r="Q46" i="33"/>
  <c r="Q159" i="34" s="1"/>
  <c r="W89" i="48" s="1"/>
  <c r="K103" i="33"/>
  <c r="S46" i="33"/>
  <c r="K75" i="34"/>
  <c r="P51" i="48"/>
  <c r="K76" i="34"/>
  <c r="O76" i="34"/>
  <c r="M76" i="34"/>
  <c r="Q51" i="48"/>
  <c r="Q76" i="34"/>
  <c r="R50" i="48"/>
  <c r="S48" i="48"/>
  <c r="P48" i="48"/>
  <c r="V48" i="48"/>
  <c r="W50" i="48"/>
  <c r="V50" i="48"/>
  <c r="X48" i="48"/>
  <c r="R48" i="48"/>
  <c r="O75" i="34"/>
  <c r="T48" i="48"/>
  <c r="P76" i="34"/>
  <c r="Z51" i="48"/>
  <c r="T51" i="48"/>
  <c r="Y48" i="48"/>
  <c r="N76" i="34"/>
  <c r="R90" i="34"/>
  <c r="X56" i="48" s="1"/>
  <c r="R51" i="48"/>
  <c r="U51" i="48"/>
  <c r="L90" i="34"/>
  <c r="U78" i="34"/>
  <c r="X78" i="34"/>
  <c r="J80" i="34" l="1"/>
  <c r="Z161" i="34"/>
  <c r="AA161" i="34"/>
  <c r="P161" i="34"/>
  <c r="Q161" i="34"/>
  <c r="N161" i="34"/>
  <c r="T91" i="48" s="1"/>
  <c r="AB161" i="34"/>
  <c r="Y161" i="34"/>
  <c r="X161" i="34"/>
  <c r="O161" i="34"/>
  <c r="U91" i="48" s="1"/>
  <c r="M161" i="34"/>
  <c r="S91" i="48" s="1"/>
  <c r="J161" i="34"/>
  <c r="P91" i="48" s="1"/>
  <c r="K161" i="34"/>
  <c r="Q91" i="48" s="1"/>
  <c r="P59" i="48"/>
  <c r="P135" i="48" s="1"/>
  <c r="P88" i="48"/>
  <c r="R161" i="34"/>
  <c r="X91" i="48" s="1"/>
  <c r="K22" i="33"/>
  <c r="K88" i="34" s="1"/>
  <c r="U49" i="48"/>
  <c r="S159" i="34"/>
  <c r="J162" i="34"/>
  <c r="T49" i="48"/>
  <c r="V49" i="48"/>
  <c r="W49" i="48"/>
  <c r="K162" i="34"/>
  <c r="P160" i="34"/>
  <c r="V90" i="48" s="1"/>
  <c r="J160" i="34"/>
  <c r="R160" i="34"/>
  <c r="X90" i="48" s="1"/>
  <c r="J159" i="34"/>
  <c r="AA162" i="34"/>
  <c r="L160" i="34"/>
  <c r="R90" i="48" s="1"/>
  <c r="X49" i="48"/>
  <c r="V92" i="48"/>
  <c r="R56" i="48"/>
  <c r="S49" i="48"/>
  <c r="Q48" i="48"/>
  <c r="N160" i="34"/>
  <c r="T90" i="48" s="1"/>
  <c r="M160" i="34"/>
  <c r="S90" i="48" s="1"/>
  <c r="S162" i="34"/>
  <c r="M159" i="34"/>
  <c r="X160" i="34"/>
  <c r="X50" i="48"/>
  <c r="J122" i="33"/>
  <c r="J160" i="33" s="1"/>
  <c r="J96" i="34"/>
  <c r="J154" i="33"/>
  <c r="O160" i="34"/>
  <c r="U90" i="48" s="1"/>
  <c r="AA51" i="48"/>
  <c r="U48" i="48"/>
  <c r="Q49" i="48"/>
  <c r="K160" i="34"/>
  <c r="Q90" i="48" s="1"/>
  <c r="Q160" i="34"/>
  <c r="W90" i="48" s="1"/>
  <c r="T162" i="34"/>
  <c r="N159" i="34"/>
  <c r="Y160" i="34"/>
  <c r="L159" i="34"/>
  <c r="X51" i="48"/>
  <c r="W51" i="48"/>
  <c r="P47" i="48"/>
  <c r="P52" i="48" s="1"/>
  <c r="J164" i="34" l="1"/>
  <c r="Q54" i="48"/>
  <c r="Q59" i="48" s="1"/>
  <c r="K94" i="34"/>
  <c r="K117" i="33"/>
  <c r="K155" i="33" s="1"/>
  <c r="L22" i="33" s="1"/>
  <c r="P60" i="48"/>
  <c r="P106" i="48"/>
  <c r="K27" i="33"/>
  <c r="Q92" i="48"/>
  <c r="R91" i="48"/>
  <c r="T89" i="48"/>
  <c r="S89" i="48"/>
  <c r="Y89" i="48"/>
  <c r="P89" i="48"/>
  <c r="P90" i="48"/>
  <c r="P92" i="48"/>
  <c r="R89" i="48"/>
  <c r="Z92" i="48"/>
  <c r="V91" i="48"/>
  <c r="K21" i="33"/>
  <c r="W91" i="48"/>
  <c r="Y92" i="48"/>
  <c r="P93" i="48" l="1"/>
  <c r="P139" i="48" s="1"/>
  <c r="K96" i="34"/>
  <c r="J166" i="34"/>
  <c r="K158" i="34"/>
  <c r="K122" i="33"/>
  <c r="K160" i="33" s="1"/>
  <c r="K74" i="34"/>
  <c r="K80" i="34" s="1"/>
  <c r="K116" i="33"/>
  <c r="J82" i="34"/>
  <c r="L88" i="34"/>
  <c r="L117" i="33"/>
  <c r="L155" i="33" s="1"/>
  <c r="Q88" i="48" l="1"/>
  <c r="Q93" i="48" s="1"/>
  <c r="K164" i="34"/>
  <c r="R54" i="48"/>
  <c r="R59" i="48" s="1"/>
  <c r="L94" i="34"/>
  <c r="Q135" i="48"/>
  <c r="P105" i="48"/>
  <c r="P134" i="48"/>
  <c r="P94" i="48"/>
  <c r="P111" i="48"/>
  <c r="P53" i="48"/>
  <c r="K154" i="33"/>
  <c r="M22" i="33"/>
  <c r="Q47" i="48"/>
  <c r="Q52" i="48" s="1"/>
  <c r="L27" i="33"/>
  <c r="Q106" i="48" l="1"/>
  <c r="Q60" i="48"/>
  <c r="K166" i="34"/>
  <c r="Q139" i="48"/>
  <c r="M88" i="34"/>
  <c r="M117" i="33"/>
  <c r="M155" i="33" s="1"/>
  <c r="L158" i="34"/>
  <c r="L122" i="33"/>
  <c r="L160" i="33" s="1"/>
  <c r="L96" i="34"/>
  <c r="R135" i="48"/>
  <c r="L21" i="33"/>
  <c r="R88" i="48" l="1"/>
  <c r="R93" i="48" s="1"/>
  <c r="L164" i="34"/>
  <c r="S54" i="48"/>
  <c r="S59" i="48" s="1"/>
  <c r="M94" i="34"/>
  <c r="R60" i="48"/>
  <c r="R106" i="48"/>
  <c r="Q94" i="48"/>
  <c r="Q111" i="48"/>
  <c r="K82" i="34"/>
  <c r="L74" i="34"/>
  <c r="L80" i="34" s="1"/>
  <c r="L116" i="33"/>
  <c r="M27" i="33"/>
  <c r="N22" i="33"/>
  <c r="Q105" i="48" l="1"/>
  <c r="Q134" i="48"/>
  <c r="Q53" i="48"/>
  <c r="M96" i="34"/>
  <c r="S135" i="48"/>
  <c r="M122" i="33"/>
  <c r="M160" i="33" s="1"/>
  <c r="M158" i="34"/>
  <c r="L166" i="34"/>
  <c r="R139" i="48"/>
  <c r="L154" i="33"/>
  <c r="N88" i="34"/>
  <c r="N117" i="33"/>
  <c r="N155" i="33" s="1"/>
  <c r="R47" i="48"/>
  <c r="R52" i="48" s="1"/>
  <c r="S88" i="48" l="1"/>
  <c r="S93" i="48" s="1"/>
  <c r="M164" i="34"/>
  <c r="T54" i="48"/>
  <c r="T59" i="48" s="1"/>
  <c r="N94" i="34"/>
  <c r="R111" i="48"/>
  <c r="R94" i="48"/>
  <c r="S106" i="48"/>
  <c r="S60" i="48"/>
  <c r="N27" i="33"/>
  <c r="M21" i="33"/>
  <c r="O22" i="33"/>
  <c r="N122" i="33" l="1"/>
  <c r="N160" i="33" s="1"/>
  <c r="N158" i="34"/>
  <c r="T135" i="48"/>
  <c r="N96" i="34"/>
  <c r="L82" i="34"/>
  <c r="M74" i="34"/>
  <c r="M80" i="34" s="1"/>
  <c r="M116" i="33"/>
  <c r="M166" i="34"/>
  <c r="S139" i="48"/>
  <c r="O88" i="34"/>
  <c r="O117" i="33"/>
  <c r="O155" i="33" s="1"/>
  <c r="T88" i="48" l="1"/>
  <c r="T93" i="48" s="1"/>
  <c r="N164" i="34"/>
  <c r="U54" i="48"/>
  <c r="U59" i="48" s="1"/>
  <c r="O94" i="34"/>
  <c r="R105" i="48"/>
  <c r="R134" i="48"/>
  <c r="S111" i="48"/>
  <c r="S94" i="48"/>
  <c r="T60" i="48"/>
  <c r="T106" i="48"/>
  <c r="R53" i="48"/>
  <c r="S47" i="48"/>
  <c r="S52" i="48" s="1"/>
  <c r="M154" i="33"/>
  <c r="O27" i="33"/>
  <c r="P22" i="33"/>
  <c r="O158" i="34" l="1"/>
  <c r="O122" i="33"/>
  <c r="O160" i="33" s="1"/>
  <c r="P88" i="34"/>
  <c r="P117" i="33"/>
  <c r="P155" i="33" s="1"/>
  <c r="T139" i="48"/>
  <c r="N166" i="34"/>
  <c r="O96" i="34"/>
  <c r="U135" i="48"/>
  <c r="N21" i="33"/>
  <c r="V54" i="48" l="1"/>
  <c r="V59" i="48" s="1"/>
  <c r="P94" i="34"/>
  <c r="U88" i="48"/>
  <c r="U93" i="48" s="1"/>
  <c r="O164" i="34"/>
  <c r="T94" i="48"/>
  <c r="T111" i="48"/>
  <c r="U60" i="48"/>
  <c r="U106" i="48"/>
  <c r="M82" i="34"/>
  <c r="N74" i="34"/>
  <c r="N80" i="34" s="1"/>
  <c r="N116" i="33"/>
  <c r="Q22" i="33"/>
  <c r="P27" i="33"/>
  <c r="S105" i="48" l="1"/>
  <c r="S134" i="48"/>
  <c r="S53" i="48"/>
  <c r="T47" i="48"/>
  <c r="T52" i="48" s="1"/>
  <c r="Q88" i="34"/>
  <c r="Q117" i="33"/>
  <c r="Q155" i="33" s="1"/>
  <c r="O166" i="34"/>
  <c r="U139" i="48"/>
  <c r="P96" i="34"/>
  <c r="V135" i="48"/>
  <c r="N154" i="33"/>
  <c r="P122" i="33"/>
  <c r="P160" i="33" s="1"/>
  <c r="P158" i="34"/>
  <c r="W54" i="48" l="1"/>
  <c r="W59" i="48" s="1"/>
  <c r="Q94" i="34"/>
  <c r="V88" i="48"/>
  <c r="V93" i="48" s="1"/>
  <c r="P164" i="34"/>
  <c r="U94" i="48"/>
  <c r="U111" i="48"/>
  <c r="V106" i="48"/>
  <c r="V60" i="48"/>
  <c r="Q27" i="33"/>
  <c r="O21" i="33"/>
  <c r="R22" i="33"/>
  <c r="R88" i="34" l="1"/>
  <c r="R117" i="33"/>
  <c r="R155" i="33" s="1"/>
  <c r="O74" i="34"/>
  <c r="O80" i="34" s="1"/>
  <c r="O116" i="33"/>
  <c r="Q96" i="34"/>
  <c r="W135" i="48"/>
  <c r="P166" i="34"/>
  <c r="V139" i="48"/>
  <c r="N82" i="34"/>
  <c r="Q158" i="34"/>
  <c r="Q122" i="33"/>
  <c r="Q160" i="33" s="1"/>
  <c r="W88" i="48" l="1"/>
  <c r="W93" i="48" s="1"/>
  <c r="Q164" i="34"/>
  <c r="X54" i="48"/>
  <c r="X59" i="48" s="1"/>
  <c r="R94" i="34"/>
  <c r="T105" i="48"/>
  <c r="T134" i="48"/>
  <c r="T53" i="48"/>
  <c r="V94" i="48"/>
  <c r="V111" i="48"/>
  <c r="W106" i="48"/>
  <c r="W60" i="48"/>
  <c r="S22" i="33"/>
  <c r="O154" i="33"/>
  <c r="R27" i="33"/>
  <c r="U47" i="48"/>
  <c r="U52" i="48" s="1"/>
  <c r="R122" i="33" l="1"/>
  <c r="R160" i="33" s="1"/>
  <c r="R158" i="34"/>
  <c r="S88" i="34"/>
  <c r="Q166" i="34"/>
  <c r="W139" i="48"/>
  <c r="R96" i="34"/>
  <c r="X135" i="48"/>
  <c r="P21" i="33"/>
  <c r="Y54" i="48" l="1"/>
  <c r="X88" i="48"/>
  <c r="X93" i="48" s="1"/>
  <c r="R164" i="34"/>
  <c r="X60" i="48"/>
  <c r="X106" i="48"/>
  <c r="W111" i="48"/>
  <c r="W94" i="48"/>
  <c r="P74" i="34"/>
  <c r="P80" i="34" s="1"/>
  <c r="P116" i="33"/>
  <c r="S27" i="33"/>
  <c r="O82" i="34"/>
  <c r="U105" i="48" l="1"/>
  <c r="U134" i="48"/>
  <c r="U53" i="48"/>
  <c r="P154" i="33"/>
  <c r="S158" i="34"/>
  <c r="Y88" i="48" s="1"/>
  <c r="V47" i="48"/>
  <c r="V52" i="48" s="1"/>
  <c r="R166" i="34"/>
  <c r="X139" i="48"/>
  <c r="X94" i="48" l="1"/>
  <c r="X111" i="48"/>
  <c r="Q21" i="33"/>
  <c r="Q74" i="34" l="1"/>
  <c r="Q80" i="34" s="1"/>
  <c r="Q116" i="33"/>
  <c r="P82" i="34"/>
  <c r="V105" i="48" l="1"/>
  <c r="V134" i="48"/>
  <c r="V53" i="48"/>
  <c r="Q154" i="33"/>
  <c r="W47" i="48"/>
  <c r="W52" i="48" s="1"/>
  <c r="R21" i="33" l="1"/>
  <c r="R74" i="34" l="1"/>
  <c r="R80" i="34" s="1"/>
  <c r="R116" i="33"/>
  <c r="Q82" i="34"/>
  <c r="W105" i="48" l="1"/>
  <c r="W134" i="48"/>
  <c r="W53" i="48"/>
  <c r="R154" i="33"/>
  <c r="X47" i="48"/>
  <c r="X52" i="48" s="1"/>
  <c r="S21" i="33" l="1"/>
  <c r="S74" i="34" l="1"/>
  <c r="R82" i="34"/>
  <c r="X105" i="48" l="1"/>
  <c r="X134" i="48"/>
  <c r="X53" i="48"/>
  <c r="Y47" i="48"/>
  <c r="A1" i="49" l="1"/>
  <c r="H20" i="25" s="1"/>
  <c r="Y120" i="48" l="1"/>
  <c r="C120" i="48"/>
  <c r="E120" i="48"/>
  <c r="G120" i="48"/>
  <c r="I120" i="48"/>
  <c r="K120" i="48"/>
  <c r="M120" i="48"/>
  <c r="P120" i="48"/>
  <c r="T120" i="48"/>
  <c r="V120" i="48"/>
  <c r="X120" i="48"/>
  <c r="Z120" i="48"/>
  <c r="R120" i="48"/>
  <c r="S120" i="48"/>
  <c r="D120" i="48"/>
  <c r="F120" i="48"/>
  <c r="H120" i="48"/>
  <c r="J120" i="48"/>
  <c r="L120" i="48"/>
  <c r="AA120" i="48"/>
  <c r="Q120" i="48"/>
  <c r="U120" i="48"/>
  <c r="W120" i="48"/>
  <c r="N120" i="48"/>
  <c r="E45" i="31"/>
  <c r="A14" i="31" l="1"/>
  <c r="P37" i="33"/>
  <c r="N37" i="33"/>
  <c r="N33" i="34" s="1"/>
  <c r="R56" i="33"/>
  <c r="R67" i="33" s="1"/>
  <c r="R69" i="33" s="1"/>
  <c r="N56" i="33"/>
  <c r="N67" i="33" s="1"/>
  <c r="N69" i="33" s="1"/>
  <c r="K56" i="33"/>
  <c r="K67" i="33" s="1"/>
  <c r="K69" i="33" s="1"/>
  <c r="P56" i="33"/>
  <c r="P67" i="33" s="1"/>
  <c r="P69" i="33" s="1"/>
  <c r="K75" i="33"/>
  <c r="P75" i="33"/>
  <c r="R37" i="33"/>
  <c r="R33" i="34" s="1"/>
  <c r="M56" i="33"/>
  <c r="M67" i="33" s="1"/>
  <c r="M69" i="33" s="1"/>
  <c r="L56" i="33"/>
  <c r="L34" i="34" s="1"/>
  <c r="O75" i="33"/>
  <c r="N75" i="33"/>
  <c r="M94" i="33"/>
  <c r="M105" i="33" s="1"/>
  <c r="M107" i="33" s="1"/>
  <c r="V132" i="33"/>
  <c r="V143" i="33" s="1"/>
  <c r="V145" i="33" s="1"/>
  <c r="N94" i="33"/>
  <c r="N36" i="34" s="1"/>
  <c r="R94" i="33"/>
  <c r="R36" i="34" s="1"/>
  <c r="Y75" i="33"/>
  <c r="AB132" i="33"/>
  <c r="AB143" i="33" s="1"/>
  <c r="AB145" i="33" s="1"/>
  <c r="R132" i="33"/>
  <c r="R143" i="33" s="1"/>
  <c r="R145" i="33" s="1"/>
  <c r="Q94" i="33"/>
  <c r="Q36" i="34" s="1"/>
  <c r="L132" i="33"/>
  <c r="L143" i="33" s="1"/>
  <c r="L145" i="33" s="1"/>
  <c r="AB56" i="33"/>
  <c r="AB67" i="33" s="1"/>
  <c r="AB69" i="33" s="1"/>
  <c r="O94" i="33"/>
  <c r="O105" i="33" s="1"/>
  <c r="O107" i="33" s="1"/>
  <c r="Z94" i="33"/>
  <c r="Z105" i="33" s="1"/>
  <c r="Z107" i="33" s="1"/>
  <c r="L94" i="33"/>
  <c r="L36" i="34" s="1"/>
  <c r="T94" i="33"/>
  <c r="L37" i="33"/>
  <c r="L33" i="34" s="1"/>
  <c r="M75" i="33"/>
  <c r="S94" i="33"/>
  <c r="S36" i="34" s="1"/>
  <c r="Q75" i="33"/>
  <c r="Q35" i="34" s="1"/>
  <c r="M132" i="33"/>
  <c r="M143" i="33" s="1"/>
  <c r="M145" i="33" s="1"/>
  <c r="P94" i="33"/>
  <c r="P36" i="34" s="1"/>
  <c r="Q132" i="33"/>
  <c r="Q143" i="33" s="1"/>
  <c r="Q145" i="33" s="1"/>
  <c r="S132" i="33"/>
  <c r="S143" i="33" s="1"/>
  <c r="S145" i="33" s="1"/>
  <c r="X132" i="33"/>
  <c r="X143" i="33" s="1"/>
  <c r="X145" i="33" s="1"/>
  <c r="Z75" i="33"/>
  <c r="AA132" i="33"/>
  <c r="AA143" i="33" s="1"/>
  <c r="AA145" i="33" s="1"/>
  <c r="K37" i="33"/>
  <c r="K48" i="33" s="1"/>
  <c r="K50" i="33" s="1"/>
  <c r="Y132" i="33"/>
  <c r="Y143" i="33" s="1"/>
  <c r="Y145" i="33" s="1"/>
  <c r="N132" i="33"/>
  <c r="N143" i="33" s="1"/>
  <c r="N145" i="33" s="1"/>
  <c r="U94" i="33"/>
  <c r="U36" i="34" s="1"/>
  <c r="O37" i="33"/>
  <c r="O33" i="34" s="1"/>
  <c r="L75" i="33"/>
  <c r="K94" i="33"/>
  <c r="K36" i="34" s="1"/>
  <c r="O132" i="33"/>
  <c r="O143" i="33" s="1"/>
  <c r="O145" i="33" s="1"/>
  <c r="P132" i="33"/>
  <c r="P143" i="33" s="1"/>
  <c r="P145" i="33" s="1"/>
  <c r="Y56" i="33"/>
  <c r="Y34" i="34" s="1"/>
  <c r="Y18" i="34" s="1"/>
  <c r="O56" i="33"/>
  <c r="O67" i="33" s="1"/>
  <c r="O69" i="33" s="1"/>
  <c r="X75" i="33"/>
  <c r="X56" i="33"/>
  <c r="M37" i="33"/>
  <c r="M33" i="34" s="1"/>
  <c r="Q37" i="33"/>
  <c r="S37" i="33"/>
  <c r="S33" i="34" s="1"/>
  <c r="K132" i="33"/>
  <c r="K143" i="33" s="1"/>
  <c r="K145" i="33" s="1"/>
  <c r="Y94" i="33"/>
  <c r="Y105" i="33" s="1"/>
  <c r="Y107" i="33" s="1"/>
  <c r="AB94" i="33"/>
  <c r="AB105" i="33" s="1"/>
  <c r="AB107" i="33" s="1"/>
  <c r="J132" i="33"/>
  <c r="J143" i="33" s="1"/>
  <c r="J145" i="33" s="1"/>
  <c r="AA94" i="33"/>
  <c r="AA36" i="34" s="1"/>
  <c r="AA20" i="34" s="1"/>
  <c r="R75" i="33"/>
  <c r="R35" i="34" s="1"/>
  <c r="AB75" i="33"/>
  <c r="U132" i="33"/>
  <c r="U143" i="33" s="1"/>
  <c r="U145" i="33" s="1"/>
  <c r="J37" i="33"/>
  <c r="J33" i="34" s="1"/>
  <c r="J75" i="33"/>
  <c r="Q56" i="33"/>
  <c r="Q34" i="34" s="1"/>
  <c r="Z56" i="33"/>
  <c r="Z67" i="33" s="1"/>
  <c r="Z69" i="33" s="1"/>
  <c r="T132" i="33"/>
  <c r="T143" i="33" s="1"/>
  <c r="T145" i="33" s="1"/>
  <c r="Z132" i="33"/>
  <c r="Z143" i="33" s="1"/>
  <c r="Z145" i="33" s="1"/>
  <c r="X94" i="33"/>
  <c r="J94" i="33"/>
  <c r="J36" i="34" s="1"/>
  <c r="A12" i="31"/>
  <c r="AA56" i="33"/>
  <c r="AA67" i="33" s="1"/>
  <c r="AA69" i="33" s="1"/>
  <c r="AA75" i="33"/>
  <c r="J56" i="33"/>
  <c r="J34" i="34" s="1"/>
  <c r="J18" i="33"/>
  <c r="M35" i="34" l="1"/>
  <c r="S29" i="48" s="1"/>
  <c r="L35" i="34"/>
  <c r="L19" i="34" s="1"/>
  <c r="R16" i="48" s="1"/>
  <c r="AB35" i="34"/>
  <c r="AB19" i="34" s="1"/>
  <c r="N35" i="34"/>
  <c r="N19" i="34" s="1"/>
  <c r="T16" i="48" s="1"/>
  <c r="O35" i="34"/>
  <c r="O19" i="34" s="1"/>
  <c r="U16" i="48" s="1"/>
  <c r="J35" i="34"/>
  <c r="P29" i="48" s="1"/>
  <c r="K86" i="33"/>
  <c r="K88" i="33" s="1"/>
  <c r="K35" i="34"/>
  <c r="Q29" i="48" s="1"/>
  <c r="P86" i="33"/>
  <c r="P88" i="33" s="1"/>
  <c r="P35" i="34"/>
  <c r="Z86" i="33"/>
  <c r="Z88" i="33" s="1"/>
  <c r="Z35" i="34"/>
  <c r="Z19" i="34" s="1"/>
  <c r="X35" i="34"/>
  <c r="X19" i="34" s="1"/>
  <c r="Y35" i="34"/>
  <c r="Y19" i="34" s="1"/>
  <c r="AA86" i="33"/>
  <c r="AA88" i="33" s="1"/>
  <c r="AA35" i="34"/>
  <c r="AA19" i="34" s="1"/>
  <c r="J105" i="33"/>
  <c r="J107" i="33" s="1"/>
  <c r="Q86" i="33"/>
  <c r="Q88" i="33" s="1"/>
  <c r="L105" i="33"/>
  <c r="L107" i="33" s="1"/>
  <c r="R86" i="33"/>
  <c r="R88" i="33" s="1"/>
  <c r="Z34" i="34"/>
  <c r="Z18" i="34" s="1"/>
  <c r="Q105" i="33"/>
  <c r="Q107" i="33" s="1"/>
  <c r="M86" i="33"/>
  <c r="M88" i="33" s="1"/>
  <c r="J86" i="33"/>
  <c r="J88" i="33" s="1"/>
  <c r="L86" i="33"/>
  <c r="L88" i="33" s="1"/>
  <c r="AB36" i="34"/>
  <c r="AB20" i="34" s="1"/>
  <c r="R48" i="33"/>
  <c r="R50" i="33" s="1"/>
  <c r="J67" i="33"/>
  <c r="J69" i="33" s="1"/>
  <c r="J48" i="33"/>
  <c r="J50" i="33" s="1"/>
  <c r="O34" i="34"/>
  <c r="J113" i="33"/>
  <c r="J151" i="33" s="1"/>
  <c r="Y36" i="34"/>
  <c r="Y20" i="34" s="1"/>
  <c r="AA34" i="34"/>
  <c r="AA18" i="34" s="1"/>
  <c r="X86" i="33"/>
  <c r="X88" i="33" s="1"/>
  <c r="AA105" i="33"/>
  <c r="AA107" i="33" s="1"/>
  <c r="Y67" i="33"/>
  <c r="Y69" i="33" s="1"/>
  <c r="L48" i="33"/>
  <c r="L50" i="33" s="1"/>
  <c r="AB34" i="34"/>
  <c r="AB18" i="34" s="1"/>
  <c r="Y86" i="33"/>
  <c r="Y88" i="33" s="1"/>
  <c r="AB86" i="33"/>
  <c r="AB88" i="33" s="1"/>
  <c r="X67" i="33"/>
  <c r="X69" i="33" s="1"/>
  <c r="X34" i="34"/>
  <c r="X18" i="34" s="1"/>
  <c r="J32" i="34"/>
  <c r="J29" i="33"/>
  <c r="J31" i="33" s="1"/>
  <c r="S48" i="33"/>
  <c r="S50" i="33" s="1"/>
  <c r="X36" i="34"/>
  <c r="X20" i="34" s="1"/>
  <c r="X105" i="33"/>
  <c r="X107" i="33" s="1"/>
  <c r="J20" i="34"/>
  <c r="P17" i="48" s="1"/>
  <c r="P30" i="48"/>
  <c r="S17" i="34"/>
  <c r="Y14" i="48" s="1"/>
  <c r="Y27" i="48"/>
  <c r="Q18" i="34"/>
  <c r="W15" i="48" s="1"/>
  <c r="W28" i="48"/>
  <c r="Q67" i="33"/>
  <c r="Q69" i="33" s="1"/>
  <c r="J17" i="34"/>
  <c r="P14" i="48" s="1"/>
  <c r="P27" i="48"/>
  <c r="X29" i="48"/>
  <c r="R19" i="34"/>
  <c r="X16" i="48" s="1"/>
  <c r="Q33" i="34"/>
  <c r="Q48" i="33"/>
  <c r="Q50" i="33" s="1"/>
  <c r="O48" i="33"/>
  <c r="O50" i="33" s="1"/>
  <c r="U20" i="34"/>
  <c r="AA17" i="48" s="1"/>
  <c r="AA30" i="48"/>
  <c r="S20" i="34"/>
  <c r="Y17" i="48" s="1"/>
  <c r="Y30" i="48"/>
  <c r="L20" i="34"/>
  <c r="R17" i="48" s="1"/>
  <c r="R30" i="48"/>
  <c r="Q20" i="34"/>
  <c r="W17" i="48" s="1"/>
  <c r="W30" i="48"/>
  <c r="N20" i="34"/>
  <c r="T17" i="48" s="1"/>
  <c r="T30" i="48"/>
  <c r="U29" i="48"/>
  <c r="M48" i="33"/>
  <c r="M50" i="33" s="1"/>
  <c r="K105" i="33"/>
  <c r="K107" i="33" s="1"/>
  <c r="R29" i="48"/>
  <c r="K33" i="34"/>
  <c r="P105" i="33"/>
  <c r="P107" i="33" s="1"/>
  <c r="Q19" i="34"/>
  <c r="W16" i="48" s="1"/>
  <c r="W29" i="48"/>
  <c r="L17" i="34"/>
  <c r="R14" i="48" s="1"/>
  <c r="R27" i="48"/>
  <c r="R20" i="34"/>
  <c r="X17" i="48" s="1"/>
  <c r="X30" i="48"/>
  <c r="U27" i="48"/>
  <c r="O17" i="34"/>
  <c r="U14" i="48" s="1"/>
  <c r="P28" i="48"/>
  <c r="J18" i="34"/>
  <c r="P15" i="48" s="1"/>
  <c r="S27" i="48"/>
  <c r="M17" i="34"/>
  <c r="S14" i="48" s="1"/>
  <c r="Q30" i="48"/>
  <c r="K20" i="34"/>
  <c r="Q17" i="48" s="1"/>
  <c r="U105" i="33"/>
  <c r="U107" i="33" s="1"/>
  <c r="V30" i="48"/>
  <c r="P20" i="34"/>
  <c r="V17" i="48" s="1"/>
  <c r="S105" i="33"/>
  <c r="S107" i="33" s="1"/>
  <c r="T36" i="34"/>
  <c r="T105" i="33"/>
  <c r="T107" i="33" s="1"/>
  <c r="O86" i="33"/>
  <c r="O88" i="33" s="1"/>
  <c r="Z36" i="34"/>
  <c r="Z20" i="34" s="1"/>
  <c r="O36" i="34"/>
  <c r="R105" i="33"/>
  <c r="R107" i="33" s="1"/>
  <c r="N105" i="33"/>
  <c r="N107" i="33" s="1"/>
  <c r="M36" i="34"/>
  <c r="N86" i="33"/>
  <c r="N88" i="33" s="1"/>
  <c r="X27" i="48"/>
  <c r="R17" i="34"/>
  <c r="X14" i="48" s="1"/>
  <c r="T27" i="48"/>
  <c r="N17" i="34"/>
  <c r="T14" i="48" s="1"/>
  <c r="L67" i="33"/>
  <c r="L69" i="33" s="1"/>
  <c r="M34" i="34"/>
  <c r="R28" i="48"/>
  <c r="L18" i="34"/>
  <c r="R15" i="48" s="1"/>
  <c r="K34" i="34"/>
  <c r="P34" i="34"/>
  <c r="N34" i="34"/>
  <c r="R34" i="34"/>
  <c r="N48" i="33"/>
  <c r="N50" i="33" s="1"/>
  <c r="P48" i="33"/>
  <c r="P50" i="33" s="1"/>
  <c r="P33" i="34"/>
  <c r="T29" i="48" l="1"/>
  <c r="M19" i="34"/>
  <c r="S16" i="48" s="1"/>
  <c r="J19" i="34"/>
  <c r="P16" i="48" s="1"/>
  <c r="J38" i="34"/>
  <c r="J124" i="33"/>
  <c r="J126" i="33" s="1"/>
  <c r="K19" i="34"/>
  <c r="Q16" i="48" s="1"/>
  <c r="U28" i="48"/>
  <c r="O18" i="34"/>
  <c r="U15" i="48" s="1"/>
  <c r="P19" i="34"/>
  <c r="V16" i="48" s="1"/>
  <c r="V29" i="48"/>
  <c r="P18" i="34"/>
  <c r="V15" i="48" s="1"/>
  <c r="V28" i="48"/>
  <c r="K18" i="34"/>
  <c r="Q15" i="48" s="1"/>
  <c r="Q28" i="48"/>
  <c r="Q17" i="34"/>
  <c r="W14" i="48" s="1"/>
  <c r="W27" i="48"/>
  <c r="S28" i="48"/>
  <c r="M18" i="34"/>
  <c r="S15" i="48" s="1"/>
  <c r="K17" i="34"/>
  <c r="Q14" i="48" s="1"/>
  <c r="Q27" i="48"/>
  <c r="P17" i="34"/>
  <c r="V14" i="48" s="1"/>
  <c r="V27" i="48"/>
  <c r="X28" i="48"/>
  <c r="R18" i="34"/>
  <c r="X15" i="48" s="1"/>
  <c r="T28" i="48"/>
  <c r="N18" i="34"/>
  <c r="T15" i="48" s="1"/>
  <c r="S30" i="48"/>
  <c r="M20" i="34"/>
  <c r="S17" i="48" s="1"/>
  <c r="U30" i="48"/>
  <c r="O20" i="34"/>
  <c r="U17" i="48" s="1"/>
  <c r="Z30" i="48"/>
  <c r="T20" i="34"/>
  <c r="Z17" i="48" s="1"/>
  <c r="J162" i="33"/>
  <c r="J164" i="33" s="1"/>
  <c r="K18" i="33"/>
  <c r="P26" i="48"/>
  <c r="P31" i="48" s="1"/>
  <c r="J16" i="34"/>
  <c r="P13" i="48" s="1"/>
  <c r="K29" i="33" l="1"/>
  <c r="K31" i="33" s="1"/>
  <c r="K32" i="34"/>
  <c r="K38" i="34" s="1"/>
  <c r="K113" i="33"/>
  <c r="J40" i="34"/>
  <c r="J22" i="34"/>
  <c r="K124" i="33" l="1"/>
  <c r="K126" i="33" s="1"/>
  <c r="K151" i="33"/>
  <c r="Q26" i="48"/>
  <c r="Q31" i="48" s="1"/>
  <c r="K16" i="34"/>
  <c r="Q13" i="48" s="1"/>
  <c r="P18" i="48"/>
  <c r="P19" i="48" s="1"/>
  <c r="J24" i="34"/>
  <c r="P102" i="48"/>
  <c r="P32" i="48"/>
  <c r="P131" i="48"/>
  <c r="K162" i="33" l="1"/>
  <c r="K164" i="33" s="1"/>
  <c r="L18" i="33"/>
  <c r="L32" i="34" l="1"/>
  <c r="L38" i="34" s="1"/>
  <c r="L29" i="33"/>
  <c r="L31" i="33" s="1"/>
  <c r="L113" i="33"/>
  <c r="K40" i="34"/>
  <c r="K22" i="34"/>
  <c r="L124" i="33" l="1"/>
  <c r="L126" i="33" s="1"/>
  <c r="L151" i="33"/>
  <c r="R26" i="48"/>
  <c r="R31" i="48" s="1"/>
  <c r="L16" i="34"/>
  <c r="R13" i="48" s="1"/>
  <c r="Q18" i="48"/>
  <c r="Q19" i="48" s="1"/>
  <c r="K24" i="34"/>
  <c r="Q131" i="48"/>
  <c r="Q102" i="48"/>
  <c r="Q32" i="48"/>
  <c r="L162" i="33" l="1"/>
  <c r="L164" i="33" s="1"/>
  <c r="M18" i="33"/>
  <c r="L40" i="34" l="1"/>
  <c r="L22" i="34"/>
  <c r="M32" i="34"/>
  <c r="M38" i="34" s="1"/>
  <c r="M29" i="33"/>
  <c r="M31" i="33" s="1"/>
  <c r="M113" i="33"/>
  <c r="R18" i="48" l="1"/>
  <c r="R19" i="48" s="1"/>
  <c r="L24" i="34"/>
  <c r="S26" i="48"/>
  <c r="S31" i="48" s="1"/>
  <c r="M16" i="34"/>
  <c r="S13" i="48" s="1"/>
  <c r="R32" i="48"/>
  <c r="R102" i="48"/>
  <c r="R131" i="48"/>
  <c r="M124" i="33"/>
  <c r="M126" i="33" s="1"/>
  <c r="M151" i="33"/>
  <c r="M162" i="33" l="1"/>
  <c r="M164" i="33" s="1"/>
  <c r="N18" i="33"/>
  <c r="M40" i="34" l="1"/>
  <c r="M22" i="34"/>
  <c r="N32" i="34"/>
  <c r="N38" i="34" s="1"/>
  <c r="N29" i="33"/>
  <c r="N31" i="33" s="1"/>
  <c r="N113" i="33"/>
  <c r="M24" i="34" l="1"/>
  <c r="S18" i="48"/>
  <c r="S19" i="48" s="1"/>
  <c r="T26" i="48"/>
  <c r="T31" i="48" s="1"/>
  <c r="N16" i="34"/>
  <c r="T13" i="48" s="1"/>
  <c r="N124" i="33"/>
  <c r="N126" i="33" s="1"/>
  <c r="N151" i="33"/>
  <c r="S102" i="48"/>
  <c r="S32" i="48"/>
  <c r="S131" i="48"/>
  <c r="N162" i="33" l="1"/>
  <c r="N164" i="33" s="1"/>
  <c r="O18" i="33"/>
  <c r="N40" i="34" l="1"/>
  <c r="N22" i="34"/>
  <c r="O32" i="34"/>
  <c r="O38" i="34" s="1"/>
  <c r="O29" i="33"/>
  <c r="O31" i="33" s="1"/>
  <c r="O113" i="33"/>
  <c r="O124" i="33" l="1"/>
  <c r="O126" i="33" s="1"/>
  <c r="O151" i="33"/>
  <c r="O16" i="34"/>
  <c r="U13" i="48" s="1"/>
  <c r="U26" i="48"/>
  <c r="U31" i="48" s="1"/>
  <c r="N24" i="34"/>
  <c r="T18" i="48"/>
  <c r="T19" i="48" s="1"/>
  <c r="T102" i="48"/>
  <c r="T131" i="48"/>
  <c r="T32" i="48"/>
  <c r="O162" i="33" l="1"/>
  <c r="O164" i="33" s="1"/>
  <c r="P18" i="33"/>
  <c r="O40" i="34" l="1"/>
  <c r="O22" i="34"/>
  <c r="P32" i="34"/>
  <c r="P38" i="34" s="1"/>
  <c r="P113" i="33"/>
  <c r="P29" i="33"/>
  <c r="P31" i="33" s="1"/>
  <c r="V26" i="48" l="1"/>
  <c r="V31" i="48" s="1"/>
  <c r="P16" i="34"/>
  <c r="V13" i="48" s="1"/>
  <c r="O24" i="34"/>
  <c r="U18" i="48"/>
  <c r="U19" i="48" s="1"/>
  <c r="U102" i="48"/>
  <c r="U32" i="48"/>
  <c r="U131" i="48"/>
  <c r="P124" i="33"/>
  <c r="P126" i="33" s="1"/>
  <c r="P151" i="33"/>
  <c r="P162" i="33" l="1"/>
  <c r="P164" i="33" s="1"/>
  <c r="Q18" i="33"/>
  <c r="P40" i="34" l="1"/>
  <c r="P22" i="34"/>
  <c r="Q29" i="33"/>
  <c r="Q31" i="33" s="1"/>
  <c r="Q32" i="34"/>
  <c r="Q38" i="34" s="1"/>
  <c r="Q113" i="33"/>
  <c r="P24" i="34" l="1"/>
  <c r="V18" i="48"/>
  <c r="V19" i="48" s="1"/>
  <c r="V102" i="48"/>
  <c r="V32" i="48"/>
  <c r="V131" i="48"/>
  <c r="W26" i="48"/>
  <c r="W31" i="48" s="1"/>
  <c r="Q16" i="34"/>
  <c r="W13" i="48" s="1"/>
  <c r="Q124" i="33"/>
  <c r="Q126" i="33" s="1"/>
  <c r="Q151" i="33"/>
  <c r="Q162" i="33" l="1"/>
  <c r="Q164" i="33" s="1"/>
  <c r="R18" i="33"/>
  <c r="R29" i="33" l="1"/>
  <c r="R31" i="33" s="1"/>
  <c r="R32" i="34"/>
  <c r="R38" i="34" s="1"/>
  <c r="R113" i="33"/>
  <c r="Q40" i="34"/>
  <c r="Q22" i="34"/>
  <c r="W102" i="48" l="1"/>
  <c r="W32" i="48"/>
  <c r="W131" i="48"/>
  <c r="W18" i="48"/>
  <c r="W19" i="48" s="1"/>
  <c r="Q24" i="34"/>
  <c r="R124" i="33"/>
  <c r="R126" i="33" s="1"/>
  <c r="R151" i="33"/>
  <c r="R16" i="34"/>
  <c r="X13" i="48" s="1"/>
  <c r="X26" i="48"/>
  <c r="X31" i="48" s="1"/>
  <c r="R162" i="33" l="1"/>
  <c r="R164" i="33" s="1"/>
  <c r="S18" i="33"/>
  <c r="R40" i="34" l="1"/>
  <c r="R22" i="34"/>
  <c r="S29" i="33"/>
  <c r="S31" i="33" s="1"/>
  <c r="S32" i="34"/>
  <c r="Y26" i="48" l="1"/>
  <c r="S16" i="34"/>
  <c r="Y13" i="48" s="1"/>
  <c r="X102" i="48"/>
  <c r="X131" i="48"/>
  <c r="X32" i="48"/>
  <c r="X18" i="48"/>
  <c r="X19" i="48" s="1"/>
  <c r="R24" i="34"/>
  <c r="S114" i="37" l="1"/>
  <c r="S151" i="37" s="1"/>
  <c r="T20" i="37" s="1"/>
  <c r="T38" i="37" s="1"/>
  <c r="Z30" i="50" l="1"/>
  <c r="AA31" i="50"/>
  <c r="Z28" i="50"/>
  <c r="Z29" i="50"/>
  <c r="V169" i="37"/>
  <c r="V233" i="32"/>
  <c r="V60" i="32" l="1"/>
  <c r="V58" i="32"/>
  <c r="V59" i="32"/>
  <c r="V43" i="37"/>
  <c r="V119" i="37" s="1"/>
  <c r="V156" i="37" s="1"/>
  <c r="W25" i="37" s="1"/>
  <c r="V42" i="37"/>
  <c r="V118" i="37" s="1"/>
  <c r="V155" i="37" s="1"/>
  <c r="W24" i="37" s="1"/>
  <c r="V44" i="37"/>
  <c r="V120" i="37" s="1"/>
  <c r="V157" i="37" s="1"/>
  <c r="W26" i="37" s="1"/>
  <c r="AA30" i="50"/>
  <c r="AB30" i="50" s="1"/>
  <c r="AC30" i="50" s="1"/>
  <c r="AD30" i="50" s="1"/>
  <c r="AE30" i="50" s="1"/>
  <c r="AF30" i="50" s="1"/>
  <c r="AA29" i="50"/>
  <c r="V172" i="37"/>
  <c r="V236" i="32"/>
  <c r="AA28" i="50"/>
  <c r="V235" i="32"/>
  <c r="V171" i="37"/>
  <c r="Z34" i="50"/>
  <c r="V60" i="47"/>
  <c r="V164" i="47" s="1"/>
  <c r="V216" i="47" s="1"/>
  <c r="W34" i="47" s="1"/>
  <c r="V168" i="32"/>
  <c r="V221" i="32" s="1"/>
  <c r="W34" i="32" s="1"/>
  <c r="AB31" i="50"/>
  <c r="W174" i="37"/>
  <c r="W238" i="32"/>
  <c r="W233" i="32"/>
  <c r="W169" i="37"/>
  <c r="W189" i="32" l="1"/>
  <c r="W181" i="32"/>
  <c r="W131" i="32"/>
  <c r="W126" i="32"/>
  <c r="W99" i="32" s="1"/>
  <c r="W188" i="32"/>
  <c r="W180" i="32"/>
  <c r="W134" i="32"/>
  <c r="W107" i="32" s="1"/>
  <c r="W187" i="32"/>
  <c r="W179" i="32"/>
  <c r="W137" i="32"/>
  <c r="W110" i="32" s="1"/>
  <c r="W129" i="32"/>
  <c r="W102" i="32" s="1"/>
  <c r="W186" i="32"/>
  <c r="W178" i="32"/>
  <c r="W132" i="32"/>
  <c r="W105" i="32" s="1"/>
  <c r="W185" i="32"/>
  <c r="W135" i="32"/>
  <c r="W108" i="32" s="1"/>
  <c r="W127" i="32"/>
  <c r="W100" i="32" s="1"/>
  <c r="W190" i="32"/>
  <c r="W104" i="32"/>
  <c r="W128" i="32"/>
  <c r="W101" i="32" s="1"/>
  <c r="W194" i="32"/>
  <c r="W184" i="32"/>
  <c r="W138" i="32"/>
  <c r="W111" i="32" s="1"/>
  <c r="W130" i="32"/>
  <c r="W103" i="32" s="1"/>
  <c r="W136" i="32"/>
  <c r="W191" i="32"/>
  <c r="W183" i="32"/>
  <c r="W109" i="32"/>
  <c r="W133" i="32"/>
  <c r="W106" i="32" s="1"/>
  <c r="W125" i="32"/>
  <c r="W98" i="32" s="1"/>
  <c r="W182" i="32"/>
  <c r="V58" i="47"/>
  <c r="V162" i="47" s="1"/>
  <c r="V214" i="47" s="1"/>
  <c r="W32" i="47" s="1"/>
  <c r="V166" i="32"/>
  <c r="V219" i="32" s="1"/>
  <c r="W32" i="32" s="1"/>
  <c r="V167" i="32"/>
  <c r="V220" i="32" s="1"/>
  <c r="W33" i="32" s="1"/>
  <c r="W59" i="32" s="1"/>
  <c r="V59" i="47"/>
  <c r="V163" i="47" s="1"/>
  <c r="V215" i="47" s="1"/>
  <c r="W33" i="47" s="1"/>
  <c r="W79" i="37"/>
  <c r="W74" i="37"/>
  <c r="W135" i="37"/>
  <c r="W77" i="37"/>
  <c r="W134" i="37"/>
  <c r="W133" i="37"/>
  <c r="W75" i="37"/>
  <c r="W76" i="37"/>
  <c r="W132" i="37"/>
  <c r="W78" i="37"/>
  <c r="W131" i="37"/>
  <c r="W130" i="37"/>
  <c r="W44" i="37"/>
  <c r="W120" i="37" s="1"/>
  <c r="W157" i="37" s="1"/>
  <c r="X26" i="37" s="1"/>
  <c r="X44" i="37" s="1"/>
  <c r="X120" i="37" s="1"/>
  <c r="X157" i="37" s="1"/>
  <c r="Y26" i="37" s="1"/>
  <c r="Y44" i="37" s="1"/>
  <c r="Y120" i="37" s="1"/>
  <c r="Y157" i="37" s="1"/>
  <c r="Z26" i="37" s="1"/>
  <c r="AB28" i="50"/>
  <c r="W235" i="32"/>
  <c r="W171" i="37"/>
  <c r="AA34" i="50"/>
  <c r="AC31" i="50"/>
  <c r="X238" i="32"/>
  <c r="X174" i="37"/>
  <c r="W42" i="37"/>
  <c r="W118" i="37" s="1"/>
  <c r="W155" i="37" s="1"/>
  <c r="X24" i="37" s="1"/>
  <c r="W60" i="32"/>
  <c r="W60" i="47" s="1"/>
  <c r="W164" i="47" s="1"/>
  <c r="AB29" i="50"/>
  <c r="W172" i="37"/>
  <c r="W236" i="32"/>
  <c r="W43" i="37"/>
  <c r="W119" i="37" s="1"/>
  <c r="W156" i="37" s="1"/>
  <c r="X25" i="37" s="1"/>
  <c r="S115" i="37"/>
  <c r="S152" i="37" s="1"/>
  <c r="T21" i="37" s="1"/>
  <c r="T39" i="37" s="1"/>
  <c r="S113" i="37"/>
  <c r="S150" i="37" s="1"/>
  <c r="T19" i="37" s="1"/>
  <c r="T37" i="37" s="1"/>
  <c r="S116" i="37"/>
  <c r="S153" i="37" s="1"/>
  <c r="T22" i="37" s="1"/>
  <c r="T40" i="37" s="1"/>
  <c r="S117" i="37"/>
  <c r="S154" i="37" s="1"/>
  <c r="T23" i="37" s="1"/>
  <c r="T41" i="37" s="1"/>
  <c r="W167" i="32" l="1"/>
  <c r="W220" i="32" s="1"/>
  <c r="X33" i="32" s="1"/>
  <c r="X59" i="32" s="1"/>
  <c r="W59" i="47"/>
  <c r="W163" i="47" s="1"/>
  <c r="W215" i="47" s="1"/>
  <c r="X33" i="47" s="1"/>
  <c r="W58" i="32"/>
  <c r="W58" i="47" s="1"/>
  <c r="W166" i="32"/>
  <c r="W219" i="32" s="1"/>
  <c r="X32" i="32" s="1"/>
  <c r="X58" i="32" s="1"/>
  <c r="W162" i="47"/>
  <c r="W214" i="47" s="1"/>
  <c r="X32" i="47" s="1"/>
  <c r="S65" i="37"/>
  <c r="S67" i="37" s="1"/>
  <c r="T115" i="37"/>
  <c r="T152" i="37" s="1"/>
  <c r="U21" i="37" s="1"/>
  <c r="X42" i="37"/>
  <c r="X118" i="37" s="1"/>
  <c r="X155" i="37" s="1"/>
  <c r="Y24" i="37" s="1"/>
  <c r="AD31" i="50"/>
  <c r="Y238" i="32"/>
  <c r="Y174" i="37"/>
  <c r="X43" i="37"/>
  <c r="X119" i="37" s="1"/>
  <c r="X156" i="37" s="1"/>
  <c r="Y25" i="37" s="1"/>
  <c r="AC29" i="50"/>
  <c r="X172" i="37"/>
  <c r="X236" i="32"/>
  <c r="Z44" i="37"/>
  <c r="Z120" i="37" s="1"/>
  <c r="Z157" i="37" s="1"/>
  <c r="AA26" i="37" s="1"/>
  <c r="T113" i="37"/>
  <c r="T150" i="37" s="1"/>
  <c r="U19" i="37" s="1"/>
  <c r="W168" i="32"/>
  <c r="T117" i="37"/>
  <c r="T154" i="37" s="1"/>
  <c r="U23" i="37" s="1"/>
  <c r="T116" i="37"/>
  <c r="T153" i="37" s="1"/>
  <c r="U22" i="37" s="1"/>
  <c r="U40" i="37" s="1"/>
  <c r="T114" i="37"/>
  <c r="T151" i="37" s="1"/>
  <c r="U20" i="37" s="1"/>
  <c r="U38" i="37" s="1"/>
  <c r="AC28" i="50"/>
  <c r="X235" i="32"/>
  <c r="X171" i="37"/>
  <c r="AB34" i="50"/>
  <c r="T72" i="47"/>
  <c r="X166" i="32" l="1"/>
  <c r="X219" i="32" s="1"/>
  <c r="Y32" i="32" s="1"/>
  <c r="X58" i="47"/>
  <c r="X162" i="47"/>
  <c r="X214" i="47" s="1"/>
  <c r="Y32" i="47" s="1"/>
  <c r="X167" i="32"/>
  <c r="X220" i="32" s="1"/>
  <c r="Y33" i="32" s="1"/>
  <c r="X59" i="47"/>
  <c r="X163" i="47" s="1"/>
  <c r="X215" i="47" s="1"/>
  <c r="Y33" i="47" s="1"/>
  <c r="T65" i="37"/>
  <c r="T67" i="37" s="1"/>
  <c r="Y42" i="37"/>
  <c r="Y118" i="37" s="1"/>
  <c r="Y155" i="37" s="1"/>
  <c r="Z24" i="37" s="1"/>
  <c r="U41" i="37"/>
  <c r="AA44" i="37"/>
  <c r="AA120" i="37" s="1"/>
  <c r="AA157" i="37" s="1"/>
  <c r="AB26" i="37" s="1"/>
  <c r="U116" i="37"/>
  <c r="U153" i="37" s="1"/>
  <c r="G62" i="31" s="1"/>
  <c r="T80" i="47"/>
  <c r="T76" i="47"/>
  <c r="T83" i="47"/>
  <c r="T78" i="47"/>
  <c r="V132" i="47"/>
  <c r="V134" i="47"/>
  <c r="AD29" i="50"/>
  <c r="Y236" i="32"/>
  <c r="Y172" i="37"/>
  <c r="T81" i="47"/>
  <c r="T79" i="47"/>
  <c r="V122" i="47"/>
  <c r="V143" i="32"/>
  <c r="V100" i="33"/>
  <c r="V120" i="34" s="1"/>
  <c r="V101" i="33"/>
  <c r="V134" i="34" s="1"/>
  <c r="V102" i="33"/>
  <c r="V148" i="34" s="1"/>
  <c r="V99" i="33"/>
  <c r="V106" i="34" s="1"/>
  <c r="V96" i="33"/>
  <c r="V64" i="34" s="1"/>
  <c r="V95" i="33"/>
  <c r="V50" i="34" s="1"/>
  <c r="V97" i="33"/>
  <c r="V78" i="34" s="1"/>
  <c r="V98" i="33"/>
  <c r="V92" i="34" s="1"/>
  <c r="V103" i="33"/>
  <c r="V162" i="34" s="1"/>
  <c r="V94" i="33"/>
  <c r="V128" i="47"/>
  <c r="V135" i="47"/>
  <c r="Y43" i="37"/>
  <c r="Y119" i="37" s="1"/>
  <c r="Y156" i="37" s="1"/>
  <c r="Z25" i="37" s="1"/>
  <c r="U114" i="37"/>
  <c r="U151" i="37" s="1"/>
  <c r="G60" i="31" s="1"/>
  <c r="S80" i="47"/>
  <c r="AD28" i="50"/>
  <c r="Y171" i="37"/>
  <c r="Y235" i="32"/>
  <c r="AC34" i="50"/>
  <c r="V124" i="47"/>
  <c r="V130" i="47"/>
  <c r="V129" i="47"/>
  <c r="U39" i="37"/>
  <c r="U115" i="37" s="1"/>
  <c r="U152" i="37" s="1"/>
  <c r="G61" i="31" s="1"/>
  <c r="S72" i="47"/>
  <c r="T82" i="47"/>
  <c r="T77" i="47"/>
  <c r="V133" i="47"/>
  <c r="V131" i="47"/>
  <c r="U37" i="37"/>
  <c r="U113" i="37" s="1"/>
  <c r="U150" i="37" s="1"/>
  <c r="G59" i="31" s="1"/>
  <c r="AE31" i="50"/>
  <c r="Z174" i="37"/>
  <c r="Z238" i="32"/>
  <c r="V146" i="32" l="1"/>
  <c r="Y59" i="32"/>
  <c r="Y59" i="47" s="1"/>
  <c r="Y163" i="47" s="1"/>
  <c r="Y215" i="47" s="1"/>
  <c r="Z33" i="47" s="1"/>
  <c r="Y167" i="32"/>
  <c r="Y220" i="32" s="1"/>
  <c r="Z33" i="32" s="1"/>
  <c r="Y58" i="32"/>
  <c r="Y58" i="47" s="1"/>
  <c r="Y162" i="47" s="1"/>
  <c r="Y214" i="47" s="1"/>
  <c r="Z32" i="47" s="1"/>
  <c r="Y166" i="32"/>
  <c r="Y219" i="32" s="1"/>
  <c r="Z32" i="32" s="1"/>
  <c r="U117" i="37"/>
  <c r="U154" i="37" s="1"/>
  <c r="G63" i="31" s="1"/>
  <c r="V20" i="37"/>
  <c r="V38" i="37" s="1"/>
  <c r="AB44" i="37"/>
  <c r="AB120" i="37" s="1"/>
  <c r="AB157" i="37" s="1"/>
  <c r="V19" i="37"/>
  <c r="V37" i="37" s="1"/>
  <c r="Z43" i="37"/>
  <c r="Z119" i="37" s="1"/>
  <c r="Z156" i="37" s="1"/>
  <c r="AA25" i="37" s="1"/>
  <c r="V22" i="37"/>
  <c r="V40" i="37" s="1"/>
  <c r="Z42" i="37"/>
  <c r="Z118" i="37" s="1"/>
  <c r="Z155" i="37" s="1"/>
  <c r="AA24" i="37" s="1"/>
  <c r="U79" i="47"/>
  <c r="U80" i="47"/>
  <c r="U77" i="47"/>
  <c r="AF31" i="50"/>
  <c r="AA174" i="37"/>
  <c r="AA238" i="32"/>
  <c r="AE28" i="50"/>
  <c r="Z171" i="37"/>
  <c r="Z235" i="32"/>
  <c r="AD34" i="50"/>
  <c r="V145" i="32"/>
  <c r="S83" i="47"/>
  <c r="S76" i="47"/>
  <c r="S81" i="47"/>
  <c r="U72" i="47"/>
  <c r="U82" i="47"/>
  <c r="U81" i="47"/>
  <c r="T70" i="47"/>
  <c r="T89" i="32"/>
  <c r="T62" i="33"/>
  <c r="T118" i="34" s="1"/>
  <c r="T64" i="33"/>
  <c r="T146" i="34" s="1"/>
  <c r="Z83" i="48" s="1"/>
  <c r="T63" i="33"/>
  <c r="T132" i="34" s="1"/>
  <c r="Z76" i="48" s="1"/>
  <c r="T61" i="33"/>
  <c r="T104" i="34" s="1"/>
  <c r="Z63" i="48" s="1"/>
  <c r="T58" i="33"/>
  <c r="T62" i="34" s="1"/>
  <c r="Z42" i="48" s="1"/>
  <c r="T57" i="33"/>
  <c r="T48" i="34" s="1"/>
  <c r="Z35" i="48" s="1"/>
  <c r="T59" i="33"/>
  <c r="T76" i="34" s="1"/>
  <c r="Z49" i="48" s="1"/>
  <c r="T60" i="33"/>
  <c r="T90" i="34" s="1"/>
  <c r="Z56" i="48" s="1"/>
  <c r="T65" i="33"/>
  <c r="T160" i="34" s="1"/>
  <c r="Z90" i="48" s="1"/>
  <c r="T56" i="33"/>
  <c r="S78" i="47"/>
  <c r="S156" i="47" s="1"/>
  <c r="S208" i="47" s="1"/>
  <c r="T26" i="47" s="1"/>
  <c r="S160" i="32"/>
  <c r="S213" i="32" s="1"/>
  <c r="T26" i="32" s="1"/>
  <c r="S77" i="47"/>
  <c r="U65" i="37"/>
  <c r="U67" i="37" s="1"/>
  <c r="W129" i="47"/>
  <c r="W131" i="47"/>
  <c r="W134" i="47"/>
  <c r="W122" i="47"/>
  <c r="W143" i="32"/>
  <c r="W100" i="33"/>
  <c r="W120" i="34" s="1"/>
  <c r="W101" i="33"/>
  <c r="W134" i="34" s="1"/>
  <c r="W102" i="33"/>
  <c r="W148" i="34" s="1"/>
  <c r="W99" i="33"/>
  <c r="W106" i="34" s="1"/>
  <c r="W96" i="33"/>
  <c r="W64" i="34" s="1"/>
  <c r="W95" i="33"/>
  <c r="W50" i="34" s="1"/>
  <c r="W98" i="33"/>
  <c r="W92" i="34" s="1"/>
  <c r="W97" i="33"/>
  <c r="W78" i="34" s="1"/>
  <c r="W103" i="33"/>
  <c r="W162" i="34" s="1"/>
  <c r="W94" i="33"/>
  <c r="W130" i="47"/>
  <c r="V65" i="37"/>
  <c r="V67" i="37" s="1"/>
  <c r="U78" i="47"/>
  <c r="V21" i="37"/>
  <c r="V39" i="37" s="1"/>
  <c r="V36" i="34"/>
  <c r="V20" i="34" s="1"/>
  <c r="V105" i="33"/>
  <c r="V107" i="33" s="1"/>
  <c r="S82" i="47"/>
  <c r="S70" i="47"/>
  <c r="S89" i="32"/>
  <c r="S62" i="33"/>
  <c r="S63" i="33"/>
  <c r="S64" i="33"/>
  <c r="S61" i="33"/>
  <c r="S58" i="33"/>
  <c r="S57" i="33"/>
  <c r="S60" i="33"/>
  <c r="S59" i="33"/>
  <c r="S65" i="33"/>
  <c r="S56" i="33"/>
  <c r="U76" i="47"/>
  <c r="U83" i="47"/>
  <c r="S79" i="47"/>
  <c r="S157" i="47" s="1"/>
  <c r="S209" i="47" s="1"/>
  <c r="T27" i="47" s="1"/>
  <c r="S161" i="32"/>
  <c r="S214" i="32" s="1"/>
  <c r="T27" i="32" s="1"/>
  <c r="AE29" i="50"/>
  <c r="Z236" i="32"/>
  <c r="Z172" i="37"/>
  <c r="W128" i="47"/>
  <c r="W132" i="47"/>
  <c r="W124" i="47"/>
  <c r="W133" i="47"/>
  <c r="W135" i="47"/>
  <c r="W77" i="47"/>
  <c r="S68" i="37" l="1"/>
  <c r="S92" i="32"/>
  <c r="Z58" i="32"/>
  <c r="Z58" i="47" s="1"/>
  <c r="Z162" i="47" s="1"/>
  <c r="Z214" i="47" s="1"/>
  <c r="AA32" i="47" s="1"/>
  <c r="Z166" i="32"/>
  <c r="Z219" i="32" s="1"/>
  <c r="AA32" i="32" s="1"/>
  <c r="W146" i="32"/>
  <c r="A146" i="32" s="1"/>
  <c r="Z59" i="32"/>
  <c r="Z59" i="47" s="1"/>
  <c r="Z163" i="47" s="1"/>
  <c r="Z215" i="47" s="1"/>
  <c r="AA33" i="47" s="1"/>
  <c r="V23" i="37"/>
  <c r="V41" i="37" s="1"/>
  <c r="T68" i="37"/>
  <c r="T92" i="32"/>
  <c r="T91" i="32"/>
  <c r="S91" i="32"/>
  <c r="AA43" i="37"/>
  <c r="AA119" i="37" s="1"/>
  <c r="AA156" i="37" s="1"/>
  <c r="AB25" i="37" s="1"/>
  <c r="AA42" i="37"/>
  <c r="AA118" i="37" s="1"/>
  <c r="AA155" i="37" s="1"/>
  <c r="AB24" i="37" s="1"/>
  <c r="V82" i="47"/>
  <c r="V78" i="47"/>
  <c r="T53" i="32"/>
  <c r="T53" i="47" s="1"/>
  <c r="T157" i="47" s="1"/>
  <c r="T209" i="47" s="1"/>
  <c r="U27" i="47" s="1"/>
  <c r="S67" i="33"/>
  <c r="S69" i="33" s="1"/>
  <c r="S34" i="34"/>
  <c r="S48" i="34"/>
  <c r="S146" i="34"/>
  <c r="T52" i="32"/>
  <c r="T52" i="47" s="1"/>
  <c r="T156" i="47" s="1"/>
  <c r="T208" i="47" s="1"/>
  <c r="U26" i="47" s="1"/>
  <c r="T67" i="33"/>
  <c r="T69" i="33" s="1"/>
  <c r="T34" i="34"/>
  <c r="V76" i="47"/>
  <c r="V80" i="47"/>
  <c r="V81" i="47"/>
  <c r="AF29" i="50"/>
  <c r="AA172" i="37"/>
  <c r="AA236" i="32"/>
  <c r="S160" i="34"/>
  <c r="Y90" i="48" s="1"/>
  <c r="S62" i="34"/>
  <c r="S132" i="34"/>
  <c r="U70" i="47"/>
  <c r="U89" i="32"/>
  <c r="U62" i="33"/>
  <c r="U118" i="34" s="1"/>
  <c r="U64" i="33"/>
  <c r="U146" i="34" s="1"/>
  <c r="AA83" i="48" s="1"/>
  <c r="U63" i="33"/>
  <c r="U132" i="34" s="1"/>
  <c r="AA76" i="48" s="1"/>
  <c r="U61" i="33"/>
  <c r="U104" i="34" s="1"/>
  <c r="AA63" i="48" s="1"/>
  <c r="U58" i="33"/>
  <c r="U62" i="34" s="1"/>
  <c r="AA42" i="48" s="1"/>
  <c r="U57" i="33"/>
  <c r="U48" i="34" s="1"/>
  <c r="AA35" i="48" s="1"/>
  <c r="U60" i="33"/>
  <c r="U90" i="34" s="1"/>
  <c r="AA56" i="48" s="1"/>
  <c r="U59" i="33"/>
  <c r="U76" i="34" s="1"/>
  <c r="AA49" i="48" s="1"/>
  <c r="U65" i="33"/>
  <c r="U160" i="34" s="1"/>
  <c r="AA90" i="48" s="1"/>
  <c r="U56" i="33"/>
  <c r="W145" i="32"/>
  <c r="A145" i="32" s="1"/>
  <c r="V72" i="47"/>
  <c r="W72" i="47"/>
  <c r="V83" i="47"/>
  <c r="V77" i="47"/>
  <c r="S76" i="34"/>
  <c r="S104" i="34"/>
  <c r="S118" i="34"/>
  <c r="V79" i="47"/>
  <c r="S90" i="34"/>
  <c r="W36" i="34"/>
  <c r="W20" i="34" s="1"/>
  <c r="W105" i="33"/>
  <c r="W107" i="33" s="1"/>
  <c r="A107" i="33" s="1"/>
  <c r="AF28" i="50"/>
  <c r="AA235" i="32"/>
  <c r="AA171" i="37"/>
  <c r="AE34" i="50"/>
  <c r="AB174" i="37"/>
  <c r="AB238" i="32"/>
  <c r="Z167" i="32" l="1"/>
  <c r="Z220" i="32" s="1"/>
  <c r="AA33" i="32" s="1"/>
  <c r="U68" i="37"/>
  <c r="U92" i="32"/>
  <c r="AA58" i="32"/>
  <c r="AA58" i="47" s="1"/>
  <c r="AA162" i="47" s="1"/>
  <c r="AA214" i="47" s="1"/>
  <c r="AB32" i="47" s="1"/>
  <c r="AA166" i="32"/>
  <c r="AA219" i="32" s="1"/>
  <c r="AB32" i="32" s="1"/>
  <c r="Y63" i="48"/>
  <c r="Y83" i="48"/>
  <c r="Y76" i="48"/>
  <c r="Y49" i="48"/>
  <c r="Y42" i="48"/>
  <c r="Y35" i="48"/>
  <c r="Y56" i="48"/>
  <c r="U91" i="32"/>
  <c r="T161" i="32"/>
  <c r="T214" i="32" s="1"/>
  <c r="U27" i="32" s="1"/>
  <c r="U53" i="32" s="1"/>
  <c r="U53" i="47" s="1"/>
  <c r="U157" i="47" s="1"/>
  <c r="U209" i="47" s="1"/>
  <c r="V27" i="47" s="1"/>
  <c r="T160" i="32"/>
  <c r="T213" i="32" s="1"/>
  <c r="U26" i="32" s="1"/>
  <c r="U52" i="32" s="1"/>
  <c r="U52" i="47" s="1"/>
  <c r="U156" i="47" s="1"/>
  <c r="U208" i="47" s="1"/>
  <c r="V26" i="47" s="1"/>
  <c r="AB42" i="37"/>
  <c r="AB118" i="37" s="1"/>
  <c r="AB155" i="37" s="1"/>
  <c r="AB43" i="37"/>
  <c r="AB119" i="37" s="1"/>
  <c r="AB156" i="37" s="1"/>
  <c r="W79" i="47"/>
  <c r="W78" i="47"/>
  <c r="AB171" i="37"/>
  <c r="AB235" i="32"/>
  <c r="AF34" i="50"/>
  <c r="A34" i="50" s="1"/>
  <c r="A1" i="50" s="1"/>
  <c r="H16" i="25" s="1"/>
  <c r="AB236" i="32"/>
  <c r="AB172" i="37"/>
  <c r="W80" i="47"/>
  <c r="Z28" i="48"/>
  <c r="T18" i="34"/>
  <c r="Z15" i="48" s="1"/>
  <c r="W65" i="37"/>
  <c r="W67" i="37" s="1"/>
  <c r="A67" i="37" s="1"/>
  <c r="Y28" i="48"/>
  <c r="S18" i="34"/>
  <c r="Y15" i="48" s="1"/>
  <c r="W83" i="47"/>
  <c r="U67" i="33"/>
  <c r="U69" i="33" s="1"/>
  <c r="U34" i="34"/>
  <c r="V70" i="47"/>
  <c r="V89" i="32"/>
  <c r="V62" i="33"/>
  <c r="V118" i="34" s="1"/>
  <c r="V64" i="33"/>
  <c r="V146" i="34" s="1"/>
  <c r="V63" i="33"/>
  <c r="V132" i="34" s="1"/>
  <c r="V61" i="33"/>
  <c r="V104" i="34" s="1"/>
  <c r="V58" i="33"/>
  <c r="V62" i="34" s="1"/>
  <c r="V57" i="33"/>
  <c r="V48" i="34" s="1"/>
  <c r="V60" i="33"/>
  <c r="V90" i="34" s="1"/>
  <c r="V59" i="33"/>
  <c r="V76" i="34" s="1"/>
  <c r="V65" i="33"/>
  <c r="V160" i="34" s="1"/>
  <c r="V56" i="33"/>
  <c r="W82" i="47"/>
  <c r="W76" i="47"/>
  <c r="W81" i="47"/>
  <c r="AB58" i="32" l="1"/>
  <c r="AB58" i="47" s="1"/>
  <c r="AB166" i="32"/>
  <c r="AB219" i="32" s="1"/>
  <c r="AB162" i="47"/>
  <c r="AB214" i="47" s="1"/>
  <c r="V92" i="32"/>
  <c r="V68" i="37"/>
  <c r="AA59" i="32"/>
  <c r="AA59" i="47" s="1"/>
  <c r="AA163" i="47" s="1"/>
  <c r="AA215" i="47" s="1"/>
  <c r="AB33" i="47" s="1"/>
  <c r="AA167" i="32"/>
  <c r="AA220" i="32" s="1"/>
  <c r="AB33" i="32" s="1"/>
  <c r="V91" i="32"/>
  <c r="U160" i="32"/>
  <c r="U213" i="32" s="1"/>
  <c r="V26" i="32" s="1"/>
  <c r="V52" i="32" s="1"/>
  <c r="V52" i="47" s="1"/>
  <c r="U161" i="32"/>
  <c r="U214" i="32" s="1"/>
  <c r="V27" i="32" s="1"/>
  <c r="V53" i="32" s="1"/>
  <c r="V53" i="47" s="1"/>
  <c r="W70" i="47"/>
  <c r="W89" i="32"/>
  <c r="W62" i="33"/>
  <c r="W118" i="34" s="1"/>
  <c r="W63" i="33"/>
  <c r="W132" i="34" s="1"/>
  <c r="W64" i="33"/>
  <c r="W146" i="34" s="1"/>
  <c r="W61" i="33"/>
  <c r="W104" i="34" s="1"/>
  <c r="W58" i="33"/>
  <c r="W62" i="34" s="1"/>
  <c r="W57" i="33"/>
  <c r="W48" i="34" s="1"/>
  <c r="W60" i="33"/>
  <c r="W90" i="34" s="1"/>
  <c r="W59" i="33"/>
  <c r="W76" i="34" s="1"/>
  <c r="W65" i="33"/>
  <c r="W160" i="34" s="1"/>
  <c r="W56" i="33"/>
  <c r="V67" i="33"/>
  <c r="V69" i="33" s="1"/>
  <c r="V34" i="34"/>
  <c r="V18" i="34" s="1"/>
  <c r="U18" i="34"/>
  <c r="AA15" i="48" s="1"/>
  <c r="AA28" i="48"/>
  <c r="AB59" i="32" l="1"/>
  <c r="AB59" i="47" s="1"/>
  <c r="AB167" i="32"/>
  <c r="AB220" i="32" s="1"/>
  <c r="AB163" i="47"/>
  <c r="AB215" i="47" s="1"/>
  <c r="W92" i="32"/>
  <c r="W68" i="37"/>
  <c r="A68" i="37" s="1"/>
  <c r="W91" i="32"/>
  <c r="A91" i="32" s="1"/>
  <c r="A92" i="32"/>
  <c r="W67" i="33"/>
  <c r="W69" i="33" s="1"/>
  <c r="A69" i="33" s="1"/>
  <c r="W34" i="34"/>
  <c r="W18" i="34" s="1"/>
  <c r="V116" i="37" l="1"/>
  <c r="V153" i="37" s="1"/>
  <c r="W22" i="37" s="1"/>
  <c r="W40" i="37" s="1"/>
  <c r="V113" i="37"/>
  <c r="V150" i="37" s="1"/>
  <c r="W19" i="37" s="1"/>
  <c r="W37" i="37" s="1"/>
  <c r="V114" i="37"/>
  <c r="V151" i="37" s="1"/>
  <c r="W20" i="37" s="1"/>
  <c r="W38" i="37" s="1"/>
  <c r="V117" i="37" l="1"/>
  <c r="V154" i="37" s="1"/>
  <c r="W23" i="37" s="1"/>
  <c r="W41" i="37" s="1"/>
  <c r="W114" i="37" l="1"/>
  <c r="W116" i="37"/>
  <c r="W117" i="37"/>
  <c r="W113" i="37" l="1"/>
  <c r="V115" i="37" l="1"/>
  <c r="V152" i="37" s="1"/>
  <c r="W21" i="37" s="1"/>
  <c r="W39" i="37" s="1"/>
  <c r="V84" i="37"/>
  <c r="V86" i="37" s="1"/>
  <c r="W84" i="37" l="1"/>
  <c r="W86" i="37" s="1"/>
  <c r="W115" i="37"/>
  <c r="V102" i="47" l="1"/>
  <c r="V108" i="47" l="1"/>
  <c r="V109" i="47"/>
  <c r="V103" i="47"/>
  <c r="V106" i="47"/>
  <c r="V107" i="47"/>
  <c r="V98" i="47" l="1"/>
  <c r="V104" i="47"/>
  <c r="V156" i="47" s="1"/>
  <c r="V208" i="47" s="1"/>
  <c r="W26" i="47" s="1"/>
  <c r="V160" i="32"/>
  <c r="V213" i="32" s="1"/>
  <c r="W26" i="32" s="1"/>
  <c r="W109" i="47"/>
  <c r="W102" i="47"/>
  <c r="W106" i="47"/>
  <c r="W107" i="47"/>
  <c r="W105" i="47"/>
  <c r="V105" i="47"/>
  <c r="V157" i="47" s="1"/>
  <c r="V209" i="47" s="1"/>
  <c r="W27" i="47" s="1"/>
  <c r="V161" i="32"/>
  <c r="V214" i="32" s="1"/>
  <c r="W27" i="32" s="1"/>
  <c r="W103" i="47" l="1"/>
  <c r="W53" i="32"/>
  <c r="W53" i="47" s="1"/>
  <c r="W157" i="47" s="1"/>
  <c r="W98" i="47"/>
  <c r="W104" i="47"/>
  <c r="W108" i="47"/>
  <c r="W52" i="32"/>
  <c r="W52" i="47" s="1"/>
  <c r="W160" i="32" l="1"/>
  <c r="W156" i="47"/>
  <c r="W161" i="32"/>
  <c r="V96" i="47" l="1"/>
  <c r="V116" i="32"/>
  <c r="V81" i="33"/>
  <c r="V119" i="34" s="1"/>
  <c r="V83" i="33"/>
  <c r="V147" i="34" s="1"/>
  <c r="V82" i="33"/>
  <c r="V133" i="34" s="1"/>
  <c r="V80" i="33"/>
  <c r="V105" i="34" s="1"/>
  <c r="V77" i="33"/>
  <c r="V63" i="34" s="1"/>
  <c r="V76" i="33"/>
  <c r="V49" i="34" s="1"/>
  <c r="V78" i="33"/>
  <c r="V77" i="34" s="1"/>
  <c r="V79" i="33"/>
  <c r="V91" i="34" s="1"/>
  <c r="V84" i="33"/>
  <c r="V161" i="34" s="1"/>
  <c r="V75" i="33"/>
  <c r="V35" i="34" s="1"/>
  <c r="V87" i="37" l="1"/>
  <c r="V119" i="32"/>
  <c r="W96" i="47"/>
  <c r="W116" i="32"/>
  <c r="W81" i="33"/>
  <c r="W82" i="33"/>
  <c r="W83" i="33"/>
  <c r="W80" i="33"/>
  <c r="W77" i="33"/>
  <c r="W76" i="33"/>
  <c r="W79" i="33"/>
  <c r="W78" i="33"/>
  <c r="W84" i="33"/>
  <c r="W75" i="33"/>
  <c r="V118" i="32"/>
  <c r="V86" i="33"/>
  <c r="V88" i="33" s="1"/>
  <c r="V19" i="34"/>
  <c r="W87" i="37" l="1"/>
  <c r="W119" i="32"/>
  <c r="W118" i="32"/>
  <c r="W86" i="33"/>
  <c r="W88" i="33" s="1"/>
  <c r="U103" i="47" l="1"/>
  <c r="U102" i="47"/>
  <c r="S96" i="47"/>
  <c r="S152" i="32"/>
  <c r="U107" i="47"/>
  <c r="U106" i="47"/>
  <c r="U96" i="47"/>
  <c r="U108" i="47"/>
  <c r="U109" i="47"/>
  <c r="U98" i="47"/>
  <c r="U84" i="37"/>
  <c r="U86" i="37" s="1"/>
  <c r="S80" i="33" l="1"/>
  <c r="S116" i="32"/>
  <c r="U79" i="33"/>
  <c r="S78" i="33"/>
  <c r="U83" i="33"/>
  <c r="U81" i="33"/>
  <c r="T98" i="47"/>
  <c r="T102" i="47"/>
  <c r="T106" i="47"/>
  <c r="T103" i="47"/>
  <c r="S33" i="43"/>
  <c r="S153" i="32"/>
  <c r="S206" i="32" s="1"/>
  <c r="T19" i="32" s="1"/>
  <c r="T45" i="32" s="1"/>
  <c r="S102" i="47"/>
  <c r="S154" i="47" s="1"/>
  <c r="S206" i="47" s="1"/>
  <c r="T24" i="47" s="1"/>
  <c r="S158" i="32"/>
  <c r="S211" i="32" s="1"/>
  <c r="T24" i="32" s="1"/>
  <c r="S108" i="47"/>
  <c r="S160" i="47" s="1"/>
  <c r="S212" i="47" s="1"/>
  <c r="T30" i="47" s="1"/>
  <c r="S164" i="32"/>
  <c r="S217" i="32" s="1"/>
  <c r="T30" i="32" s="1"/>
  <c r="T108" i="47"/>
  <c r="S34" i="43"/>
  <c r="S155" i="32"/>
  <c r="S208" i="32" s="1"/>
  <c r="T21" i="32" s="1"/>
  <c r="T47" i="32" s="1"/>
  <c r="U34" i="43"/>
  <c r="S84" i="37"/>
  <c r="S86" i="37" s="1"/>
  <c r="S112" i="37"/>
  <c r="S106" i="47"/>
  <c r="S158" i="47" s="1"/>
  <c r="S210" i="47" s="1"/>
  <c r="T28" i="47" s="1"/>
  <c r="S162" i="32"/>
  <c r="S215" i="32" s="1"/>
  <c r="T28" i="32" s="1"/>
  <c r="U75" i="33"/>
  <c r="U35" i="34" s="1"/>
  <c r="U76" i="33"/>
  <c r="U82" i="33"/>
  <c r="S36" i="43"/>
  <c r="S157" i="32"/>
  <c r="S210" i="32" s="1"/>
  <c r="T23" i="32" s="1"/>
  <c r="T49" i="32" s="1"/>
  <c r="S98" i="47"/>
  <c r="S150" i="47" s="1"/>
  <c r="S202" i="47" s="1"/>
  <c r="T20" i="47" s="1"/>
  <c r="S154" i="32"/>
  <c r="S207" i="32" s="1"/>
  <c r="T20" i="32" s="1"/>
  <c r="S107" i="47"/>
  <c r="S159" i="47" s="1"/>
  <c r="S211" i="47" s="1"/>
  <c r="T29" i="47" s="1"/>
  <c r="S163" i="32"/>
  <c r="S216" i="32" s="1"/>
  <c r="T29" i="32" s="1"/>
  <c r="S103" i="47"/>
  <c r="S155" i="47" s="1"/>
  <c r="S207" i="47" s="1"/>
  <c r="T25" i="47" s="1"/>
  <c r="S159" i="32"/>
  <c r="S212" i="32" s="1"/>
  <c r="T25" i="32" s="1"/>
  <c r="S205" i="32"/>
  <c r="S79" i="33"/>
  <c r="S91" i="34" s="1"/>
  <c r="S94" i="34" s="1"/>
  <c r="S83" i="33"/>
  <c r="S147" i="34" s="1"/>
  <c r="S150" i="34" s="1"/>
  <c r="S148" i="47"/>
  <c r="T84" i="37"/>
  <c r="T86" i="37" s="1"/>
  <c r="T96" i="47"/>
  <c r="T109" i="47"/>
  <c r="U84" i="33"/>
  <c r="U77" i="33"/>
  <c r="S75" i="33"/>
  <c r="S35" i="34" s="1"/>
  <c r="S38" i="34" s="1"/>
  <c r="S76" i="33"/>
  <c r="S49" i="34" s="1"/>
  <c r="S52" i="34" s="1"/>
  <c r="S82" i="33"/>
  <c r="S133" i="34" s="1"/>
  <c r="S136" i="34" s="1"/>
  <c r="U36" i="43"/>
  <c r="U35" i="43"/>
  <c r="S109" i="47"/>
  <c r="S161" i="47" s="1"/>
  <c r="S213" i="47" s="1"/>
  <c r="T31" i="47" s="1"/>
  <c r="S165" i="32"/>
  <c r="S218" i="32" s="1"/>
  <c r="T31" i="32" s="1"/>
  <c r="U78" i="33"/>
  <c r="U80" i="33"/>
  <c r="U116" i="32"/>
  <c r="U33" i="43"/>
  <c r="S35" i="43"/>
  <c r="S156" i="32"/>
  <c r="S209" i="32" s="1"/>
  <c r="T22" i="32" s="1"/>
  <c r="T48" i="32" s="1"/>
  <c r="S84" i="33"/>
  <c r="S161" i="34" s="1"/>
  <c r="S164" i="34" s="1"/>
  <c r="S77" i="33"/>
  <c r="S63" i="34" s="1"/>
  <c r="S66" i="34" s="1"/>
  <c r="S81" i="33"/>
  <c r="S119" i="34" s="1"/>
  <c r="S87" i="37" l="1"/>
  <c r="S119" i="32"/>
  <c r="U87" i="37"/>
  <c r="U119" i="32"/>
  <c r="Y70" i="48"/>
  <c r="S122" i="34"/>
  <c r="U118" i="32"/>
  <c r="S118" i="32"/>
  <c r="U161" i="34"/>
  <c r="AA91" i="48" s="1"/>
  <c r="U119" i="34"/>
  <c r="AA70" i="48" s="1"/>
  <c r="U63" i="34"/>
  <c r="AA43" i="48" s="1"/>
  <c r="U133" i="34"/>
  <c r="AA77" i="48" s="1"/>
  <c r="U147" i="34"/>
  <c r="U77" i="34"/>
  <c r="U49" i="34"/>
  <c r="AA36" i="48" s="1"/>
  <c r="S77" i="34"/>
  <c r="U91" i="34"/>
  <c r="AA57" i="48" s="1"/>
  <c r="U105" i="34"/>
  <c r="AA64" i="48" s="1"/>
  <c r="S118" i="33"/>
  <c r="S156" i="33" s="1"/>
  <c r="T23" i="33" s="1"/>
  <c r="S105" i="34"/>
  <c r="S116" i="33"/>
  <c r="S154" i="33" s="1"/>
  <c r="T21" i="33" s="1"/>
  <c r="Y72" i="48"/>
  <c r="S119" i="33"/>
  <c r="S157" i="33" s="1"/>
  <c r="S86" i="33"/>
  <c r="S88" i="33" s="1"/>
  <c r="S113" i="33"/>
  <c r="S227" i="32"/>
  <c r="T18" i="32"/>
  <c r="S223" i="32"/>
  <c r="S226" i="32" s="1"/>
  <c r="U86" i="33"/>
  <c r="U88" i="33" s="1"/>
  <c r="A86" i="37"/>
  <c r="T50" i="32"/>
  <c r="T50" i="47" s="1"/>
  <c r="T154" i="47" s="1"/>
  <c r="T206" i="47" s="1"/>
  <c r="U24" i="47" s="1"/>
  <c r="T35" i="43"/>
  <c r="Y43" i="48"/>
  <c r="Y45" i="48" s="1"/>
  <c r="S115" i="33"/>
  <c r="S153" i="33" s="1"/>
  <c r="U38" i="43"/>
  <c r="T57" i="32"/>
  <c r="T57" i="47" s="1"/>
  <c r="T161" i="47" s="1"/>
  <c r="T213" i="47" s="1"/>
  <c r="U31" i="47" s="1"/>
  <c r="T34" i="43"/>
  <c r="S200" i="47"/>
  <c r="Y84" i="48"/>
  <c r="Y86" i="48" s="1"/>
  <c r="S121" i="33"/>
  <c r="S159" i="33" s="1"/>
  <c r="T51" i="32"/>
  <c r="T51" i="47" s="1"/>
  <c r="T155" i="47" s="1"/>
  <c r="T207" i="47" s="1"/>
  <c r="U25" i="47" s="1"/>
  <c r="T46" i="32"/>
  <c r="T46" i="47" s="1"/>
  <c r="T150" i="47" s="1"/>
  <c r="T202" i="47" s="1"/>
  <c r="U20" i="47" s="1"/>
  <c r="T54" i="32"/>
  <c r="T54" i="47" s="1"/>
  <c r="T158" i="47" s="1"/>
  <c r="T210" i="47" s="1"/>
  <c r="U28" i="47" s="1"/>
  <c r="S38" i="43"/>
  <c r="Y91" i="48"/>
  <c r="Y93" i="48" s="1"/>
  <c r="S122" i="33"/>
  <c r="S160" i="33" s="1"/>
  <c r="Y77" i="48"/>
  <c r="Y79" i="48" s="1"/>
  <c r="S120" i="33"/>
  <c r="S158" i="33" s="1"/>
  <c r="Y57" i="48"/>
  <c r="Y59" i="48" s="1"/>
  <c r="S117" i="33"/>
  <c r="S155" i="33" s="1"/>
  <c r="T33" i="43"/>
  <c r="T56" i="32"/>
  <c r="T56" i="47" s="1"/>
  <c r="T160" i="47" s="1"/>
  <c r="T212" i="47" s="1"/>
  <c r="U30" i="47" s="1"/>
  <c r="T153" i="32"/>
  <c r="T206" i="32" s="1"/>
  <c r="U19" i="32" s="1"/>
  <c r="U45" i="32" s="1"/>
  <c r="T156" i="32"/>
  <c r="T209" i="32" s="1"/>
  <c r="U22" i="32" s="1"/>
  <c r="U48" i="32" s="1"/>
  <c r="T36" i="43"/>
  <c r="Y36" i="48"/>
  <c r="Y38" i="48" s="1"/>
  <c r="S114" i="33"/>
  <c r="S152" i="33" s="1"/>
  <c r="S170" i="32"/>
  <c r="S172" i="32" s="1"/>
  <c r="T55" i="32"/>
  <c r="T55" i="47" s="1"/>
  <c r="T157" i="32"/>
  <c r="T210" i="32" s="1"/>
  <c r="U23" i="32" s="1"/>
  <c r="U49" i="32" s="1"/>
  <c r="S149" i="37"/>
  <c r="S122" i="37"/>
  <c r="S124" i="37" s="1"/>
  <c r="T155" i="32"/>
  <c r="T208" i="32" s="1"/>
  <c r="U21" i="32" s="1"/>
  <c r="U47" i="32" s="1"/>
  <c r="Y50" i="48" l="1"/>
  <c r="Y52" i="48" s="1"/>
  <c r="S80" i="34"/>
  <c r="Y64" i="48"/>
  <c r="Y66" i="48" s="1"/>
  <c r="S108" i="34"/>
  <c r="S110" i="34" s="1"/>
  <c r="AA50" i="48"/>
  <c r="AA84" i="48"/>
  <c r="T159" i="32"/>
  <c r="T212" i="32" s="1"/>
  <c r="U25" i="32" s="1"/>
  <c r="U51" i="32" s="1"/>
  <c r="U51" i="47" s="1"/>
  <c r="U155" i="47" s="1"/>
  <c r="U207" i="47" s="1"/>
  <c r="V25" i="47" s="1"/>
  <c r="T158" i="32"/>
  <c r="T211" i="32" s="1"/>
  <c r="U24" i="32" s="1"/>
  <c r="U50" i="32" s="1"/>
  <c r="U50" i="47" s="1"/>
  <c r="U154" i="47" s="1"/>
  <c r="U206" i="47" s="1"/>
  <c r="V24" i="47" s="1"/>
  <c r="T162" i="32"/>
  <c r="T215" i="32" s="1"/>
  <c r="U28" i="32" s="1"/>
  <c r="U54" i="32" s="1"/>
  <c r="U54" i="47" s="1"/>
  <c r="U158" i="47" s="1"/>
  <c r="U210" i="47" s="1"/>
  <c r="V28" i="47" s="1"/>
  <c r="T164" i="32"/>
  <c r="T217" i="32" s="1"/>
  <c r="U30" i="32" s="1"/>
  <c r="U56" i="32" s="1"/>
  <c r="U56" i="47" s="1"/>
  <c r="U160" i="47" s="1"/>
  <c r="U212" i="47" s="1"/>
  <c r="V30" i="47" s="1"/>
  <c r="T154" i="32"/>
  <c r="T207" i="32" s="1"/>
  <c r="U20" i="32" s="1"/>
  <c r="U46" i="32" s="1"/>
  <c r="U46" i="47" s="1"/>
  <c r="U150" i="47" s="1"/>
  <c r="U202" i="47" s="1"/>
  <c r="V20" i="47" s="1"/>
  <c r="T165" i="32"/>
  <c r="T218" i="32" s="1"/>
  <c r="U31" i="32" s="1"/>
  <c r="U57" i="32" s="1"/>
  <c r="U57" i="47" s="1"/>
  <c r="U161" i="47" s="1"/>
  <c r="U213" i="47" s="1"/>
  <c r="V31" i="47" s="1"/>
  <c r="T19" i="33"/>
  <c r="T22" i="33"/>
  <c r="T27" i="33"/>
  <c r="S40" i="43"/>
  <c r="S16" i="43"/>
  <c r="T26" i="33"/>
  <c r="T20" i="33"/>
  <c r="AA29" i="48"/>
  <c r="U19" i="34"/>
  <c r="AA16" i="48" s="1"/>
  <c r="U155" i="32"/>
  <c r="U208" i="32" s="1"/>
  <c r="V21" i="32" s="1"/>
  <c r="V47" i="32" s="1"/>
  <c r="U157" i="32"/>
  <c r="U210" i="32" s="1"/>
  <c r="V23" i="32" s="1"/>
  <c r="V49" i="32" s="1"/>
  <c r="U153" i="32"/>
  <c r="U206" i="32" s="1"/>
  <c r="V19" i="32" s="1"/>
  <c r="V45" i="32" s="1"/>
  <c r="Y29" i="48"/>
  <c r="Y31" i="48" s="1"/>
  <c r="S19" i="34"/>
  <c r="Y16" i="48" s="1"/>
  <c r="U156" i="32"/>
  <c r="U209" i="32" s="1"/>
  <c r="V22" i="32" s="1"/>
  <c r="V48" i="32" s="1"/>
  <c r="T38" i="43"/>
  <c r="I16" i="43" s="1"/>
  <c r="T25" i="33"/>
  <c r="S82" i="34"/>
  <c r="T18" i="47"/>
  <c r="S225" i="32"/>
  <c r="T24" i="33"/>
  <c r="T102" i="34"/>
  <c r="S163" i="37"/>
  <c r="S159" i="37"/>
  <c r="S162" i="37" s="1"/>
  <c r="T18" i="37"/>
  <c r="T74" i="34"/>
  <c r="U40" i="43"/>
  <c r="U16" i="43"/>
  <c r="T44" i="32"/>
  <c r="T152" i="32" s="1"/>
  <c r="T36" i="32"/>
  <c r="T38" i="32" s="1"/>
  <c r="S151" i="33"/>
  <c r="S124" i="33"/>
  <c r="S126" i="33" s="1"/>
  <c r="Z47" i="48" l="1"/>
  <c r="Z61" i="48"/>
  <c r="U154" i="32"/>
  <c r="U207" i="32" s="1"/>
  <c r="V20" i="32" s="1"/>
  <c r="U159" i="32"/>
  <c r="U212" i="32" s="1"/>
  <c r="V25" i="32" s="1"/>
  <c r="U164" i="32"/>
  <c r="U217" i="32" s="1"/>
  <c r="V30" i="32" s="1"/>
  <c r="U165" i="32"/>
  <c r="U218" i="32" s="1"/>
  <c r="V31" i="32" s="1"/>
  <c r="V57" i="32" s="1"/>
  <c r="V57" i="47" s="1"/>
  <c r="V161" i="47" s="1"/>
  <c r="V213" i="47" s="1"/>
  <c r="W31" i="47" s="1"/>
  <c r="V177" i="45"/>
  <c r="V177" i="47" s="1"/>
  <c r="J47" i="45"/>
  <c r="J47" i="47" s="1"/>
  <c r="X177" i="45"/>
  <c r="X177" i="47" s="1"/>
  <c r="K125" i="45"/>
  <c r="K125" i="47" s="1"/>
  <c r="Z125" i="45"/>
  <c r="Z125" i="47" s="1"/>
  <c r="X125" i="45"/>
  <c r="X125" i="47" s="1"/>
  <c r="Z99" i="45"/>
  <c r="Z99" i="47" s="1"/>
  <c r="M99" i="45"/>
  <c r="M99" i="47" s="1"/>
  <c r="J177" i="45"/>
  <c r="J177" i="47" s="1"/>
  <c r="AB125" i="45"/>
  <c r="AB125" i="47" s="1"/>
  <c r="N47" i="45"/>
  <c r="N47" i="47" s="1"/>
  <c r="P73" i="45"/>
  <c r="P73" i="47" s="1"/>
  <c r="N73" i="45"/>
  <c r="N73" i="47" s="1"/>
  <c r="M177" i="45"/>
  <c r="M177" i="47" s="1"/>
  <c r="Q177" i="45"/>
  <c r="Q177" i="47" s="1"/>
  <c r="R179" i="45"/>
  <c r="R179" i="47" s="1"/>
  <c r="J127" i="45"/>
  <c r="J127" i="47" s="1"/>
  <c r="P127" i="45"/>
  <c r="P127" i="47" s="1"/>
  <c r="T179" i="45"/>
  <c r="T179" i="47" s="1"/>
  <c r="N179" i="45"/>
  <c r="N179" i="47" s="1"/>
  <c r="AA127" i="45"/>
  <c r="AA127" i="47" s="1"/>
  <c r="AB127" i="45"/>
  <c r="AB127" i="47" s="1"/>
  <c r="U127" i="45"/>
  <c r="U127" i="47" s="1"/>
  <c r="R75" i="45"/>
  <c r="R75" i="47" s="1"/>
  <c r="AA101" i="45"/>
  <c r="AA101" i="47" s="1"/>
  <c r="M75" i="45"/>
  <c r="M75" i="47" s="1"/>
  <c r="K101" i="45"/>
  <c r="K101" i="47" s="1"/>
  <c r="N49" i="45"/>
  <c r="N49" i="47" s="1"/>
  <c r="Q49" i="45"/>
  <c r="Q49" i="47" s="1"/>
  <c r="N101" i="45"/>
  <c r="N101" i="47" s="1"/>
  <c r="Q101" i="45"/>
  <c r="Q101" i="47" s="1"/>
  <c r="Q179" i="45"/>
  <c r="Q179" i="47" s="1"/>
  <c r="N178" i="45"/>
  <c r="N178" i="47" s="1"/>
  <c r="Q175" i="45"/>
  <c r="T126" i="45"/>
  <c r="T126" i="47" s="1"/>
  <c r="Z100" i="45"/>
  <c r="Z100" i="47" s="1"/>
  <c r="Y97" i="45"/>
  <c r="L74" i="45"/>
  <c r="L74" i="47" s="1"/>
  <c r="N48" i="45"/>
  <c r="N48" i="47" s="1"/>
  <c r="V175" i="45"/>
  <c r="AA100" i="45"/>
  <c r="AA100" i="47" s="1"/>
  <c r="O48" i="45"/>
  <c r="O48" i="47" s="1"/>
  <c r="Q178" i="45"/>
  <c r="Q178" i="47" s="1"/>
  <c r="T175" i="45"/>
  <c r="Z123" i="45"/>
  <c r="J123" i="45"/>
  <c r="AB97" i="45"/>
  <c r="O74" i="45"/>
  <c r="O74" i="47" s="1"/>
  <c r="J71" i="45"/>
  <c r="K45" i="45"/>
  <c r="Y126" i="45"/>
  <c r="Y126" i="47" s="1"/>
  <c r="Z97" i="45"/>
  <c r="K48" i="45"/>
  <c r="K48" i="47" s="1"/>
  <c r="T178" i="45"/>
  <c r="T178" i="47" s="1"/>
  <c r="S175" i="45"/>
  <c r="Y123" i="45"/>
  <c r="AB100" i="45"/>
  <c r="AB100" i="47" s="1"/>
  <c r="AA97" i="45"/>
  <c r="N74" i="45"/>
  <c r="N74" i="47" s="1"/>
  <c r="P48" i="45"/>
  <c r="P48" i="47" s="1"/>
  <c r="J48" i="45"/>
  <c r="J48" i="47" s="1"/>
  <c r="U126" i="45"/>
  <c r="U126" i="47" s="1"/>
  <c r="R97" i="45"/>
  <c r="N177" i="45"/>
  <c r="N177" i="47" s="1"/>
  <c r="L99" i="45"/>
  <c r="L99" i="47" s="1"/>
  <c r="AB177" i="45"/>
  <c r="AB177" i="47" s="1"/>
  <c r="AA177" i="45"/>
  <c r="AA177" i="47" s="1"/>
  <c r="P177" i="45"/>
  <c r="P177" i="47" s="1"/>
  <c r="J125" i="45"/>
  <c r="J125" i="47" s="1"/>
  <c r="AA99" i="45"/>
  <c r="AA99" i="47" s="1"/>
  <c r="J21" i="45"/>
  <c r="J99" i="45"/>
  <c r="J99" i="47" s="1"/>
  <c r="Y99" i="45"/>
  <c r="Y99" i="47" s="1"/>
  <c r="R73" i="45"/>
  <c r="R73" i="47" s="1"/>
  <c r="R125" i="45"/>
  <c r="R125" i="47" s="1"/>
  <c r="U125" i="45"/>
  <c r="U125" i="47" s="1"/>
  <c r="K73" i="45"/>
  <c r="K73" i="47" s="1"/>
  <c r="T125" i="45"/>
  <c r="T125" i="47" s="1"/>
  <c r="P47" i="45"/>
  <c r="P47" i="47" s="1"/>
  <c r="Q73" i="45"/>
  <c r="Q73" i="47" s="1"/>
  <c r="O73" i="45"/>
  <c r="O73" i="47" s="1"/>
  <c r="Q99" i="45"/>
  <c r="Q99" i="47" s="1"/>
  <c r="Z179" i="45"/>
  <c r="Z179" i="47" s="1"/>
  <c r="K179" i="45"/>
  <c r="K179" i="47" s="1"/>
  <c r="X127" i="45"/>
  <c r="X127" i="47" s="1"/>
  <c r="AB179" i="45"/>
  <c r="AB179" i="47" s="1"/>
  <c r="V179" i="45"/>
  <c r="V179" i="47" s="1"/>
  <c r="O179" i="45"/>
  <c r="O179" i="47" s="1"/>
  <c r="P179" i="45"/>
  <c r="P179" i="47" s="1"/>
  <c r="Z127" i="45"/>
  <c r="Z127" i="47" s="1"/>
  <c r="R127" i="45"/>
  <c r="R127" i="47" s="1"/>
  <c r="Y101" i="45"/>
  <c r="Y101" i="47" s="1"/>
  <c r="AB101" i="45"/>
  <c r="AB101" i="47" s="1"/>
  <c r="L49" i="45"/>
  <c r="L49" i="47" s="1"/>
  <c r="N75" i="45"/>
  <c r="N75" i="47" s="1"/>
  <c r="L101" i="45"/>
  <c r="L101" i="47" s="1"/>
  <c r="Q75" i="45"/>
  <c r="Q75" i="47" s="1"/>
  <c r="K49" i="45"/>
  <c r="K49" i="47" s="1"/>
  <c r="M49" i="45"/>
  <c r="M49" i="47" s="1"/>
  <c r="Z178" i="45"/>
  <c r="Z178" i="47" s="1"/>
  <c r="J178" i="45"/>
  <c r="J178" i="47" s="1"/>
  <c r="M175" i="45"/>
  <c r="P126" i="45"/>
  <c r="P126" i="47" s="1"/>
  <c r="S123" i="45"/>
  <c r="R100" i="45"/>
  <c r="R100" i="47" s="1"/>
  <c r="Q97" i="45"/>
  <c r="O71" i="45"/>
  <c r="P45" i="45"/>
  <c r="J175" i="45"/>
  <c r="O100" i="45"/>
  <c r="O100" i="47" s="1"/>
  <c r="J45" i="45"/>
  <c r="M178" i="45"/>
  <c r="M178" i="47" s="1"/>
  <c r="P175" i="45"/>
  <c r="S126" i="45"/>
  <c r="S126" i="47" s="1"/>
  <c r="Y100" i="45"/>
  <c r="Y100" i="47" s="1"/>
  <c r="X97" i="45"/>
  <c r="K74" i="45"/>
  <c r="K74" i="47" s="1"/>
  <c r="Q48" i="45"/>
  <c r="Q48" i="47" s="1"/>
  <c r="S178" i="45"/>
  <c r="S178" i="47" s="1"/>
  <c r="Q126" i="45"/>
  <c r="Q126" i="47" s="1"/>
  <c r="N97" i="45"/>
  <c r="Q45" i="45"/>
  <c r="P178" i="45"/>
  <c r="P178" i="47" s="1"/>
  <c r="O175" i="45"/>
  <c r="R126" i="45"/>
  <c r="R126" i="47" s="1"/>
  <c r="U123" i="45"/>
  <c r="X100" i="45"/>
  <c r="X100" i="47" s="1"/>
  <c r="O97" i="45"/>
  <c r="J74" i="45"/>
  <c r="J74" i="47" s="1"/>
  <c r="L48" i="45"/>
  <c r="L48" i="47" s="1"/>
  <c r="AA178" i="45"/>
  <c r="AA178" i="47" s="1"/>
  <c r="AB123" i="45"/>
  <c r="M74" i="45"/>
  <c r="M74" i="47" s="1"/>
  <c r="S48" i="45"/>
  <c r="S48" i="47" s="1"/>
  <c r="AB99" i="45"/>
  <c r="AB99" i="47" s="1"/>
  <c r="R99" i="45"/>
  <c r="R99" i="47" s="1"/>
  <c r="S125" i="45"/>
  <c r="S125" i="47" s="1"/>
  <c r="U177" i="45"/>
  <c r="U177" i="47" s="1"/>
  <c r="R177" i="45"/>
  <c r="R177" i="47" s="1"/>
  <c r="Y177" i="45"/>
  <c r="Y177" i="47" s="1"/>
  <c r="Q47" i="45"/>
  <c r="Q47" i="47" s="1"/>
  <c r="P125" i="45"/>
  <c r="P125" i="47" s="1"/>
  <c r="P99" i="45"/>
  <c r="P99" i="47" s="1"/>
  <c r="O127" i="45"/>
  <c r="O127" i="47" s="1"/>
  <c r="U179" i="45"/>
  <c r="U179" i="47" s="1"/>
  <c r="K127" i="45"/>
  <c r="K127" i="47" s="1"/>
  <c r="X179" i="45"/>
  <c r="X179" i="47" s="1"/>
  <c r="R101" i="45"/>
  <c r="R101" i="47" s="1"/>
  <c r="J23" i="45"/>
  <c r="J49" i="45"/>
  <c r="J49" i="47" s="1"/>
  <c r="M101" i="45"/>
  <c r="M101" i="47" s="1"/>
  <c r="K75" i="45"/>
  <c r="K75" i="47" s="1"/>
  <c r="Y175" i="45"/>
  <c r="L126" i="45"/>
  <c r="L126" i="47" s="1"/>
  <c r="N100" i="45"/>
  <c r="N100" i="47" s="1"/>
  <c r="K71" i="45"/>
  <c r="M126" i="45"/>
  <c r="M126" i="47" s="1"/>
  <c r="Y178" i="45"/>
  <c r="Y178" i="47" s="1"/>
  <c r="L175" i="45"/>
  <c r="R123" i="45"/>
  <c r="P97" i="45"/>
  <c r="M48" i="45"/>
  <c r="M48" i="47" s="1"/>
  <c r="X123" i="45"/>
  <c r="AB178" i="45"/>
  <c r="AB178" i="47" s="1"/>
  <c r="K175" i="45"/>
  <c r="Q123" i="45"/>
  <c r="K97" i="45"/>
  <c r="R45" i="45"/>
  <c r="P123" i="45"/>
  <c r="O49" i="45"/>
  <c r="O49" i="47" s="1"/>
  <c r="U175" i="45"/>
  <c r="J100" i="45"/>
  <c r="J100" i="47" s="1"/>
  <c r="T123" i="45"/>
  <c r="U178" i="45"/>
  <c r="U178" i="47" s="1"/>
  <c r="N123" i="45"/>
  <c r="L97" i="45"/>
  <c r="L123" i="45"/>
  <c r="X178" i="45"/>
  <c r="X178" i="47" s="1"/>
  <c r="Z126" i="45"/>
  <c r="Z126" i="47" s="1"/>
  <c r="R74" i="45"/>
  <c r="R74" i="47" s="1"/>
  <c r="K100" i="45"/>
  <c r="K100" i="47" s="1"/>
  <c r="O177" i="45"/>
  <c r="O177" i="47" s="1"/>
  <c r="O125" i="45"/>
  <c r="O125" i="47" s="1"/>
  <c r="S179" i="45"/>
  <c r="S179" i="47" s="1"/>
  <c r="L127" i="45"/>
  <c r="L127" i="47" s="1"/>
  <c r="J101" i="45"/>
  <c r="J101" i="47" s="1"/>
  <c r="J75" i="45"/>
  <c r="J75" i="47" s="1"/>
  <c r="O123" i="45"/>
  <c r="L45" i="45"/>
  <c r="AB175" i="45"/>
  <c r="Q100" i="45"/>
  <c r="Q100" i="47" s="1"/>
  <c r="K178" i="45"/>
  <c r="K178" i="47" s="1"/>
  <c r="L178" i="45"/>
  <c r="L178" i="47" s="1"/>
  <c r="P100" i="45"/>
  <c r="P100" i="47" s="1"/>
  <c r="Q71" i="45"/>
  <c r="M45" i="45"/>
  <c r="S45" i="45"/>
  <c r="Y125" i="45"/>
  <c r="Y125" i="47" s="1"/>
  <c r="S47" i="45"/>
  <c r="S47" i="47" s="1"/>
  <c r="Z177" i="45"/>
  <c r="Z177" i="47" s="1"/>
  <c r="N125" i="45"/>
  <c r="N125" i="47" s="1"/>
  <c r="J179" i="45"/>
  <c r="J179" i="47" s="1"/>
  <c r="Y127" i="45"/>
  <c r="Y127" i="47" s="1"/>
  <c r="N127" i="45"/>
  <c r="N127" i="47" s="1"/>
  <c r="Z101" i="45"/>
  <c r="Z101" i="47" s="1"/>
  <c r="P75" i="45"/>
  <c r="P75" i="47" s="1"/>
  <c r="P49" i="45"/>
  <c r="P49" i="47" s="1"/>
  <c r="X126" i="45"/>
  <c r="X126" i="47" s="1"/>
  <c r="P74" i="45"/>
  <c r="P74" i="47" s="1"/>
  <c r="P71" i="45"/>
  <c r="K126" i="45"/>
  <c r="K126" i="47" s="1"/>
  <c r="N71" i="45"/>
  <c r="L71" i="45"/>
  <c r="J126" i="45"/>
  <c r="J126" i="47" s="1"/>
  <c r="M71" i="45"/>
  <c r="J22" i="45"/>
  <c r="K177" i="45"/>
  <c r="K177" i="47" s="1"/>
  <c r="L47" i="45"/>
  <c r="L47" i="47" s="1"/>
  <c r="M73" i="45"/>
  <c r="M73" i="47" s="1"/>
  <c r="M47" i="45"/>
  <c r="M47" i="47" s="1"/>
  <c r="M125" i="45"/>
  <c r="M125" i="47" s="1"/>
  <c r="L125" i="45"/>
  <c r="L125" i="47" s="1"/>
  <c r="O47" i="45"/>
  <c r="O47" i="47" s="1"/>
  <c r="Q125" i="45"/>
  <c r="Q125" i="47" s="1"/>
  <c r="L179" i="45"/>
  <c r="L179" i="47" s="1"/>
  <c r="S127" i="45"/>
  <c r="S127" i="47" s="1"/>
  <c r="M127" i="45"/>
  <c r="M127" i="47" s="1"/>
  <c r="R49" i="45"/>
  <c r="R49" i="47" s="1"/>
  <c r="S49" i="45"/>
  <c r="S49" i="47" s="1"/>
  <c r="P101" i="45"/>
  <c r="P101" i="47" s="1"/>
  <c r="O75" i="45"/>
  <c r="O75" i="47" s="1"/>
  <c r="M179" i="45"/>
  <c r="M179" i="47" s="1"/>
  <c r="AA123" i="45"/>
  <c r="R48" i="45"/>
  <c r="R48" i="47" s="1"/>
  <c r="AA126" i="45"/>
  <c r="AA126" i="47" s="1"/>
  <c r="O45" i="45"/>
  <c r="M123" i="45"/>
  <c r="N45" i="45"/>
  <c r="K47" i="45"/>
  <c r="K47" i="47" s="1"/>
  <c r="R47" i="45"/>
  <c r="R47" i="47" s="1"/>
  <c r="L73" i="45"/>
  <c r="L73" i="47" s="1"/>
  <c r="K99" i="45"/>
  <c r="K99" i="47" s="1"/>
  <c r="S177" i="45"/>
  <c r="S177" i="47" s="1"/>
  <c r="X99" i="45"/>
  <c r="X99" i="47" s="1"/>
  <c r="J73" i="45"/>
  <c r="J73" i="47" s="1"/>
  <c r="O99" i="45"/>
  <c r="O99" i="47" s="1"/>
  <c r="Q127" i="45"/>
  <c r="Q127" i="47" s="1"/>
  <c r="Y179" i="45"/>
  <c r="Y179" i="47" s="1"/>
  <c r="X101" i="45"/>
  <c r="X101" i="47" s="1"/>
  <c r="L75" i="45"/>
  <c r="L75" i="47" s="1"/>
  <c r="V178" i="45"/>
  <c r="V178" i="47" s="1"/>
  <c r="AB126" i="45"/>
  <c r="AB126" i="47" s="1"/>
  <c r="M97" i="45"/>
  <c r="J97" i="45"/>
  <c r="O126" i="45"/>
  <c r="O126" i="47" s="1"/>
  <c r="R71" i="45"/>
  <c r="Q74" i="45"/>
  <c r="Q74" i="47" s="1"/>
  <c r="N126" i="45"/>
  <c r="N126" i="47" s="1"/>
  <c r="Z175" i="45"/>
  <c r="J19" i="45"/>
  <c r="L177" i="45"/>
  <c r="L177" i="47" s="1"/>
  <c r="AA125" i="45"/>
  <c r="AA125" i="47" s="1"/>
  <c r="T177" i="45"/>
  <c r="T177" i="47" s="1"/>
  <c r="N99" i="45"/>
  <c r="N99" i="47" s="1"/>
  <c r="AA179" i="45"/>
  <c r="AA179" i="47" s="1"/>
  <c r="T127" i="45"/>
  <c r="T127" i="47" s="1"/>
  <c r="O101" i="45"/>
  <c r="O101" i="47" s="1"/>
  <c r="R178" i="45"/>
  <c r="R178" i="47" s="1"/>
  <c r="K123" i="45"/>
  <c r="O178" i="45"/>
  <c r="O178" i="47" s="1"/>
  <c r="X175" i="45"/>
  <c r="M100" i="45"/>
  <c r="M100" i="47" s="1"/>
  <c r="R175" i="45"/>
  <c r="AA175" i="45"/>
  <c r="L100" i="45"/>
  <c r="L100" i="47" s="1"/>
  <c r="N175" i="45"/>
  <c r="AB75" i="45"/>
  <c r="AB75" i="47" s="1"/>
  <c r="Y75" i="45"/>
  <c r="Y75" i="47" s="1"/>
  <c r="Z75" i="45"/>
  <c r="Z75" i="47" s="1"/>
  <c r="AA75" i="45"/>
  <c r="AA75" i="47" s="1"/>
  <c r="X75" i="45"/>
  <c r="Z73" i="45"/>
  <c r="Z73" i="47" s="1"/>
  <c r="Y73" i="45"/>
  <c r="Y73" i="47" s="1"/>
  <c r="AA73" i="45"/>
  <c r="AA73" i="47" s="1"/>
  <c r="AB73" i="45"/>
  <c r="AB73" i="47" s="1"/>
  <c r="X73" i="45"/>
  <c r="Z71" i="45"/>
  <c r="AA74" i="45"/>
  <c r="AA74" i="47" s="1"/>
  <c r="Z74" i="45"/>
  <c r="Z74" i="47" s="1"/>
  <c r="AA71" i="45"/>
  <c r="Y74" i="45"/>
  <c r="Y74" i="47" s="1"/>
  <c r="AB71" i="45"/>
  <c r="Y71" i="45"/>
  <c r="X71" i="45"/>
  <c r="AB74" i="45"/>
  <c r="AB74" i="47" s="1"/>
  <c r="X74" i="45"/>
  <c r="S75" i="45"/>
  <c r="S75" i="47" s="1"/>
  <c r="V123" i="45"/>
  <c r="V125" i="45"/>
  <c r="V125" i="47" s="1"/>
  <c r="S71" i="45"/>
  <c r="V127" i="45"/>
  <c r="V127" i="47" s="1"/>
  <c r="V126" i="45"/>
  <c r="V126" i="47" s="1"/>
  <c r="T74" i="45"/>
  <c r="T74" i="47" s="1"/>
  <c r="W127" i="45"/>
  <c r="W127" i="47" s="1"/>
  <c r="T71" i="45"/>
  <c r="W126" i="45"/>
  <c r="W126" i="47" s="1"/>
  <c r="S74" i="45"/>
  <c r="S74" i="47" s="1"/>
  <c r="S73" i="45"/>
  <c r="S73" i="47" s="1"/>
  <c r="W123" i="45"/>
  <c r="T75" i="45"/>
  <c r="T75" i="47" s="1"/>
  <c r="T73" i="45"/>
  <c r="T73" i="47" s="1"/>
  <c r="W125" i="45"/>
  <c r="W125" i="47" s="1"/>
  <c r="U75" i="45"/>
  <c r="U75" i="47" s="1"/>
  <c r="U73" i="45"/>
  <c r="U73" i="47" s="1"/>
  <c r="U74" i="45"/>
  <c r="U74" i="47" s="1"/>
  <c r="U71" i="45"/>
  <c r="W73" i="45"/>
  <c r="W73" i="47" s="1"/>
  <c r="V75" i="45"/>
  <c r="V75" i="47" s="1"/>
  <c r="V74" i="45"/>
  <c r="V74" i="47" s="1"/>
  <c r="V73" i="45"/>
  <c r="V73" i="47" s="1"/>
  <c r="V71" i="45"/>
  <c r="W75" i="45"/>
  <c r="W75" i="47" s="1"/>
  <c r="W74" i="45"/>
  <c r="W74" i="47" s="1"/>
  <c r="W71" i="45"/>
  <c r="V99" i="45"/>
  <c r="V99" i="47" s="1"/>
  <c r="V97" i="45"/>
  <c r="V101" i="45"/>
  <c r="V101" i="47" s="1"/>
  <c r="V100" i="45"/>
  <c r="V100" i="47" s="1"/>
  <c r="W97" i="45"/>
  <c r="W101" i="45"/>
  <c r="W101" i="47" s="1"/>
  <c r="W99" i="45"/>
  <c r="W99" i="47" s="1"/>
  <c r="W100" i="45"/>
  <c r="W100" i="47" s="1"/>
  <c r="U100" i="45"/>
  <c r="U100" i="47" s="1"/>
  <c r="U99" i="45"/>
  <c r="U99" i="47" s="1"/>
  <c r="S100" i="45"/>
  <c r="S100" i="47" s="1"/>
  <c r="S97" i="45"/>
  <c r="S99" i="45"/>
  <c r="S99" i="47" s="1"/>
  <c r="S101" i="45"/>
  <c r="S101" i="47" s="1"/>
  <c r="U101" i="45"/>
  <c r="U101" i="47" s="1"/>
  <c r="U97" i="45"/>
  <c r="T100" i="45"/>
  <c r="T100" i="47" s="1"/>
  <c r="T99" i="45"/>
  <c r="T99" i="47" s="1"/>
  <c r="T101" i="45"/>
  <c r="T101" i="47" s="1"/>
  <c r="T97" i="45"/>
  <c r="T48" i="45"/>
  <c r="T48" i="47" s="1"/>
  <c r="T45" i="45"/>
  <c r="T49" i="45"/>
  <c r="T49" i="47" s="1"/>
  <c r="T47" i="45"/>
  <c r="T47" i="47" s="1"/>
  <c r="U48" i="45"/>
  <c r="U48" i="47" s="1"/>
  <c r="U47" i="45"/>
  <c r="U47" i="47" s="1"/>
  <c r="U45" i="45"/>
  <c r="U49" i="45"/>
  <c r="U49" i="47" s="1"/>
  <c r="T205" i="32"/>
  <c r="T36" i="37"/>
  <c r="T46" i="37" s="1"/>
  <c r="T49" i="37" s="1"/>
  <c r="T28" i="37"/>
  <c r="T30" i="37" s="1"/>
  <c r="Y105" i="48"/>
  <c r="Y134" i="48"/>
  <c r="Y53" i="48"/>
  <c r="V56" i="32"/>
  <c r="V56" i="47" s="1"/>
  <c r="V160" i="47" s="1"/>
  <c r="V212" i="47" s="1"/>
  <c r="W30" i="47" s="1"/>
  <c r="V156" i="32"/>
  <c r="V209" i="32" s="1"/>
  <c r="W22" i="32" s="1"/>
  <c r="W48" i="32" s="1"/>
  <c r="V48" i="45"/>
  <c r="V48" i="47" s="1"/>
  <c r="S68" i="34"/>
  <c r="T158" i="34"/>
  <c r="S54" i="34"/>
  <c r="S161" i="37"/>
  <c r="T116" i="34"/>
  <c r="U162" i="32"/>
  <c r="U215" i="32" s="1"/>
  <c r="V28" i="32" s="1"/>
  <c r="T130" i="34"/>
  <c r="Y136" i="48"/>
  <c r="Y67" i="48"/>
  <c r="Y107" i="48"/>
  <c r="U158" i="32"/>
  <c r="U211" i="32" s="1"/>
  <c r="V24" i="32" s="1"/>
  <c r="V157" i="32"/>
  <c r="V210" i="32" s="1"/>
  <c r="W23" i="32" s="1"/>
  <c r="W49" i="32" s="1"/>
  <c r="V49" i="45"/>
  <c r="V49" i="47" s="1"/>
  <c r="S152" i="34"/>
  <c r="S166" i="34"/>
  <c r="T46" i="34"/>
  <c r="T107" i="47"/>
  <c r="T159" i="47" s="1"/>
  <c r="T211" i="47" s="1"/>
  <c r="U29" i="47" s="1"/>
  <c r="T81" i="33"/>
  <c r="T75" i="33"/>
  <c r="T35" i="34" s="1"/>
  <c r="T82" i="33"/>
  <c r="T84" i="33"/>
  <c r="T78" i="33"/>
  <c r="T76" i="33"/>
  <c r="T163" i="32"/>
  <c r="T216" i="32" s="1"/>
  <c r="U29" i="32" s="1"/>
  <c r="T77" i="33"/>
  <c r="T80" i="33"/>
  <c r="T79" i="33"/>
  <c r="T83" i="33"/>
  <c r="T116" i="32"/>
  <c r="T44" i="33"/>
  <c r="T131" i="34" s="1"/>
  <c r="Z75" i="48" s="1"/>
  <c r="T44" i="47"/>
  <c r="T148" i="47" s="1"/>
  <c r="T45" i="33"/>
  <c r="T145" i="34" s="1"/>
  <c r="Z82" i="48" s="1"/>
  <c r="T62" i="32"/>
  <c r="T65" i="32" s="1"/>
  <c r="T43" i="33"/>
  <c r="T117" i="34" s="1"/>
  <c r="Z69" i="48" s="1"/>
  <c r="T42" i="33"/>
  <c r="T39" i="33"/>
  <c r="T61" i="34" s="1"/>
  <c r="Z41" i="48" s="1"/>
  <c r="T38" i="33"/>
  <c r="T47" i="34" s="1"/>
  <c r="Z34" i="48" s="1"/>
  <c r="T40" i="33"/>
  <c r="T41" i="33"/>
  <c r="T89" i="34" s="1"/>
  <c r="Z55" i="48" s="1"/>
  <c r="T46" i="33"/>
  <c r="T159" i="34" s="1"/>
  <c r="Z89" i="48" s="1"/>
  <c r="T37" i="33"/>
  <c r="S124" i="34"/>
  <c r="S138" i="34"/>
  <c r="T144" i="34"/>
  <c r="T88" i="34"/>
  <c r="T18" i="33"/>
  <c r="S162" i="33"/>
  <c r="S164" i="33" s="1"/>
  <c r="V51" i="32"/>
  <c r="V51" i="47" s="1"/>
  <c r="V155" i="47" s="1"/>
  <c r="V207" i="47" s="1"/>
  <c r="W25" i="47" s="1"/>
  <c r="T40" i="43"/>
  <c r="A40" i="43" s="1"/>
  <c r="A1" i="43" s="1"/>
  <c r="H19" i="25" s="1"/>
  <c r="T16" i="43"/>
  <c r="V153" i="32"/>
  <c r="V206" i="32" s="1"/>
  <c r="W19" i="32" s="1"/>
  <c r="W45" i="32" s="1"/>
  <c r="V45" i="45"/>
  <c r="V155" i="32"/>
  <c r="V208" i="32" s="1"/>
  <c r="W21" i="32" s="1"/>
  <c r="W47" i="32" s="1"/>
  <c r="V47" i="45"/>
  <c r="V47" i="47" s="1"/>
  <c r="T60" i="34"/>
  <c r="V46" i="32"/>
  <c r="V46" i="47" s="1"/>
  <c r="V150" i="47" s="1"/>
  <c r="V202" i="47" s="1"/>
  <c r="W20" i="47" s="1"/>
  <c r="S96" i="34"/>
  <c r="T87" i="37" l="1"/>
  <c r="T119" i="32"/>
  <c r="T118" i="32"/>
  <c r="A118" i="32" s="1"/>
  <c r="T63" i="34"/>
  <c r="Z43" i="48" s="1"/>
  <c r="T105" i="34"/>
  <c r="Z64" i="48" s="1"/>
  <c r="T119" i="34"/>
  <c r="Z70" i="48" s="1"/>
  <c r="Z33" i="48"/>
  <c r="T52" i="34"/>
  <c r="T49" i="34"/>
  <c r="Z36" i="48" s="1"/>
  <c r="Z74" i="48"/>
  <c r="T77" i="34"/>
  <c r="Z50" i="48" s="1"/>
  <c r="Z40" i="48"/>
  <c r="T66" i="34"/>
  <c r="Z54" i="48"/>
  <c r="T161" i="34"/>
  <c r="Z91" i="48" s="1"/>
  <c r="Z68" i="48"/>
  <c r="Z81" i="48"/>
  <c r="T147" i="34"/>
  <c r="Z84" i="48" s="1"/>
  <c r="T133" i="34"/>
  <c r="Z77" i="48" s="1"/>
  <c r="Z88" i="48"/>
  <c r="T164" i="34"/>
  <c r="T91" i="34"/>
  <c r="Z57" i="48" s="1"/>
  <c r="T117" i="33"/>
  <c r="T155" i="33" s="1"/>
  <c r="U22" i="33" s="1"/>
  <c r="V62" i="45"/>
  <c r="V64" i="45" s="1"/>
  <c r="T112" i="37"/>
  <c r="T149" i="37" s="1"/>
  <c r="V154" i="32"/>
  <c r="V207" i="32" s="1"/>
  <c r="W20" i="32" s="1"/>
  <c r="W46" i="32" s="1"/>
  <c r="W46" i="47" s="1"/>
  <c r="W150" i="47" s="1"/>
  <c r="Y135" i="48"/>
  <c r="Y60" i="48"/>
  <c r="Y106" i="48"/>
  <c r="W155" i="32"/>
  <c r="W47" i="45"/>
  <c r="W47" i="47" s="1"/>
  <c r="V165" i="32"/>
  <c r="V218" i="32" s="1"/>
  <c r="W31" i="32" s="1"/>
  <c r="V159" i="32"/>
  <c r="V212" i="32" s="1"/>
  <c r="W25" i="32" s="1"/>
  <c r="T29" i="33"/>
  <c r="T31" i="33" s="1"/>
  <c r="T113" i="33"/>
  <c r="T32" i="34"/>
  <c r="T121" i="33"/>
  <c r="T159" i="33" s="1"/>
  <c r="Y73" i="48"/>
  <c r="Y108" i="48"/>
  <c r="T103" i="34"/>
  <c r="T118" i="33"/>
  <c r="T156" i="33" s="1"/>
  <c r="T86" i="33"/>
  <c r="T88" i="33" s="1"/>
  <c r="A88" i="33" s="1"/>
  <c r="T114" i="33"/>
  <c r="T152" i="33" s="1"/>
  <c r="T119" i="33"/>
  <c r="T157" i="33" s="1"/>
  <c r="W156" i="32"/>
  <c r="W48" i="45"/>
  <c r="W48" i="47" s="1"/>
  <c r="T114" i="45"/>
  <c r="T116" i="45" s="1"/>
  <c r="T97" i="47"/>
  <c r="U114" i="45"/>
  <c r="U116" i="45" s="1"/>
  <c r="U97" i="47"/>
  <c r="S114" i="45"/>
  <c r="S116" i="45" s="1"/>
  <c r="S97" i="47"/>
  <c r="W88" i="45"/>
  <c r="W90" i="45" s="1"/>
  <c r="W71" i="47"/>
  <c r="U88" i="45"/>
  <c r="U90" i="45" s="1"/>
  <c r="U71" i="47"/>
  <c r="S88" i="45"/>
  <c r="S90" i="45" s="1"/>
  <c r="S71" i="47"/>
  <c r="X74" i="47"/>
  <c r="AB88" i="45"/>
  <c r="AB90" i="45" s="1"/>
  <c r="AB71" i="47"/>
  <c r="N192" i="45"/>
  <c r="N194" i="45" s="1"/>
  <c r="N175" i="47"/>
  <c r="J19" i="47"/>
  <c r="J36" i="45"/>
  <c r="J38" i="45" s="1"/>
  <c r="J149" i="45"/>
  <c r="R88" i="45"/>
  <c r="R90" i="45" s="1"/>
  <c r="R71" i="47"/>
  <c r="O45" i="47"/>
  <c r="O62" i="45"/>
  <c r="O64" i="45" s="1"/>
  <c r="J22" i="47"/>
  <c r="J152" i="47" s="1"/>
  <c r="J204" i="47" s="1"/>
  <c r="K22" i="47" s="1"/>
  <c r="K152" i="47" s="1"/>
  <c r="K204" i="47" s="1"/>
  <c r="L22" i="47" s="1"/>
  <c r="L152" i="47" s="1"/>
  <c r="L204" i="47" s="1"/>
  <c r="M22" i="47" s="1"/>
  <c r="M152" i="47" s="1"/>
  <c r="M204" i="47" s="1"/>
  <c r="N22" i="47" s="1"/>
  <c r="N152" i="47" s="1"/>
  <c r="N204" i="47" s="1"/>
  <c r="O22" i="47" s="1"/>
  <c r="O152" i="47" s="1"/>
  <c r="O204" i="47" s="1"/>
  <c r="P22" i="47" s="1"/>
  <c r="P152" i="47" s="1"/>
  <c r="P204" i="47" s="1"/>
  <c r="Q22" i="47" s="1"/>
  <c r="Q152" i="47" s="1"/>
  <c r="Q204" i="47" s="1"/>
  <c r="R22" i="47" s="1"/>
  <c r="R152" i="47" s="1"/>
  <c r="R204" i="47" s="1"/>
  <c r="S22" i="47" s="1"/>
  <c r="S152" i="47" s="1"/>
  <c r="S204" i="47" s="1"/>
  <c r="T22" i="47" s="1"/>
  <c r="T152" i="47" s="1"/>
  <c r="T204" i="47" s="1"/>
  <c r="U22" i="47" s="1"/>
  <c r="U152" i="47" s="1"/>
  <c r="U204" i="47" s="1"/>
  <c r="V22" i="47" s="1"/>
  <c r="V152" i="47" s="1"/>
  <c r="V204" i="47" s="1"/>
  <c r="W22" i="47" s="1"/>
  <c r="J152" i="45"/>
  <c r="J204" i="45" s="1"/>
  <c r="K22" i="45" s="1"/>
  <c r="K152" i="45" s="1"/>
  <c r="K204" i="45" s="1"/>
  <c r="L22" i="45" s="1"/>
  <c r="L152" i="45" s="1"/>
  <c r="L204" i="45" s="1"/>
  <c r="M22" i="45" s="1"/>
  <c r="M152" i="45" s="1"/>
  <c r="M204" i="45" s="1"/>
  <c r="N22" i="45" s="1"/>
  <c r="N152" i="45" s="1"/>
  <c r="N204" i="45" s="1"/>
  <c r="O22" i="45" s="1"/>
  <c r="O152" i="45" s="1"/>
  <c r="O204" i="45" s="1"/>
  <c r="P22" i="45" s="1"/>
  <c r="P152" i="45" s="1"/>
  <c r="P204" i="45" s="1"/>
  <c r="Q22" i="45" s="1"/>
  <c r="Q152" i="45" s="1"/>
  <c r="Q204" i="45" s="1"/>
  <c r="R22" i="45" s="1"/>
  <c r="R152" i="45" s="1"/>
  <c r="R204" i="45" s="1"/>
  <c r="S22" i="45" s="1"/>
  <c r="S152" i="45" s="1"/>
  <c r="S204" i="45" s="1"/>
  <c r="T22" i="45" s="1"/>
  <c r="T152" i="45" s="1"/>
  <c r="T204" i="45" s="1"/>
  <c r="U22" i="45" s="1"/>
  <c r="U152" i="45" s="1"/>
  <c r="U204" i="45" s="1"/>
  <c r="V22" i="45" s="1"/>
  <c r="V152" i="45" s="1"/>
  <c r="V204" i="45" s="1"/>
  <c r="W22" i="45" s="1"/>
  <c r="N88" i="45"/>
  <c r="N90" i="45" s="1"/>
  <c r="N71" i="47"/>
  <c r="M62" i="45"/>
  <c r="M64" i="45" s="1"/>
  <c r="M45" i="47"/>
  <c r="O123" i="47"/>
  <c r="O140" i="45"/>
  <c r="O142" i="45" s="1"/>
  <c r="L97" i="47"/>
  <c r="L114" i="45"/>
  <c r="L116" i="45" s="1"/>
  <c r="R45" i="47"/>
  <c r="R62" i="45"/>
  <c r="R64" i="45" s="1"/>
  <c r="R123" i="47"/>
  <c r="R140" i="45"/>
  <c r="R142" i="45" s="1"/>
  <c r="K71" i="47"/>
  <c r="K88" i="45"/>
  <c r="K90" i="45" s="1"/>
  <c r="AB123" i="47"/>
  <c r="AB140" i="45"/>
  <c r="AB142" i="45" s="1"/>
  <c r="O114" i="45"/>
  <c r="O116" i="45" s="1"/>
  <c r="O97" i="47"/>
  <c r="O192" i="45"/>
  <c r="O194" i="45" s="1"/>
  <c r="O175" i="47"/>
  <c r="X114" i="45"/>
  <c r="X116" i="45" s="1"/>
  <c r="X97" i="47"/>
  <c r="P62" i="45"/>
  <c r="P64" i="45" s="1"/>
  <c r="P45" i="47"/>
  <c r="S140" i="45"/>
  <c r="S142" i="45" s="1"/>
  <c r="S123" i="47"/>
  <c r="Y123" i="47"/>
  <c r="Y140" i="45"/>
  <c r="Y142" i="45" s="1"/>
  <c r="Z114" i="45"/>
  <c r="Z116" i="45" s="1"/>
  <c r="Z97" i="47"/>
  <c r="T192" i="45"/>
  <c r="T194" i="45" s="1"/>
  <c r="T175" i="47"/>
  <c r="V192" i="45"/>
  <c r="V194" i="45" s="1"/>
  <c r="V175" i="47"/>
  <c r="T115" i="33"/>
  <c r="T153" i="33" s="1"/>
  <c r="V45" i="47"/>
  <c r="T75" i="34"/>
  <c r="T116" i="33"/>
  <c r="T154" i="33" s="1"/>
  <c r="Y139" i="48"/>
  <c r="Y94" i="48"/>
  <c r="Y111" i="48"/>
  <c r="V54" i="32"/>
  <c r="V54" i="47" s="1"/>
  <c r="V158" i="47" s="1"/>
  <c r="V210" i="47" s="1"/>
  <c r="W28" i="47" s="1"/>
  <c r="Y132" i="48"/>
  <c r="Y39" i="48"/>
  <c r="Y103" i="48"/>
  <c r="Y133" i="48"/>
  <c r="Y104" i="48"/>
  <c r="Y46" i="48"/>
  <c r="V164" i="32"/>
  <c r="V217" i="32" s="1"/>
  <c r="W30" i="32" s="1"/>
  <c r="T48" i="37"/>
  <c r="U62" i="45"/>
  <c r="U64" i="45" s="1"/>
  <c r="U45" i="47"/>
  <c r="Z71" i="47"/>
  <c r="Z88" i="45"/>
  <c r="Z90" i="45" s="1"/>
  <c r="X175" i="47"/>
  <c r="X192" i="45"/>
  <c r="X194" i="45" s="1"/>
  <c r="Z192" i="45"/>
  <c r="Z194" i="45" s="1"/>
  <c r="Z175" i="47"/>
  <c r="M88" i="45"/>
  <c r="M90" i="45" s="1"/>
  <c r="M71" i="47"/>
  <c r="Q88" i="45"/>
  <c r="Q90" i="45" s="1"/>
  <c r="Q71" i="47"/>
  <c r="N140" i="45"/>
  <c r="N142" i="45" s="1"/>
  <c r="N123" i="47"/>
  <c r="U192" i="45"/>
  <c r="U194" i="45" s="1"/>
  <c r="U175" i="47"/>
  <c r="K97" i="47"/>
  <c r="K114" i="45"/>
  <c r="K116" i="45" s="1"/>
  <c r="X140" i="45"/>
  <c r="X142" i="45" s="1"/>
  <c r="X123" i="47"/>
  <c r="L175" i="47"/>
  <c r="L192" i="45"/>
  <c r="L194" i="45" s="1"/>
  <c r="J45" i="47"/>
  <c r="J62" i="45"/>
  <c r="J64" i="45" s="1"/>
  <c r="O71" i="47"/>
  <c r="O88" i="45"/>
  <c r="O90" i="45" s="1"/>
  <c r="J151" i="45"/>
  <c r="J203" i="45" s="1"/>
  <c r="K21" i="45" s="1"/>
  <c r="K151" i="45" s="1"/>
  <c r="K203" i="45" s="1"/>
  <c r="L21" i="45" s="1"/>
  <c r="L151" i="45" s="1"/>
  <c r="L203" i="45" s="1"/>
  <c r="M21" i="45" s="1"/>
  <c r="M151" i="45" s="1"/>
  <c r="M203" i="45" s="1"/>
  <c r="N21" i="45" s="1"/>
  <c r="N151" i="45" s="1"/>
  <c r="N203" i="45" s="1"/>
  <c r="O21" i="45" s="1"/>
  <c r="O151" i="45" s="1"/>
  <c r="O203" i="45" s="1"/>
  <c r="P21" i="45" s="1"/>
  <c r="P151" i="45" s="1"/>
  <c r="P203" i="45" s="1"/>
  <c r="Q21" i="45" s="1"/>
  <c r="Q151" i="45" s="1"/>
  <c r="Q203" i="45" s="1"/>
  <c r="R21" i="45" s="1"/>
  <c r="R151" i="45" s="1"/>
  <c r="R203" i="45" s="1"/>
  <c r="S21" i="45" s="1"/>
  <c r="S151" i="45" s="1"/>
  <c r="S203" i="45" s="1"/>
  <c r="T21" i="45" s="1"/>
  <c r="T151" i="45" s="1"/>
  <c r="T203" i="45" s="1"/>
  <c r="U21" i="45" s="1"/>
  <c r="U151" i="45" s="1"/>
  <c r="U203" i="45" s="1"/>
  <c r="V21" i="45" s="1"/>
  <c r="V151" i="45" s="1"/>
  <c r="V203" i="45" s="1"/>
  <c r="W21" i="45" s="1"/>
  <c r="J21" i="47"/>
  <c r="J151" i="47" s="1"/>
  <c r="J203" i="47" s="1"/>
  <c r="K21" i="47" s="1"/>
  <c r="K151" i="47" s="1"/>
  <c r="K203" i="47" s="1"/>
  <c r="L21" i="47" s="1"/>
  <c r="L151" i="47" s="1"/>
  <c r="L203" i="47" s="1"/>
  <c r="M21" i="47" s="1"/>
  <c r="M151" i="47" s="1"/>
  <c r="M203" i="47" s="1"/>
  <c r="N21" i="47" s="1"/>
  <c r="N151" i="47" s="1"/>
  <c r="N203" i="47" s="1"/>
  <c r="O21" i="47" s="1"/>
  <c r="O151" i="47" s="1"/>
  <c r="O203" i="47" s="1"/>
  <c r="P21" i="47" s="1"/>
  <c r="P151" i="47" s="1"/>
  <c r="P203" i="47" s="1"/>
  <c r="Q21" i="47" s="1"/>
  <c r="Q151" i="47" s="1"/>
  <c r="Q203" i="47" s="1"/>
  <c r="R21" i="47" s="1"/>
  <c r="R151" i="47" s="1"/>
  <c r="R203" i="47" s="1"/>
  <c r="S21" i="47" s="1"/>
  <c r="S151" i="47" s="1"/>
  <c r="S203" i="47" s="1"/>
  <c r="T21" i="47" s="1"/>
  <c r="T151" i="47" s="1"/>
  <c r="T203" i="47" s="1"/>
  <c r="U21" i="47" s="1"/>
  <c r="U151" i="47" s="1"/>
  <c r="U203" i="47" s="1"/>
  <c r="V21" i="47" s="1"/>
  <c r="V151" i="47" s="1"/>
  <c r="V203" i="47" s="1"/>
  <c r="W21" i="47" s="1"/>
  <c r="R97" i="47"/>
  <c r="R114" i="45"/>
  <c r="R116" i="45" s="1"/>
  <c r="S175" i="47"/>
  <c r="S192" i="45"/>
  <c r="S194" i="45" s="1"/>
  <c r="AB114" i="45"/>
  <c r="AB116" i="45" s="1"/>
  <c r="AB97" i="47"/>
  <c r="S22" i="34"/>
  <c r="S40" i="34"/>
  <c r="T48" i="33"/>
  <c r="T50" i="33" s="1"/>
  <c r="T33" i="34"/>
  <c r="T64" i="32"/>
  <c r="W157" i="32"/>
  <c r="W49" i="45"/>
  <c r="W49" i="47" s="1"/>
  <c r="T122" i="33"/>
  <c r="T160" i="33" s="1"/>
  <c r="T227" i="32"/>
  <c r="T223" i="32"/>
  <c r="T226" i="32" s="1"/>
  <c r="U18" i="32"/>
  <c r="T62" i="45"/>
  <c r="T64" i="45" s="1"/>
  <c r="T45" i="47"/>
  <c r="T45" i="46" s="1"/>
  <c r="T145" i="42" s="1"/>
  <c r="M82" i="48" s="1"/>
  <c r="V114" i="45"/>
  <c r="V116" i="45" s="1"/>
  <c r="V97" i="47"/>
  <c r="V140" i="45"/>
  <c r="V142" i="45" s="1"/>
  <c r="V123" i="47"/>
  <c r="X88" i="45"/>
  <c r="X90" i="45" s="1"/>
  <c r="X71" i="47"/>
  <c r="AA88" i="45"/>
  <c r="AA90" i="45" s="1"/>
  <c r="AA71" i="47"/>
  <c r="X73" i="47"/>
  <c r="AA175" i="47"/>
  <c r="AA192" i="45"/>
  <c r="AA194" i="45" s="1"/>
  <c r="J97" i="47"/>
  <c r="J114" i="45"/>
  <c r="J116" i="45" s="1"/>
  <c r="N62" i="45"/>
  <c r="N64" i="45" s="1"/>
  <c r="N45" i="47"/>
  <c r="P88" i="45"/>
  <c r="P90" i="45" s="1"/>
  <c r="P71" i="47"/>
  <c r="AB192" i="45"/>
  <c r="AB194" i="45" s="1"/>
  <c r="AB175" i="47"/>
  <c r="Q140" i="45"/>
  <c r="Q142" i="45" s="1"/>
  <c r="Q123" i="47"/>
  <c r="U140" i="45"/>
  <c r="U142" i="45" s="1"/>
  <c r="U123" i="47"/>
  <c r="Q45" i="47"/>
  <c r="Q62" i="45"/>
  <c r="Q64" i="45" s="1"/>
  <c r="Q97" i="47"/>
  <c r="Q114" i="45"/>
  <c r="Q116" i="45" s="1"/>
  <c r="M175" i="47"/>
  <c r="M192" i="45"/>
  <c r="M194" i="45" s="1"/>
  <c r="AA114" i="45"/>
  <c r="AA116" i="45" s="1"/>
  <c r="AA97" i="47"/>
  <c r="K62" i="45"/>
  <c r="K64" i="45" s="1"/>
  <c r="K45" i="47"/>
  <c r="J123" i="47"/>
  <c r="J140" i="45"/>
  <c r="J142" i="45" s="1"/>
  <c r="Q175" i="47"/>
  <c r="Q192" i="45"/>
  <c r="Q194" i="45" s="1"/>
  <c r="W153" i="32"/>
  <c r="W45" i="45"/>
  <c r="W45" i="47" s="1"/>
  <c r="Y137" i="48"/>
  <c r="Y80" i="48"/>
  <c r="Y109" i="48"/>
  <c r="U55" i="32"/>
  <c r="U55" i="47" s="1"/>
  <c r="U159" i="47" s="1"/>
  <c r="U211" i="47" s="1"/>
  <c r="V29" i="47" s="1"/>
  <c r="Y138" i="48"/>
  <c r="Y87" i="48"/>
  <c r="Y110" i="48"/>
  <c r="V50" i="32"/>
  <c r="V50" i="47" s="1"/>
  <c r="V154" i="47" s="1"/>
  <c r="V206" i="47" s="1"/>
  <c r="W24" i="47" s="1"/>
  <c r="T120" i="33"/>
  <c r="T158" i="33" s="1"/>
  <c r="T200" i="47"/>
  <c r="T170" i="32"/>
  <c r="T172" i="32" s="1"/>
  <c r="W114" i="45"/>
  <c r="W116" i="45" s="1"/>
  <c r="W97" i="47"/>
  <c r="V88" i="45"/>
  <c r="V90" i="45" s="1"/>
  <c r="V71" i="47"/>
  <c r="W140" i="45"/>
  <c r="W142" i="45" s="1"/>
  <c r="W123" i="47"/>
  <c r="T88" i="45"/>
  <c r="T90" i="45" s="1"/>
  <c r="T71" i="47"/>
  <c r="Y71" i="47"/>
  <c r="Y88" i="45"/>
  <c r="Y90" i="45" s="1"/>
  <c r="X75" i="47"/>
  <c r="R192" i="45"/>
  <c r="R194" i="45" s="1"/>
  <c r="R175" i="47"/>
  <c r="K123" i="47"/>
  <c r="K140" i="45"/>
  <c r="K142" i="45" s="1"/>
  <c r="M114" i="45"/>
  <c r="M116" i="45" s="1"/>
  <c r="M97" i="47"/>
  <c r="M140" i="45"/>
  <c r="M142" i="45" s="1"/>
  <c r="M123" i="47"/>
  <c r="AA140" i="45"/>
  <c r="AA142" i="45" s="1"/>
  <c r="AA123" i="47"/>
  <c r="L71" i="47"/>
  <c r="L88" i="45"/>
  <c r="L90" i="45" s="1"/>
  <c r="S45" i="47"/>
  <c r="S62" i="45"/>
  <c r="S64" i="45" s="1"/>
  <c r="L62" i="45"/>
  <c r="L64" i="45" s="1"/>
  <c r="L45" i="47"/>
  <c r="L140" i="45"/>
  <c r="L142" i="45" s="1"/>
  <c r="L123" i="47"/>
  <c r="T123" i="47"/>
  <c r="T140" i="45"/>
  <c r="T142" i="45" s="1"/>
  <c r="P140" i="45"/>
  <c r="P142" i="45" s="1"/>
  <c r="P123" i="47"/>
  <c r="K175" i="47"/>
  <c r="K192" i="45"/>
  <c r="K194" i="45" s="1"/>
  <c r="P97" i="47"/>
  <c r="P114" i="45"/>
  <c r="P116" i="45" s="1"/>
  <c r="Y175" i="47"/>
  <c r="Y192" i="45"/>
  <c r="Y194" i="45" s="1"/>
  <c r="J153" i="45"/>
  <c r="J205" i="45" s="1"/>
  <c r="K23" i="45" s="1"/>
  <c r="K153" i="45" s="1"/>
  <c r="K205" i="45" s="1"/>
  <c r="L23" i="45" s="1"/>
  <c r="L153" i="45" s="1"/>
  <c r="L205" i="45" s="1"/>
  <c r="M23" i="45" s="1"/>
  <c r="M153" i="45" s="1"/>
  <c r="M205" i="45" s="1"/>
  <c r="N23" i="45" s="1"/>
  <c r="N153" i="45" s="1"/>
  <c r="N205" i="45" s="1"/>
  <c r="O23" i="45" s="1"/>
  <c r="O153" i="45" s="1"/>
  <c r="O205" i="45" s="1"/>
  <c r="P23" i="45" s="1"/>
  <c r="P153" i="45" s="1"/>
  <c r="P205" i="45" s="1"/>
  <c r="Q23" i="45" s="1"/>
  <c r="Q153" i="45" s="1"/>
  <c r="Q205" i="45" s="1"/>
  <c r="R23" i="45" s="1"/>
  <c r="R153" i="45" s="1"/>
  <c r="R205" i="45" s="1"/>
  <c r="S23" i="45" s="1"/>
  <c r="S153" i="45" s="1"/>
  <c r="S205" i="45" s="1"/>
  <c r="T23" i="45" s="1"/>
  <c r="T153" i="45" s="1"/>
  <c r="T205" i="45" s="1"/>
  <c r="U23" i="45" s="1"/>
  <c r="U153" i="45" s="1"/>
  <c r="U205" i="45" s="1"/>
  <c r="V23" i="45" s="1"/>
  <c r="V153" i="45" s="1"/>
  <c r="V205" i="45" s="1"/>
  <c r="W23" i="45" s="1"/>
  <c r="J23" i="47"/>
  <c r="J153" i="47" s="1"/>
  <c r="J205" i="47" s="1"/>
  <c r="K23" i="47" s="1"/>
  <c r="K153" i="47" s="1"/>
  <c r="K205" i="47" s="1"/>
  <c r="L23" i="47" s="1"/>
  <c r="L153" i="47" s="1"/>
  <c r="L205" i="47" s="1"/>
  <c r="M23" i="47" s="1"/>
  <c r="M153" i="47" s="1"/>
  <c r="M205" i="47" s="1"/>
  <c r="N23" i="47" s="1"/>
  <c r="N153" i="47" s="1"/>
  <c r="N205" i="47" s="1"/>
  <c r="O23" i="47" s="1"/>
  <c r="O153" i="47" s="1"/>
  <c r="O205" i="47" s="1"/>
  <c r="P23" i="47" s="1"/>
  <c r="P153" i="47" s="1"/>
  <c r="P205" i="47" s="1"/>
  <c r="Q23" i="47" s="1"/>
  <c r="Q153" i="47" s="1"/>
  <c r="Q205" i="47" s="1"/>
  <c r="R23" i="47" s="1"/>
  <c r="R153" i="47" s="1"/>
  <c r="R205" i="47" s="1"/>
  <c r="S23" i="47" s="1"/>
  <c r="S153" i="47" s="1"/>
  <c r="S205" i="47" s="1"/>
  <c r="T23" i="47" s="1"/>
  <c r="T153" i="47" s="1"/>
  <c r="T205" i="47" s="1"/>
  <c r="U23" i="47" s="1"/>
  <c r="U153" i="47" s="1"/>
  <c r="U205" i="47" s="1"/>
  <c r="V23" i="47" s="1"/>
  <c r="V153" i="47" s="1"/>
  <c r="V205" i="47" s="1"/>
  <c r="W23" i="47" s="1"/>
  <c r="N114" i="45"/>
  <c r="N116" i="45" s="1"/>
  <c r="N97" i="47"/>
  <c r="P175" i="47"/>
  <c r="P192" i="45"/>
  <c r="P194" i="45" s="1"/>
  <c r="J175" i="47"/>
  <c r="J192" i="45"/>
  <c r="J194" i="45" s="1"/>
  <c r="J71" i="47"/>
  <c r="J88" i="45"/>
  <c r="J90" i="45" s="1"/>
  <c r="Z140" i="45"/>
  <c r="Z142" i="45" s="1"/>
  <c r="Z123" i="47"/>
  <c r="Y97" i="47"/>
  <c r="Y114" i="45"/>
  <c r="Y116" i="45" s="1"/>
  <c r="T38" i="34" l="1"/>
  <c r="T94" i="34"/>
  <c r="T150" i="34"/>
  <c r="Z62" i="48"/>
  <c r="Z66" i="48" s="1"/>
  <c r="T108" i="34"/>
  <c r="Z48" i="48"/>
  <c r="Z52" i="48" s="1"/>
  <c r="T80" i="34"/>
  <c r="T122" i="34"/>
  <c r="T136" i="34"/>
  <c r="Z79" i="48"/>
  <c r="Z72" i="48"/>
  <c r="Z59" i="48"/>
  <c r="Z93" i="48"/>
  <c r="Z86" i="48"/>
  <c r="Z38" i="48"/>
  <c r="Z45" i="48"/>
  <c r="V158" i="32"/>
  <c r="V211" i="32" s="1"/>
  <c r="W24" i="32" s="1"/>
  <c r="W50" i="32" s="1"/>
  <c r="W50" i="47" s="1"/>
  <c r="W154" i="47" s="1"/>
  <c r="T122" i="37"/>
  <c r="T124" i="37" s="1"/>
  <c r="W151" i="47"/>
  <c r="W152" i="45"/>
  <c r="W151" i="45"/>
  <c r="W152" i="47"/>
  <c r="W153" i="47"/>
  <c r="W153" i="45"/>
  <c r="Y83" i="46"/>
  <c r="Y81" i="46"/>
  <c r="Y82" i="46"/>
  <c r="Y114" i="47"/>
  <c r="Y116" i="47" s="1"/>
  <c r="Y80" i="46"/>
  <c r="Y77" i="46"/>
  <c r="Y76" i="46"/>
  <c r="Y78" i="46"/>
  <c r="Y79" i="46"/>
  <c r="Y84" i="46"/>
  <c r="Y75" i="46"/>
  <c r="J62" i="46"/>
  <c r="J118" i="42" s="1"/>
  <c r="J88" i="47"/>
  <c r="J90" i="47" s="1"/>
  <c r="J64" i="46"/>
  <c r="J146" i="42" s="1"/>
  <c r="C83" i="48" s="1"/>
  <c r="J63" i="46"/>
  <c r="J132" i="42" s="1"/>
  <c r="C76" i="48" s="1"/>
  <c r="J61" i="46"/>
  <c r="J104" i="42" s="1"/>
  <c r="C63" i="48" s="1"/>
  <c r="J58" i="46"/>
  <c r="J62" i="42" s="1"/>
  <c r="C42" i="48" s="1"/>
  <c r="J57" i="46"/>
  <c r="J48" i="42" s="1"/>
  <c r="C35" i="48" s="1"/>
  <c r="J59" i="46"/>
  <c r="J76" i="42" s="1"/>
  <c r="C49" i="48" s="1"/>
  <c r="J60" i="46"/>
  <c r="J90" i="42" s="1"/>
  <c r="C56" i="48" s="1"/>
  <c r="J65" i="46"/>
  <c r="J160" i="42" s="1"/>
  <c r="C90" i="48" s="1"/>
  <c r="J56" i="46"/>
  <c r="P140" i="46"/>
  <c r="P139" i="46"/>
  <c r="P138" i="46"/>
  <c r="P192" i="47"/>
  <c r="P194" i="47" s="1"/>
  <c r="P137" i="46"/>
  <c r="P134" i="46"/>
  <c r="P133" i="46"/>
  <c r="P135" i="46"/>
  <c r="P136" i="46"/>
  <c r="P141" i="46"/>
  <c r="P132" i="46"/>
  <c r="P81" i="46"/>
  <c r="P83" i="46"/>
  <c r="P82" i="46"/>
  <c r="P114" i="47"/>
  <c r="P116" i="47" s="1"/>
  <c r="P80" i="46"/>
  <c r="P77" i="46"/>
  <c r="P76" i="46"/>
  <c r="P79" i="46"/>
  <c r="P78" i="46"/>
  <c r="P84" i="46"/>
  <c r="P75" i="46"/>
  <c r="S44" i="46"/>
  <c r="S131" i="42" s="1"/>
  <c r="L75" i="48" s="1"/>
  <c r="S62" i="47"/>
  <c r="S64" i="47" s="1"/>
  <c r="S45" i="46"/>
  <c r="S145" i="42" s="1"/>
  <c r="L82" i="48" s="1"/>
  <c r="S43" i="46"/>
  <c r="S117" i="42" s="1"/>
  <c r="L69" i="48" s="1"/>
  <c r="S42" i="46"/>
  <c r="S103" i="42" s="1"/>
  <c r="L62" i="48" s="1"/>
  <c r="S39" i="46"/>
  <c r="S61" i="42" s="1"/>
  <c r="L41" i="48" s="1"/>
  <c r="S38" i="46"/>
  <c r="S47" i="42" s="1"/>
  <c r="L34" i="48" s="1"/>
  <c r="S41" i="46"/>
  <c r="S89" i="42" s="1"/>
  <c r="L55" i="48" s="1"/>
  <c r="S40" i="46"/>
  <c r="S75" i="42" s="1"/>
  <c r="L48" i="48" s="1"/>
  <c r="S46" i="46"/>
  <c r="S159" i="42" s="1"/>
  <c r="L89" i="48" s="1"/>
  <c r="S37" i="46"/>
  <c r="Y62" i="46"/>
  <c r="Y118" i="42" s="1"/>
  <c r="Y63" i="46"/>
  <c r="Y132" i="42" s="1"/>
  <c r="Y64" i="46"/>
  <c r="Y146" i="42" s="1"/>
  <c r="Y88" i="47"/>
  <c r="Y90" i="47" s="1"/>
  <c r="Y61" i="46"/>
  <c r="Y104" i="42" s="1"/>
  <c r="Y58" i="46"/>
  <c r="Y62" i="42" s="1"/>
  <c r="Y57" i="46"/>
  <c r="Y48" i="42" s="1"/>
  <c r="Y59" i="46"/>
  <c r="Y76" i="42" s="1"/>
  <c r="Y60" i="46"/>
  <c r="Y90" i="42" s="1"/>
  <c r="Y65" i="46"/>
  <c r="Y160" i="42" s="1"/>
  <c r="Y56" i="46"/>
  <c r="J140" i="47"/>
  <c r="J142" i="47" s="1"/>
  <c r="J100" i="46"/>
  <c r="J120" i="42" s="1"/>
  <c r="C71" i="48" s="1"/>
  <c r="J102" i="46"/>
  <c r="J148" i="42" s="1"/>
  <c r="C85" i="48" s="1"/>
  <c r="J101" i="46"/>
  <c r="J134" i="42" s="1"/>
  <c r="C78" i="48" s="1"/>
  <c r="J99" i="46"/>
  <c r="J106" i="42" s="1"/>
  <c r="C65" i="48" s="1"/>
  <c r="J96" i="46"/>
  <c r="J64" i="42" s="1"/>
  <c r="C44" i="48" s="1"/>
  <c r="J95" i="46"/>
  <c r="J50" i="42" s="1"/>
  <c r="C37" i="48" s="1"/>
  <c r="J98" i="46"/>
  <c r="J92" i="42" s="1"/>
  <c r="C58" i="48" s="1"/>
  <c r="J97" i="46"/>
  <c r="J78" i="42" s="1"/>
  <c r="C51" i="48" s="1"/>
  <c r="J103" i="46"/>
  <c r="J162" i="42" s="1"/>
  <c r="C92" i="48" s="1"/>
  <c r="J94" i="46"/>
  <c r="Q83" i="46"/>
  <c r="Q82" i="46"/>
  <c r="Q81" i="46"/>
  <c r="Q114" i="47"/>
  <c r="Q116" i="47" s="1"/>
  <c r="Q80" i="46"/>
  <c r="Q77" i="46"/>
  <c r="Q76" i="46"/>
  <c r="Q78" i="46"/>
  <c r="Q79" i="46"/>
  <c r="Q84" i="46"/>
  <c r="Q75" i="46"/>
  <c r="J81" i="46"/>
  <c r="J114" i="47"/>
  <c r="J116" i="47" s="1"/>
  <c r="J82" i="46"/>
  <c r="J83" i="46"/>
  <c r="J80" i="46"/>
  <c r="J77" i="46"/>
  <c r="J76" i="46"/>
  <c r="J79" i="46"/>
  <c r="J78" i="46"/>
  <c r="J84" i="46"/>
  <c r="J75" i="46"/>
  <c r="T225" i="32"/>
  <c r="AB81" i="46"/>
  <c r="AB114" i="47"/>
  <c r="AB116" i="47" s="1"/>
  <c r="AB83" i="46"/>
  <c r="AB82" i="46"/>
  <c r="AB80" i="46"/>
  <c r="AB77" i="46"/>
  <c r="AB76" i="46"/>
  <c r="AB79" i="46"/>
  <c r="AB78" i="46"/>
  <c r="AB84" i="46"/>
  <c r="AB75" i="46"/>
  <c r="N101" i="46"/>
  <c r="N134" i="42" s="1"/>
  <c r="G78" i="48" s="1"/>
  <c r="N102" i="46"/>
  <c r="N148" i="42" s="1"/>
  <c r="G85" i="48" s="1"/>
  <c r="N140" i="47"/>
  <c r="N142" i="47" s="1"/>
  <c r="N100" i="46"/>
  <c r="N120" i="42" s="1"/>
  <c r="G71" i="48" s="1"/>
  <c r="N99" i="46"/>
  <c r="N106" i="42" s="1"/>
  <c r="G65" i="48" s="1"/>
  <c r="N96" i="46"/>
  <c r="N64" i="42" s="1"/>
  <c r="G44" i="48" s="1"/>
  <c r="N95" i="46"/>
  <c r="N50" i="42" s="1"/>
  <c r="G37" i="48" s="1"/>
  <c r="N97" i="46"/>
  <c r="N78" i="42" s="1"/>
  <c r="G51" i="48" s="1"/>
  <c r="N98" i="46"/>
  <c r="N92" i="42" s="1"/>
  <c r="G58" i="48" s="1"/>
  <c r="N103" i="46"/>
  <c r="N162" i="42" s="1"/>
  <c r="G92" i="48" s="1"/>
  <c r="N94" i="46"/>
  <c r="M64" i="46"/>
  <c r="M146" i="42" s="1"/>
  <c r="F83" i="48" s="1"/>
  <c r="M62" i="46"/>
  <c r="M118" i="42" s="1"/>
  <c r="M63" i="46"/>
  <c r="M132" i="42" s="1"/>
  <c r="F76" i="48" s="1"/>
  <c r="M88" i="47"/>
  <c r="M90" i="47" s="1"/>
  <c r="M61" i="46"/>
  <c r="M104" i="42" s="1"/>
  <c r="F63" i="48" s="1"/>
  <c r="M58" i="46"/>
  <c r="M62" i="42" s="1"/>
  <c r="F42" i="48" s="1"/>
  <c r="M57" i="46"/>
  <c r="M48" i="42" s="1"/>
  <c r="F35" i="48" s="1"/>
  <c r="M60" i="46"/>
  <c r="M90" i="42" s="1"/>
  <c r="F56" i="48" s="1"/>
  <c r="M59" i="46"/>
  <c r="M76" i="42" s="1"/>
  <c r="F49" i="48" s="1"/>
  <c r="M65" i="46"/>
  <c r="M160" i="42" s="1"/>
  <c r="F90" i="48" s="1"/>
  <c r="M56" i="46"/>
  <c r="W56" i="32"/>
  <c r="W56" i="47" s="1"/>
  <c r="W160" i="47" s="1"/>
  <c r="U21" i="33"/>
  <c r="Y102" i="46"/>
  <c r="Y148" i="42" s="1"/>
  <c r="Y100" i="46"/>
  <c r="Y120" i="42" s="1"/>
  <c r="Y101" i="46"/>
  <c r="Y134" i="42" s="1"/>
  <c r="Y140" i="47"/>
  <c r="Y142" i="47" s="1"/>
  <c r="Y99" i="46"/>
  <c r="Y106" i="42" s="1"/>
  <c r="Y96" i="46"/>
  <c r="Y64" i="42" s="1"/>
  <c r="Y95" i="46"/>
  <c r="Y50" i="42" s="1"/>
  <c r="Y97" i="46"/>
  <c r="Y78" i="42" s="1"/>
  <c r="Y98" i="46"/>
  <c r="Y92" i="42" s="1"/>
  <c r="Y103" i="46"/>
  <c r="Y162" i="42" s="1"/>
  <c r="Y94" i="46"/>
  <c r="P44" i="46"/>
  <c r="P131" i="42" s="1"/>
  <c r="I75" i="48" s="1"/>
  <c r="P45" i="46"/>
  <c r="P145" i="42" s="1"/>
  <c r="I82" i="48" s="1"/>
  <c r="P43" i="46"/>
  <c r="P117" i="42" s="1"/>
  <c r="I69" i="48" s="1"/>
  <c r="P62" i="47"/>
  <c r="P64" i="47" s="1"/>
  <c r="P42" i="46"/>
  <c r="P103" i="42" s="1"/>
  <c r="I62" i="48" s="1"/>
  <c r="P39" i="46"/>
  <c r="P61" i="42" s="1"/>
  <c r="I41" i="48" s="1"/>
  <c r="P38" i="46"/>
  <c r="P47" i="42" s="1"/>
  <c r="I34" i="48" s="1"/>
  <c r="P41" i="46"/>
  <c r="P89" i="42" s="1"/>
  <c r="I55" i="48" s="1"/>
  <c r="P40" i="46"/>
  <c r="P75" i="42" s="1"/>
  <c r="I48" i="48" s="1"/>
  <c r="P46" i="46"/>
  <c r="P159" i="42" s="1"/>
  <c r="I89" i="48" s="1"/>
  <c r="P37" i="46"/>
  <c r="O140" i="46"/>
  <c r="O139" i="46"/>
  <c r="O192" i="47"/>
  <c r="O194" i="47" s="1"/>
  <c r="O138" i="46"/>
  <c r="O137" i="46"/>
  <c r="O134" i="46"/>
  <c r="O133" i="46"/>
  <c r="O136" i="46"/>
  <c r="O135" i="46"/>
  <c r="O141" i="46"/>
  <c r="O132" i="46"/>
  <c r="A142" i="45"/>
  <c r="M43" i="46"/>
  <c r="M117" i="42" s="1"/>
  <c r="F69" i="48" s="1"/>
  <c r="M45" i="46"/>
  <c r="M145" i="42" s="1"/>
  <c r="F82" i="48" s="1"/>
  <c r="M62" i="47"/>
  <c r="M64" i="47" s="1"/>
  <c r="M44" i="46"/>
  <c r="M131" i="42" s="1"/>
  <c r="F75" i="48" s="1"/>
  <c r="M42" i="46"/>
  <c r="M103" i="42" s="1"/>
  <c r="F62" i="48" s="1"/>
  <c r="M39" i="46"/>
  <c r="M61" i="42" s="1"/>
  <c r="F41" i="48" s="1"/>
  <c r="M38" i="46"/>
  <c r="M47" i="42" s="1"/>
  <c r="F34" i="48" s="1"/>
  <c r="M41" i="46"/>
  <c r="M89" i="42" s="1"/>
  <c r="F55" i="48" s="1"/>
  <c r="M40" i="46"/>
  <c r="M75" i="42" s="1"/>
  <c r="F48" i="48" s="1"/>
  <c r="M46" i="46"/>
  <c r="M159" i="42" s="1"/>
  <c r="F89" i="48" s="1"/>
  <c r="M37" i="46"/>
  <c r="R88" i="47"/>
  <c r="R90" i="47" s="1"/>
  <c r="R64" i="46"/>
  <c r="R146" i="42" s="1"/>
  <c r="K83" i="48" s="1"/>
  <c r="R62" i="46"/>
  <c r="R118" i="42" s="1"/>
  <c r="R63" i="46"/>
  <c r="R132" i="42" s="1"/>
  <c r="K76" i="48" s="1"/>
  <c r="R61" i="46"/>
  <c r="R104" i="42" s="1"/>
  <c r="K63" i="48" s="1"/>
  <c r="R58" i="46"/>
  <c r="R62" i="42" s="1"/>
  <c r="K42" i="48" s="1"/>
  <c r="R57" i="46"/>
  <c r="R48" i="42" s="1"/>
  <c r="K35" i="48" s="1"/>
  <c r="R65" i="46"/>
  <c r="R160" i="42" s="1"/>
  <c r="K90" i="48" s="1"/>
  <c r="R60" i="46"/>
  <c r="R90" i="42" s="1"/>
  <c r="K56" i="48" s="1"/>
  <c r="R59" i="46"/>
  <c r="R76" i="42" s="1"/>
  <c r="K49" i="48" s="1"/>
  <c r="R56" i="46"/>
  <c r="J36" i="47"/>
  <c r="J38" i="47" s="1"/>
  <c r="J24" i="46"/>
  <c r="J149" i="47"/>
  <c r="J26" i="46"/>
  <c r="J25" i="46"/>
  <c r="J23" i="46"/>
  <c r="J20" i="46"/>
  <c r="J19" i="46"/>
  <c r="J21" i="46"/>
  <c r="J22" i="46"/>
  <c r="J27" i="46"/>
  <c r="J18" i="46"/>
  <c r="A90" i="45"/>
  <c r="T40" i="46"/>
  <c r="T75" i="42" s="1"/>
  <c r="M48" i="48" s="1"/>
  <c r="T42" i="46"/>
  <c r="T103" i="42" s="1"/>
  <c r="M62" i="48" s="1"/>
  <c r="T62" i="47"/>
  <c r="T64" i="47" s="1"/>
  <c r="Z100" i="46"/>
  <c r="Z120" i="42" s="1"/>
  <c r="Z140" i="47"/>
  <c r="Z142" i="47" s="1"/>
  <c r="Z102" i="46"/>
  <c r="Z148" i="42" s="1"/>
  <c r="Z101" i="46"/>
  <c r="Z134" i="42" s="1"/>
  <c r="Z99" i="46"/>
  <c r="Z106" i="42" s="1"/>
  <c r="Z96" i="46"/>
  <c r="Z64" i="42" s="1"/>
  <c r="Z95" i="46"/>
  <c r="Z50" i="42" s="1"/>
  <c r="Z98" i="46"/>
  <c r="Z92" i="42" s="1"/>
  <c r="Z97" i="46"/>
  <c r="Z78" i="42" s="1"/>
  <c r="Z103" i="46"/>
  <c r="Z162" i="42" s="1"/>
  <c r="Z94" i="46"/>
  <c r="N114" i="47"/>
  <c r="N116" i="47" s="1"/>
  <c r="N81" i="46"/>
  <c r="N82" i="46"/>
  <c r="N83" i="46"/>
  <c r="N80" i="46"/>
  <c r="N77" i="46"/>
  <c r="N76" i="46"/>
  <c r="N79" i="46"/>
  <c r="N78" i="46"/>
  <c r="N84" i="46"/>
  <c r="N75" i="46"/>
  <c r="L44" i="46"/>
  <c r="L131" i="42" s="1"/>
  <c r="E75" i="48" s="1"/>
  <c r="L45" i="46"/>
  <c r="L145" i="42" s="1"/>
  <c r="E82" i="48" s="1"/>
  <c r="L62" i="47"/>
  <c r="L64" i="47" s="1"/>
  <c r="L43" i="46"/>
  <c r="L117" i="42" s="1"/>
  <c r="E69" i="48" s="1"/>
  <c r="L42" i="46"/>
  <c r="L103" i="42" s="1"/>
  <c r="E62" i="48" s="1"/>
  <c r="L39" i="46"/>
  <c r="L61" i="42" s="1"/>
  <c r="E41" i="48" s="1"/>
  <c r="L38" i="46"/>
  <c r="L47" i="42" s="1"/>
  <c r="E34" i="48" s="1"/>
  <c r="L40" i="46"/>
  <c r="L75" i="42" s="1"/>
  <c r="E48" i="48" s="1"/>
  <c r="L41" i="46"/>
  <c r="L89" i="42" s="1"/>
  <c r="E55" i="48" s="1"/>
  <c r="L46" i="46"/>
  <c r="L159" i="42" s="1"/>
  <c r="E89" i="48" s="1"/>
  <c r="L37" i="46"/>
  <c r="M101" i="46"/>
  <c r="M134" i="42" s="1"/>
  <c r="F78" i="48" s="1"/>
  <c r="M100" i="46"/>
  <c r="M120" i="42" s="1"/>
  <c r="F71" i="48" s="1"/>
  <c r="M140" i="47"/>
  <c r="M142" i="47" s="1"/>
  <c r="M102" i="46"/>
  <c r="M148" i="42" s="1"/>
  <c r="F85" i="48" s="1"/>
  <c r="M99" i="46"/>
  <c r="M106" i="42" s="1"/>
  <c r="F65" i="48" s="1"/>
  <c r="M96" i="46"/>
  <c r="M64" i="42" s="1"/>
  <c r="F44" i="48" s="1"/>
  <c r="M95" i="46"/>
  <c r="M50" i="42" s="1"/>
  <c r="F37" i="48" s="1"/>
  <c r="M98" i="46"/>
  <c r="M92" i="42" s="1"/>
  <c r="F58" i="48" s="1"/>
  <c r="M97" i="46"/>
  <c r="M78" i="42" s="1"/>
  <c r="F51" i="48" s="1"/>
  <c r="M103" i="46"/>
  <c r="M162" i="42" s="1"/>
  <c r="F92" i="48" s="1"/>
  <c r="M94" i="46"/>
  <c r="T88" i="47"/>
  <c r="T90" i="47" s="1"/>
  <c r="T57" i="46"/>
  <c r="T48" i="42" s="1"/>
  <c r="M35" i="48" s="1"/>
  <c r="T56" i="46"/>
  <c r="T62" i="46"/>
  <c r="T118" i="42" s="1"/>
  <c r="T59" i="46"/>
  <c r="T76" i="42" s="1"/>
  <c r="M49" i="48" s="1"/>
  <c r="T64" i="46"/>
  <c r="T146" i="42" s="1"/>
  <c r="M83" i="48" s="1"/>
  <c r="T61" i="46"/>
  <c r="T104" i="42" s="1"/>
  <c r="M63" i="48" s="1"/>
  <c r="T60" i="46"/>
  <c r="T90" i="42" s="1"/>
  <c r="M56" i="48" s="1"/>
  <c r="T63" i="46"/>
  <c r="T132" i="42" s="1"/>
  <c r="M76" i="48" s="1"/>
  <c r="T58" i="46"/>
  <c r="T62" i="42" s="1"/>
  <c r="M42" i="48" s="1"/>
  <c r="T65" i="46"/>
  <c r="T160" i="42" s="1"/>
  <c r="M90" i="48" s="1"/>
  <c r="V64" i="46"/>
  <c r="V146" i="42" s="1"/>
  <c r="V60" i="46"/>
  <c r="V90" i="42" s="1"/>
  <c r="V56" i="46"/>
  <c r="V62" i="46"/>
  <c r="V118" i="42" s="1"/>
  <c r="V61" i="46"/>
  <c r="V104" i="42" s="1"/>
  <c r="V59" i="46"/>
  <c r="V76" i="42" s="1"/>
  <c r="V63" i="46"/>
  <c r="V132" i="42" s="1"/>
  <c r="V58" i="46"/>
  <c r="V62" i="42" s="1"/>
  <c r="V65" i="46"/>
  <c r="V160" i="42" s="1"/>
  <c r="V88" i="47"/>
  <c r="V90" i="47" s="1"/>
  <c r="V57" i="46"/>
  <c r="V48" i="42" s="1"/>
  <c r="U163" i="32"/>
  <c r="U216" i="32" s="1"/>
  <c r="V29" i="32" s="1"/>
  <c r="W62" i="45"/>
  <c r="W64" i="45" s="1"/>
  <c r="K62" i="47"/>
  <c r="K64" i="47" s="1"/>
  <c r="K43" i="46"/>
  <c r="K117" i="42" s="1"/>
  <c r="D69" i="48" s="1"/>
  <c r="K45" i="46"/>
  <c r="K145" i="42" s="1"/>
  <c r="D82" i="48" s="1"/>
  <c r="K44" i="46"/>
  <c r="K131" i="42" s="1"/>
  <c r="D75" i="48" s="1"/>
  <c r="K42" i="46"/>
  <c r="K103" i="42" s="1"/>
  <c r="D62" i="48" s="1"/>
  <c r="K39" i="46"/>
  <c r="K61" i="42" s="1"/>
  <c r="D41" i="48" s="1"/>
  <c r="K38" i="46"/>
  <c r="K47" i="42" s="1"/>
  <c r="D34" i="48" s="1"/>
  <c r="K41" i="46"/>
  <c r="K89" i="42" s="1"/>
  <c r="D55" i="48" s="1"/>
  <c r="K40" i="46"/>
  <c r="K75" i="42" s="1"/>
  <c r="D48" i="48" s="1"/>
  <c r="K46" i="46"/>
  <c r="K159" i="42" s="1"/>
  <c r="D89" i="48" s="1"/>
  <c r="K37" i="46"/>
  <c r="AB139" i="46"/>
  <c r="AB192" i="47"/>
  <c r="AB194" i="47" s="1"/>
  <c r="AB140" i="46"/>
  <c r="AB138" i="46"/>
  <c r="AB137" i="46"/>
  <c r="AB134" i="46"/>
  <c r="AB133" i="46"/>
  <c r="AB136" i="46"/>
  <c r="AB135" i="46"/>
  <c r="AB141" i="46"/>
  <c r="AB132" i="46"/>
  <c r="N44" i="46"/>
  <c r="N131" i="42" s="1"/>
  <c r="G75" i="48" s="1"/>
  <c r="N43" i="46"/>
  <c r="N117" i="42" s="1"/>
  <c r="G69" i="48" s="1"/>
  <c r="N45" i="46"/>
  <c r="N145" i="42" s="1"/>
  <c r="G82" i="48" s="1"/>
  <c r="N62" i="47"/>
  <c r="N64" i="47" s="1"/>
  <c r="N42" i="46"/>
  <c r="N103" i="42" s="1"/>
  <c r="G62" i="48" s="1"/>
  <c r="N39" i="46"/>
  <c r="N61" i="42" s="1"/>
  <c r="G41" i="48" s="1"/>
  <c r="N38" i="46"/>
  <c r="N47" i="42" s="1"/>
  <c r="G34" i="48" s="1"/>
  <c r="N40" i="46"/>
  <c r="N75" i="42" s="1"/>
  <c r="G48" i="48" s="1"/>
  <c r="N41" i="46"/>
  <c r="N89" i="42" s="1"/>
  <c r="G55" i="48" s="1"/>
  <c r="N46" i="46"/>
  <c r="N159" i="42" s="1"/>
  <c r="G89" i="48" s="1"/>
  <c r="N37" i="46"/>
  <c r="AA88" i="47"/>
  <c r="AA90" i="47" s="1"/>
  <c r="AA64" i="46"/>
  <c r="AA146" i="42" s="1"/>
  <c r="AA63" i="46"/>
  <c r="AA132" i="42" s="1"/>
  <c r="AA62" i="46"/>
  <c r="AA118" i="42" s="1"/>
  <c r="AA61" i="46"/>
  <c r="AA104" i="42" s="1"/>
  <c r="AA58" i="46"/>
  <c r="AA62" i="42" s="1"/>
  <c r="AA57" i="46"/>
  <c r="AA48" i="42" s="1"/>
  <c r="AA60" i="46"/>
  <c r="AA90" i="42" s="1"/>
  <c r="AA59" i="46"/>
  <c r="AA76" i="42" s="1"/>
  <c r="AA65" i="46"/>
  <c r="AA160" i="42" s="1"/>
  <c r="AA56" i="46"/>
  <c r="V101" i="46"/>
  <c r="V134" i="42" s="1"/>
  <c r="V95" i="46"/>
  <c r="V50" i="42" s="1"/>
  <c r="V94" i="46"/>
  <c r="V100" i="46"/>
  <c r="V120" i="42" s="1"/>
  <c r="V98" i="46"/>
  <c r="V92" i="42" s="1"/>
  <c r="V140" i="47"/>
  <c r="V142" i="47" s="1"/>
  <c r="V99" i="46"/>
  <c r="V106" i="42" s="1"/>
  <c r="V97" i="46"/>
  <c r="V78" i="42" s="1"/>
  <c r="V102" i="46"/>
  <c r="V148" i="42" s="1"/>
  <c r="V96" i="46"/>
  <c r="V64" i="42" s="1"/>
  <c r="V103" i="46"/>
  <c r="V162" i="42" s="1"/>
  <c r="A116" i="45"/>
  <c r="R82" i="46"/>
  <c r="R114" i="47"/>
  <c r="R116" i="47" s="1"/>
  <c r="R83" i="46"/>
  <c r="R81" i="46"/>
  <c r="R80" i="46"/>
  <c r="R77" i="46"/>
  <c r="R76" i="46"/>
  <c r="R78" i="46"/>
  <c r="R79" i="46"/>
  <c r="R84" i="46"/>
  <c r="R75" i="46"/>
  <c r="O62" i="46"/>
  <c r="O118" i="42" s="1"/>
  <c r="O64" i="46"/>
  <c r="O146" i="42" s="1"/>
  <c r="H83" i="48" s="1"/>
  <c r="O63" i="46"/>
  <c r="O132" i="42" s="1"/>
  <c r="H76" i="48" s="1"/>
  <c r="O88" i="47"/>
  <c r="O90" i="47" s="1"/>
  <c r="O61" i="46"/>
  <c r="O104" i="42" s="1"/>
  <c r="H63" i="48" s="1"/>
  <c r="O58" i="46"/>
  <c r="O62" i="42" s="1"/>
  <c r="H42" i="48" s="1"/>
  <c r="O57" i="46"/>
  <c r="O48" i="42" s="1"/>
  <c r="H35" i="48" s="1"/>
  <c r="O60" i="46"/>
  <c r="O90" i="42" s="1"/>
  <c r="H56" i="48" s="1"/>
  <c r="O59" i="46"/>
  <c r="O76" i="42" s="1"/>
  <c r="H49" i="48" s="1"/>
  <c r="O65" i="46"/>
  <c r="O160" i="42" s="1"/>
  <c r="H90" i="48" s="1"/>
  <c r="O56" i="46"/>
  <c r="L192" i="47"/>
  <c r="L194" i="47" s="1"/>
  <c r="L138" i="46"/>
  <c r="L139" i="46"/>
  <c r="L140" i="46"/>
  <c r="L137" i="46"/>
  <c r="L134" i="46"/>
  <c r="L133" i="46"/>
  <c r="L136" i="46"/>
  <c r="L135" i="46"/>
  <c r="L141" i="46"/>
  <c r="L132" i="46"/>
  <c r="K114" i="47"/>
  <c r="K116" i="47" s="1"/>
  <c r="K81" i="46"/>
  <c r="K83" i="46"/>
  <c r="K82" i="46"/>
  <c r="K80" i="46"/>
  <c r="K77" i="46"/>
  <c r="K76" i="46"/>
  <c r="K79" i="46"/>
  <c r="K78" i="46"/>
  <c r="K84" i="46"/>
  <c r="K75" i="46"/>
  <c r="X138" i="46"/>
  <c r="X192" i="47"/>
  <c r="X194" i="47" s="1"/>
  <c r="X140" i="46"/>
  <c r="X139" i="46"/>
  <c r="X137" i="46"/>
  <c r="X134" i="46"/>
  <c r="X133" i="46"/>
  <c r="X135" i="46"/>
  <c r="X136" i="46"/>
  <c r="X141" i="46"/>
  <c r="X132" i="46"/>
  <c r="V192" i="47"/>
  <c r="V194" i="47" s="1"/>
  <c r="V138" i="46"/>
  <c r="V140" i="46"/>
  <c r="V139" i="46"/>
  <c r="V137" i="46"/>
  <c r="V134" i="46"/>
  <c r="V133" i="46"/>
  <c r="V136" i="46"/>
  <c r="V135" i="46"/>
  <c r="V141" i="46"/>
  <c r="V132" i="46"/>
  <c r="Z83" i="46"/>
  <c r="Z114" i="47"/>
  <c r="Z116" i="47" s="1"/>
  <c r="Z81" i="46"/>
  <c r="Z82" i="46"/>
  <c r="Z80" i="46"/>
  <c r="Z77" i="46"/>
  <c r="Z76" i="46"/>
  <c r="Z78" i="46"/>
  <c r="Z79" i="46"/>
  <c r="Z84" i="46"/>
  <c r="Z75" i="46"/>
  <c r="AB140" i="47"/>
  <c r="AB142" i="47" s="1"/>
  <c r="AB100" i="46"/>
  <c r="AB120" i="42" s="1"/>
  <c r="AB102" i="46"/>
  <c r="AB148" i="42" s="1"/>
  <c r="AB101" i="46"/>
  <c r="AB134" i="42" s="1"/>
  <c r="AB99" i="46"/>
  <c r="AB106" i="42" s="1"/>
  <c r="AB96" i="46"/>
  <c r="AB64" i="42" s="1"/>
  <c r="AB95" i="46"/>
  <c r="AB50" i="42" s="1"/>
  <c r="AB98" i="46"/>
  <c r="AB92" i="42" s="1"/>
  <c r="AB97" i="46"/>
  <c r="AB78" i="42" s="1"/>
  <c r="AB103" i="46"/>
  <c r="AB162" i="42" s="1"/>
  <c r="AB94" i="46"/>
  <c r="R100" i="46"/>
  <c r="R120" i="42" s="1"/>
  <c r="K71" i="48" s="1"/>
  <c r="R102" i="46"/>
  <c r="R148" i="42" s="1"/>
  <c r="K85" i="48" s="1"/>
  <c r="R140" i="47"/>
  <c r="R142" i="47" s="1"/>
  <c r="R101" i="46"/>
  <c r="R134" i="42" s="1"/>
  <c r="K78" i="48" s="1"/>
  <c r="R99" i="46"/>
  <c r="R106" i="42" s="1"/>
  <c r="K65" i="48" s="1"/>
  <c r="R96" i="46"/>
  <c r="R64" i="42" s="1"/>
  <c r="K44" i="48" s="1"/>
  <c r="R95" i="46"/>
  <c r="R50" i="42" s="1"/>
  <c r="K37" i="48" s="1"/>
  <c r="R97" i="46"/>
  <c r="R78" i="42" s="1"/>
  <c r="K51" i="48" s="1"/>
  <c r="R98" i="46"/>
  <c r="R92" i="42" s="1"/>
  <c r="K58" i="48" s="1"/>
  <c r="R103" i="46"/>
  <c r="R162" i="42" s="1"/>
  <c r="K92" i="48" s="1"/>
  <c r="R94" i="46"/>
  <c r="L114" i="47"/>
  <c r="L116" i="47" s="1"/>
  <c r="L83" i="46"/>
  <c r="L81" i="46"/>
  <c r="L82" i="46"/>
  <c r="L80" i="46"/>
  <c r="L77" i="46"/>
  <c r="L76" i="46"/>
  <c r="L79" i="46"/>
  <c r="L78" i="46"/>
  <c r="L84" i="46"/>
  <c r="L75" i="46"/>
  <c r="N192" i="47"/>
  <c r="N194" i="47" s="1"/>
  <c r="N139" i="46"/>
  <c r="N140" i="46"/>
  <c r="N138" i="46"/>
  <c r="N137" i="46"/>
  <c r="N134" i="46"/>
  <c r="N133" i="46"/>
  <c r="N135" i="46"/>
  <c r="N136" i="46"/>
  <c r="N141" i="46"/>
  <c r="N132" i="46"/>
  <c r="U62" i="46"/>
  <c r="U118" i="42" s="1"/>
  <c r="U59" i="46"/>
  <c r="U76" i="42" s="1"/>
  <c r="N49" i="48" s="1"/>
  <c r="U88" i="47"/>
  <c r="U90" i="47" s="1"/>
  <c r="U61" i="46"/>
  <c r="U104" i="42" s="1"/>
  <c r="N63" i="48" s="1"/>
  <c r="U60" i="46"/>
  <c r="U90" i="42" s="1"/>
  <c r="N56" i="48" s="1"/>
  <c r="U64" i="46"/>
  <c r="U146" i="42" s="1"/>
  <c r="N83" i="48" s="1"/>
  <c r="U58" i="46"/>
  <c r="U62" i="42" s="1"/>
  <c r="N42" i="48" s="1"/>
  <c r="U65" i="46"/>
  <c r="U160" i="42" s="1"/>
  <c r="N90" i="48" s="1"/>
  <c r="U63" i="46"/>
  <c r="U132" i="42" s="1"/>
  <c r="N76" i="48" s="1"/>
  <c r="U57" i="46"/>
  <c r="U48" i="42" s="1"/>
  <c r="N35" i="48" s="1"/>
  <c r="U56" i="46"/>
  <c r="S81" i="46"/>
  <c r="S77" i="46"/>
  <c r="S84" i="46"/>
  <c r="S83" i="46"/>
  <c r="S76" i="46"/>
  <c r="S75" i="46"/>
  <c r="S82" i="46"/>
  <c r="S78" i="46"/>
  <c r="S114" i="47"/>
  <c r="S116" i="47" s="1"/>
  <c r="S80" i="46"/>
  <c r="S79" i="46"/>
  <c r="T81" i="46"/>
  <c r="T77" i="46"/>
  <c r="T84" i="46"/>
  <c r="T114" i="47"/>
  <c r="T116" i="47" s="1"/>
  <c r="T76" i="46"/>
  <c r="T75" i="46"/>
  <c r="T82" i="46"/>
  <c r="T79" i="46"/>
  <c r="T83" i="46"/>
  <c r="T80" i="46"/>
  <c r="T78" i="46"/>
  <c r="Z29" i="48"/>
  <c r="T19" i="34"/>
  <c r="Z16" i="48" s="1"/>
  <c r="T41" i="46"/>
  <c r="T89" i="42" s="1"/>
  <c r="M55" i="48" s="1"/>
  <c r="T43" i="46"/>
  <c r="T117" i="42" s="1"/>
  <c r="M69" i="48" s="1"/>
  <c r="U23" i="33"/>
  <c r="U26" i="33"/>
  <c r="W51" i="32"/>
  <c r="W51" i="47" s="1"/>
  <c r="W155" i="47" s="1"/>
  <c r="J138" i="46"/>
  <c r="J192" i="47"/>
  <c r="J194" i="47" s="1"/>
  <c r="J140" i="46"/>
  <c r="J139" i="46"/>
  <c r="J137" i="46"/>
  <c r="J134" i="46"/>
  <c r="J133" i="46"/>
  <c r="J136" i="46"/>
  <c r="J135" i="46"/>
  <c r="J141" i="46"/>
  <c r="J132" i="46"/>
  <c r="Y138" i="46"/>
  <c r="Y139" i="46"/>
  <c r="Y192" i="47"/>
  <c r="Y194" i="47" s="1"/>
  <c r="Y140" i="46"/>
  <c r="Y137" i="46"/>
  <c r="Y134" i="46"/>
  <c r="Y133" i="46"/>
  <c r="Y135" i="46"/>
  <c r="Y136" i="46"/>
  <c r="Y141" i="46"/>
  <c r="Y132" i="46"/>
  <c r="K138" i="46"/>
  <c r="K192" i="47"/>
  <c r="K194" i="47" s="1"/>
  <c r="K140" i="46"/>
  <c r="K139" i="46"/>
  <c r="K137" i="46"/>
  <c r="K134" i="46"/>
  <c r="K133" i="46"/>
  <c r="K136" i="46"/>
  <c r="K135" i="46"/>
  <c r="K141" i="46"/>
  <c r="K132" i="46"/>
  <c r="T102" i="46"/>
  <c r="T148" i="42" s="1"/>
  <c r="M85" i="48" s="1"/>
  <c r="T140" i="47"/>
  <c r="T142" i="47" s="1"/>
  <c r="T101" i="46"/>
  <c r="T134" i="42" s="1"/>
  <c r="M78" i="48" s="1"/>
  <c r="T100" i="46"/>
  <c r="T120" i="42" s="1"/>
  <c r="M71" i="48" s="1"/>
  <c r="T99" i="46"/>
  <c r="T106" i="42" s="1"/>
  <c r="M65" i="48" s="1"/>
  <c r="T96" i="46"/>
  <c r="T64" i="42" s="1"/>
  <c r="M44" i="48" s="1"/>
  <c r="T95" i="46"/>
  <c r="T50" i="42" s="1"/>
  <c r="M37" i="48" s="1"/>
  <c r="T98" i="46"/>
  <c r="T92" i="42" s="1"/>
  <c r="M58" i="48" s="1"/>
  <c r="T97" i="46"/>
  <c r="T78" i="42" s="1"/>
  <c r="M51" i="48" s="1"/>
  <c r="T103" i="46"/>
  <c r="T162" i="42" s="1"/>
  <c r="M92" i="48" s="1"/>
  <c r="T94" i="46"/>
  <c r="L64" i="46"/>
  <c r="L146" i="42" s="1"/>
  <c r="E83" i="48" s="1"/>
  <c r="L62" i="46"/>
  <c r="L118" i="42" s="1"/>
  <c r="L63" i="46"/>
  <c r="L132" i="42" s="1"/>
  <c r="E76" i="48" s="1"/>
  <c r="L88" i="47"/>
  <c r="L90" i="47" s="1"/>
  <c r="L61" i="46"/>
  <c r="L104" i="42" s="1"/>
  <c r="E63" i="48" s="1"/>
  <c r="L58" i="46"/>
  <c r="L62" i="42" s="1"/>
  <c r="E42" i="48" s="1"/>
  <c r="L57" i="46"/>
  <c r="L48" i="42" s="1"/>
  <c r="E35" i="48" s="1"/>
  <c r="L59" i="46"/>
  <c r="L76" i="42" s="1"/>
  <c r="E49" i="48" s="1"/>
  <c r="L60" i="46"/>
  <c r="L90" i="42" s="1"/>
  <c r="E56" i="48" s="1"/>
  <c r="L65" i="46"/>
  <c r="L160" i="42" s="1"/>
  <c r="E90" i="48" s="1"/>
  <c r="L56" i="46"/>
  <c r="K140" i="47"/>
  <c r="K142" i="47" s="1"/>
  <c r="K100" i="46"/>
  <c r="K120" i="42" s="1"/>
  <c r="D71" i="48" s="1"/>
  <c r="K101" i="46"/>
  <c r="K134" i="42" s="1"/>
  <c r="D78" i="48" s="1"/>
  <c r="K102" i="46"/>
  <c r="K148" i="42" s="1"/>
  <c r="D85" i="48" s="1"/>
  <c r="K99" i="46"/>
  <c r="K106" i="42" s="1"/>
  <c r="D65" i="48" s="1"/>
  <c r="K96" i="46"/>
  <c r="K64" i="42" s="1"/>
  <c r="D44" i="48" s="1"/>
  <c r="K95" i="46"/>
  <c r="K50" i="42" s="1"/>
  <c r="D37" i="48" s="1"/>
  <c r="K97" i="46"/>
  <c r="K78" i="42" s="1"/>
  <c r="D51" i="48" s="1"/>
  <c r="K98" i="46"/>
  <c r="K92" i="42" s="1"/>
  <c r="D58" i="48" s="1"/>
  <c r="K103" i="46"/>
  <c r="K162" i="42" s="1"/>
  <c r="D92" i="48" s="1"/>
  <c r="K94" i="46"/>
  <c r="U18" i="47"/>
  <c r="T96" i="34"/>
  <c r="Q192" i="47"/>
  <c r="Q194" i="47" s="1"/>
  <c r="Q139" i="46"/>
  <c r="Q138" i="46"/>
  <c r="Q140" i="46"/>
  <c r="Q137" i="46"/>
  <c r="Q134" i="46"/>
  <c r="Q133" i="46"/>
  <c r="Q136" i="46"/>
  <c r="Q135" i="46"/>
  <c r="Q141" i="46"/>
  <c r="Q132" i="46"/>
  <c r="M139" i="46"/>
  <c r="M138" i="46"/>
  <c r="M192" i="47"/>
  <c r="M194" i="47" s="1"/>
  <c r="M140" i="46"/>
  <c r="M137" i="46"/>
  <c r="M134" i="46"/>
  <c r="M133" i="46"/>
  <c r="M136" i="46"/>
  <c r="M135" i="46"/>
  <c r="M141" i="46"/>
  <c r="M132" i="46"/>
  <c r="Q62" i="47"/>
  <c r="Q64" i="47" s="1"/>
  <c r="Q44" i="46"/>
  <c r="Q131" i="42" s="1"/>
  <c r="J75" i="48" s="1"/>
  <c r="Q43" i="46"/>
  <c r="Q117" i="42" s="1"/>
  <c r="J69" i="48" s="1"/>
  <c r="Q45" i="46"/>
  <c r="Q145" i="42" s="1"/>
  <c r="J82" i="48" s="1"/>
  <c r="Q42" i="46"/>
  <c r="Q103" i="42" s="1"/>
  <c r="J62" i="48" s="1"/>
  <c r="Q39" i="46"/>
  <c r="Q61" i="42" s="1"/>
  <c r="J41" i="48" s="1"/>
  <c r="Q38" i="46"/>
  <c r="Q47" i="42" s="1"/>
  <c r="J34" i="48" s="1"/>
  <c r="Q41" i="46"/>
  <c r="Q89" i="42" s="1"/>
  <c r="J55" i="48" s="1"/>
  <c r="Q40" i="46"/>
  <c r="Q75" i="42" s="1"/>
  <c r="J48" i="48" s="1"/>
  <c r="Q46" i="46"/>
  <c r="Q159" i="42" s="1"/>
  <c r="J89" i="48" s="1"/>
  <c r="Q37" i="46"/>
  <c r="AA192" i="47"/>
  <c r="AA194" i="47" s="1"/>
  <c r="AA140" i="46"/>
  <c r="AA139" i="46"/>
  <c r="AA138" i="46"/>
  <c r="AA137" i="46"/>
  <c r="AA134" i="46"/>
  <c r="AA133" i="46"/>
  <c r="AA136" i="46"/>
  <c r="AA135" i="46"/>
  <c r="AA141" i="46"/>
  <c r="AA132" i="46"/>
  <c r="U27" i="33"/>
  <c r="S24" i="34"/>
  <c r="Y18" i="48"/>
  <c r="Y19" i="48" s="1"/>
  <c r="X140" i="47"/>
  <c r="X142" i="47" s="1"/>
  <c r="X102" i="46"/>
  <c r="X148" i="42" s="1"/>
  <c r="X100" i="46"/>
  <c r="X120" i="42" s="1"/>
  <c r="X101" i="46"/>
  <c r="X134" i="42" s="1"/>
  <c r="X99" i="46"/>
  <c r="X106" i="42" s="1"/>
  <c r="X96" i="46"/>
  <c r="X64" i="42" s="1"/>
  <c r="X95" i="46"/>
  <c r="X50" i="42" s="1"/>
  <c r="X98" i="46"/>
  <c r="X92" i="42" s="1"/>
  <c r="X97" i="46"/>
  <c r="X78" i="42" s="1"/>
  <c r="X103" i="46"/>
  <c r="X162" i="42" s="1"/>
  <c r="X94" i="46"/>
  <c r="U192" i="47"/>
  <c r="U194" i="47" s="1"/>
  <c r="U140" i="46"/>
  <c r="U138" i="46"/>
  <c r="U139" i="46"/>
  <c r="U137" i="46"/>
  <c r="U134" i="46"/>
  <c r="U133" i="46"/>
  <c r="U136" i="46"/>
  <c r="U135" i="46"/>
  <c r="U141" i="46"/>
  <c r="U132" i="46"/>
  <c r="Q88" i="47"/>
  <c r="Q90" i="47" s="1"/>
  <c r="Q62" i="46"/>
  <c r="Q118" i="42" s="1"/>
  <c r="Q64" i="46"/>
  <c r="Q146" i="42" s="1"/>
  <c r="J83" i="48" s="1"/>
  <c r="Q63" i="46"/>
  <c r="Q132" i="42" s="1"/>
  <c r="J76" i="48" s="1"/>
  <c r="Q61" i="46"/>
  <c r="Q104" i="42" s="1"/>
  <c r="J63" i="48" s="1"/>
  <c r="Q58" i="46"/>
  <c r="Q62" i="42" s="1"/>
  <c r="J42" i="48" s="1"/>
  <c r="Q57" i="46"/>
  <c r="Q48" i="42" s="1"/>
  <c r="J35" i="48" s="1"/>
  <c r="Q59" i="46"/>
  <c r="Q76" i="42" s="1"/>
  <c r="J49" i="48" s="1"/>
  <c r="Q60" i="46"/>
  <c r="Q90" i="42" s="1"/>
  <c r="J56" i="48" s="1"/>
  <c r="Q65" i="46"/>
  <c r="Q160" i="42" s="1"/>
  <c r="J90" i="48" s="1"/>
  <c r="Q56" i="46"/>
  <c r="Z192" i="47"/>
  <c r="Z194" i="47" s="1"/>
  <c r="Z138" i="46"/>
  <c r="Z139" i="46"/>
  <c r="Z140" i="46"/>
  <c r="Z137" i="46"/>
  <c r="Z134" i="46"/>
  <c r="Z133" i="46"/>
  <c r="Z136" i="46"/>
  <c r="Z135" i="46"/>
  <c r="Z141" i="46"/>
  <c r="Z132" i="46"/>
  <c r="S140" i="47"/>
  <c r="S142" i="47" s="1"/>
  <c r="S101" i="46"/>
  <c r="S134" i="42" s="1"/>
  <c r="L78" i="48" s="1"/>
  <c r="S102" i="46"/>
  <c r="S148" i="42" s="1"/>
  <c r="L85" i="48" s="1"/>
  <c r="S100" i="46"/>
  <c r="S120" i="42" s="1"/>
  <c r="L71" i="48" s="1"/>
  <c r="S99" i="46"/>
  <c r="S106" i="42" s="1"/>
  <c r="L65" i="48" s="1"/>
  <c r="S96" i="46"/>
  <c r="S64" i="42" s="1"/>
  <c r="L44" i="48" s="1"/>
  <c r="S95" i="46"/>
  <c r="S50" i="42" s="1"/>
  <c r="L37" i="48" s="1"/>
  <c r="S97" i="46"/>
  <c r="S78" i="42" s="1"/>
  <c r="L51" i="48" s="1"/>
  <c r="S98" i="46"/>
  <c r="S92" i="42" s="1"/>
  <c r="L58" i="48" s="1"/>
  <c r="S103" i="46"/>
  <c r="S162" i="42" s="1"/>
  <c r="L92" i="48" s="1"/>
  <c r="S94" i="46"/>
  <c r="X83" i="46"/>
  <c r="X81" i="46"/>
  <c r="X119" i="42" s="1"/>
  <c r="X82" i="46"/>
  <c r="X114" i="47"/>
  <c r="X116" i="47" s="1"/>
  <c r="X80" i="46"/>
  <c r="X77" i="46"/>
  <c r="X76" i="46"/>
  <c r="X79" i="46"/>
  <c r="X78" i="46"/>
  <c r="X77" i="42" s="1"/>
  <c r="X84" i="46"/>
  <c r="X75" i="46"/>
  <c r="O81" i="46"/>
  <c r="O83" i="46"/>
  <c r="O82" i="46"/>
  <c r="O114" i="47"/>
  <c r="O116" i="47" s="1"/>
  <c r="O80" i="46"/>
  <c r="O77" i="46"/>
  <c r="O76" i="46"/>
  <c r="O79" i="46"/>
  <c r="O78" i="46"/>
  <c r="O84" i="46"/>
  <c r="O75" i="46"/>
  <c r="N88" i="47"/>
  <c r="N90" i="47" s="1"/>
  <c r="N63" i="46"/>
  <c r="N132" i="42" s="1"/>
  <c r="G76" i="48" s="1"/>
  <c r="N62" i="46"/>
  <c r="N118" i="42" s="1"/>
  <c r="N64" i="46"/>
  <c r="N146" i="42" s="1"/>
  <c r="G83" i="48" s="1"/>
  <c r="N61" i="46"/>
  <c r="N104" i="42" s="1"/>
  <c r="G63" i="48" s="1"/>
  <c r="N58" i="46"/>
  <c r="N62" i="42" s="1"/>
  <c r="G42" i="48" s="1"/>
  <c r="N57" i="46"/>
  <c r="N48" i="42" s="1"/>
  <c r="G35" i="48" s="1"/>
  <c r="N59" i="46"/>
  <c r="N76" i="42" s="1"/>
  <c r="G49" i="48" s="1"/>
  <c r="N60" i="46"/>
  <c r="N90" i="42" s="1"/>
  <c r="G56" i="48" s="1"/>
  <c r="N65" i="46"/>
  <c r="N160" i="42" s="1"/>
  <c r="G90" i="48" s="1"/>
  <c r="N56" i="46"/>
  <c r="J201" i="45"/>
  <c r="J166" i="45"/>
  <c r="J168" i="45" s="1"/>
  <c r="U24" i="33"/>
  <c r="T37" i="46"/>
  <c r="T38" i="46"/>
  <c r="T47" i="42" s="1"/>
  <c r="M34" i="48" s="1"/>
  <c r="T44" i="46"/>
  <c r="T131" i="42" s="1"/>
  <c r="M75" i="48" s="1"/>
  <c r="Z26" i="48"/>
  <c r="T16" i="34"/>
  <c r="Z13" i="48" s="1"/>
  <c r="W57" i="32"/>
  <c r="W57" i="47" s="1"/>
  <c r="W161" i="47" s="1"/>
  <c r="P102" i="46"/>
  <c r="P148" i="42" s="1"/>
  <c r="I85" i="48" s="1"/>
  <c r="P100" i="46"/>
  <c r="P120" i="42" s="1"/>
  <c r="I71" i="48" s="1"/>
  <c r="P101" i="46"/>
  <c r="P134" i="42" s="1"/>
  <c r="I78" i="48" s="1"/>
  <c r="P140" i="47"/>
  <c r="P142" i="47" s="1"/>
  <c r="P99" i="46"/>
  <c r="P106" i="42" s="1"/>
  <c r="I65" i="48" s="1"/>
  <c r="P96" i="46"/>
  <c r="P64" i="42" s="1"/>
  <c r="I44" i="48" s="1"/>
  <c r="P95" i="46"/>
  <c r="P50" i="42" s="1"/>
  <c r="I37" i="48" s="1"/>
  <c r="P98" i="46"/>
  <c r="P92" i="42" s="1"/>
  <c r="I58" i="48" s="1"/>
  <c r="P97" i="46"/>
  <c r="P78" i="42" s="1"/>
  <c r="I51" i="48" s="1"/>
  <c r="P103" i="46"/>
  <c r="P162" i="42" s="1"/>
  <c r="I92" i="48" s="1"/>
  <c r="P94" i="46"/>
  <c r="L140" i="47"/>
  <c r="L142" i="47" s="1"/>
  <c r="L102" i="46"/>
  <c r="L148" i="42" s="1"/>
  <c r="E85" i="48" s="1"/>
  <c r="L100" i="46"/>
  <c r="L120" i="42" s="1"/>
  <c r="E71" i="48" s="1"/>
  <c r="L101" i="46"/>
  <c r="L134" i="42" s="1"/>
  <c r="E78" i="48" s="1"/>
  <c r="L99" i="46"/>
  <c r="L106" i="42" s="1"/>
  <c r="E65" i="48" s="1"/>
  <c r="L96" i="46"/>
  <c r="L64" i="42" s="1"/>
  <c r="E44" i="48" s="1"/>
  <c r="L95" i="46"/>
  <c r="L50" i="42" s="1"/>
  <c r="E37" i="48" s="1"/>
  <c r="L98" i="46"/>
  <c r="L92" i="42" s="1"/>
  <c r="E58" i="48" s="1"/>
  <c r="L97" i="46"/>
  <c r="L78" i="42" s="1"/>
  <c r="E51" i="48" s="1"/>
  <c r="L103" i="46"/>
  <c r="L162" i="42" s="1"/>
  <c r="E92" i="48" s="1"/>
  <c r="L94" i="46"/>
  <c r="AA101" i="46"/>
  <c r="AA134" i="42" s="1"/>
  <c r="AA100" i="46"/>
  <c r="AA120" i="42" s="1"/>
  <c r="AA140" i="47"/>
  <c r="AA142" i="47" s="1"/>
  <c r="AA102" i="46"/>
  <c r="AA148" i="42" s="1"/>
  <c r="AA99" i="46"/>
  <c r="AA106" i="42" s="1"/>
  <c r="AA96" i="46"/>
  <c r="AA64" i="42" s="1"/>
  <c r="AA95" i="46"/>
  <c r="AA50" i="42" s="1"/>
  <c r="AA98" i="46"/>
  <c r="AA92" i="42" s="1"/>
  <c r="AA97" i="46"/>
  <c r="AA78" i="42" s="1"/>
  <c r="AA103" i="46"/>
  <c r="AA162" i="42" s="1"/>
  <c r="AA94" i="46"/>
  <c r="M82" i="46"/>
  <c r="M81" i="46"/>
  <c r="M114" i="47"/>
  <c r="M116" i="47" s="1"/>
  <c r="M83" i="46"/>
  <c r="M80" i="46"/>
  <c r="M77" i="46"/>
  <c r="M76" i="46"/>
  <c r="M78" i="46"/>
  <c r="M79" i="46"/>
  <c r="M84" i="46"/>
  <c r="M75" i="46"/>
  <c r="R140" i="46"/>
  <c r="R138" i="46"/>
  <c r="R139" i="46"/>
  <c r="R192" i="47"/>
  <c r="R194" i="47" s="1"/>
  <c r="R137" i="46"/>
  <c r="R134" i="46"/>
  <c r="R133" i="46"/>
  <c r="R136" i="46"/>
  <c r="R135" i="46"/>
  <c r="R141" i="46"/>
  <c r="R132" i="46"/>
  <c r="W102" i="46"/>
  <c r="W148" i="42" s="1"/>
  <c r="W96" i="46"/>
  <c r="W64" i="42" s="1"/>
  <c r="W103" i="46"/>
  <c r="W162" i="42" s="1"/>
  <c r="W101" i="46"/>
  <c r="W134" i="42" s="1"/>
  <c r="W95" i="46"/>
  <c r="W50" i="42" s="1"/>
  <c r="W94" i="46"/>
  <c r="W140" i="47"/>
  <c r="W142" i="47" s="1"/>
  <c r="W98" i="46"/>
  <c r="W92" i="42" s="1"/>
  <c r="W100" i="46"/>
  <c r="W120" i="42" s="1"/>
  <c r="W99" i="46"/>
  <c r="W106" i="42" s="1"/>
  <c r="W97" i="46"/>
  <c r="W78" i="42" s="1"/>
  <c r="W81" i="46"/>
  <c r="W76" i="46"/>
  <c r="W75" i="46"/>
  <c r="W83" i="46"/>
  <c r="W79" i="46"/>
  <c r="W84" i="46"/>
  <c r="W82" i="46"/>
  <c r="W80" i="46"/>
  <c r="W78" i="46"/>
  <c r="W114" i="47"/>
  <c r="W116" i="47" s="1"/>
  <c r="W77" i="46"/>
  <c r="T163" i="37"/>
  <c r="T159" i="37"/>
  <c r="T162" i="37" s="1"/>
  <c r="U18" i="37"/>
  <c r="U25" i="33"/>
  <c r="U88" i="34"/>
  <c r="W154" i="32"/>
  <c r="AA83" i="46"/>
  <c r="AA82" i="46"/>
  <c r="AA81" i="46"/>
  <c r="AA114" i="47"/>
  <c r="AA116" i="47" s="1"/>
  <c r="AA80" i="46"/>
  <c r="AA77" i="46"/>
  <c r="AA76" i="46"/>
  <c r="AA78" i="46"/>
  <c r="AA79" i="46"/>
  <c r="AA84" i="46"/>
  <c r="AA75" i="46"/>
  <c r="U140" i="47"/>
  <c r="U142" i="47" s="1"/>
  <c r="U102" i="46"/>
  <c r="U148" i="42" s="1"/>
  <c r="N85" i="48" s="1"/>
  <c r="U101" i="46"/>
  <c r="U134" i="42" s="1"/>
  <c r="N78" i="48" s="1"/>
  <c r="U100" i="46"/>
  <c r="U120" i="42" s="1"/>
  <c r="N71" i="48" s="1"/>
  <c r="U99" i="46"/>
  <c r="U106" i="42" s="1"/>
  <c r="N65" i="48" s="1"/>
  <c r="U96" i="46"/>
  <c r="U64" i="42" s="1"/>
  <c r="N44" i="48" s="1"/>
  <c r="U95" i="46"/>
  <c r="U50" i="42" s="1"/>
  <c r="N37" i="48" s="1"/>
  <c r="U97" i="46"/>
  <c r="U78" i="42" s="1"/>
  <c r="N51" i="48" s="1"/>
  <c r="U98" i="46"/>
  <c r="U92" i="42" s="1"/>
  <c r="N58" i="48" s="1"/>
  <c r="U103" i="46"/>
  <c r="U162" i="42" s="1"/>
  <c r="N92" i="48" s="1"/>
  <c r="U94" i="46"/>
  <c r="Q140" i="47"/>
  <c r="Q142" i="47" s="1"/>
  <c r="Q101" i="46"/>
  <c r="Q134" i="42" s="1"/>
  <c r="J78" i="48" s="1"/>
  <c r="Q100" i="46"/>
  <c r="Q120" i="42" s="1"/>
  <c r="J71" i="48" s="1"/>
  <c r="Q102" i="46"/>
  <c r="Q148" i="42" s="1"/>
  <c r="J85" i="48" s="1"/>
  <c r="Q99" i="46"/>
  <c r="Q106" i="42" s="1"/>
  <c r="J65" i="48" s="1"/>
  <c r="Q96" i="46"/>
  <c r="Q64" i="42" s="1"/>
  <c r="J44" i="48" s="1"/>
  <c r="Q95" i="46"/>
  <c r="Q50" i="42" s="1"/>
  <c r="J37" i="48" s="1"/>
  <c r="Q98" i="46"/>
  <c r="Q92" i="42" s="1"/>
  <c r="J58" i="48" s="1"/>
  <c r="Q97" i="46"/>
  <c r="Q78" i="42" s="1"/>
  <c r="J51" i="48" s="1"/>
  <c r="Q103" i="46"/>
  <c r="Q162" i="42" s="1"/>
  <c r="J92" i="48" s="1"/>
  <c r="Q94" i="46"/>
  <c r="P62" i="46"/>
  <c r="P118" i="42" s="1"/>
  <c r="P63" i="46"/>
  <c r="P132" i="42" s="1"/>
  <c r="I76" i="48" s="1"/>
  <c r="P88" i="47"/>
  <c r="P90" i="47" s="1"/>
  <c r="P64" i="46"/>
  <c r="P146" i="42" s="1"/>
  <c r="I83" i="48" s="1"/>
  <c r="P61" i="46"/>
  <c r="P104" i="42" s="1"/>
  <c r="I63" i="48" s="1"/>
  <c r="P58" i="46"/>
  <c r="P62" i="42" s="1"/>
  <c r="I42" i="48" s="1"/>
  <c r="P57" i="46"/>
  <c r="P48" i="42" s="1"/>
  <c r="I35" i="48" s="1"/>
  <c r="P59" i="46"/>
  <c r="P76" i="42" s="1"/>
  <c r="I49" i="48" s="1"/>
  <c r="P60" i="46"/>
  <c r="P90" i="42" s="1"/>
  <c r="I56" i="48" s="1"/>
  <c r="P65" i="46"/>
  <c r="P160" i="42" s="1"/>
  <c r="I90" i="48" s="1"/>
  <c r="P56" i="46"/>
  <c r="X88" i="47"/>
  <c r="X90" i="47" s="1"/>
  <c r="X64" i="46"/>
  <c r="X146" i="42" s="1"/>
  <c r="X63" i="46"/>
  <c r="X132" i="42" s="1"/>
  <c r="X62" i="46"/>
  <c r="X118" i="42" s="1"/>
  <c r="X61" i="46"/>
  <c r="X104" i="42" s="1"/>
  <c r="X58" i="46"/>
  <c r="X62" i="42" s="1"/>
  <c r="X57" i="46"/>
  <c r="X48" i="42" s="1"/>
  <c r="X60" i="46"/>
  <c r="X90" i="42" s="1"/>
  <c r="X59" i="46"/>
  <c r="X76" i="42" s="1"/>
  <c r="X65" i="46"/>
  <c r="X160" i="42" s="1"/>
  <c r="X56" i="46"/>
  <c r="V83" i="46"/>
  <c r="V76" i="46"/>
  <c r="V75" i="46"/>
  <c r="V35" i="42" s="1"/>
  <c r="V77" i="46"/>
  <c r="V114" i="47"/>
  <c r="V116" i="47" s="1"/>
  <c r="V79" i="46"/>
  <c r="V82" i="46"/>
  <c r="V84" i="46"/>
  <c r="V81" i="46"/>
  <c r="V80" i="46"/>
  <c r="V78" i="46"/>
  <c r="U44" i="32"/>
  <c r="U152" i="32" s="1"/>
  <c r="U36" i="32"/>
  <c r="U38" i="32" s="1"/>
  <c r="Z27" i="48"/>
  <c r="T17" i="34"/>
  <c r="Z14" i="48" s="1"/>
  <c r="Y131" i="48"/>
  <c r="Y102" i="48"/>
  <c r="Y32" i="48"/>
  <c r="S192" i="47"/>
  <c r="S194" i="47" s="1"/>
  <c r="S140" i="46"/>
  <c r="S138" i="46"/>
  <c r="S139" i="46"/>
  <c r="S137" i="46"/>
  <c r="S134" i="46"/>
  <c r="S133" i="46"/>
  <c r="S136" i="46"/>
  <c r="S135" i="46"/>
  <c r="S141" i="46"/>
  <c r="S132" i="46"/>
  <c r="J43" i="46"/>
  <c r="J117" i="42" s="1"/>
  <c r="C69" i="48" s="1"/>
  <c r="J62" i="47"/>
  <c r="J64" i="47" s="1"/>
  <c r="J44" i="46"/>
  <c r="J131" i="42" s="1"/>
  <c r="C75" i="48" s="1"/>
  <c r="J45" i="46"/>
  <c r="J145" i="42" s="1"/>
  <c r="C82" i="48" s="1"/>
  <c r="J42" i="46"/>
  <c r="J103" i="42" s="1"/>
  <c r="C62" i="48" s="1"/>
  <c r="J39" i="46"/>
  <c r="J61" i="42" s="1"/>
  <c r="C41" i="48" s="1"/>
  <c r="J38" i="46"/>
  <c r="J47" i="42" s="1"/>
  <c r="C34" i="48" s="1"/>
  <c r="J41" i="46"/>
  <c r="J89" i="42" s="1"/>
  <c r="C55" i="48" s="1"/>
  <c r="J40" i="46"/>
  <c r="J75" i="42" s="1"/>
  <c r="C48" i="48" s="1"/>
  <c r="J46" i="46"/>
  <c r="J159" i="42" s="1"/>
  <c r="C89" i="48" s="1"/>
  <c r="J37" i="46"/>
  <c r="Z62" i="46"/>
  <c r="Z118" i="42" s="1"/>
  <c r="Z64" i="46"/>
  <c r="Z146" i="42" s="1"/>
  <c r="Z88" i="47"/>
  <c r="Z90" i="47" s="1"/>
  <c r="Z63" i="46"/>
  <c r="Z132" i="42" s="1"/>
  <c r="Z61" i="46"/>
  <c r="Z104" i="42" s="1"/>
  <c r="Z58" i="46"/>
  <c r="Z62" i="42" s="1"/>
  <c r="Z57" i="46"/>
  <c r="Z48" i="42" s="1"/>
  <c r="Z60" i="46"/>
  <c r="Z90" i="42" s="1"/>
  <c r="Z59" i="46"/>
  <c r="Z76" i="42" s="1"/>
  <c r="Z65" i="46"/>
  <c r="Z160" i="42" s="1"/>
  <c r="Z56" i="46"/>
  <c r="V162" i="32"/>
  <c r="V215" i="32" s="1"/>
  <c r="W28" i="32" s="1"/>
  <c r="U20" i="33"/>
  <c r="T192" i="47"/>
  <c r="T194" i="47" s="1"/>
  <c r="T140" i="46"/>
  <c r="T138" i="46"/>
  <c r="T139" i="46"/>
  <c r="T137" i="46"/>
  <c r="T134" i="46"/>
  <c r="T133" i="46"/>
  <c r="T135" i="46"/>
  <c r="T136" i="46"/>
  <c r="T141" i="46"/>
  <c r="T132" i="46"/>
  <c r="K62" i="46"/>
  <c r="K118" i="42" s="1"/>
  <c r="K88" i="47"/>
  <c r="K90" i="47" s="1"/>
  <c r="K63" i="46"/>
  <c r="K132" i="42" s="1"/>
  <c r="D76" i="48" s="1"/>
  <c r="K64" i="46"/>
  <c r="K146" i="42" s="1"/>
  <c r="D83" i="48" s="1"/>
  <c r="K61" i="46"/>
  <c r="K104" i="42" s="1"/>
  <c r="D63" i="48" s="1"/>
  <c r="K58" i="46"/>
  <c r="K62" i="42" s="1"/>
  <c r="D42" i="48" s="1"/>
  <c r="K57" i="46"/>
  <c r="K48" i="42" s="1"/>
  <c r="D35" i="48" s="1"/>
  <c r="K59" i="46"/>
  <c r="K76" i="42" s="1"/>
  <c r="D49" i="48" s="1"/>
  <c r="K60" i="46"/>
  <c r="K90" i="42" s="1"/>
  <c r="D56" i="48" s="1"/>
  <c r="K65" i="46"/>
  <c r="K160" i="42" s="1"/>
  <c r="D90" i="48" s="1"/>
  <c r="K56" i="46"/>
  <c r="R44" i="46"/>
  <c r="R131" i="42" s="1"/>
  <c r="K75" i="48" s="1"/>
  <c r="R43" i="46"/>
  <c r="R117" i="42" s="1"/>
  <c r="K69" i="48" s="1"/>
  <c r="R45" i="46"/>
  <c r="R145" i="42" s="1"/>
  <c r="K82" i="48" s="1"/>
  <c r="R62" i="47"/>
  <c r="R64" i="47" s="1"/>
  <c r="R42" i="46"/>
  <c r="R103" i="42" s="1"/>
  <c r="K62" i="48" s="1"/>
  <c r="R39" i="46"/>
  <c r="R61" i="42" s="1"/>
  <c r="K41" i="48" s="1"/>
  <c r="R38" i="46"/>
  <c r="R47" i="42" s="1"/>
  <c r="K34" i="48" s="1"/>
  <c r="R41" i="46"/>
  <c r="R89" i="42" s="1"/>
  <c r="K55" i="48" s="1"/>
  <c r="R40" i="46"/>
  <c r="R75" i="42" s="1"/>
  <c r="K48" i="48" s="1"/>
  <c r="R46" i="46"/>
  <c r="R159" i="42" s="1"/>
  <c r="K89" i="48" s="1"/>
  <c r="R37" i="46"/>
  <c r="O102" i="46"/>
  <c r="O148" i="42" s="1"/>
  <c r="H85" i="48" s="1"/>
  <c r="O101" i="46"/>
  <c r="O134" i="42" s="1"/>
  <c r="H78" i="48" s="1"/>
  <c r="O140" i="47"/>
  <c r="O142" i="47" s="1"/>
  <c r="O100" i="46"/>
  <c r="O120" i="42" s="1"/>
  <c r="H71" i="48" s="1"/>
  <c r="O99" i="46"/>
  <c r="O106" i="42" s="1"/>
  <c r="H65" i="48" s="1"/>
  <c r="O96" i="46"/>
  <c r="O64" i="42" s="1"/>
  <c r="H44" i="48" s="1"/>
  <c r="O95" i="46"/>
  <c r="O50" i="42" s="1"/>
  <c r="H37" i="48" s="1"/>
  <c r="O98" i="46"/>
  <c r="O92" i="42" s="1"/>
  <c r="H58" i="48" s="1"/>
  <c r="O97" i="46"/>
  <c r="O78" i="42" s="1"/>
  <c r="H51" i="48" s="1"/>
  <c r="O103" i="46"/>
  <c r="O162" i="42" s="1"/>
  <c r="H92" i="48" s="1"/>
  <c r="O94" i="46"/>
  <c r="O44" i="46"/>
  <c r="O131" i="42" s="1"/>
  <c r="H75" i="48" s="1"/>
  <c r="O62" i="47"/>
  <c r="O64" i="47" s="1"/>
  <c r="O45" i="46"/>
  <c r="O145" i="42" s="1"/>
  <c r="H82" i="48" s="1"/>
  <c r="O43" i="46"/>
  <c r="O117" i="42" s="1"/>
  <c r="H69" i="48" s="1"/>
  <c r="O42" i="46"/>
  <c r="O103" i="42" s="1"/>
  <c r="H62" i="48" s="1"/>
  <c r="O39" i="46"/>
  <c r="O61" i="42" s="1"/>
  <c r="H41" i="48" s="1"/>
  <c r="O38" i="46"/>
  <c r="O47" i="42" s="1"/>
  <c r="H34" i="48" s="1"/>
  <c r="O41" i="46"/>
  <c r="O89" i="42" s="1"/>
  <c r="H55" i="48" s="1"/>
  <c r="O40" i="46"/>
  <c r="O75" i="42" s="1"/>
  <c r="H48" i="48" s="1"/>
  <c r="O46" i="46"/>
  <c r="O159" i="42" s="1"/>
  <c r="H89" i="48" s="1"/>
  <c r="O37" i="46"/>
  <c r="AB63" i="46"/>
  <c r="AB132" i="42" s="1"/>
  <c r="AB88" i="47"/>
  <c r="AB90" i="47" s="1"/>
  <c r="AB64" i="46"/>
  <c r="AB146" i="42" s="1"/>
  <c r="AB62" i="46"/>
  <c r="AB118" i="42" s="1"/>
  <c r="AB61" i="46"/>
  <c r="AB104" i="42" s="1"/>
  <c r="AB58" i="46"/>
  <c r="AB62" i="42" s="1"/>
  <c r="AB57" i="46"/>
  <c r="AB48" i="42" s="1"/>
  <c r="AB59" i="46"/>
  <c r="AB76" i="42" s="1"/>
  <c r="AB60" i="46"/>
  <c r="AB90" i="42" s="1"/>
  <c r="AB65" i="46"/>
  <c r="AB160" i="42" s="1"/>
  <c r="AB56" i="46"/>
  <c r="S63" i="46"/>
  <c r="S132" i="42" s="1"/>
  <c r="L76" i="48" s="1"/>
  <c r="S57" i="46"/>
  <c r="S48" i="42" s="1"/>
  <c r="L35" i="48" s="1"/>
  <c r="S56" i="46"/>
  <c r="S62" i="46"/>
  <c r="S118" i="42" s="1"/>
  <c r="S60" i="46"/>
  <c r="S90" i="42" s="1"/>
  <c r="L56" i="48" s="1"/>
  <c r="S64" i="46"/>
  <c r="S146" i="42" s="1"/>
  <c r="L83" i="48" s="1"/>
  <c r="S61" i="46"/>
  <c r="S104" i="42" s="1"/>
  <c r="L63" i="48" s="1"/>
  <c r="S59" i="46"/>
  <c r="S76" i="42" s="1"/>
  <c r="L49" i="48" s="1"/>
  <c r="S88" i="47"/>
  <c r="S90" i="47" s="1"/>
  <c r="S58" i="46"/>
  <c r="S62" i="42" s="1"/>
  <c r="L42" i="48" s="1"/>
  <c r="S65" i="46"/>
  <c r="S160" i="42" s="1"/>
  <c r="L90" i="48" s="1"/>
  <c r="W62" i="46"/>
  <c r="W118" i="42" s="1"/>
  <c r="W60" i="46"/>
  <c r="W90" i="42" s="1"/>
  <c r="W57" i="46"/>
  <c r="W48" i="42" s="1"/>
  <c r="W56" i="46"/>
  <c r="W63" i="46"/>
  <c r="W132" i="42" s="1"/>
  <c r="W61" i="46"/>
  <c r="W104" i="42" s="1"/>
  <c r="W59" i="46"/>
  <c r="W76" i="42" s="1"/>
  <c r="W64" i="46"/>
  <c r="W146" i="42" s="1"/>
  <c r="W88" i="47"/>
  <c r="W90" i="47" s="1"/>
  <c r="W58" i="46"/>
  <c r="W62" i="42" s="1"/>
  <c r="W65" i="46"/>
  <c r="W160" i="42" s="1"/>
  <c r="U83" i="46"/>
  <c r="U76" i="46"/>
  <c r="U75" i="46"/>
  <c r="U81" i="46"/>
  <c r="U78" i="46"/>
  <c r="U114" i="47"/>
  <c r="U116" i="47" s="1"/>
  <c r="U80" i="46"/>
  <c r="U79" i="46"/>
  <c r="U82" i="46"/>
  <c r="U77" i="46"/>
  <c r="U84" i="46"/>
  <c r="U19" i="33"/>
  <c r="T46" i="46"/>
  <c r="T159" i="42" s="1"/>
  <c r="M89" i="48" s="1"/>
  <c r="T39" i="46"/>
  <c r="T61" i="42" s="1"/>
  <c r="M41" i="48" s="1"/>
  <c r="T124" i="33"/>
  <c r="T126" i="33" s="1"/>
  <c r="T151" i="33"/>
  <c r="AA133" i="42" l="1"/>
  <c r="V119" i="42"/>
  <c r="V133" i="42"/>
  <c r="L35" i="42"/>
  <c r="X49" i="42"/>
  <c r="V105" i="42"/>
  <c r="X105" i="42"/>
  <c r="V161" i="42"/>
  <c r="AA35" i="42"/>
  <c r="V91" i="42"/>
  <c r="AA105" i="42"/>
  <c r="X147" i="42"/>
  <c r="V49" i="42"/>
  <c r="AA91" i="42"/>
  <c r="X161" i="42"/>
  <c r="X63" i="42"/>
  <c r="V147" i="42"/>
  <c r="U35" i="42"/>
  <c r="AA119" i="42"/>
  <c r="AA77" i="42"/>
  <c r="Z63" i="42"/>
  <c r="AB49" i="42"/>
  <c r="J35" i="42"/>
  <c r="Y35" i="42"/>
  <c r="Y133" i="42"/>
  <c r="M35" i="42"/>
  <c r="AA49" i="42"/>
  <c r="AA63" i="42"/>
  <c r="X35" i="42"/>
  <c r="V63" i="42"/>
  <c r="X91" i="42"/>
  <c r="O35" i="42"/>
  <c r="T147" i="42"/>
  <c r="M84" i="48" s="1"/>
  <c r="Q63" i="42"/>
  <c r="J43" i="48" s="1"/>
  <c r="U77" i="42"/>
  <c r="AA147" i="42"/>
  <c r="O133" i="42"/>
  <c r="H77" i="48" s="1"/>
  <c r="T105" i="42"/>
  <c r="M64" i="48" s="1"/>
  <c r="T63" i="42"/>
  <c r="M43" i="48" s="1"/>
  <c r="S49" i="42"/>
  <c r="L36" i="48" s="1"/>
  <c r="L63" i="42"/>
  <c r="E43" i="48" s="1"/>
  <c r="Z49" i="42"/>
  <c r="K91" i="42"/>
  <c r="D57" i="48" s="1"/>
  <c r="R91" i="42"/>
  <c r="K57" i="48" s="1"/>
  <c r="R133" i="42"/>
  <c r="K77" i="48" s="1"/>
  <c r="N161" i="42"/>
  <c r="G91" i="48" s="1"/>
  <c r="N119" i="42"/>
  <c r="G70" i="48" s="1"/>
  <c r="AB91" i="42"/>
  <c r="J147" i="42"/>
  <c r="C84" i="48" s="1"/>
  <c r="Q49" i="42"/>
  <c r="J36" i="48" s="1"/>
  <c r="P35" i="42"/>
  <c r="P133" i="42"/>
  <c r="I77" i="48" s="1"/>
  <c r="U119" i="42"/>
  <c r="N70" i="48" s="1"/>
  <c r="P161" i="42"/>
  <c r="I91" i="48" s="1"/>
  <c r="M133" i="42"/>
  <c r="F77" i="48" s="1"/>
  <c r="O77" i="42"/>
  <c r="H50" i="48" s="1"/>
  <c r="O119" i="42"/>
  <c r="H70" i="48" s="1"/>
  <c r="T91" i="42"/>
  <c r="M57" i="48" s="1"/>
  <c r="S91" i="42"/>
  <c r="L57" i="48" s="1"/>
  <c r="S161" i="42"/>
  <c r="L91" i="48" s="1"/>
  <c r="L133" i="42"/>
  <c r="E77" i="48" s="1"/>
  <c r="Z105" i="42"/>
  <c r="K63" i="42"/>
  <c r="D43" i="48" s="1"/>
  <c r="R49" i="42"/>
  <c r="K36" i="48" s="1"/>
  <c r="N91" i="42"/>
  <c r="G57" i="48" s="1"/>
  <c r="AB63" i="42"/>
  <c r="J161" i="42"/>
  <c r="C91" i="48" s="1"/>
  <c r="Q105" i="42"/>
  <c r="J64" i="48" s="1"/>
  <c r="P77" i="42"/>
  <c r="I50" i="48" s="1"/>
  <c r="P119" i="42"/>
  <c r="I70" i="48" s="1"/>
  <c r="Y161" i="42"/>
  <c r="Y119" i="42"/>
  <c r="M119" i="42"/>
  <c r="F70" i="48" s="1"/>
  <c r="O161" i="42"/>
  <c r="H91" i="48" s="1"/>
  <c r="R77" i="42"/>
  <c r="K50" i="48" s="1"/>
  <c r="N77" i="42"/>
  <c r="G50" i="48" s="1"/>
  <c r="J133" i="42"/>
  <c r="U63" i="42"/>
  <c r="N43" i="48" s="1"/>
  <c r="U49" i="42"/>
  <c r="N36" i="48" s="1"/>
  <c r="M77" i="42"/>
  <c r="F50" i="48" s="1"/>
  <c r="O91" i="42"/>
  <c r="H57" i="48" s="1"/>
  <c r="X133" i="42"/>
  <c r="T133" i="42"/>
  <c r="M77" i="48" s="1"/>
  <c r="S105" i="42"/>
  <c r="L64" i="48" s="1"/>
  <c r="S63" i="42"/>
  <c r="L43" i="48" s="1"/>
  <c r="L119" i="42"/>
  <c r="E70" i="48" s="1"/>
  <c r="Z133" i="42"/>
  <c r="K105" i="42"/>
  <c r="D64" i="48" s="1"/>
  <c r="R63" i="42"/>
  <c r="K43" i="48" s="1"/>
  <c r="N49" i="42"/>
  <c r="G36" i="48" s="1"/>
  <c r="AB105" i="42"/>
  <c r="J77" i="42"/>
  <c r="C50" i="48" s="1"/>
  <c r="J119" i="42"/>
  <c r="C70" i="48" s="1"/>
  <c r="P91" i="42"/>
  <c r="I57" i="48" s="1"/>
  <c r="Y91" i="42"/>
  <c r="Y147" i="42"/>
  <c r="M161" i="42"/>
  <c r="F91" i="48" s="1"/>
  <c r="S147" i="42"/>
  <c r="L84" i="48" s="1"/>
  <c r="U161" i="42"/>
  <c r="N91" i="48" s="1"/>
  <c r="AA54" i="48"/>
  <c r="M91" i="42"/>
  <c r="F57" i="48" s="1"/>
  <c r="U133" i="42"/>
  <c r="N77" i="48" s="1"/>
  <c r="U147" i="42"/>
  <c r="N84" i="48" s="1"/>
  <c r="M49" i="42"/>
  <c r="F36" i="48" s="1"/>
  <c r="O49" i="42"/>
  <c r="H36" i="48" s="1"/>
  <c r="T35" i="42"/>
  <c r="S119" i="42"/>
  <c r="L70" i="48" s="1"/>
  <c r="L161" i="42"/>
  <c r="E91" i="48" s="1"/>
  <c r="L147" i="42"/>
  <c r="E84" i="48" s="1"/>
  <c r="Z35" i="42"/>
  <c r="Z119" i="42"/>
  <c r="K133" i="42"/>
  <c r="D77" i="48" s="1"/>
  <c r="R105" i="42"/>
  <c r="K64" i="48" s="1"/>
  <c r="N63" i="42"/>
  <c r="G43" i="48" s="1"/>
  <c r="AB133" i="42"/>
  <c r="J91" i="42"/>
  <c r="C57" i="48" s="1"/>
  <c r="Q35" i="42"/>
  <c r="Q119" i="42"/>
  <c r="J70" i="48" s="1"/>
  <c r="P49" i="42"/>
  <c r="I36" i="48" s="1"/>
  <c r="Y77" i="42"/>
  <c r="T119" i="42"/>
  <c r="M70" i="48" s="1"/>
  <c r="K49" i="42"/>
  <c r="D36" i="48" s="1"/>
  <c r="U91" i="42"/>
  <c r="N57" i="48" s="1"/>
  <c r="M63" i="42"/>
  <c r="F43" i="48" s="1"/>
  <c r="O63" i="42"/>
  <c r="H43" i="48" s="1"/>
  <c r="T49" i="42"/>
  <c r="M36" i="48" s="1"/>
  <c r="S77" i="42"/>
  <c r="L50" i="48" s="1"/>
  <c r="L77" i="42"/>
  <c r="E50" i="48" s="1"/>
  <c r="Z161" i="42"/>
  <c r="K35" i="42"/>
  <c r="K147" i="42"/>
  <c r="R119" i="42"/>
  <c r="K70" i="48" s="1"/>
  <c r="N105" i="42"/>
  <c r="G64" i="48" s="1"/>
  <c r="AB35" i="42"/>
  <c r="AB147" i="42"/>
  <c r="J49" i="42"/>
  <c r="C36" i="48" s="1"/>
  <c r="Q161" i="42"/>
  <c r="J91" i="48" s="1"/>
  <c r="Q133" i="42"/>
  <c r="J77" i="48" s="1"/>
  <c r="P63" i="42"/>
  <c r="I43" i="48" s="1"/>
  <c r="Y49" i="42"/>
  <c r="O147" i="42"/>
  <c r="H84" i="48" s="1"/>
  <c r="L105" i="42"/>
  <c r="E64" i="48" s="1"/>
  <c r="M105" i="42"/>
  <c r="F64" i="48" s="1"/>
  <c r="O105" i="42"/>
  <c r="H64" i="48" s="1"/>
  <c r="Z31" i="48"/>
  <c r="S133" i="42"/>
  <c r="L77" i="48" s="1"/>
  <c r="L91" i="42"/>
  <c r="E57" i="48" s="1"/>
  <c r="Z91" i="42"/>
  <c r="Z147" i="42"/>
  <c r="K161" i="42"/>
  <c r="D91" i="48" s="1"/>
  <c r="K119" i="42"/>
  <c r="D70" i="48" s="1"/>
  <c r="R35" i="42"/>
  <c r="R147" i="42"/>
  <c r="K84" i="48" s="1"/>
  <c r="N147" i="42"/>
  <c r="G84" i="48" s="1"/>
  <c r="AB161" i="42"/>
  <c r="J63" i="42"/>
  <c r="C43" i="48" s="1"/>
  <c r="Q91" i="42"/>
  <c r="J57" i="48" s="1"/>
  <c r="Q147" i="42"/>
  <c r="J84" i="48" s="1"/>
  <c r="P105" i="42"/>
  <c r="I64" i="48" s="1"/>
  <c r="Y63" i="42"/>
  <c r="P147" i="42"/>
  <c r="I84" i="48" s="1"/>
  <c r="U105" i="42"/>
  <c r="N64" i="48" s="1"/>
  <c r="V77" i="42"/>
  <c r="AA161" i="42"/>
  <c r="M147" i="42"/>
  <c r="F84" i="48" s="1"/>
  <c r="T77" i="42"/>
  <c r="M50" i="48" s="1"/>
  <c r="T161" i="42"/>
  <c r="M91" i="48" s="1"/>
  <c r="S35" i="42"/>
  <c r="L49" i="42"/>
  <c r="E36" i="48" s="1"/>
  <c r="Z77" i="42"/>
  <c r="K77" i="42"/>
  <c r="D50" i="48" s="1"/>
  <c r="R161" i="42"/>
  <c r="K91" i="48" s="1"/>
  <c r="N35" i="42"/>
  <c r="N133" i="42"/>
  <c r="G77" i="48" s="1"/>
  <c r="AB77" i="42"/>
  <c r="AB119" i="42"/>
  <c r="J105" i="42"/>
  <c r="C64" i="48" s="1"/>
  <c r="Q77" i="42"/>
  <c r="J50" i="48" s="1"/>
  <c r="Y105" i="42"/>
  <c r="W158" i="32"/>
  <c r="W165" i="32"/>
  <c r="P143" i="46"/>
  <c r="P145" i="46" s="1"/>
  <c r="R143" i="46"/>
  <c r="R145" i="46" s="1"/>
  <c r="M143" i="46"/>
  <c r="M145" i="46" s="1"/>
  <c r="J143" i="46"/>
  <c r="J145" i="46" s="1"/>
  <c r="AB143" i="46"/>
  <c r="AB145" i="46" s="1"/>
  <c r="N143" i="46"/>
  <c r="N145" i="46" s="1"/>
  <c r="L143" i="46"/>
  <c r="L145" i="46" s="1"/>
  <c r="O143" i="46"/>
  <c r="O145" i="46" s="1"/>
  <c r="AB34" i="42"/>
  <c r="AB18" i="42" s="1"/>
  <c r="AB67" i="46"/>
  <c r="AB69" i="46" s="1"/>
  <c r="K67" i="46"/>
  <c r="K69" i="46" s="1"/>
  <c r="K34" i="42"/>
  <c r="W54" i="32"/>
  <c r="W54" i="47" s="1"/>
  <c r="W158" i="47" s="1"/>
  <c r="V86" i="46"/>
  <c r="V88" i="46" s="1"/>
  <c r="AA86" i="46"/>
  <c r="AA88" i="46" s="1"/>
  <c r="U36" i="37"/>
  <c r="U28" i="37"/>
  <c r="U30" i="37" s="1"/>
  <c r="M86" i="46"/>
  <c r="M88" i="46" s="1"/>
  <c r="U116" i="34"/>
  <c r="N67" i="46"/>
  <c r="N69" i="46" s="1"/>
  <c r="N34" i="42"/>
  <c r="Z143" i="46"/>
  <c r="Z145" i="46" s="1"/>
  <c r="T166" i="34"/>
  <c r="Q143" i="46"/>
  <c r="Q145" i="46" s="1"/>
  <c r="K36" i="42"/>
  <c r="K105" i="46"/>
  <c r="K107" i="46" s="1"/>
  <c r="Y143" i="46"/>
  <c r="Y145" i="46" s="1"/>
  <c r="T152" i="34"/>
  <c r="AB105" i="46"/>
  <c r="AB107" i="46" s="1"/>
  <c r="AB36" i="42"/>
  <c r="AB20" i="42" s="1"/>
  <c r="K86" i="46"/>
  <c r="K88" i="46" s="1"/>
  <c r="AA67" i="46"/>
  <c r="AA69" i="46" s="1"/>
  <c r="AA34" i="42"/>
  <c r="AA18" i="42" s="1"/>
  <c r="L33" i="42"/>
  <c r="L48" i="46"/>
  <c r="L50" i="46" s="1"/>
  <c r="J88" i="42"/>
  <c r="C54" i="48" s="1"/>
  <c r="J117" i="46"/>
  <c r="J155" i="46" s="1"/>
  <c r="J102" i="42"/>
  <c r="J118" i="46"/>
  <c r="J156" i="46" s="1"/>
  <c r="J116" i="42"/>
  <c r="J119" i="46"/>
  <c r="J157" i="46" s="1"/>
  <c r="Y105" i="46"/>
  <c r="Y107" i="46" s="1"/>
  <c r="Y36" i="42"/>
  <c r="Y20" i="42" s="1"/>
  <c r="T82" i="34"/>
  <c r="J86" i="46"/>
  <c r="J88" i="46" s="1"/>
  <c r="Y67" i="46"/>
  <c r="Y69" i="46" s="1"/>
  <c r="Y34" i="42"/>
  <c r="Y18" i="42" s="1"/>
  <c r="Y86" i="46"/>
  <c r="Y88" i="46" s="1"/>
  <c r="T162" i="33"/>
  <c r="T164" i="33" s="1"/>
  <c r="U18" i="33"/>
  <c r="T54" i="34"/>
  <c r="W67" i="46"/>
  <c r="W69" i="46" s="1"/>
  <c r="W34" i="42"/>
  <c r="W18" i="42" s="1"/>
  <c r="S67" i="46"/>
  <c r="S69" i="46" s="1"/>
  <c r="S34" i="42"/>
  <c r="A90" i="47"/>
  <c r="R48" i="46"/>
  <c r="R50" i="46" s="1"/>
  <c r="R33" i="42"/>
  <c r="J48" i="46"/>
  <c r="J50" i="46" s="1"/>
  <c r="J33" i="42"/>
  <c r="S143" i="46"/>
  <c r="S145" i="46" s="1"/>
  <c r="U105" i="46"/>
  <c r="U107" i="46" s="1"/>
  <c r="U36" i="42"/>
  <c r="T161" i="37"/>
  <c r="P105" i="46"/>
  <c r="P107" i="46" s="1"/>
  <c r="P36" i="42"/>
  <c r="T124" i="34"/>
  <c r="S36" i="42"/>
  <c r="S105" i="46"/>
  <c r="S107" i="46" s="1"/>
  <c r="X105" i="46"/>
  <c r="X107" i="46" s="1"/>
  <c r="X36" i="42"/>
  <c r="X20" i="42" s="1"/>
  <c r="U158" i="34"/>
  <c r="Z135" i="48"/>
  <c r="Z60" i="48"/>
  <c r="Z106" i="48"/>
  <c r="K143" i="46"/>
  <c r="K145" i="46" s="1"/>
  <c r="U144" i="34"/>
  <c r="S86" i="46"/>
  <c r="S88" i="46" s="1"/>
  <c r="R36" i="42"/>
  <c r="R105" i="46"/>
  <c r="R107" i="46" s="1"/>
  <c r="A142" i="47"/>
  <c r="X143" i="46"/>
  <c r="X145" i="46" s="1"/>
  <c r="R86" i="46"/>
  <c r="R88" i="46" s="1"/>
  <c r="V36" i="42"/>
  <c r="V20" i="42" s="1"/>
  <c r="V105" i="46"/>
  <c r="V107" i="46" s="1"/>
  <c r="K48" i="46"/>
  <c r="K50" i="46" s="1"/>
  <c r="K33" i="42"/>
  <c r="V55" i="32"/>
  <c r="V55" i="47" s="1"/>
  <c r="V159" i="47" s="1"/>
  <c r="V211" i="47" s="1"/>
  <c r="W29" i="47" s="1"/>
  <c r="T34" i="42"/>
  <c r="T67" i="46"/>
  <c r="T69" i="46" s="1"/>
  <c r="M36" i="42"/>
  <c r="M105" i="46"/>
  <c r="M107" i="46" s="1"/>
  <c r="J116" i="46"/>
  <c r="J154" i="46" s="1"/>
  <c r="J74" i="42"/>
  <c r="J130" i="42"/>
  <c r="C74" i="48" s="1"/>
  <c r="J120" i="46"/>
  <c r="J158" i="46" s="1"/>
  <c r="P48" i="46"/>
  <c r="P50" i="46" s="1"/>
  <c r="P33" i="42"/>
  <c r="W164" i="32"/>
  <c r="AB86" i="46"/>
  <c r="AB88" i="46" s="1"/>
  <c r="J34" i="42"/>
  <c r="J67" i="46"/>
  <c r="J69" i="46" s="1"/>
  <c r="A119" i="32"/>
  <c r="A87" i="37"/>
  <c r="U46" i="34"/>
  <c r="O105" i="46"/>
  <c r="O107" i="46" s="1"/>
  <c r="O36" i="42"/>
  <c r="T68" i="34"/>
  <c r="Z67" i="46"/>
  <c r="Z69" i="46" s="1"/>
  <c r="Z34" i="42"/>
  <c r="Z18" i="42" s="1"/>
  <c r="U205" i="32"/>
  <c r="U170" i="32"/>
  <c r="U172" i="32" s="1"/>
  <c r="Q36" i="42"/>
  <c r="Q105" i="46"/>
  <c r="Q107" i="46" s="1"/>
  <c r="U130" i="34"/>
  <c r="L36" i="42"/>
  <c r="L105" i="46"/>
  <c r="L107" i="46" s="1"/>
  <c r="X86" i="46"/>
  <c r="X88" i="46" s="1"/>
  <c r="U143" i="46"/>
  <c r="U145" i="46" s="1"/>
  <c r="AA143" i="46"/>
  <c r="AA145" i="46" s="1"/>
  <c r="Q48" i="46"/>
  <c r="Q50" i="46" s="1"/>
  <c r="Q33" i="42"/>
  <c r="T36" i="42"/>
  <c r="T105" i="46"/>
  <c r="T107" i="46" s="1"/>
  <c r="W159" i="32"/>
  <c r="U102" i="34"/>
  <c r="T86" i="46"/>
  <c r="T88" i="46" s="1"/>
  <c r="L86" i="46"/>
  <c r="L88" i="46" s="1"/>
  <c r="V143" i="46"/>
  <c r="V145" i="46" s="1"/>
  <c r="O34" i="42"/>
  <c r="O67" i="46"/>
  <c r="O69" i="46" s="1"/>
  <c r="V67" i="46"/>
  <c r="V69" i="46" s="1"/>
  <c r="V34" i="42"/>
  <c r="V18" i="42" s="1"/>
  <c r="Z105" i="46"/>
  <c r="Z107" i="46" s="1"/>
  <c r="Z36" i="42"/>
  <c r="Z20" i="42" s="1"/>
  <c r="J32" i="42"/>
  <c r="J113" i="46"/>
  <c r="J29" i="46"/>
  <c r="J31" i="46" s="1"/>
  <c r="J46" i="42"/>
  <c r="J114" i="46"/>
  <c r="J152" i="46" s="1"/>
  <c r="J144" i="42"/>
  <c r="C81" i="48" s="1"/>
  <c r="J121" i="46"/>
  <c r="J159" i="46" s="1"/>
  <c r="R34" i="42"/>
  <c r="R67" i="46"/>
  <c r="R69" i="46" s="1"/>
  <c r="M48" i="46"/>
  <c r="M50" i="46" s="1"/>
  <c r="M33" i="42"/>
  <c r="N105" i="46"/>
  <c r="N107" i="46" s="1"/>
  <c r="N36" i="42"/>
  <c r="A116" i="47"/>
  <c r="J36" i="42"/>
  <c r="J105" i="46"/>
  <c r="J107" i="46" s="1"/>
  <c r="P86" i="46"/>
  <c r="P88" i="46" s="1"/>
  <c r="U86" i="46"/>
  <c r="U88" i="46" s="1"/>
  <c r="O48" i="46"/>
  <c r="O50" i="46" s="1"/>
  <c r="O33" i="42"/>
  <c r="T143" i="46"/>
  <c r="T145" i="46" s="1"/>
  <c r="U60" i="34"/>
  <c r="U44" i="47"/>
  <c r="U45" i="33"/>
  <c r="U145" i="34" s="1"/>
  <c r="AA82" i="48" s="1"/>
  <c r="U62" i="32"/>
  <c r="U65" i="32" s="1"/>
  <c r="U43" i="33"/>
  <c r="U117" i="34" s="1"/>
  <c r="AA69" i="48" s="1"/>
  <c r="U44" i="33"/>
  <c r="U131" i="34" s="1"/>
  <c r="AA75" i="48" s="1"/>
  <c r="U42" i="33"/>
  <c r="U103" i="34" s="1"/>
  <c r="AA62" i="48" s="1"/>
  <c r="U39" i="33"/>
  <c r="U61" i="34" s="1"/>
  <c r="AA41" i="48" s="1"/>
  <c r="U38" i="33"/>
  <c r="U47" i="34" s="1"/>
  <c r="AA34" i="48" s="1"/>
  <c r="U41" i="33"/>
  <c r="U40" i="33"/>
  <c r="U75" i="34" s="1"/>
  <c r="AA48" i="48" s="1"/>
  <c r="U46" i="33"/>
  <c r="U159" i="34" s="1"/>
  <c r="AA89" i="48" s="1"/>
  <c r="U37" i="33"/>
  <c r="X34" i="42"/>
  <c r="X18" i="42" s="1"/>
  <c r="X67" i="46"/>
  <c r="X69" i="46" s="1"/>
  <c r="P67" i="46"/>
  <c r="P69" i="46" s="1"/>
  <c r="P34" i="42"/>
  <c r="T138" i="34"/>
  <c r="W86" i="46"/>
  <c r="W88" i="46" s="1"/>
  <c r="W36" i="42"/>
  <c r="W20" i="42" s="1"/>
  <c r="W105" i="46"/>
  <c r="W107" i="46" s="1"/>
  <c r="AA105" i="46"/>
  <c r="AA107" i="46" s="1"/>
  <c r="AA36" i="42"/>
  <c r="AA20" i="42" s="1"/>
  <c r="T33" i="42"/>
  <c r="T48" i="46"/>
  <c r="T50" i="46" s="1"/>
  <c r="K19" i="45"/>
  <c r="J218" i="45"/>
  <c r="J220" i="45" s="1"/>
  <c r="O86" i="46"/>
  <c r="O88" i="46" s="1"/>
  <c r="Q34" i="42"/>
  <c r="Q67" i="46"/>
  <c r="Q69" i="46" s="1"/>
  <c r="L67" i="46"/>
  <c r="L69" i="46" s="1"/>
  <c r="L34" i="42"/>
  <c r="T110" i="34"/>
  <c r="U67" i="46"/>
  <c r="U69" i="46" s="1"/>
  <c r="U34" i="42"/>
  <c r="Z86" i="46"/>
  <c r="Z88" i="46" s="1"/>
  <c r="N33" i="42"/>
  <c r="N48" i="46"/>
  <c r="N50" i="46" s="1"/>
  <c r="N86" i="46"/>
  <c r="N88" i="46" s="1"/>
  <c r="J158" i="42"/>
  <c r="J122" i="46"/>
  <c r="J160" i="46" s="1"/>
  <c r="J60" i="42"/>
  <c r="J115" i="46"/>
  <c r="J153" i="46" s="1"/>
  <c r="J201" i="47"/>
  <c r="J166" i="47"/>
  <c r="J168" i="47" s="1"/>
  <c r="U74" i="34"/>
  <c r="M34" i="42"/>
  <c r="M67" i="46"/>
  <c r="M69" i="46" s="1"/>
  <c r="Q86" i="46"/>
  <c r="Q88" i="46" s="1"/>
  <c r="S33" i="42"/>
  <c r="S48" i="46"/>
  <c r="S50" i="46" s="1"/>
  <c r="V19" i="42" l="1"/>
  <c r="AA19" i="42"/>
  <c r="J38" i="42"/>
  <c r="C59" i="48"/>
  <c r="X19" i="42"/>
  <c r="Y19" i="42"/>
  <c r="Z19" i="42"/>
  <c r="AB19" i="42"/>
  <c r="J136" i="42"/>
  <c r="C88" i="48"/>
  <c r="C93" i="48" s="1"/>
  <c r="J164" i="42"/>
  <c r="C40" i="48"/>
  <c r="C45" i="48" s="1"/>
  <c r="J66" i="42"/>
  <c r="AA33" i="48"/>
  <c r="AA38" i="48" s="1"/>
  <c r="U52" i="34"/>
  <c r="AA68" i="48"/>
  <c r="AA72" i="48" s="1"/>
  <c r="U122" i="34"/>
  <c r="AA61" i="48"/>
  <c r="AA66" i="48" s="1"/>
  <c r="U108" i="34"/>
  <c r="AA88" i="48"/>
  <c r="AA93" i="48" s="1"/>
  <c r="U164" i="34"/>
  <c r="C77" i="48"/>
  <c r="C79" i="48" s="1"/>
  <c r="AA40" i="48"/>
  <c r="AA45" i="48" s="1"/>
  <c r="U66" i="34"/>
  <c r="C68" i="48"/>
  <c r="C72" i="48" s="1"/>
  <c r="J122" i="42"/>
  <c r="N50" i="48"/>
  <c r="AA47" i="48"/>
  <c r="AA52" i="48" s="1"/>
  <c r="U80" i="34"/>
  <c r="C47" i="48"/>
  <c r="C52" i="48" s="1"/>
  <c r="J80" i="42"/>
  <c r="C33" i="48"/>
  <c r="C38" i="48" s="1"/>
  <c r="J52" i="42"/>
  <c r="AA81" i="48"/>
  <c r="AA86" i="48" s="1"/>
  <c r="U150" i="34"/>
  <c r="C61" i="48"/>
  <c r="C66" i="48" s="1"/>
  <c r="J108" i="42"/>
  <c r="D84" i="48"/>
  <c r="AA74" i="48"/>
  <c r="AA79" i="48" s="1"/>
  <c r="U136" i="34"/>
  <c r="J150" i="42"/>
  <c r="J94" i="42"/>
  <c r="C86" i="48"/>
  <c r="U116" i="33"/>
  <c r="U154" i="33" s="1"/>
  <c r="V163" i="32"/>
  <c r="V216" i="32" s="1"/>
  <c r="W29" i="32" s="1"/>
  <c r="W55" i="32" s="1"/>
  <c r="W55" i="47" s="1"/>
  <c r="W159" i="47" s="1"/>
  <c r="K27" i="46"/>
  <c r="O19" i="42"/>
  <c r="H16" i="48" s="1"/>
  <c r="H29" i="48"/>
  <c r="M27" i="48"/>
  <c r="T17" i="42"/>
  <c r="M14" i="48" s="1"/>
  <c r="N29" i="48"/>
  <c r="U19" i="42"/>
  <c r="N16" i="48" s="1"/>
  <c r="A107" i="46"/>
  <c r="K19" i="46"/>
  <c r="J16" i="42"/>
  <c r="C13" i="48" s="1"/>
  <c r="C26" i="48"/>
  <c r="M30" i="48"/>
  <c r="T20" i="42"/>
  <c r="M17" i="48" s="1"/>
  <c r="U120" i="33"/>
  <c r="U158" i="33" s="1"/>
  <c r="A69" i="46"/>
  <c r="M20" i="42"/>
  <c r="F17" i="48" s="1"/>
  <c r="F30" i="48"/>
  <c r="L30" i="48"/>
  <c r="S20" i="42"/>
  <c r="L17" i="48" s="1"/>
  <c r="P20" i="42"/>
  <c r="I17" i="48" s="1"/>
  <c r="I30" i="48"/>
  <c r="U20" i="42"/>
  <c r="N17" i="48" s="1"/>
  <c r="N30" i="48"/>
  <c r="L28" i="48"/>
  <c r="S18" i="42"/>
  <c r="L15" i="48" s="1"/>
  <c r="Z139" i="48"/>
  <c r="Z94" i="48"/>
  <c r="Z111" i="48"/>
  <c r="U119" i="33"/>
  <c r="U157" i="33" s="1"/>
  <c r="D28" i="48"/>
  <c r="K18" i="42"/>
  <c r="D15" i="48" s="1"/>
  <c r="J29" i="48"/>
  <c r="Q19" i="42"/>
  <c r="J16" i="48" s="1"/>
  <c r="F28" i="48"/>
  <c r="M18" i="42"/>
  <c r="F15" i="48" s="1"/>
  <c r="K19" i="47"/>
  <c r="J218" i="47"/>
  <c r="J220" i="47" s="1"/>
  <c r="U18" i="42"/>
  <c r="N15" i="48" s="1"/>
  <c r="N28" i="48"/>
  <c r="U89" i="34"/>
  <c r="U117" i="33"/>
  <c r="U155" i="33" s="1"/>
  <c r="U44" i="46"/>
  <c r="U131" i="42" s="1"/>
  <c r="N75" i="48" s="1"/>
  <c r="U43" i="46"/>
  <c r="U117" i="42" s="1"/>
  <c r="N69" i="48" s="1"/>
  <c r="U45" i="46"/>
  <c r="U145" i="42" s="1"/>
  <c r="N82" i="48" s="1"/>
  <c r="U62" i="47"/>
  <c r="U64" i="47" s="1"/>
  <c r="U42" i="46"/>
  <c r="U103" i="42" s="1"/>
  <c r="N62" i="48" s="1"/>
  <c r="U39" i="46"/>
  <c r="U61" i="42" s="1"/>
  <c r="N41" i="48" s="1"/>
  <c r="U38" i="46"/>
  <c r="U47" i="42" s="1"/>
  <c r="N34" i="48" s="1"/>
  <c r="U40" i="46"/>
  <c r="U75" i="42" s="1"/>
  <c r="N48" i="48" s="1"/>
  <c r="U41" i="46"/>
  <c r="U89" i="42" s="1"/>
  <c r="N55" i="48" s="1"/>
  <c r="U46" i="46"/>
  <c r="U159" i="42" s="1"/>
  <c r="N89" i="48" s="1"/>
  <c r="U37" i="46"/>
  <c r="O17" i="42"/>
  <c r="H14" i="48" s="1"/>
  <c r="H27" i="48"/>
  <c r="I29" i="48"/>
  <c r="P19" i="42"/>
  <c r="I16" i="48" s="1"/>
  <c r="J20" i="42"/>
  <c r="C17" i="48" s="1"/>
  <c r="C30" i="48"/>
  <c r="K28" i="48"/>
  <c r="R18" i="42"/>
  <c r="K15" i="48" s="1"/>
  <c r="E29" i="48"/>
  <c r="L19" i="42"/>
  <c r="E16" i="48" s="1"/>
  <c r="U118" i="33"/>
  <c r="U156" i="33" s="1"/>
  <c r="U227" i="32"/>
  <c r="U223" i="32"/>
  <c r="U226" i="32" s="1"/>
  <c r="V18" i="32"/>
  <c r="Z133" i="48"/>
  <c r="Z46" i="48"/>
  <c r="Z104" i="48"/>
  <c r="U114" i="33"/>
  <c r="U152" i="33" s="1"/>
  <c r="J18" i="42"/>
  <c r="C15" i="48" s="1"/>
  <c r="C28" i="48"/>
  <c r="P17" i="42"/>
  <c r="I14" i="48" s="1"/>
  <c r="I27" i="48"/>
  <c r="K17" i="42"/>
  <c r="D14" i="48" s="1"/>
  <c r="D27" i="48"/>
  <c r="K29" i="48"/>
  <c r="R19" i="42"/>
  <c r="K16" i="48" s="1"/>
  <c r="U121" i="33"/>
  <c r="U159" i="33" s="1"/>
  <c r="Z73" i="48"/>
  <c r="Z108" i="48"/>
  <c r="K27" i="48"/>
  <c r="R17" i="42"/>
  <c r="K14" i="48" s="1"/>
  <c r="Z132" i="48"/>
  <c r="Z103" i="48"/>
  <c r="Z39" i="48"/>
  <c r="A88" i="46"/>
  <c r="K23" i="46"/>
  <c r="D30" i="48"/>
  <c r="K20" i="42"/>
  <c r="D17" i="48" s="1"/>
  <c r="U112" i="37"/>
  <c r="U46" i="37"/>
  <c r="U49" i="37" s="1"/>
  <c r="K20" i="46"/>
  <c r="G27" i="48"/>
  <c r="N17" i="42"/>
  <c r="G14" i="48" s="1"/>
  <c r="J28" i="48"/>
  <c r="Q18" i="42"/>
  <c r="J15" i="48" s="1"/>
  <c r="K149" i="45"/>
  <c r="K36" i="45"/>
  <c r="K38" i="45" s="1"/>
  <c r="I28" i="48"/>
  <c r="P18" i="42"/>
  <c r="I15" i="48" s="1"/>
  <c r="U48" i="33"/>
  <c r="U50" i="33" s="1"/>
  <c r="U33" i="34"/>
  <c r="U115" i="33"/>
  <c r="U153" i="33" s="1"/>
  <c r="F27" i="48"/>
  <c r="M17" i="42"/>
  <c r="F14" i="48" s="1"/>
  <c r="K26" i="46"/>
  <c r="H28" i="48"/>
  <c r="O18" i="42"/>
  <c r="H15" i="48" s="1"/>
  <c r="T19" i="42"/>
  <c r="M16" i="48" s="1"/>
  <c r="M29" i="48"/>
  <c r="U148" i="47"/>
  <c r="H30" i="48"/>
  <c r="O20" i="42"/>
  <c r="H17" i="48" s="1"/>
  <c r="K21" i="46"/>
  <c r="M28" i="48"/>
  <c r="T18" i="42"/>
  <c r="M15" i="48" s="1"/>
  <c r="K30" i="48"/>
  <c r="R20" i="42"/>
  <c r="K17" i="48" s="1"/>
  <c r="U29" i="33"/>
  <c r="U31" i="33" s="1"/>
  <c r="U113" i="33"/>
  <c r="U32" i="34"/>
  <c r="J19" i="42"/>
  <c r="C16" i="48" s="1"/>
  <c r="C29" i="48"/>
  <c r="L17" i="42"/>
  <c r="E14" i="48" s="1"/>
  <c r="E27" i="48"/>
  <c r="K19" i="42"/>
  <c r="D16" i="48" s="1"/>
  <c r="D29" i="48"/>
  <c r="Z138" i="48"/>
  <c r="Z87" i="48"/>
  <c r="Z110" i="48"/>
  <c r="N18" i="42"/>
  <c r="G15" i="48" s="1"/>
  <c r="G28" i="48"/>
  <c r="W162" i="32"/>
  <c r="L27" i="48"/>
  <c r="S17" i="42"/>
  <c r="L14" i="48" s="1"/>
  <c r="G29" i="48"/>
  <c r="N19" i="42"/>
  <c r="G16" i="48" s="1"/>
  <c r="Z136" i="48"/>
  <c r="Z107" i="48"/>
  <c r="Z67" i="48"/>
  <c r="L18" i="42"/>
  <c r="E15" i="48" s="1"/>
  <c r="E28" i="48"/>
  <c r="Z137" i="48"/>
  <c r="Z109" i="48"/>
  <c r="Z80" i="48"/>
  <c r="U64" i="32"/>
  <c r="N20" i="42"/>
  <c r="G17" i="48" s="1"/>
  <c r="G30" i="48"/>
  <c r="J124" i="46"/>
  <c r="J126" i="46" s="1"/>
  <c r="J151" i="46"/>
  <c r="J27" i="48"/>
  <c r="Q17" i="42"/>
  <c r="J14" i="48" s="1"/>
  <c r="L20" i="42"/>
  <c r="E17" i="48" s="1"/>
  <c r="E30" i="48"/>
  <c r="Q20" i="42"/>
  <c r="J17" i="48" s="1"/>
  <c r="J30" i="48"/>
  <c r="K25" i="46"/>
  <c r="L29" i="48"/>
  <c r="S19" i="42"/>
  <c r="L16" i="48" s="1"/>
  <c r="U122" i="33"/>
  <c r="U160" i="33" s="1"/>
  <c r="J17" i="42"/>
  <c r="C14" i="48" s="1"/>
  <c r="C27" i="48"/>
  <c r="T22" i="34"/>
  <c r="T40" i="34"/>
  <c r="Z134" i="48"/>
  <c r="Z53" i="48"/>
  <c r="Z105" i="48"/>
  <c r="K24" i="46"/>
  <c r="K22" i="46"/>
  <c r="M19" i="42"/>
  <c r="F16" i="48" s="1"/>
  <c r="F29" i="48"/>
  <c r="U38" i="34" l="1"/>
  <c r="AA55" i="48"/>
  <c r="AA59" i="48" s="1"/>
  <c r="U94" i="34"/>
  <c r="C31" i="48"/>
  <c r="V21" i="33"/>
  <c r="V74" i="34" s="1"/>
  <c r="K117" i="46"/>
  <c r="K155" i="46" s="1"/>
  <c r="K88" i="42"/>
  <c r="V27" i="33"/>
  <c r="U124" i="33"/>
  <c r="U126" i="33" s="1"/>
  <c r="U151" i="33"/>
  <c r="J152" i="42"/>
  <c r="V20" i="33"/>
  <c r="J68" i="42"/>
  <c r="U149" i="37"/>
  <c r="G58" i="31" s="1"/>
  <c r="U122" i="37"/>
  <c r="U124" i="37" s="1"/>
  <c r="K118" i="46"/>
  <c r="K156" i="46" s="1"/>
  <c r="K102" i="42"/>
  <c r="U48" i="46"/>
  <c r="U50" i="46" s="1"/>
  <c r="U33" i="42"/>
  <c r="K149" i="47"/>
  <c r="K36" i="47"/>
  <c r="K38" i="47" s="1"/>
  <c r="V25" i="33"/>
  <c r="J96" i="42"/>
  <c r="Z18" i="48"/>
  <c r="Z19" i="48" s="1"/>
  <c r="T24" i="34"/>
  <c r="J138" i="42"/>
  <c r="J162" i="46"/>
  <c r="J164" i="46" s="1"/>
  <c r="K18" i="46"/>
  <c r="K121" i="46"/>
  <c r="K159" i="46" s="1"/>
  <c r="K144" i="42"/>
  <c r="AA27" i="48"/>
  <c r="U17" i="34"/>
  <c r="AA14" i="48" s="1"/>
  <c r="V26" i="33"/>
  <c r="V23" i="33"/>
  <c r="K46" i="42"/>
  <c r="K114" i="46"/>
  <c r="K152" i="46" s="1"/>
  <c r="J124" i="42"/>
  <c r="K130" i="42"/>
  <c r="K120" i="46"/>
  <c r="K158" i="46" s="1"/>
  <c r="J82" i="42"/>
  <c r="U200" i="47"/>
  <c r="K201" i="45"/>
  <c r="K166" i="45"/>
  <c r="K168" i="45" s="1"/>
  <c r="U82" i="34"/>
  <c r="V19" i="33"/>
  <c r="V44" i="32"/>
  <c r="V152" i="32" s="1"/>
  <c r="V36" i="32"/>
  <c r="V38" i="32" s="1"/>
  <c r="J54" i="42"/>
  <c r="K122" i="46"/>
  <c r="K160" i="46" s="1"/>
  <c r="K158" i="42"/>
  <c r="K116" i="42"/>
  <c r="K119" i="46"/>
  <c r="K157" i="46" s="1"/>
  <c r="Z32" i="48"/>
  <c r="Z102" i="48"/>
  <c r="Z131" i="48"/>
  <c r="W163" i="32"/>
  <c r="AA26" i="48"/>
  <c r="U16" i="34"/>
  <c r="AA13" i="48" s="1"/>
  <c r="K116" i="46"/>
  <c r="K154" i="46" s="1"/>
  <c r="K74" i="42"/>
  <c r="K115" i="46"/>
  <c r="K153" i="46" s="1"/>
  <c r="K60" i="42"/>
  <c r="U48" i="37"/>
  <c r="J110" i="42"/>
  <c r="U225" i="32"/>
  <c r="V22" i="33"/>
  <c r="V24" i="33"/>
  <c r="J166" i="42"/>
  <c r="AA31" i="48" l="1"/>
  <c r="D40" i="48"/>
  <c r="D45" i="48" s="1"/>
  <c r="K66" i="42"/>
  <c r="D74" i="48"/>
  <c r="D79" i="48" s="1"/>
  <c r="K136" i="42"/>
  <c r="D81" i="48"/>
  <c r="D86" i="48" s="1"/>
  <c r="K150" i="42"/>
  <c r="D68" i="48"/>
  <c r="D72" i="48" s="1"/>
  <c r="K122" i="42"/>
  <c r="D33" i="48"/>
  <c r="D38" i="48" s="1"/>
  <c r="K52" i="42"/>
  <c r="D88" i="48"/>
  <c r="D93" i="48" s="1"/>
  <c r="K164" i="42"/>
  <c r="D47" i="48"/>
  <c r="D52" i="48" s="1"/>
  <c r="K80" i="42"/>
  <c r="D61" i="48"/>
  <c r="D66" i="48" s="1"/>
  <c r="K108" i="42"/>
  <c r="D54" i="48"/>
  <c r="D59" i="48" s="1"/>
  <c r="K94" i="42"/>
  <c r="V205" i="32"/>
  <c r="V170" i="32"/>
  <c r="V172" i="32" s="1"/>
  <c r="V88" i="34"/>
  <c r="C136" i="48"/>
  <c r="C67" i="48"/>
  <c r="C107" i="48"/>
  <c r="V46" i="34"/>
  <c r="L25" i="46"/>
  <c r="L19" i="46"/>
  <c r="U152" i="34"/>
  <c r="K32" i="42"/>
  <c r="K38" i="42" s="1"/>
  <c r="K113" i="46"/>
  <c r="K29" i="46"/>
  <c r="K31" i="46" s="1"/>
  <c r="C137" i="48"/>
  <c r="C109" i="48"/>
  <c r="C80" i="48"/>
  <c r="K201" i="47"/>
  <c r="K166" i="47"/>
  <c r="K168" i="47" s="1"/>
  <c r="L23" i="46"/>
  <c r="C133" i="48"/>
  <c r="C46" i="48"/>
  <c r="C104" i="48"/>
  <c r="U166" i="34"/>
  <c r="C139" i="48"/>
  <c r="C94" i="48"/>
  <c r="C111" i="48"/>
  <c r="U96" i="34"/>
  <c r="L20" i="46"/>
  <c r="U54" i="34"/>
  <c r="L19" i="45"/>
  <c r="K218" i="45"/>
  <c r="K220" i="45" s="1"/>
  <c r="V144" i="34"/>
  <c r="J40" i="42"/>
  <c r="J22" i="42"/>
  <c r="U138" i="34"/>
  <c r="U17" i="42"/>
  <c r="N14" i="48" s="1"/>
  <c r="N27" i="48"/>
  <c r="V60" i="34"/>
  <c r="U162" i="33"/>
  <c r="U164" i="33" s="1"/>
  <c r="V18" i="33"/>
  <c r="V158" i="34"/>
  <c r="V116" i="34"/>
  <c r="L27" i="46"/>
  <c r="AA105" i="48"/>
  <c r="AA53" i="48"/>
  <c r="AA134" i="48"/>
  <c r="U60" i="44" s="1"/>
  <c r="G44" i="31" s="1"/>
  <c r="G47" i="31" s="1"/>
  <c r="C134" i="48"/>
  <c r="C53" i="48"/>
  <c r="C105" i="48"/>
  <c r="C108" i="48"/>
  <c r="C73" i="48"/>
  <c r="U110" i="34"/>
  <c r="V130" i="34"/>
  <c r="U163" i="37"/>
  <c r="V18" i="37"/>
  <c r="U159" i="37"/>
  <c r="U162" i="37" s="1"/>
  <c r="G67" i="31"/>
  <c r="U68" i="34"/>
  <c r="U124" i="34"/>
  <c r="L21" i="46"/>
  <c r="L24" i="46"/>
  <c r="C132" i="48"/>
  <c r="C39" i="48"/>
  <c r="C103" i="48"/>
  <c r="V43" i="33"/>
  <c r="V117" i="34" s="1"/>
  <c r="V44" i="33"/>
  <c r="V131" i="34" s="1"/>
  <c r="V44" i="47"/>
  <c r="V45" i="33"/>
  <c r="V145" i="34" s="1"/>
  <c r="V62" i="32"/>
  <c r="V65" i="32" s="1"/>
  <c r="V42" i="33"/>
  <c r="V103" i="34" s="1"/>
  <c r="V39" i="33"/>
  <c r="V61" i="34" s="1"/>
  <c r="V38" i="33"/>
  <c r="V47" i="34" s="1"/>
  <c r="V40" i="33"/>
  <c r="V41" i="33"/>
  <c r="V89" i="34" s="1"/>
  <c r="V46" i="33"/>
  <c r="V159" i="34" s="1"/>
  <c r="V37" i="33"/>
  <c r="V18" i="47"/>
  <c r="V102" i="34"/>
  <c r="L26" i="46"/>
  <c r="C135" i="48"/>
  <c r="C106" i="48"/>
  <c r="C60" i="48"/>
  <c r="C138" i="48"/>
  <c r="C87" i="48"/>
  <c r="C110" i="48"/>
  <c r="L22" i="46"/>
  <c r="V136" i="34" l="1"/>
  <c r="V94" i="34"/>
  <c r="V122" i="34"/>
  <c r="V164" i="34"/>
  <c r="V108" i="34"/>
  <c r="V150" i="34"/>
  <c r="V52" i="34"/>
  <c r="V66" i="34"/>
  <c r="V118" i="33"/>
  <c r="V156" i="33" s="1"/>
  <c r="W23" i="33" s="1"/>
  <c r="V48" i="33"/>
  <c r="V50" i="33" s="1"/>
  <c r="V33" i="34"/>
  <c r="K124" i="42"/>
  <c r="V36" i="37"/>
  <c r="V46" i="37" s="1"/>
  <c r="V49" i="37" s="1"/>
  <c r="V28" i="37"/>
  <c r="V30" i="37" s="1"/>
  <c r="L122" i="46"/>
  <c r="L160" i="46" s="1"/>
  <c r="L158" i="42"/>
  <c r="V115" i="33"/>
  <c r="V153" i="33" s="1"/>
  <c r="AA137" i="48"/>
  <c r="U63" i="44" s="1"/>
  <c r="AA109" i="48"/>
  <c r="AA80" i="48"/>
  <c r="C32" i="48"/>
  <c r="C102" i="48"/>
  <c r="C131" i="48"/>
  <c r="L36" i="45"/>
  <c r="L38" i="45" s="1"/>
  <c r="L149" i="45"/>
  <c r="L60" i="42"/>
  <c r="L115" i="46"/>
  <c r="L153" i="46" s="1"/>
  <c r="K110" i="42"/>
  <c r="D26" i="48"/>
  <c r="D31" i="48" s="1"/>
  <c r="K16" i="42"/>
  <c r="D13" i="48" s="1"/>
  <c r="K54" i="42"/>
  <c r="V114" i="33"/>
  <c r="V152" i="33" s="1"/>
  <c r="V43" i="46"/>
  <c r="V117" i="42" s="1"/>
  <c r="V62" i="47"/>
  <c r="V64" i="47" s="1"/>
  <c r="V44" i="46"/>
  <c r="V131" i="42" s="1"/>
  <c r="V45" i="46"/>
  <c r="V145" i="42" s="1"/>
  <c r="V42" i="46"/>
  <c r="V103" i="42" s="1"/>
  <c r="V39" i="46"/>
  <c r="V61" i="42" s="1"/>
  <c r="V38" i="46"/>
  <c r="V47" i="42" s="1"/>
  <c r="V40" i="46"/>
  <c r="V75" i="42" s="1"/>
  <c r="V41" i="46"/>
  <c r="V89" i="42" s="1"/>
  <c r="V46" i="46"/>
  <c r="V159" i="42" s="1"/>
  <c r="V37" i="46"/>
  <c r="AA133" i="48"/>
  <c r="U59" i="44" s="1"/>
  <c r="AA104" i="48"/>
  <c r="AA46" i="48"/>
  <c r="AA136" i="48"/>
  <c r="U62" i="44" s="1"/>
  <c r="AA107" i="48"/>
  <c r="AA67" i="48"/>
  <c r="V119" i="33"/>
  <c r="V157" i="33" s="1"/>
  <c r="V32" i="34"/>
  <c r="V29" i="33"/>
  <c r="V31" i="33" s="1"/>
  <c r="V113" i="33"/>
  <c r="V121" i="33"/>
  <c r="V159" i="33" s="1"/>
  <c r="AA132" i="48"/>
  <c r="U58" i="44" s="1"/>
  <c r="F44" i="31" s="1"/>
  <c r="F47" i="31" s="1"/>
  <c r="AA39" i="48"/>
  <c r="AA103" i="48"/>
  <c r="AA135" i="48"/>
  <c r="U61" i="44" s="1"/>
  <c r="H44" i="31" s="1"/>
  <c r="H47" i="31" s="1"/>
  <c r="G50" i="31" s="1"/>
  <c r="G52" i="31" s="1"/>
  <c r="AA60" i="48"/>
  <c r="AA106" i="48"/>
  <c r="L120" i="46"/>
  <c r="L158" i="46" s="1"/>
  <c r="L130" i="42"/>
  <c r="V117" i="33"/>
  <c r="V155" i="33" s="1"/>
  <c r="L88" i="42"/>
  <c r="L117" i="46"/>
  <c r="L155" i="46" s="1"/>
  <c r="L121" i="46"/>
  <c r="L159" i="46" s="1"/>
  <c r="L144" i="42"/>
  <c r="V148" i="47"/>
  <c r="K82" i="42"/>
  <c r="AA108" i="48"/>
  <c r="AA73" i="48"/>
  <c r="G78" i="31"/>
  <c r="G76" i="31"/>
  <c r="L32" i="31" s="1"/>
  <c r="G77" i="31"/>
  <c r="M32" i="31" s="1"/>
  <c r="G69" i="31"/>
  <c r="A69" i="31" s="1"/>
  <c r="U22" i="34"/>
  <c r="U40" i="34"/>
  <c r="C18" i="48"/>
  <c r="C19" i="48" s="1"/>
  <c r="J24" i="42"/>
  <c r="AA139" i="48"/>
  <c r="U65" i="44" s="1"/>
  <c r="AA111" i="48"/>
  <c r="AA94" i="48"/>
  <c r="L19" i="47"/>
  <c r="K218" i="47"/>
  <c r="K220" i="47" s="1"/>
  <c r="AA138" i="48"/>
  <c r="U64" i="44" s="1"/>
  <c r="AA110" i="48"/>
  <c r="AA87" i="48"/>
  <c r="K138" i="42"/>
  <c r="K96" i="42"/>
  <c r="K152" i="42"/>
  <c r="V75" i="34"/>
  <c r="V80" i="34" s="1"/>
  <c r="V116" i="33"/>
  <c r="V154" i="33" s="1"/>
  <c r="V64" i="32"/>
  <c r="L116" i="42"/>
  <c r="L119" i="46"/>
  <c r="L157" i="46" s="1"/>
  <c r="L116" i="46"/>
  <c r="L154" i="46" s="1"/>
  <c r="L74" i="42"/>
  <c r="U161" i="37"/>
  <c r="V120" i="33"/>
  <c r="V158" i="33" s="1"/>
  <c r="K166" i="42"/>
  <c r="V122" i="33"/>
  <c r="V160" i="33" s="1"/>
  <c r="K68" i="42"/>
  <c r="L102" i="42"/>
  <c r="L118" i="46"/>
  <c r="L156" i="46" s="1"/>
  <c r="K151" i="46"/>
  <c r="K124" i="46"/>
  <c r="K126" i="46" s="1"/>
  <c r="L46" i="42"/>
  <c r="L114" i="46"/>
  <c r="L152" i="46" s="1"/>
  <c r="V227" i="32"/>
  <c r="V223" i="32"/>
  <c r="V226" i="32" s="1"/>
  <c r="W18" i="32"/>
  <c r="V110" i="34" l="1"/>
  <c r="E74" i="48"/>
  <c r="E79" i="48" s="1"/>
  <c r="L136" i="42"/>
  <c r="E88" i="48"/>
  <c r="E93" i="48" s="1"/>
  <c r="L164" i="42"/>
  <c r="E47" i="48"/>
  <c r="E52" i="48" s="1"/>
  <c r="L80" i="42"/>
  <c r="E81" i="48"/>
  <c r="E86" i="48" s="1"/>
  <c r="L150" i="42"/>
  <c r="V16" i="34"/>
  <c r="V38" i="34"/>
  <c r="E33" i="48"/>
  <c r="E38" i="48" s="1"/>
  <c r="L52" i="42"/>
  <c r="E61" i="48"/>
  <c r="E66" i="48" s="1"/>
  <c r="L108" i="42"/>
  <c r="E68" i="48"/>
  <c r="E72" i="48" s="1"/>
  <c r="L122" i="42"/>
  <c r="E54" i="48"/>
  <c r="E59" i="48" s="1"/>
  <c r="L94" i="42"/>
  <c r="E40" i="48"/>
  <c r="E45" i="48" s="1"/>
  <c r="L66" i="42"/>
  <c r="K162" i="46"/>
  <c r="K164" i="46" s="1"/>
  <c r="L18" i="46"/>
  <c r="V138" i="34"/>
  <c r="W25" i="33"/>
  <c r="M21" i="46"/>
  <c r="L149" i="47"/>
  <c r="L36" i="47"/>
  <c r="L38" i="47" s="1"/>
  <c r="U24" i="34"/>
  <c r="AA18" i="48"/>
  <c r="AA19" i="48" s="1"/>
  <c r="M26" i="46"/>
  <c r="V96" i="34"/>
  <c r="W22" i="33"/>
  <c r="D132" i="48"/>
  <c r="D103" i="48"/>
  <c r="D39" i="48"/>
  <c r="L201" i="45"/>
  <c r="L166" i="45"/>
  <c r="L168" i="45" s="1"/>
  <c r="V68" i="34"/>
  <c r="W20" i="33"/>
  <c r="H50" i="31"/>
  <c r="H52" i="31" s="1"/>
  <c r="D108" i="48"/>
  <c r="D73" i="48"/>
  <c r="M19" i="46"/>
  <c r="M23" i="46"/>
  <c r="W27" i="33"/>
  <c r="V166" i="34"/>
  <c r="M24" i="46"/>
  <c r="W21" i="33"/>
  <c r="V82" i="34"/>
  <c r="M22" i="46"/>
  <c r="W26" i="33"/>
  <c r="V152" i="34"/>
  <c r="V124" i="34"/>
  <c r="W24" i="33"/>
  <c r="D136" i="48"/>
  <c r="D107" i="48"/>
  <c r="D67" i="48"/>
  <c r="V112" i="37"/>
  <c r="W44" i="32"/>
  <c r="W152" i="32" s="1"/>
  <c r="W36" i="32"/>
  <c r="W38" i="32" s="1"/>
  <c r="AA131" i="48"/>
  <c r="U57" i="44" s="1"/>
  <c r="E44" i="31" s="1"/>
  <c r="E47" i="31" s="1"/>
  <c r="AA102" i="48"/>
  <c r="AA32" i="48"/>
  <c r="L102" i="38"/>
  <c r="L148" i="39" s="1"/>
  <c r="AE85" i="48" s="1"/>
  <c r="P45" i="38"/>
  <c r="P145" i="39" s="1"/>
  <c r="AI82" i="48" s="1"/>
  <c r="Q102" i="38"/>
  <c r="Q148" i="39" s="1"/>
  <c r="AJ85" i="48" s="1"/>
  <c r="N64" i="38"/>
  <c r="N146" i="39" s="1"/>
  <c r="AG83" i="48" s="1"/>
  <c r="AB102" i="38"/>
  <c r="AB148" i="39" s="1"/>
  <c r="Y102" i="38"/>
  <c r="Y148" i="39" s="1"/>
  <c r="X83" i="38"/>
  <c r="Q64" i="38"/>
  <c r="Q146" i="39" s="1"/>
  <c r="AJ83" i="48" s="1"/>
  <c r="K45" i="38"/>
  <c r="K145" i="39" s="1"/>
  <c r="AD82" i="48" s="1"/>
  <c r="N83" i="38"/>
  <c r="L64" i="38"/>
  <c r="L146" i="39" s="1"/>
  <c r="AE83" i="48" s="1"/>
  <c r="R102" i="38"/>
  <c r="R148" i="39" s="1"/>
  <c r="AK85" i="48" s="1"/>
  <c r="O64" i="38"/>
  <c r="O146" i="39" s="1"/>
  <c r="AH83" i="48" s="1"/>
  <c r="L45" i="38"/>
  <c r="L145" i="39" s="1"/>
  <c r="AE82" i="48" s="1"/>
  <c r="S102" i="38"/>
  <c r="S148" i="39" s="1"/>
  <c r="AL85" i="48" s="1"/>
  <c r="R140" i="38"/>
  <c r="V102" i="38"/>
  <c r="V148" i="39" s="1"/>
  <c r="AB140" i="38"/>
  <c r="AA102" i="38"/>
  <c r="AA148" i="39" s="1"/>
  <c r="S140" i="38"/>
  <c r="V83" i="38"/>
  <c r="R45" i="38"/>
  <c r="R145" i="39" s="1"/>
  <c r="AK82" i="48" s="1"/>
  <c r="P140" i="38"/>
  <c r="Z64" i="38"/>
  <c r="Z146" i="39" s="1"/>
  <c r="Z140" i="38"/>
  <c r="K83" i="38"/>
  <c r="W83" i="38"/>
  <c r="P64" i="38"/>
  <c r="P146" i="39" s="1"/>
  <c r="AI83" i="48" s="1"/>
  <c r="Z83" i="38"/>
  <c r="AA64" i="38"/>
  <c r="AA146" i="39" s="1"/>
  <c r="Y64" i="38"/>
  <c r="Y146" i="39" s="1"/>
  <c r="T45" i="38"/>
  <c r="T145" i="39" s="1"/>
  <c r="AM82" i="48" s="1"/>
  <c r="L140" i="38"/>
  <c r="P102" i="38"/>
  <c r="P148" i="39" s="1"/>
  <c r="AI85" i="48" s="1"/>
  <c r="O102" i="38"/>
  <c r="O148" i="39" s="1"/>
  <c r="AH85" i="48" s="1"/>
  <c r="M45" i="38"/>
  <c r="M145" i="39" s="1"/>
  <c r="AF82" i="48" s="1"/>
  <c r="J26" i="38"/>
  <c r="J102" i="38"/>
  <c r="J148" i="39" s="1"/>
  <c r="AC85" i="48" s="1"/>
  <c r="J64" i="38"/>
  <c r="J146" i="39" s="1"/>
  <c r="AC83" i="48" s="1"/>
  <c r="U64" i="38"/>
  <c r="U146" i="39" s="1"/>
  <c r="AN83" i="48" s="1"/>
  <c r="Y83" i="38"/>
  <c r="T83" i="38"/>
  <c r="N140" i="38"/>
  <c r="S83" i="38"/>
  <c r="K64" i="38"/>
  <c r="K146" i="39" s="1"/>
  <c r="AD83" i="48" s="1"/>
  <c r="Q83" i="38"/>
  <c r="K140" i="38"/>
  <c r="Y140" i="38"/>
  <c r="AA140" i="38"/>
  <c r="S64" i="38"/>
  <c r="S146" i="39" s="1"/>
  <c r="AL83" i="48" s="1"/>
  <c r="M83" i="38"/>
  <c r="J140" i="38"/>
  <c r="U83" i="38"/>
  <c r="O140" i="38"/>
  <c r="R64" i="38"/>
  <c r="R146" i="39" s="1"/>
  <c r="AK83" i="48" s="1"/>
  <c r="W64" i="38"/>
  <c r="W146" i="39" s="1"/>
  <c r="O83" i="38"/>
  <c r="X102" i="38"/>
  <c r="X148" i="39" s="1"/>
  <c r="L83" i="38"/>
  <c r="N102" i="38"/>
  <c r="N148" i="39" s="1"/>
  <c r="AG85" i="48" s="1"/>
  <c r="X64" i="38"/>
  <c r="X146" i="39" s="1"/>
  <c r="M140" i="38"/>
  <c r="J83" i="38"/>
  <c r="M102" i="38"/>
  <c r="M148" i="39" s="1"/>
  <c r="AF85" i="48" s="1"/>
  <c r="S45" i="38"/>
  <c r="S145" i="39" s="1"/>
  <c r="AL82" i="48" s="1"/>
  <c r="AB83" i="38"/>
  <c r="AB147" i="39" s="1"/>
  <c r="U140" i="38"/>
  <c r="T64" i="38"/>
  <c r="T146" i="39" s="1"/>
  <c r="AM83" i="48" s="1"/>
  <c r="Z102" i="38"/>
  <c r="Z148" i="39" s="1"/>
  <c r="M64" i="38"/>
  <c r="M146" i="39" s="1"/>
  <c r="AF83" i="48" s="1"/>
  <c r="O45" i="38"/>
  <c r="O145" i="39" s="1"/>
  <c r="AH82" i="48" s="1"/>
  <c r="P83" i="38"/>
  <c r="U102" i="38"/>
  <c r="U148" i="39" s="1"/>
  <c r="AN85" i="48" s="1"/>
  <c r="N45" i="38"/>
  <c r="N145" i="39" s="1"/>
  <c r="AG82" i="48" s="1"/>
  <c r="J45" i="38"/>
  <c r="J145" i="39" s="1"/>
  <c r="AC82" i="48" s="1"/>
  <c r="AB64" i="38"/>
  <c r="AB146" i="39" s="1"/>
  <c r="Q45" i="38"/>
  <c r="Q145" i="39" s="1"/>
  <c r="AJ82" i="48" s="1"/>
  <c r="V64" i="38"/>
  <c r="V146" i="39" s="1"/>
  <c r="X140" i="38"/>
  <c r="K102" i="38"/>
  <c r="K148" i="39" s="1"/>
  <c r="AD85" i="48" s="1"/>
  <c r="AA83" i="38"/>
  <c r="AA147" i="39" s="1"/>
  <c r="Q140" i="38"/>
  <c r="W102" i="38"/>
  <c r="W148" i="39" s="1"/>
  <c r="R83" i="38"/>
  <c r="U45" i="38"/>
  <c r="U145" i="39" s="1"/>
  <c r="AN82" i="48" s="1"/>
  <c r="T102" i="38"/>
  <c r="T148" i="39" s="1"/>
  <c r="AM85" i="48" s="1"/>
  <c r="V45" i="38"/>
  <c r="V145" i="39" s="1"/>
  <c r="V140" i="38"/>
  <c r="T140" i="38"/>
  <c r="V200" i="47"/>
  <c r="M25" i="46"/>
  <c r="V124" i="33"/>
  <c r="V126" i="33" s="1"/>
  <c r="V151" i="33"/>
  <c r="V33" i="42"/>
  <c r="V17" i="42" s="1"/>
  <c r="V48" i="46"/>
  <c r="V50" i="46" s="1"/>
  <c r="W102" i="34"/>
  <c r="M20" i="46"/>
  <c r="M27" i="46"/>
  <c r="V17" i="34"/>
  <c r="V225" i="32"/>
  <c r="D133" i="48"/>
  <c r="D104" i="48"/>
  <c r="D46" i="48"/>
  <c r="D139" i="48"/>
  <c r="D94" i="48"/>
  <c r="D111" i="48"/>
  <c r="D138" i="48"/>
  <c r="D87" i="48"/>
  <c r="D110" i="48"/>
  <c r="D135" i="48"/>
  <c r="D60" i="48"/>
  <c r="D106" i="48"/>
  <c r="D137" i="48"/>
  <c r="D80" i="48"/>
  <c r="D109" i="48"/>
  <c r="J139" i="38"/>
  <c r="T63" i="38"/>
  <c r="S101" i="38"/>
  <c r="J101" i="38"/>
  <c r="L139" i="38"/>
  <c r="X101" i="38"/>
  <c r="X139" i="38"/>
  <c r="Y63" i="38"/>
  <c r="AA82" i="38"/>
  <c r="M101" i="38"/>
  <c r="L44" i="38"/>
  <c r="O44" i="38"/>
  <c r="V82" i="38"/>
  <c r="R101" i="38"/>
  <c r="T101" i="38"/>
  <c r="R139" i="38"/>
  <c r="T82" i="38"/>
  <c r="J44" i="38"/>
  <c r="P139" i="38"/>
  <c r="P101" i="38"/>
  <c r="Y101" i="38"/>
  <c r="Q44" i="38"/>
  <c r="T44" i="38"/>
  <c r="U82" i="38"/>
  <c r="O82" i="38"/>
  <c r="J63" i="38"/>
  <c r="V101" i="38"/>
  <c r="V139" i="38"/>
  <c r="P82" i="38"/>
  <c r="K44" i="38"/>
  <c r="U139" i="38"/>
  <c r="L82" i="38"/>
  <c r="Y139" i="38"/>
  <c r="P44" i="38"/>
  <c r="T139" i="38"/>
  <c r="R82" i="38"/>
  <c r="R133" i="39" s="1"/>
  <c r="U101" i="38"/>
  <c r="V63" i="38"/>
  <c r="AA63" i="38"/>
  <c r="W63" i="38"/>
  <c r="X82" i="38"/>
  <c r="S82" i="38"/>
  <c r="W101" i="38"/>
  <c r="O63" i="38"/>
  <c r="P63" i="38"/>
  <c r="U63" i="38"/>
  <c r="AB63" i="38"/>
  <c r="Z63" i="38"/>
  <c r="K63" i="38"/>
  <c r="X63" i="38"/>
  <c r="W82" i="38"/>
  <c r="Q63" i="38"/>
  <c r="AB139" i="38"/>
  <c r="S63" i="38"/>
  <c r="M44" i="38"/>
  <c r="Q139" i="38"/>
  <c r="U44" i="38"/>
  <c r="V44" i="38"/>
  <c r="AB82" i="38"/>
  <c r="R63" i="38"/>
  <c r="AA139" i="38"/>
  <c r="AA101" i="38"/>
  <c r="L101" i="38"/>
  <c r="N139" i="38"/>
  <c r="M82" i="38"/>
  <c r="M139" i="38"/>
  <c r="N44" i="38"/>
  <c r="R44" i="38"/>
  <c r="N82" i="38"/>
  <c r="N133" i="39" s="1"/>
  <c r="Z82" i="38"/>
  <c r="S139" i="38"/>
  <c r="K82" i="38"/>
  <c r="Q82" i="38"/>
  <c r="Q133" i="39" s="1"/>
  <c r="S44" i="38"/>
  <c r="L63" i="38"/>
  <c r="O139" i="38"/>
  <c r="Z139" i="38"/>
  <c r="O101" i="38"/>
  <c r="K101" i="38"/>
  <c r="Z101" i="38"/>
  <c r="J82" i="38"/>
  <c r="J133" i="39" s="1"/>
  <c r="N101" i="38"/>
  <c r="Y82" i="38"/>
  <c r="N63" i="38"/>
  <c r="J25" i="38"/>
  <c r="Q101" i="38"/>
  <c r="AB101" i="38"/>
  <c r="K139" i="38"/>
  <c r="M63" i="38"/>
  <c r="N32" i="31"/>
  <c r="D105" i="48"/>
  <c r="D53" i="48"/>
  <c r="D134" i="48"/>
  <c r="V54" i="34"/>
  <c r="W19" i="33"/>
  <c r="V48" i="37"/>
  <c r="Z147" i="39" l="1"/>
  <c r="X133" i="39"/>
  <c r="V133" i="39"/>
  <c r="Y133" i="39"/>
  <c r="AB133" i="39"/>
  <c r="S133" i="39"/>
  <c r="O133" i="39"/>
  <c r="Q147" i="39"/>
  <c r="AJ84" i="48" s="1"/>
  <c r="J147" i="39"/>
  <c r="AC84" i="48" s="1"/>
  <c r="X147" i="39"/>
  <c r="U147" i="39"/>
  <c r="AN84" i="48" s="1"/>
  <c r="V147" i="39"/>
  <c r="AA133" i="39"/>
  <c r="R147" i="39"/>
  <c r="AK84" i="48" s="1"/>
  <c r="S147" i="39"/>
  <c r="AL84" i="48" s="1"/>
  <c r="K133" i="39"/>
  <c r="L133" i="39"/>
  <c r="U133" i="39"/>
  <c r="L147" i="39"/>
  <c r="AE84" i="48" s="1"/>
  <c r="M147" i="39"/>
  <c r="M133" i="39"/>
  <c r="T147" i="39"/>
  <c r="AM84" i="48" s="1"/>
  <c r="K147" i="39"/>
  <c r="AD84" i="48" s="1"/>
  <c r="N147" i="39"/>
  <c r="AG84" i="48" s="1"/>
  <c r="T133" i="39"/>
  <c r="Z133" i="39"/>
  <c r="O147" i="39"/>
  <c r="AH84" i="48" s="1"/>
  <c r="Y147" i="39"/>
  <c r="P133" i="39"/>
  <c r="P147" i="39"/>
  <c r="W46" i="34"/>
  <c r="A32" i="31"/>
  <c r="V46" i="38"/>
  <c r="V159" i="39" s="1"/>
  <c r="AA141" i="38"/>
  <c r="AA143" i="38" s="1"/>
  <c r="AA145" i="38" s="1"/>
  <c r="AB84" i="38"/>
  <c r="M84" i="38"/>
  <c r="J84" i="38"/>
  <c r="J141" i="38"/>
  <c r="J143" i="38" s="1"/>
  <c r="J145" i="38" s="1"/>
  <c r="L84" i="38"/>
  <c r="Z141" i="38"/>
  <c r="Z143" i="38" s="1"/>
  <c r="Z145" i="38" s="1"/>
  <c r="R103" i="38"/>
  <c r="R162" i="39" s="1"/>
  <c r="AK92" i="48" s="1"/>
  <c r="O103" i="38"/>
  <c r="O162" i="39" s="1"/>
  <c r="AH92" i="48" s="1"/>
  <c r="U103" i="38"/>
  <c r="U162" i="39" s="1"/>
  <c r="AN92" i="48" s="1"/>
  <c r="K46" i="38"/>
  <c r="K159" i="39" s="1"/>
  <c r="AD89" i="48" s="1"/>
  <c r="Q84" i="38"/>
  <c r="W84" i="38"/>
  <c r="AB65" i="38"/>
  <c r="AB160" i="39" s="1"/>
  <c r="X103" i="38"/>
  <c r="X162" i="39" s="1"/>
  <c r="P141" i="38"/>
  <c r="P143" i="38" s="1"/>
  <c r="P145" i="38" s="1"/>
  <c r="L141" i="38"/>
  <c r="L143" i="38" s="1"/>
  <c r="L145" i="38" s="1"/>
  <c r="U141" i="38"/>
  <c r="U143" i="38" s="1"/>
  <c r="U145" i="38" s="1"/>
  <c r="U65" i="38"/>
  <c r="U160" i="39" s="1"/>
  <c r="AN90" i="48" s="1"/>
  <c r="Y65" i="38"/>
  <c r="Y160" i="39" s="1"/>
  <c r="AB103" i="38"/>
  <c r="AB162" i="39" s="1"/>
  <c r="Q141" i="38"/>
  <c r="Q143" i="38" s="1"/>
  <c r="Q145" i="38" s="1"/>
  <c r="U46" i="38"/>
  <c r="U159" i="39" s="1"/>
  <c r="AN89" i="48" s="1"/>
  <c r="L46" i="38"/>
  <c r="L159" i="39" s="1"/>
  <c r="AE89" i="48" s="1"/>
  <c r="X141" i="38"/>
  <c r="X143" i="38" s="1"/>
  <c r="X145" i="38" s="1"/>
  <c r="T103" i="38"/>
  <c r="T162" i="39" s="1"/>
  <c r="AM92" i="48" s="1"/>
  <c r="T46" i="38"/>
  <c r="T159" i="39" s="1"/>
  <c r="AM89" i="48" s="1"/>
  <c r="L65" i="38"/>
  <c r="L160" i="39" s="1"/>
  <c r="AE90" i="48" s="1"/>
  <c r="T141" i="38"/>
  <c r="T143" i="38" s="1"/>
  <c r="T145" i="38" s="1"/>
  <c r="P84" i="38"/>
  <c r="Z65" i="38"/>
  <c r="Z160" i="39" s="1"/>
  <c r="V103" i="38"/>
  <c r="V162" i="39" s="1"/>
  <c r="M65" i="38"/>
  <c r="M160" i="39" s="1"/>
  <c r="AF90" i="48" s="1"/>
  <c r="O46" i="38"/>
  <c r="O159" i="39" s="1"/>
  <c r="AH89" i="48" s="1"/>
  <c r="S84" i="38"/>
  <c r="O65" i="38"/>
  <c r="O160" i="39" s="1"/>
  <c r="AH90" i="48" s="1"/>
  <c r="X65" i="38"/>
  <c r="X160" i="39" s="1"/>
  <c r="T65" i="38"/>
  <c r="T160" i="39" s="1"/>
  <c r="AM90" i="48" s="1"/>
  <c r="K103" i="38"/>
  <c r="K162" i="39" s="1"/>
  <c r="AD92" i="48" s="1"/>
  <c r="J27" i="38"/>
  <c r="AB141" i="38"/>
  <c r="AB143" i="38" s="1"/>
  <c r="AB145" i="38" s="1"/>
  <c r="M46" i="38"/>
  <c r="M159" i="39" s="1"/>
  <c r="AF89" i="48" s="1"/>
  <c r="W103" i="38"/>
  <c r="W162" i="39" s="1"/>
  <c r="M103" i="38"/>
  <c r="M162" i="39" s="1"/>
  <c r="AF92" i="48" s="1"/>
  <c r="P46" i="38"/>
  <c r="P159" i="39" s="1"/>
  <c r="AI89" i="48" s="1"/>
  <c r="J46" i="38"/>
  <c r="J159" i="39" s="1"/>
  <c r="AC89" i="48" s="1"/>
  <c r="K65" i="38"/>
  <c r="K160" i="39" s="1"/>
  <c r="AD90" i="48" s="1"/>
  <c r="T84" i="38"/>
  <c r="R46" i="38"/>
  <c r="R159" i="39" s="1"/>
  <c r="AK89" i="48" s="1"/>
  <c r="N65" i="38"/>
  <c r="N160" i="39" s="1"/>
  <c r="AG90" i="48" s="1"/>
  <c r="P65" i="38"/>
  <c r="P160" i="39" s="1"/>
  <c r="AI90" i="48" s="1"/>
  <c r="V141" i="38"/>
  <c r="V143" i="38" s="1"/>
  <c r="V145" i="38" s="1"/>
  <c r="O141" i="38"/>
  <c r="O143" i="38" s="1"/>
  <c r="O145" i="38" s="1"/>
  <c r="Y103" i="38"/>
  <c r="Y162" i="39" s="1"/>
  <c r="J65" i="38"/>
  <c r="J160" i="39" s="1"/>
  <c r="AC90" i="48" s="1"/>
  <c r="K141" i="38"/>
  <c r="K143" i="38" s="1"/>
  <c r="K145" i="38" s="1"/>
  <c r="AA84" i="38"/>
  <c r="AA161" i="39" s="1"/>
  <c r="N46" i="38"/>
  <c r="N159" i="39" s="1"/>
  <c r="AG89" i="48" s="1"/>
  <c r="L103" i="38"/>
  <c r="L162" i="39" s="1"/>
  <c r="AE92" i="48" s="1"/>
  <c r="V65" i="38"/>
  <c r="V160" i="39" s="1"/>
  <c r="Q103" i="38"/>
  <c r="Q162" i="39" s="1"/>
  <c r="AJ92" i="48" s="1"/>
  <c r="Z103" i="38"/>
  <c r="Z162" i="39" s="1"/>
  <c r="K84" i="38"/>
  <c r="U84" i="38"/>
  <c r="AA103" i="38"/>
  <c r="AA162" i="39" s="1"/>
  <c r="N103" i="38"/>
  <c r="N162" i="39" s="1"/>
  <c r="AG92" i="48" s="1"/>
  <c r="S141" i="38"/>
  <c r="S143" i="38" s="1"/>
  <c r="S145" i="38" s="1"/>
  <c r="Q65" i="38"/>
  <c r="Q160" i="39" s="1"/>
  <c r="AJ90" i="48" s="1"/>
  <c r="R84" i="38"/>
  <c r="S65" i="38"/>
  <c r="S160" i="39" s="1"/>
  <c r="AL90" i="48" s="1"/>
  <c r="O84" i="38"/>
  <c r="Y84" i="38"/>
  <c r="S103" i="38"/>
  <c r="S162" i="39" s="1"/>
  <c r="AL92" i="48" s="1"/>
  <c r="S46" i="38"/>
  <c r="S159" i="39" s="1"/>
  <c r="AL89" i="48" s="1"/>
  <c r="R65" i="38"/>
  <c r="R160" i="39" s="1"/>
  <c r="AK90" i="48" s="1"/>
  <c r="Q46" i="38"/>
  <c r="Q159" i="39" s="1"/>
  <c r="AJ89" i="48" s="1"/>
  <c r="W65" i="38"/>
  <c r="W160" i="39" s="1"/>
  <c r="J103" i="38"/>
  <c r="J162" i="39" s="1"/>
  <c r="AC92" i="48" s="1"/>
  <c r="X84" i="38"/>
  <c r="N141" i="38"/>
  <c r="N143" i="38" s="1"/>
  <c r="N145" i="38" s="1"/>
  <c r="Z84" i="38"/>
  <c r="AA65" i="38"/>
  <c r="AA160" i="39" s="1"/>
  <c r="Y141" i="38"/>
  <c r="Y143" i="38" s="1"/>
  <c r="Y145" i="38" s="1"/>
  <c r="M141" i="38"/>
  <c r="M143" i="38" s="1"/>
  <c r="M145" i="38" s="1"/>
  <c r="N84" i="38"/>
  <c r="V84" i="38"/>
  <c r="P103" i="38"/>
  <c r="P162" i="39" s="1"/>
  <c r="AI92" i="48" s="1"/>
  <c r="R141" i="38"/>
  <c r="R143" i="38" s="1"/>
  <c r="R145" i="38" s="1"/>
  <c r="Q134" i="39"/>
  <c r="N134" i="39"/>
  <c r="O134" i="39"/>
  <c r="S131" i="39"/>
  <c r="AA134" i="39"/>
  <c r="V131" i="39"/>
  <c r="S132" i="39"/>
  <c r="X132" i="39"/>
  <c r="U132" i="39"/>
  <c r="V132" i="39"/>
  <c r="P131" i="39"/>
  <c r="K131" i="39"/>
  <c r="J132" i="39"/>
  <c r="T131" i="39"/>
  <c r="T134" i="39"/>
  <c r="L131" i="39"/>
  <c r="S134" i="39"/>
  <c r="L68" i="42"/>
  <c r="L138" i="42"/>
  <c r="V122" i="37"/>
  <c r="V124" i="37" s="1"/>
  <c r="V149" i="37"/>
  <c r="W116" i="34"/>
  <c r="L96" i="42"/>
  <c r="L124" i="42"/>
  <c r="L110" i="42"/>
  <c r="M19" i="45"/>
  <c r="L218" i="45"/>
  <c r="L220" i="45" s="1"/>
  <c r="W88" i="34"/>
  <c r="M132" i="39"/>
  <c r="J130" i="39"/>
  <c r="J120" i="38"/>
  <c r="U131" i="39"/>
  <c r="K132" i="39"/>
  <c r="P132" i="39"/>
  <c r="U134" i="39"/>
  <c r="Q131" i="39"/>
  <c r="J131" i="39"/>
  <c r="R134" i="39"/>
  <c r="M134" i="39"/>
  <c r="X134" i="39"/>
  <c r="T132" i="39"/>
  <c r="L166" i="42"/>
  <c r="M120" i="46"/>
  <c r="M158" i="46" s="1"/>
  <c r="M130" i="42"/>
  <c r="W62" i="32"/>
  <c r="W65" i="32" s="1"/>
  <c r="W45" i="33"/>
  <c r="W145" i="34" s="1"/>
  <c r="W44" i="47"/>
  <c r="W43" i="33"/>
  <c r="W117" i="34" s="1"/>
  <c r="W44" i="33"/>
  <c r="W131" i="34" s="1"/>
  <c r="W42" i="33"/>
  <c r="W39" i="33"/>
  <c r="W61" i="34" s="1"/>
  <c r="W38" i="33"/>
  <c r="W47" i="34" s="1"/>
  <c r="W41" i="33"/>
  <c r="W89" i="34" s="1"/>
  <c r="W40" i="33"/>
  <c r="W75" i="34" s="1"/>
  <c r="W46" i="33"/>
  <c r="W159" i="34" s="1"/>
  <c r="W37" i="33"/>
  <c r="M88" i="42"/>
  <c r="M117" i="46"/>
  <c r="M155" i="46" s="1"/>
  <c r="M116" i="42"/>
  <c r="M119" i="46"/>
  <c r="M157" i="46" s="1"/>
  <c r="M118" i="46"/>
  <c r="M156" i="46" s="1"/>
  <c r="M102" i="42"/>
  <c r="W60" i="34"/>
  <c r="M74" i="42"/>
  <c r="M116" i="46"/>
  <c r="M154" i="46" s="1"/>
  <c r="L32" i="42"/>
  <c r="L38" i="42" s="1"/>
  <c r="L29" i="46"/>
  <c r="L31" i="46" s="1"/>
  <c r="L113" i="46"/>
  <c r="N132" i="39"/>
  <c r="Z134" i="39"/>
  <c r="R131" i="39"/>
  <c r="R132" i="39"/>
  <c r="Q132" i="39"/>
  <c r="Z132" i="39"/>
  <c r="O132" i="39"/>
  <c r="W132" i="39"/>
  <c r="Y134" i="39"/>
  <c r="M158" i="42"/>
  <c r="M122" i="46"/>
  <c r="M160" i="46" s="1"/>
  <c r="W18" i="33"/>
  <c r="V162" i="33"/>
  <c r="V164" i="33" s="1"/>
  <c r="F49" i="31"/>
  <c r="F52" i="31" s="1"/>
  <c r="E49" i="31"/>
  <c r="E52" i="31" s="1"/>
  <c r="L54" i="42"/>
  <c r="L152" i="42"/>
  <c r="L82" i="42"/>
  <c r="AB134" i="39"/>
  <c r="K134" i="39"/>
  <c r="L132" i="39"/>
  <c r="N131" i="39"/>
  <c r="L134" i="39"/>
  <c r="M131" i="39"/>
  <c r="AB132" i="39"/>
  <c r="W134" i="39"/>
  <c r="AA132" i="39"/>
  <c r="V134" i="39"/>
  <c r="P134" i="39"/>
  <c r="O131" i="39"/>
  <c r="Y132" i="39"/>
  <c r="J134" i="39"/>
  <c r="M60" i="42"/>
  <c r="M115" i="46"/>
  <c r="M153" i="46" s="1"/>
  <c r="W18" i="47"/>
  <c r="J121" i="38"/>
  <c r="J159" i="38" s="1"/>
  <c r="J144" i="39"/>
  <c r="W170" i="32"/>
  <c r="W172" i="32" s="1"/>
  <c r="W144" i="34"/>
  <c r="W74" i="34"/>
  <c r="W158" i="34"/>
  <c r="M46" i="42"/>
  <c r="M114" i="46"/>
  <c r="M152" i="46" s="1"/>
  <c r="M121" i="46"/>
  <c r="M159" i="46" s="1"/>
  <c r="M144" i="42"/>
  <c r="L166" i="47"/>
  <c r="L168" i="47" s="1"/>
  <c r="L201" i="47"/>
  <c r="W130" i="34"/>
  <c r="K22" i="42"/>
  <c r="K40" i="42"/>
  <c r="V48" i="38" l="1"/>
  <c r="V50" i="38" s="1"/>
  <c r="J136" i="39"/>
  <c r="V161" i="39"/>
  <c r="V19" i="39" s="1"/>
  <c r="Y161" i="39"/>
  <c r="Y19" i="39" s="1"/>
  <c r="X161" i="39"/>
  <c r="X19" i="39" s="1"/>
  <c r="F33" i="48"/>
  <c r="F38" i="48" s="1"/>
  <c r="M52" i="42"/>
  <c r="F88" i="48"/>
  <c r="F93" i="48" s="1"/>
  <c r="M164" i="42"/>
  <c r="U161" i="39"/>
  <c r="U19" i="39" s="1"/>
  <c r="AN16" i="48" s="1"/>
  <c r="T161" i="39"/>
  <c r="AM91" i="48" s="1"/>
  <c r="P161" i="39"/>
  <c r="P19" i="39" s="1"/>
  <c r="AI16" i="48" s="1"/>
  <c r="L161" i="39"/>
  <c r="AE91" i="48" s="1"/>
  <c r="K161" i="39"/>
  <c r="K19" i="39" s="1"/>
  <c r="AD16" i="48" s="1"/>
  <c r="F74" i="48"/>
  <c r="F79" i="48" s="1"/>
  <c r="M136" i="42"/>
  <c r="N161" i="39"/>
  <c r="AG91" i="48" s="1"/>
  <c r="R161" i="39"/>
  <c r="AK91" i="48" s="1"/>
  <c r="F68" i="48"/>
  <c r="F72" i="48" s="1"/>
  <c r="M122" i="42"/>
  <c r="Q161" i="39"/>
  <c r="AJ91" i="48" s="1"/>
  <c r="J161" i="39"/>
  <c r="AI84" i="48"/>
  <c r="F61" i="48"/>
  <c r="F66" i="48" s="1"/>
  <c r="M108" i="42"/>
  <c r="F40" i="48"/>
  <c r="F45" i="48" s="1"/>
  <c r="M66" i="42"/>
  <c r="S161" i="39"/>
  <c r="AL91" i="48" s="1"/>
  <c r="M161" i="39"/>
  <c r="AF84" i="48"/>
  <c r="F81" i="48"/>
  <c r="F86" i="48" s="1"/>
  <c r="M150" i="42"/>
  <c r="AC81" i="48"/>
  <c r="AC86" i="48" s="1"/>
  <c r="J150" i="39"/>
  <c r="F54" i="48"/>
  <c r="F59" i="48" s="1"/>
  <c r="M94" i="42"/>
  <c r="AB161" i="39"/>
  <c r="AB19" i="39" s="1"/>
  <c r="O161" i="39"/>
  <c r="AH91" i="48" s="1"/>
  <c r="F47" i="48"/>
  <c r="F52" i="48" s="1"/>
  <c r="M80" i="42"/>
  <c r="Z161" i="39"/>
  <c r="Z19" i="39" s="1"/>
  <c r="W20" i="39"/>
  <c r="L86" i="38"/>
  <c r="L88" i="38" s="1"/>
  <c r="J86" i="38"/>
  <c r="J88" i="38" s="1"/>
  <c r="W115" i="33"/>
  <c r="O48" i="38"/>
  <c r="O50" i="38" s="1"/>
  <c r="AB67" i="38"/>
  <c r="AB69" i="38" s="1"/>
  <c r="AB86" i="38"/>
  <c r="AB88" i="38" s="1"/>
  <c r="AB18" i="39"/>
  <c r="X20" i="39"/>
  <c r="W105" i="38"/>
  <c r="W107" i="38" s="1"/>
  <c r="L105" i="38"/>
  <c r="L107" i="38" s="1"/>
  <c r="X105" i="38"/>
  <c r="X107" i="38" s="1"/>
  <c r="U48" i="38"/>
  <c r="U50" i="38" s="1"/>
  <c r="X18" i="39"/>
  <c r="K86" i="38"/>
  <c r="K88" i="38" s="1"/>
  <c r="M48" i="38"/>
  <c r="M50" i="38" s="1"/>
  <c r="V86" i="38"/>
  <c r="V88" i="38" s="1"/>
  <c r="J48" i="38"/>
  <c r="J50" i="38" s="1"/>
  <c r="P67" i="38"/>
  <c r="P69" i="38" s="1"/>
  <c r="J105" i="38"/>
  <c r="J107" i="38" s="1"/>
  <c r="AA67" i="38"/>
  <c r="AA69" i="38" s="1"/>
  <c r="K105" i="38"/>
  <c r="K107" i="38" s="1"/>
  <c r="R67" i="38"/>
  <c r="R69" i="38" s="1"/>
  <c r="T67" i="38"/>
  <c r="T69" i="38" s="1"/>
  <c r="U105" i="38"/>
  <c r="U107" i="38" s="1"/>
  <c r="K48" i="38"/>
  <c r="K50" i="38" s="1"/>
  <c r="P105" i="38"/>
  <c r="P107" i="38" s="1"/>
  <c r="N48" i="38"/>
  <c r="N50" i="38" s="1"/>
  <c r="Y105" i="38"/>
  <c r="Y107" i="38" s="1"/>
  <c r="Z67" i="38"/>
  <c r="Z69" i="38" s="1"/>
  <c r="Z20" i="39"/>
  <c r="O86" i="38"/>
  <c r="O88" i="38" s="1"/>
  <c r="K67" i="38"/>
  <c r="K69" i="38" s="1"/>
  <c r="M86" i="38"/>
  <c r="M88" i="38" s="1"/>
  <c r="T48" i="38"/>
  <c r="T50" i="38" s="1"/>
  <c r="U67" i="38"/>
  <c r="U69" i="38" s="1"/>
  <c r="Y18" i="39"/>
  <c r="M105" i="38"/>
  <c r="M107" i="38" s="1"/>
  <c r="T86" i="38"/>
  <c r="T88" i="38" s="1"/>
  <c r="U86" i="38"/>
  <c r="U88" i="38" s="1"/>
  <c r="R105" i="38"/>
  <c r="R107" i="38" s="1"/>
  <c r="W116" i="33"/>
  <c r="Y67" i="38"/>
  <c r="Y69" i="38" s="1"/>
  <c r="S48" i="38"/>
  <c r="S50" i="38" s="1"/>
  <c r="W121" i="33"/>
  <c r="V105" i="38"/>
  <c r="V107" i="38" s="1"/>
  <c r="V18" i="39"/>
  <c r="V20" i="39"/>
  <c r="L67" i="38"/>
  <c r="L69" i="38" s="1"/>
  <c r="O67" i="38"/>
  <c r="O69" i="38" s="1"/>
  <c r="Q67" i="38"/>
  <c r="Q69" i="38" s="1"/>
  <c r="AA18" i="39"/>
  <c r="Y20" i="39"/>
  <c r="N67" i="38"/>
  <c r="N69" i="38" s="1"/>
  <c r="P86" i="38"/>
  <c r="P88" i="38" s="1"/>
  <c r="T105" i="38"/>
  <c r="T107" i="38" s="1"/>
  <c r="V67" i="38"/>
  <c r="V69" i="38" s="1"/>
  <c r="V17" i="39"/>
  <c r="Y86" i="38"/>
  <c r="Y88" i="38" s="1"/>
  <c r="Z105" i="38"/>
  <c r="Z107" i="38" s="1"/>
  <c r="Q86" i="38"/>
  <c r="Q88" i="38" s="1"/>
  <c r="L48" i="38"/>
  <c r="L50" i="38" s="1"/>
  <c r="N105" i="38"/>
  <c r="N107" i="38" s="1"/>
  <c r="X86" i="38"/>
  <c r="X88" i="38" s="1"/>
  <c r="S86" i="38"/>
  <c r="S88" i="38" s="1"/>
  <c r="J67" i="38"/>
  <c r="J69" i="38" s="1"/>
  <c r="S67" i="38"/>
  <c r="S69" i="38" s="1"/>
  <c r="R48" i="38"/>
  <c r="R50" i="38" s="1"/>
  <c r="W122" i="33"/>
  <c r="AA86" i="38"/>
  <c r="AA88" i="38" s="1"/>
  <c r="R86" i="38"/>
  <c r="R88" i="38" s="1"/>
  <c r="W120" i="33"/>
  <c r="W86" i="38"/>
  <c r="W88" i="38" s="1"/>
  <c r="AB105" i="38"/>
  <c r="AB107" i="38" s="1"/>
  <c r="AA19" i="39"/>
  <c r="N86" i="38"/>
  <c r="N88" i="38" s="1"/>
  <c r="M67" i="38"/>
  <c r="M69" i="38" s="1"/>
  <c r="AA105" i="38"/>
  <c r="AA107" i="38" s="1"/>
  <c r="AB20" i="39"/>
  <c r="W67" i="38"/>
  <c r="W69" i="38" s="1"/>
  <c r="AA20" i="39"/>
  <c r="W18" i="39"/>
  <c r="Q48" i="38"/>
  <c r="Q50" i="38" s="1"/>
  <c r="S105" i="38"/>
  <c r="S107" i="38" s="1"/>
  <c r="P48" i="38"/>
  <c r="P50" i="38" s="1"/>
  <c r="X67" i="38"/>
  <c r="X69" i="38" s="1"/>
  <c r="Z86" i="38"/>
  <c r="Z88" i="38" s="1"/>
  <c r="O105" i="38"/>
  <c r="O107" i="38" s="1"/>
  <c r="Q105" i="38"/>
  <c r="Q107" i="38" s="1"/>
  <c r="AI78" i="48"/>
  <c r="P20" i="39"/>
  <c r="AI17" i="48" s="1"/>
  <c r="AF75" i="48"/>
  <c r="M17" i="39"/>
  <c r="AF14" i="48" s="1"/>
  <c r="AE78" i="48"/>
  <c r="L20" i="39"/>
  <c r="AE17" i="48" s="1"/>
  <c r="L18" i="39"/>
  <c r="AE15" i="48" s="1"/>
  <c r="AE76" i="48"/>
  <c r="E105" i="48"/>
  <c r="E134" i="48"/>
  <c r="E53" i="48"/>
  <c r="W113" i="33"/>
  <c r="W29" i="33"/>
  <c r="W31" i="33" s="1"/>
  <c r="W32" i="34"/>
  <c r="W16" i="34" s="1"/>
  <c r="L151" i="46"/>
  <c r="L124" i="46"/>
  <c r="L126" i="46" s="1"/>
  <c r="W33" i="34"/>
  <c r="W48" i="33"/>
  <c r="W50" i="33" s="1"/>
  <c r="AE75" i="48"/>
  <c r="L17" i="39"/>
  <c r="AE14" i="48" s="1"/>
  <c r="AM75" i="48"/>
  <c r="T17" i="39"/>
  <c r="AM14" i="48" s="1"/>
  <c r="AD75" i="48"/>
  <c r="K17" i="39"/>
  <c r="AD14" i="48" s="1"/>
  <c r="U18" i="39"/>
  <c r="AN15" i="48" s="1"/>
  <c r="AN76" i="48"/>
  <c r="S18" i="39"/>
  <c r="AL15" i="48" s="1"/>
  <c r="AL76" i="48"/>
  <c r="AL75" i="48"/>
  <c r="S17" i="39"/>
  <c r="AL14" i="48" s="1"/>
  <c r="AG78" i="48"/>
  <c r="N20" i="39"/>
  <c r="AG17" i="48" s="1"/>
  <c r="N26" i="46"/>
  <c r="K26" i="38"/>
  <c r="N20" i="46"/>
  <c r="A52" i="31"/>
  <c r="A1" i="31" s="1"/>
  <c r="H22" i="25" s="1"/>
  <c r="V22" i="34"/>
  <c r="V24" i="34" s="1"/>
  <c r="V40" i="34"/>
  <c r="AM77" i="48"/>
  <c r="AN77" i="48"/>
  <c r="AK77" i="48"/>
  <c r="AH76" i="48"/>
  <c r="O18" i="39"/>
  <c r="AH15" i="48" s="1"/>
  <c r="Q18" i="39"/>
  <c r="AJ15" i="48" s="1"/>
  <c r="AJ76" i="48"/>
  <c r="R17" i="39"/>
  <c r="AK14" i="48" s="1"/>
  <c r="AK75" i="48"/>
  <c r="N22" i="46"/>
  <c r="W45" i="46"/>
  <c r="W145" i="42" s="1"/>
  <c r="W62" i="47"/>
  <c r="W64" i="47" s="1"/>
  <c r="W44" i="46"/>
  <c r="W131" i="42" s="1"/>
  <c r="W43" i="46"/>
  <c r="W117" i="42" s="1"/>
  <c r="W42" i="46"/>
  <c r="W103" i="42" s="1"/>
  <c r="W39" i="46"/>
  <c r="W61" i="42" s="1"/>
  <c r="W38" i="46"/>
  <c r="W47" i="42" s="1"/>
  <c r="W40" i="46"/>
  <c r="W75" i="42" s="1"/>
  <c r="W41" i="46"/>
  <c r="W89" i="42" s="1"/>
  <c r="W46" i="46"/>
  <c r="W159" i="42" s="1"/>
  <c r="W37" i="46"/>
  <c r="N25" i="46"/>
  <c r="T18" i="39"/>
  <c r="AM15" i="48" s="1"/>
  <c r="AM76" i="48"/>
  <c r="AF78" i="48"/>
  <c r="M20" i="39"/>
  <c r="AF17" i="48" s="1"/>
  <c r="AC75" i="48"/>
  <c r="J17" i="39"/>
  <c r="AC14" i="48" s="1"/>
  <c r="AH77" i="48"/>
  <c r="AN78" i="48"/>
  <c r="U20" i="39"/>
  <c r="AN17" i="48" s="1"/>
  <c r="AI76" i="48"/>
  <c r="P18" i="39"/>
  <c r="AI15" i="48" s="1"/>
  <c r="U17" i="39"/>
  <c r="AN14" i="48" s="1"/>
  <c r="AN75" i="48"/>
  <c r="AG77" i="48"/>
  <c r="N19" i="39"/>
  <c r="AG16" i="48" s="1"/>
  <c r="AC77" i="48"/>
  <c r="AF76" i="48"/>
  <c r="M18" i="39"/>
  <c r="AF15" i="48" s="1"/>
  <c r="M36" i="45"/>
  <c r="M38" i="45" s="1"/>
  <c r="M149" i="45"/>
  <c r="E73" i="48"/>
  <c r="E108" i="48"/>
  <c r="W119" i="33"/>
  <c r="W114" i="33"/>
  <c r="D131" i="48"/>
  <c r="D102" i="48"/>
  <c r="D32" i="48"/>
  <c r="M19" i="47"/>
  <c r="L218" i="47"/>
  <c r="L220" i="47" s="1"/>
  <c r="N19" i="46"/>
  <c r="W148" i="47"/>
  <c r="AC78" i="48"/>
  <c r="J20" i="39"/>
  <c r="AC17" i="48" s="1"/>
  <c r="AH75" i="48"/>
  <c r="O17" i="39"/>
  <c r="AH14" i="48" s="1"/>
  <c r="N17" i="39"/>
  <c r="AG14" i="48" s="1"/>
  <c r="AG75" i="48"/>
  <c r="AD78" i="48"/>
  <c r="K20" i="39"/>
  <c r="AD17" i="48" s="1"/>
  <c r="E138" i="48"/>
  <c r="E110" i="48"/>
  <c r="E87" i="48"/>
  <c r="N27" i="46"/>
  <c r="E26" i="48"/>
  <c r="E31" i="48" s="1"/>
  <c r="L16" i="42"/>
  <c r="E13" i="48" s="1"/>
  <c r="N23" i="46"/>
  <c r="W103" i="34"/>
  <c r="W118" i="33"/>
  <c r="E139" i="48"/>
  <c r="E94" i="48"/>
  <c r="E111" i="48"/>
  <c r="J158" i="38"/>
  <c r="W117" i="33"/>
  <c r="E137" i="48"/>
  <c r="E109" i="48"/>
  <c r="E80" i="48"/>
  <c r="AL78" i="48"/>
  <c r="S20" i="39"/>
  <c r="AL17" i="48" s="1"/>
  <c r="T20" i="39"/>
  <c r="AM17" i="48" s="1"/>
  <c r="AM78" i="48"/>
  <c r="J18" i="39"/>
  <c r="AC15" i="48" s="1"/>
  <c r="AC76" i="48"/>
  <c r="AI75" i="48"/>
  <c r="P17" i="39"/>
  <c r="AI14" i="48" s="1"/>
  <c r="AL77" i="48"/>
  <c r="AH78" i="48"/>
  <c r="O20" i="39"/>
  <c r="AH17" i="48" s="1"/>
  <c r="AJ78" i="48"/>
  <c r="Q20" i="39"/>
  <c r="AJ17" i="48" s="1"/>
  <c r="J29" i="38"/>
  <c r="J31" i="38" s="1"/>
  <c r="J122" i="38"/>
  <c r="J160" i="38" s="1"/>
  <c r="J158" i="39"/>
  <c r="AC88" i="48" s="1"/>
  <c r="K24" i="42"/>
  <c r="D18" i="48"/>
  <c r="D19" i="48" s="1"/>
  <c r="E132" i="48"/>
  <c r="E39" i="48"/>
  <c r="E103" i="48"/>
  <c r="L19" i="39"/>
  <c r="AE16" i="48" s="1"/>
  <c r="AE77" i="48"/>
  <c r="AK76" i="48"/>
  <c r="R18" i="39"/>
  <c r="AK15" i="48" s="1"/>
  <c r="AD77" i="48"/>
  <c r="N18" i="39"/>
  <c r="AG15" i="48" s="1"/>
  <c r="AG76" i="48"/>
  <c r="N21" i="46"/>
  <c r="N24" i="46"/>
  <c r="W64" i="32"/>
  <c r="R20" i="39"/>
  <c r="AK17" i="48" s="1"/>
  <c r="AK78" i="48"/>
  <c r="AJ75" i="48"/>
  <c r="Q17" i="39"/>
  <c r="AJ14" i="48" s="1"/>
  <c r="AI77" i="48"/>
  <c r="AD76" i="48"/>
  <c r="K18" i="39"/>
  <c r="AD15" i="48" s="1"/>
  <c r="M19" i="39"/>
  <c r="AF16" i="48" s="1"/>
  <c r="AF77" i="48"/>
  <c r="AJ77" i="48"/>
  <c r="Q19" i="39"/>
  <c r="AJ16" i="48" s="1"/>
  <c r="AC74" i="48"/>
  <c r="E136" i="48"/>
  <c r="E67" i="48"/>
  <c r="E107" i="48"/>
  <c r="E135" i="48"/>
  <c r="E60" i="48"/>
  <c r="E106" i="48"/>
  <c r="V163" i="37"/>
  <c r="W18" i="37"/>
  <c r="V159" i="37"/>
  <c r="V162" i="37" s="1"/>
  <c r="E133" i="48"/>
  <c r="E104" i="48"/>
  <c r="E46" i="48"/>
  <c r="Z18" i="39"/>
  <c r="T19" i="39" l="1"/>
  <c r="AM16" i="48" s="1"/>
  <c r="R19" i="39"/>
  <c r="AK16" i="48" s="1"/>
  <c r="S19" i="39"/>
  <c r="AL16" i="48" s="1"/>
  <c r="O19" i="39"/>
  <c r="AH16" i="48" s="1"/>
  <c r="J164" i="39"/>
  <c r="AC91" i="48"/>
  <c r="AC93" i="48" s="1"/>
  <c r="AC139" i="48" s="1"/>
  <c r="AD91" i="48"/>
  <c r="AN91" i="48"/>
  <c r="J19" i="39"/>
  <c r="AC16" i="48" s="1"/>
  <c r="AI91" i="48"/>
  <c r="AC79" i="48"/>
  <c r="AF91" i="48"/>
  <c r="A107" i="38"/>
  <c r="A69" i="38"/>
  <c r="A88" i="38"/>
  <c r="J16" i="39"/>
  <c r="AC13" i="48" s="1"/>
  <c r="W28" i="37"/>
  <c r="W30" i="37" s="1"/>
  <c r="W36" i="37"/>
  <c r="M124" i="42"/>
  <c r="M82" i="42"/>
  <c r="K25" i="38"/>
  <c r="J162" i="38"/>
  <c r="J164" i="38" s="1"/>
  <c r="M68" i="42"/>
  <c r="M152" i="42"/>
  <c r="W124" i="33"/>
  <c r="W126" i="33" s="1"/>
  <c r="N116" i="42"/>
  <c r="N119" i="46"/>
  <c r="N157" i="46" s="1"/>
  <c r="M149" i="47"/>
  <c r="M36" i="47"/>
  <c r="M38" i="47" s="1"/>
  <c r="M138" i="42"/>
  <c r="J152" i="39"/>
  <c r="N144" i="42"/>
  <c r="N121" i="46"/>
  <c r="N159" i="46" s="1"/>
  <c r="M18" i="46"/>
  <c r="L162" i="46"/>
  <c r="L164" i="46" s="1"/>
  <c r="M110" i="42"/>
  <c r="M166" i="42"/>
  <c r="N46" i="42"/>
  <c r="N114" i="46"/>
  <c r="N152" i="46" s="1"/>
  <c r="N120" i="46"/>
  <c r="N158" i="46" s="1"/>
  <c r="N130" i="42"/>
  <c r="N117" i="46"/>
  <c r="N155" i="46" s="1"/>
  <c r="N88" i="42"/>
  <c r="K121" i="38"/>
  <c r="K159" i="38" s="1"/>
  <c r="K144" i="39"/>
  <c r="V161" i="37"/>
  <c r="N74" i="42"/>
  <c r="N116" i="46"/>
  <c r="N154" i="46" s="1"/>
  <c r="K27" i="38"/>
  <c r="J124" i="38"/>
  <c r="J126" i="38" s="1"/>
  <c r="N102" i="42"/>
  <c r="N118" i="46"/>
  <c r="N156" i="46" s="1"/>
  <c r="N122" i="46"/>
  <c r="N160" i="46" s="1"/>
  <c r="N158" i="42"/>
  <c r="M54" i="42"/>
  <c r="M166" i="45"/>
  <c r="M168" i="45" s="1"/>
  <c r="M201" i="45"/>
  <c r="W48" i="46"/>
  <c r="W50" i="46" s="1"/>
  <c r="W33" i="42"/>
  <c r="W17" i="42" s="1"/>
  <c r="M96" i="42"/>
  <c r="N60" i="42"/>
  <c r="N115" i="46"/>
  <c r="N153" i="46" s="1"/>
  <c r="W17" i="34"/>
  <c r="G74" i="48" l="1"/>
  <c r="G79" i="48" s="1"/>
  <c r="N136" i="42"/>
  <c r="G81" i="48"/>
  <c r="G86" i="48" s="1"/>
  <c r="N150" i="42"/>
  <c r="G40" i="48"/>
  <c r="G45" i="48" s="1"/>
  <c r="N66" i="42"/>
  <c r="G33" i="48"/>
  <c r="G38" i="48" s="1"/>
  <c r="N52" i="42"/>
  <c r="G47" i="48"/>
  <c r="G52" i="48" s="1"/>
  <c r="N80" i="42"/>
  <c r="G61" i="48"/>
  <c r="G66" i="48" s="1"/>
  <c r="N108" i="42"/>
  <c r="AD81" i="48"/>
  <c r="AD86" i="48" s="1"/>
  <c r="K150" i="39"/>
  <c r="G88" i="48"/>
  <c r="G93" i="48" s="1"/>
  <c r="N164" i="42"/>
  <c r="G54" i="48"/>
  <c r="G59" i="48" s="1"/>
  <c r="N94" i="42"/>
  <c r="G68" i="48"/>
  <c r="G72" i="48" s="1"/>
  <c r="N122" i="42"/>
  <c r="AC111" i="48"/>
  <c r="F132" i="48"/>
  <c r="F39" i="48"/>
  <c r="F103" i="48"/>
  <c r="O21" i="46"/>
  <c r="O19" i="46"/>
  <c r="F136" i="48"/>
  <c r="F107" i="48"/>
  <c r="F67" i="48"/>
  <c r="L40" i="42"/>
  <c r="L22" i="42"/>
  <c r="F133" i="48"/>
  <c r="F46" i="48"/>
  <c r="F104" i="48"/>
  <c r="J22" i="39"/>
  <c r="J138" i="39"/>
  <c r="F135" i="48"/>
  <c r="F106" i="48"/>
  <c r="F60" i="48"/>
  <c r="M218" i="45"/>
  <c r="M220" i="45" s="1"/>
  <c r="N19" i="45"/>
  <c r="O22" i="46"/>
  <c r="O26" i="46"/>
  <c r="M201" i="47"/>
  <c r="M166" i="47"/>
  <c r="M168" i="47" s="1"/>
  <c r="F134" i="48"/>
  <c r="F105" i="48"/>
  <c r="F53" i="48"/>
  <c r="W112" i="37"/>
  <c r="W46" i="37"/>
  <c r="W49" i="37" s="1"/>
  <c r="W44" i="38"/>
  <c r="W45" i="38"/>
  <c r="W145" i="39" s="1"/>
  <c r="W46" i="38"/>
  <c r="W159" i="39" s="1"/>
  <c r="O27" i="46"/>
  <c r="AC94" i="48"/>
  <c r="J166" i="39"/>
  <c r="F139" i="48"/>
  <c r="F111" i="48"/>
  <c r="F94" i="48"/>
  <c r="F137" i="48"/>
  <c r="F109" i="48"/>
  <c r="F80" i="48"/>
  <c r="O24" i="46"/>
  <c r="O20" i="46"/>
  <c r="O23" i="46"/>
  <c r="K122" i="38"/>
  <c r="K160" i="38" s="1"/>
  <c r="K158" i="39"/>
  <c r="L26" i="38"/>
  <c r="O25" i="46"/>
  <c r="M32" i="42"/>
  <c r="M38" i="42" s="1"/>
  <c r="M29" i="46"/>
  <c r="M31" i="46" s="1"/>
  <c r="M113" i="46"/>
  <c r="AC138" i="48"/>
  <c r="AC110" i="48"/>
  <c r="AC87" i="48"/>
  <c r="F138" i="48"/>
  <c r="F87" i="48"/>
  <c r="F110" i="48"/>
  <c r="K29" i="38"/>
  <c r="K31" i="38" s="1"/>
  <c r="K130" i="39"/>
  <c r="K136" i="39" s="1"/>
  <c r="K120" i="38"/>
  <c r="F108" i="48"/>
  <c r="F73" i="48"/>
  <c r="AD88" i="48" l="1"/>
  <c r="AD93" i="48" s="1"/>
  <c r="AD139" i="48" s="1"/>
  <c r="K164" i="39"/>
  <c r="L121" i="38"/>
  <c r="L159" i="38" s="1"/>
  <c r="L144" i="39"/>
  <c r="E102" i="48"/>
  <c r="E131" i="48"/>
  <c r="E32" i="48"/>
  <c r="N54" i="42"/>
  <c r="N82" i="42"/>
  <c r="F26" i="48"/>
  <c r="F31" i="48" s="1"/>
  <c r="M16" i="42"/>
  <c r="F13" i="48" s="1"/>
  <c r="K152" i="39"/>
  <c r="O102" i="42"/>
  <c r="O118" i="46"/>
  <c r="O156" i="46" s="1"/>
  <c r="O116" i="42"/>
  <c r="O119" i="46"/>
  <c r="O157" i="46" s="1"/>
  <c r="W122" i="37"/>
  <c r="W124" i="37" s="1"/>
  <c r="O88" i="42"/>
  <c r="O117" i="46"/>
  <c r="O155" i="46" s="1"/>
  <c r="O114" i="46"/>
  <c r="O152" i="46" s="1"/>
  <c r="O46" i="42"/>
  <c r="L27" i="38"/>
  <c r="N68" i="42"/>
  <c r="N166" i="42"/>
  <c r="W48" i="37"/>
  <c r="O144" i="42"/>
  <c r="O121" i="46"/>
  <c r="O159" i="46" s="1"/>
  <c r="AC137" i="48"/>
  <c r="AC80" i="48"/>
  <c r="AC109" i="48"/>
  <c r="K124" i="38"/>
  <c r="K126" i="38" s="1"/>
  <c r="K158" i="38"/>
  <c r="N138" i="42"/>
  <c r="N110" i="42"/>
  <c r="N124" i="42"/>
  <c r="N19" i="47"/>
  <c r="M218" i="47"/>
  <c r="M220" i="47" s="1"/>
  <c r="N96" i="42"/>
  <c r="AC18" i="48"/>
  <c r="AC19" i="48" s="1"/>
  <c r="J24" i="39"/>
  <c r="E18" i="48"/>
  <c r="E19" i="48" s="1"/>
  <c r="L24" i="42"/>
  <c r="K16" i="39"/>
  <c r="AD13" i="48" s="1"/>
  <c r="AD74" i="48"/>
  <c r="AD79" i="48" s="1"/>
  <c r="M124" i="46"/>
  <c r="M126" i="46" s="1"/>
  <c r="M151" i="46"/>
  <c r="O120" i="46"/>
  <c r="O158" i="46" s="1"/>
  <c r="O130" i="42"/>
  <c r="O60" i="42"/>
  <c r="O115" i="46"/>
  <c r="O153" i="46" s="1"/>
  <c r="O122" i="46"/>
  <c r="O160" i="46" s="1"/>
  <c r="O158" i="42"/>
  <c r="W131" i="39"/>
  <c r="W17" i="39" s="1"/>
  <c r="W48" i="38"/>
  <c r="W50" i="38" s="1"/>
  <c r="N152" i="42"/>
  <c r="N36" i="45"/>
  <c r="N38" i="45" s="1"/>
  <c r="N149" i="45"/>
  <c r="O116" i="46"/>
  <c r="O154" i="46" s="1"/>
  <c r="O74" i="42"/>
  <c r="H88" i="48" l="1"/>
  <c r="H93" i="48" s="1"/>
  <c r="O164" i="42"/>
  <c r="H68" i="48"/>
  <c r="H72" i="48" s="1"/>
  <c r="O122" i="42"/>
  <c r="H33" i="48"/>
  <c r="H38" i="48" s="1"/>
  <c r="O52" i="42"/>
  <c r="H61" i="48"/>
  <c r="H66" i="48" s="1"/>
  <c r="O108" i="42"/>
  <c r="H40" i="48"/>
  <c r="H45" i="48" s="1"/>
  <c r="O66" i="42"/>
  <c r="H81" i="48"/>
  <c r="H86" i="48" s="1"/>
  <c r="O150" i="42"/>
  <c r="AE81" i="48"/>
  <c r="AE86" i="48" s="1"/>
  <c r="L150" i="39"/>
  <c r="H74" i="48"/>
  <c r="H79" i="48" s="1"/>
  <c r="O136" i="42"/>
  <c r="H47" i="48"/>
  <c r="H52" i="48" s="1"/>
  <c r="O80" i="42"/>
  <c r="H54" i="48"/>
  <c r="H59" i="48" s="1"/>
  <c r="O94" i="42"/>
  <c r="AD111" i="48"/>
  <c r="W154" i="37"/>
  <c r="X23" i="37" s="1"/>
  <c r="X41" i="37" s="1"/>
  <c r="X117" i="37" s="1"/>
  <c r="X154" i="37" s="1"/>
  <c r="Y23" i="37" s="1"/>
  <c r="Y41" i="37" s="1"/>
  <c r="W206" i="32"/>
  <c r="X19" i="32" s="1"/>
  <c r="W151" i="37"/>
  <c r="X20" i="37" s="1"/>
  <c r="X38" i="37" s="1"/>
  <c r="X114" i="37" s="1"/>
  <c r="X151" i="37" s="1"/>
  <c r="Y20" i="37" s="1"/>
  <c r="G138" i="48"/>
  <c r="G87" i="48"/>
  <c r="G110" i="48"/>
  <c r="G136" i="48"/>
  <c r="G67" i="48"/>
  <c r="G107" i="48"/>
  <c r="K162" i="38"/>
  <c r="K164" i="38" s="1"/>
  <c r="L25" i="38"/>
  <c r="G105" i="48"/>
  <c r="G134" i="48"/>
  <c r="G53" i="48"/>
  <c r="W153" i="37"/>
  <c r="X22" i="37" s="1"/>
  <c r="X40" i="37" s="1"/>
  <c r="X116" i="37" s="1"/>
  <c r="X153" i="37" s="1"/>
  <c r="Y22" i="37" s="1"/>
  <c r="W152" i="37"/>
  <c r="X21" i="37" s="1"/>
  <c r="P21" i="46"/>
  <c r="P27" i="46"/>
  <c r="P25" i="46"/>
  <c r="N36" i="47"/>
  <c r="N38" i="47" s="1"/>
  <c r="N149" i="47"/>
  <c r="G133" i="48"/>
  <c r="G46" i="48"/>
  <c r="G104" i="48"/>
  <c r="P23" i="46"/>
  <c r="W150" i="37"/>
  <c r="X19" i="37" s="1"/>
  <c r="N166" i="45"/>
  <c r="N168" i="45" s="1"/>
  <c r="N201" i="45"/>
  <c r="P20" i="46"/>
  <c r="N18" i="46"/>
  <c r="M162" i="46"/>
  <c r="M164" i="46" s="1"/>
  <c r="G135" i="48"/>
  <c r="G60" i="48"/>
  <c r="G106" i="48"/>
  <c r="G73" i="48"/>
  <c r="G108" i="48"/>
  <c r="P26" i="46"/>
  <c r="G139" i="48"/>
  <c r="G94" i="48"/>
  <c r="G111" i="48"/>
  <c r="L122" i="38"/>
  <c r="L160" i="38" s="1"/>
  <c r="L158" i="39"/>
  <c r="P19" i="46"/>
  <c r="G132" i="48"/>
  <c r="G39" i="48"/>
  <c r="G103" i="48"/>
  <c r="G137" i="48"/>
  <c r="G109" i="48"/>
  <c r="G80" i="48"/>
  <c r="AD94" i="48"/>
  <c r="K166" i="39"/>
  <c r="P22" i="46"/>
  <c r="P24" i="46"/>
  <c r="AD138" i="48"/>
  <c r="AD110" i="48"/>
  <c r="AD87" i="48"/>
  <c r="M26" i="38"/>
  <c r="AE88" i="48" l="1"/>
  <c r="AE93" i="48" s="1"/>
  <c r="AE139" i="48" s="1"/>
  <c r="L164" i="39"/>
  <c r="W175" i="45"/>
  <c r="W175" i="47" s="1"/>
  <c r="Y117" i="37"/>
  <c r="Y154" i="37" s="1"/>
  <c r="Z23" i="37" s="1"/>
  <c r="Z41" i="37" s="1"/>
  <c r="Z117" i="37" s="1"/>
  <c r="Z154" i="37" s="1"/>
  <c r="AA23" i="37" s="1"/>
  <c r="L152" i="39"/>
  <c r="P116" i="42"/>
  <c r="P119" i="46"/>
  <c r="P157" i="46" s="1"/>
  <c r="W186" i="47"/>
  <c r="W212" i="47" s="1"/>
  <c r="X30" i="47" s="1"/>
  <c r="W217" i="32"/>
  <c r="X30" i="32" s="1"/>
  <c r="O152" i="42"/>
  <c r="M22" i="42"/>
  <c r="M40" i="42"/>
  <c r="W180" i="47"/>
  <c r="W206" i="47" s="1"/>
  <c r="X24" i="47" s="1"/>
  <c r="W211" i="32"/>
  <c r="X24" i="32" s="1"/>
  <c r="O124" i="42"/>
  <c r="W176" i="47"/>
  <c r="W202" i="47" s="1"/>
  <c r="X20" i="47" s="1"/>
  <c r="W207" i="32"/>
  <c r="X20" i="32" s="1"/>
  <c r="W184" i="47"/>
  <c r="W210" i="47" s="1"/>
  <c r="X28" i="47" s="1"/>
  <c r="W215" i="32"/>
  <c r="X28" i="32" s="1"/>
  <c r="O54" i="42"/>
  <c r="P144" i="42"/>
  <c r="P121" i="46"/>
  <c r="P159" i="46" s="1"/>
  <c r="N29" i="46"/>
  <c r="N31" i="46" s="1"/>
  <c r="N32" i="42"/>
  <c r="N38" i="42" s="1"/>
  <c r="N113" i="46"/>
  <c r="O138" i="42"/>
  <c r="P74" i="42"/>
  <c r="P116" i="46"/>
  <c r="P154" i="46" s="1"/>
  <c r="X39" i="37"/>
  <c r="X115" i="37" s="1"/>
  <c r="X152" i="37" s="1"/>
  <c r="Y21" i="37" s="1"/>
  <c r="Y40" i="37"/>
  <c r="Y116" i="37" s="1"/>
  <c r="Y153" i="37" s="1"/>
  <c r="Z22" i="37" s="1"/>
  <c r="L120" i="38"/>
  <c r="L29" i="38"/>
  <c r="L31" i="38" s="1"/>
  <c r="L130" i="39"/>
  <c r="L136" i="39" s="1"/>
  <c r="Y38" i="37"/>
  <c r="Y114" i="37" s="1"/>
  <c r="Y151" i="37" s="1"/>
  <c r="Z20" i="37" s="1"/>
  <c r="M27" i="38"/>
  <c r="N218" i="45"/>
  <c r="N220" i="45" s="1"/>
  <c r="O19" i="45"/>
  <c r="O166" i="42"/>
  <c r="W190" i="47"/>
  <c r="W216" i="47" s="1"/>
  <c r="X34" i="47" s="1"/>
  <c r="W221" i="32"/>
  <c r="X34" i="32" s="1"/>
  <c r="W140" i="37"/>
  <c r="W142" i="37" s="1"/>
  <c r="A142" i="37" s="1"/>
  <c r="W139" i="38"/>
  <c r="W133" i="39" s="1"/>
  <c r="W140" i="38"/>
  <c r="W147" i="39" s="1"/>
  <c r="W141" i="38"/>
  <c r="W161" i="39" s="1"/>
  <c r="W149" i="37"/>
  <c r="P117" i="46"/>
  <c r="P155" i="46" s="1"/>
  <c r="P88" i="42"/>
  <c r="W187" i="47"/>
  <c r="W213" i="47" s="1"/>
  <c r="X31" i="47" s="1"/>
  <c r="W218" i="32"/>
  <c r="X31" i="32" s="1"/>
  <c r="P46" i="42"/>
  <c r="P114" i="46"/>
  <c r="P152" i="46" s="1"/>
  <c r="P115" i="46"/>
  <c r="P153" i="46" s="1"/>
  <c r="P60" i="42"/>
  <c r="X37" i="37"/>
  <c r="X113" i="37" s="1"/>
  <c r="X150" i="37" s="1"/>
  <c r="Y19" i="37" s="1"/>
  <c r="P118" i="46"/>
  <c r="P156" i="46" s="1"/>
  <c r="P102" i="42"/>
  <c r="P130" i="42"/>
  <c r="P120" i="46"/>
  <c r="P158" i="46" s="1"/>
  <c r="O82" i="42"/>
  <c r="W177" i="45"/>
  <c r="W208" i="32"/>
  <c r="X21" i="32" s="1"/>
  <c r="K138" i="39"/>
  <c r="K22" i="39"/>
  <c r="W179" i="45"/>
  <c r="W210" i="32"/>
  <c r="X23" i="32" s="1"/>
  <c r="W183" i="47"/>
  <c r="W209" i="47" s="1"/>
  <c r="X27" i="47" s="1"/>
  <c r="W214" i="32"/>
  <c r="X27" i="32" s="1"/>
  <c r="M144" i="39"/>
  <c r="M121" i="38"/>
  <c r="M159" i="38" s="1"/>
  <c r="O96" i="42"/>
  <c r="W182" i="47"/>
  <c r="W208" i="47" s="1"/>
  <c r="X26" i="47" s="1"/>
  <c r="W213" i="32"/>
  <c r="X26" i="32" s="1"/>
  <c r="O68" i="42"/>
  <c r="X45" i="32"/>
  <c r="X153" i="32" s="1"/>
  <c r="X206" i="32" s="1"/>
  <c r="Y19" i="32" s="1"/>
  <c r="O110" i="42"/>
  <c r="N166" i="47"/>
  <c r="N168" i="47" s="1"/>
  <c r="N201" i="47"/>
  <c r="P158" i="42"/>
  <c r="P122" i="46"/>
  <c r="P160" i="46" s="1"/>
  <c r="W178" i="45"/>
  <c r="W204" i="45" s="1"/>
  <c r="X22" i="45" s="1"/>
  <c r="W209" i="32"/>
  <c r="X22" i="32" s="1"/>
  <c r="W181" i="47"/>
  <c r="W207" i="47" s="1"/>
  <c r="X25" i="47" s="1"/>
  <c r="W212" i="32"/>
  <c r="X25" i="32" s="1"/>
  <c r="W138" i="33"/>
  <c r="W174" i="47"/>
  <c r="W196" i="32"/>
  <c r="W140" i="33"/>
  <c r="W139" i="33"/>
  <c r="W137" i="33"/>
  <c r="W134" i="33"/>
  <c r="W133" i="33"/>
  <c r="W136" i="33"/>
  <c r="W135" i="33"/>
  <c r="W141" i="33"/>
  <c r="W132" i="33"/>
  <c r="W35" i="34" s="1"/>
  <c r="W205" i="32"/>
  <c r="W185" i="47"/>
  <c r="W211" i="47" s="1"/>
  <c r="X29" i="47" s="1"/>
  <c r="W216" i="32"/>
  <c r="X29" i="32" s="1"/>
  <c r="W199" i="32" l="1"/>
  <c r="W143" i="37"/>
  <c r="A199" i="32"/>
  <c r="W198" i="32"/>
  <c r="A198" i="32" s="1"/>
  <c r="W160" i="33"/>
  <c r="X27" i="33" s="1"/>
  <c r="W161" i="34"/>
  <c r="W164" i="34" s="1"/>
  <c r="I88" i="48"/>
  <c r="I93" i="48" s="1"/>
  <c r="P164" i="42"/>
  <c r="I68" i="48"/>
  <c r="I72" i="48" s="1"/>
  <c r="P122" i="42"/>
  <c r="W157" i="33"/>
  <c r="X24" i="33" s="1"/>
  <c r="W119" i="34"/>
  <c r="W122" i="34" s="1"/>
  <c r="AF81" i="48"/>
  <c r="AF86" i="48" s="1"/>
  <c r="M150" i="39"/>
  <c r="W155" i="33"/>
  <c r="X22" i="33" s="1"/>
  <c r="W91" i="34"/>
  <c r="W94" i="34" s="1"/>
  <c r="W152" i="33"/>
  <c r="X19" i="33" s="1"/>
  <c r="W49" i="34"/>
  <c r="W52" i="34" s="1"/>
  <c r="I47" i="48"/>
  <c r="I52" i="48" s="1"/>
  <c r="P80" i="42"/>
  <c r="W153" i="33"/>
  <c r="X20" i="33" s="1"/>
  <c r="W63" i="34"/>
  <c r="W66" i="34" s="1"/>
  <c r="I33" i="48"/>
  <c r="I38" i="48" s="1"/>
  <c r="P52" i="42"/>
  <c r="W19" i="39"/>
  <c r="I40" i="48"/>
  <c r="I45" i="48" s="1"/>
  <c r="P66" i="42"/>
  <c r="I81" i="48"/>
  <c r="I86" i="48" s="1"/>
  <c r="P150" i="42"/>
  <c r="W156" i="33"/>
  <c r="X23" i="33" s="1"/>
  <c r="W105" i="34"/>
  <c r="W108" i="34" s="1"/>
  <c r="I74" i="48"/>
  <c r="I79" i="48" s="1"/>
  <c r="P136" i="42"/>
  <c r="W154" i="33"/>
  <c r="X21" i="33" s="1"/>
  <c r="W77" i="34"/>
  <c r="W80" i="34" s="1"/>
  <c r="W158" i="33"/>
  <c r="W133" i="34"/>
  <c r="W136" i="34" s="1"/>
  <c r="I61" i="48"/>
  <c r="I66" i="48" s="1"/>
  <c r="P108" i="42"/>
  <c r="W38" i="34"/>
  <c r="W159" i="33"/>
  <c r="X26" i="33" s="1"/>
  <c r="W147" i="34"/>
  <c r="W150" i="34" s="1"/>
  <c r="I54" i="48"/>
  <c r="I59" i="48" s="1"/>
  <c r="P94" i="42"/>
  <c r="AE111" i="48"/>
  <c r="A143" i="37"/>
  <c r="W178" i="47"/>
  <c r="W204" i="47" s="1"/>
  <c r="X22" i="47" s="1"/>
  <c r="Z40" i="37"/>
  <c r="Z116" i="37" s="1"/>
  <c r="Z153" i="37" s="1"/>
  <c r="AA22" i="37" s="1"/>
  <c r="AA41" i="37"/>
  <c r="AA117" i="37" s="1"/>
  <c r="AA154" i="37" s="1"/>
  <c r="AB23" i="37" s="1"/>
  <c r="W143" i="33"/>
  <c r="W145" i="33" s="1"/>
  <c r="A145" i="33" s="1"/>
  <c r="W151" i="33"/>
  <c r="X51" i="32"/>
  <c r="X51" i="47" s="1"/>
  <c r="X155" i="47" s="1"/>
  <c r="X207" i="47" s="1"/>
  <c r="Y25" i="47" s="1"/>
  <c r="X45" i="45"/>
  <c r="X45" i="47" s="1"/>
  <c r="X53" i="32"/>
  <c r="X53" i="47" s="1"/>
  <c r="X157" i="47" s="1"/>
  <c r="X209" i="47" s="1"/>
  <c r="Y27" i="47" s="1"/>
  <c r="K24" i="39"/>
  <c r="AD18" i="48"/>
  <c r="AD19" i="48" s="1"/>
  <c r="W177" i="47"/>
  <c r="W203" i="47" s="1"/>
  <c r="X21" i="47" s="1"/>
  <c r="W203" i="45"/>
  <c r="X21" i="45" s="1"/>
  <c r="Q22" i="46"/>
  <c r="W143" i="38"/>
  <c r="W145" i="38" s="1"/>
  <c r="A145" i="38" s="1"/>
  <c r="X60" i="32"/>
  <c r="X60" i="47" s="1"/>
  <c r="X164" i="47" s="1"/>
  <c r="X216" i="47" s="1"/>
  <c r="Y34" i="47" s="1"/>
  <c r="O36" i="45"/>
  <c r="O38" i="45" s="1"/>
  <c r="O149" i="45"/>
  <c r="Z38" i="37"/>
  <c r="Z114" i="37" s="1"/>
  <c r="Z151" i="37" s="1"/>
  <c r="AA20" i="37" s="1"/>
  <c r="L158" i="38"/>
  <c r="L124" i="38"/>
  <c r="L126" i="38" s="1"/>
  <c r="H137" i="48"/>
  <c r="H80" i="48"/>
  <c r="H109" i="48"/>
  <c r="Q24" i="46"/>
  <c r="X55" i="32"/>
  <c r="X55" i="47" s="1"/>
  <c r="X159" i="47" s="1"/>
  <c r="X211" i="47" s="1"/>
  <c r="Y29" i="47" s="1"/>
  <c r="Q27" i="46"/>
  <c r="H133" i="48"/>
  <c r="H104" i="48"/>
  <c r="H46" i="48"/>
  <c r="H135" i="48"/>
  <c r="H106" i="48"/>
  <c r="H60" i="48"/>
  <c r="X57" i="32"/>
  <c r="X57" i="47" s="1"/>
  <c r="X161" i="47" s="1"/>
  <c r="X213" i="47" s="1"/>
  <c r="Y31" i="47" s="1"/>
  <c r="Q21" i="46"/>
  <c r="W192" i="45"/>
  <c r="W194" i="45" s="1"/>
  <c r="A194" i="45" s="1"/>
  <c r="Q26" i="46"/>
  <c r="X54" i="32"/>
  <c r="X54" i="47" s="1"/>
  <c r="X158" i="47" s="1"/>
  <c r="X210" i="47" s="1"/>
  <c r="Y28" i="47" s="1"/>
  <c r="H73" i="48"/>
  <c r="H108" i="48"/>
  <c r="H138" i="48"/>
  <c r="H87" i="48"/>
  <c r="H110" i="48"/>
  <c r="W200" i="47"/>
  <c r="X48" i="32"/>
  <c r="X156" i="32" s="1"/>
  <c r="X209" i="32" s="1"/>
  <c r="Y22" i="32" s="1"/>
  <c r="H136" i="48"/>
  <c r="H107" i="48"/>
  <c r="H67" i="48"/>
  <c r="X49" i="32"/>
  <c r="X49" i="45" s="1"/>
  <c r="X49" i="47" s="1"/>
  <c r="AD137" i="48"/>
  <c r="AD109" i="48"/>
  <c r="AD80" i="48"/>
  <c r="H105" i="48"/>
  <c r="H53" i="48"/>
  <c r="H134" i="48"/>
  <c r="Q23" i="46"/>
  <c r="Q20" i="46"/>
  <c r="H139" i="48"/>
  <c r="H111" i="48"/>
  <c r="H94" i="48"/>
  <c r="M158" i="39"/>
  <c r="M122" i="38"/>
  <c r="M160" i="38" s="1"/>
  <c r="L16" i="39"/>
  <c r="AE13" i="48" s="1"/>
  <c r="AE74" i="48"/>
  <c r="AE79" i="48" s="1"/>
  <c r="N124" i="46"/>
  <c r="N126" i="46" s="1"/>
  <c r="N151" i="46"/>
  <c r="F32" i="48"/>
  <c r="F102" i="48"/>
  <c r="F131" i="48"/>
  <c r="X56" i="32"/>
  <c r="X56" i="47" s="1"/>
  <c r="X160" i="47" s="1"/>
  <c r="X212" i="47" s="1"/>
  <c r="Y30" i="47" s="1"/>
  <c r="AE138" i="48"/>
  <c r="AE110" i="48"/>
  <c r="AE87" i="48"/>
  <c r="W227" i="32"/>
  <c r="X18" i="32"/>
  <c r="W223" i="32"/>
  <c r="W226" i="32" s="1"/>
  <c r="O19" i="47"/>
  <c r="N218" i="47"/>
  <c r="N220" i="47" s="1"/>
  <c r="Y45" i="32"/>
  <c r="Y153" i="32" s="1"/>
  <c r="Y206" i="32" s="1"/>
  <c r="Z19" i="32" s="1"/>
  <c r="X52" i="32"/>
  <c r="X52" i="47" s="1"/>
  <c r="X156" i="47" s="1"/>
  <c r="X208" i="47" s="1"/>
  <c r="Y26" i="47" s="1"/>
  <c r="N26" i="38"/>
  <c r="W179" i="47"/>
  <c r="W205" i="47" s="1"/>
  <c r="X23" i="47" s="1"/>
  <c r="W205" i="45"/>
  <c r="X23" i="45" s="1"/>
  <c r="X47" i="32"/>
  <c r="X47" i="45" s="1"/>
  <c r="X47" i="47" s="1"/>
  <c r="Q25" i="46"/>
  <c r="Y37" i="37"/>
  <c r="Y113" i="37" s="1"/>
  <c r="Y150" i="37" s="1"/>
  <c r="Z19" i="37" s="1"/>
  <c r="Q19" i="46"/>
  <c r="W163" i="37"/>
  <c r="X18" i="37"/>
  <c r="W159" i="37"/>
  <c r="W162" i="37" s="1"/>
  <c r="AE94" i="48"/>
  <c r="L166" i="39"/>
  <c r="Y39" i="37"/>
  <c r="Y115" i="37" s="1"/>
  <c r="Y152" i="37" s="1"/>
  <c r="Z21" i="37" s="1"/>
  <c r="N16" i="42"/>
  <c r="G13" i="48" s="1"/>
  <c r="G26" i="48"/>
  <c r="G31" i="48" s="1"/>
  <c r="H132" i="48"/>
  <c r="H39" i="48"/>
  <c r="H103" i="48"/>
  <c r="X46" i="32"/>
  <c r="X46" i="47" s="1"/>
  <c r="X150" i="47" s="1"/>
  <c r="X202" i="47" s="1"/>
  <c r="Y20" i="47" s="1"/>
  <c r="X50" i="32"/>
  <c r="X50" i="47" s="1"/>
  <c r="X154" i="47" s="1"/>
  <c r="X206" i="47" s="1"/>
  <c r="Y24" i="47" s="1"/>
  <c r="F18" i="48"/>
  <c r="F19" i="48" s="1"/>
  <c r="M24" i="42"/>
  <c r="W110" i="34" l="1"/>
  <c r="W138" i="34"/>
  <c r="W96" i="34"/>
  <c r="W82" i="34"/>
  <c r="W166" i="34"/>
  <c r="W68" i="34"/>
  <c r="W54" i="34"/>
  <c r="X25" i="33"/>
  <c r="X130" i="34" s="1"/>
  <c r="W124" i="34"/>
  <c r="W19" i="34"/>
  <c r="AF88" i="48"/>
  <c r="AF93" i="48" s="1"/>
  <c r="AF139" i="48" s="1"/>
  <c r="M164" i="39"/>
  <c r="W152" i="34"/>
  <c r="X153" i="45"/>
  <c r="X205" i="45" s="1"/>
  <c r="Y23" i="45" s="1"/>
  <c r="X160" i="32"/>
  <c r="X213" i="32" s="1"/>
  <c r="Y26" i="32" s="1"/>
  <c r="Y52" i="32" s="1"/>
  <c r="Y52" i="47" s="1"/>
  <c r="Y156" i="47" s="1"/>
  <c r="Y208" i="47" s="1"/>
  <c r="Z26" i="47" s="1"/>
  <c r="X155" i="32"/>
  <c r="X208" i="32" s="1"/>
  <c r="Y21" i="32" s="1"/>
  <c r="Y47" i="32" s="1"/>
  <c r="Y47" i="45" s="1"/>
  <c r="Y47" i="47" s="1"/>
  <c r="X154" i="32"/>
  <c r="X207" i="32" s="1"/>
  <c r="Y20" i="32" s="1"/>
  <c r="Y46" i="32" s="1"/>
  <c r="Y46" i="47" s="1"/>
  <c r="Y150" i="47" s="1"/>
  <c r="Y202" i="47" s="1"/>
  <c r="Z20" i="47" s="1"/>
  <c r="X162" i="32"/>
  <c r="X215" i="32" s="1"/>
  <c r="Y28" i="32" s="1"/>
  <c r="Y54" i="32" s="1"/>
  <c r="Y54" i="47" s="1"/>
  <c r="Y158" i="47" s="1"/>
  <c r="Y210" i="47" s="1"/>
  <c r="Z28" i="47" s="1"/>
  <c r="X165" i="32"/>
  <c r="X218" i="32" s="1"/>
  <c r="Y31" i="32" s="1"/>
  <c r="Y57" i="32" s="1"/>
  <c r="Y57" i="47" s="1"/>
  <c r="Y161" i="47" s="1"/>
  <c r="Y213" i="47" s="1"/>
  <c r="Z31" i="47" s="1"/>
  <c r="W136" i="46"/>
  <c r="W91" i="42" s="1"/>
  <c r="W134" i="46"/>
  <c r="W63" i="42" s="1"/>
  <c r="X168" i="32"/>
  <c r="X221" i="32" s="1"/>
  <c r="Y34" i="32" s="1"/>
  <c r="Y60" i="32" s="1"/>
  <c r="Y60" i="47" s="1"/>
  <c r="Y164" i="47" s="1"/>
  <c r="Y216" i="47" s="1"/>
  <c r="Z34" i="47" s="1"/>
  <c r="X158" i="32"/>
  <c r="X211" i="32" s="1"/>
  <c r="Y24" i="32" s="1"/>
  <c r="Y50" i="32" s="1"/>
  <c r="Y50" i="47" s="1"/>
  <c r="Y154" i="47" s="1"/>
  <c r="Y206" i="47" s="1"/>
  <c r="Z24" i="47" s="1"/>
  <c r="W141" i="46"/>
  <c r="W161" i="42" s="1"/>
  <c r="AB41" i="37"/>
  <c r="AB117" i="37" s="1"/>
  <c r="AB154" i="37" s="1"/>
  <c r="AA40" i="37"/>
  <c r="AA116" i="37" s="1"/>
  <c r="AA153" i="37" s="1"/>
  <c r="AB22" i="37" s="1"/>
  <c r="Z39" i="37"/>
  <c r="Z115" i="37" s="1"/>
  <c r="Z152" i="37" s="1"/>
  <c r="AA21" i="37" s="1"/>
  <c r="P54" i="42"/>
  <c r="P138" i="42"/>
  <c r="W161" i="37"/>
  <c r="Q46" i="42"/>
  <c r="Q114" i="46"/>
  <c r="Q152" i="46" s="1"/>
  <c r="Q130" i="42"/>
  <c r="Q120" i="46"/>
  <c r="Q158" i="46" s="1"/>
  <c r="X153" i="47"/>
  <c r="X205" i="47" s="1"/>
  <c r="Y23" i="47" s="1"/>
  <c r="O36" i="47"/>
  <c r="O38" i="47" s="1"/>
  <c r="O149" i="47"/>
  <c r="W225" i="32"/>
  <c r="O18" i="46"/>
  <c r="N162" i="46"/>
  <c r="N164" i="46" s="1"/>
  <c r="N27" i="38"/>
  <c r="Q118" i="46"/>
  <c r="Q156" i="46" s="1"/>
  <c r="Q102" i="42"/>
  <c r="X157" i="32"/>
  <c r="X210" i="32" s="1"/>
  <c r="Y23" i="32" s="1"/>
  <c r="W132" i="46"/>
  <c r="W35" i="42" s="1"/>
  <c r="W133" i="46"/>
  <c r="W49" i="42" s="1"/>
  <c r="W192" i="47"/>
  <c r="W194" i="47" s="1"/>
  <c r="A194" i="47" s="1"/>
  <c r="X102" i="34"/>
  <c r="P152" i="42"/>
  <c r="P166" i="42"/>
  <c r="P124" i="42"/>
  <c r="L162" i="38"/>
  <c r="L164" i="38" s="1"/>
  <c r="M25" i="38"/>
  <c r="P96" i="42"/>
  <c r="X159" i="32"/>
  <c r="X212" i="32" s="1"/>
  <c r="Y25" i="32" s="1"/>
  <c r="Z37" i="37"/>
  <c r="Z113" i="37" s="1"/>
  <c r="Z150" i="37" s="1"/>
  <c r="AA19" i="37" s="1"/>
  <c r="M152" i="39"/>
  <c r="Z45" i="32"/>
  <c r="Z153" i="32" s="1"/>
  <c r="Z206" i="32" s="1"/>
  <c r="AA19" i="32" s="1"/>
  <c r="X44" i="32"/>
  <c r="X36" i="32"/>
  <c r="X38" i="32" s="1"/>
  <c r="P110" i="42"/>
  <c r="Y48" i="32"/>
  <c r="Y156" i="32" s="1"/>
  <c r="Y209" i="32" s="1"/>
  <c r="Z22" i="32" s="1"/>
  <c r="Z48" i="32" s="1"/>
  <c r="W138" i="46"/>
  <c r="W119" i="42" s="1"/>
  <c r="X74" i="34"/>
  <c r="X158" i="34"/>
  <c r="Q116" i="42"/>
  <c r="Q119" i="46"/>
  <c r="Q157" i="46" s="1"/>
  <c r="AA38" i="37"/>
  <c r="AA114" i="37" s="1"/>
  <c r="AA151" i="37" s="1"/>
  <c r="AB20" i="37" s="1"/>
  <c r="Q88" i="42"/>
  <c r="Q117" i="46"/>
  <c r="Q155" i="46" s="1"/>
  <c r="X46" i="34"/>
  <c r="X36" i="37"/>
  <c r="X28" i="37"/>
  <c r="X30" i="37" s="1"/>
  <c r="N144" i="39"/>
  <c r="N121" i="38"/>
  <c r="N159" i="38" s="1"/>
  <c r="Y45" i="45"/>
  <c r="Y45" i="47" s="1"/>
  <c r="X116" i="34"/>
  <c r="X164" i="32"/>
  <c r="X217" i="32" s="1"/>
  <c r="Y30" i="32" s="1"/>
  <c r="P68" i="42"/>
  <c r="X48" i="45"/>
  <c r="X152" i="45" s="1"/>
  <c r="X204" i="45" s="1"/>
  <c r="Y22" i="45" s="1"/>
  <c r="W135" i="46"/>
  <c r="W77" i="42" s="1"/>
  <c r="W137" i="46"/>
  <c r="W105" i="42" s="1"/>
  <c r="W139" i="46"/>
  <c r="W133" i="42" s="1"/>
  <c r="P82" i="42"/>
  <c r="X163" i="32"/>
  <c r="X216" i="32" s="1"/>
  <c r="Y29" i="32" s="1"/>
  <c r="X151" i="45"/>
  <c r="X203" i="45" s="1"/>
  <c r="Y21" i="45" s="1"/>
  <c r="X161" i="32"/>
  <c r="X214" i="32" s="1"/>
  <c r="Y27" i="32" s="1"/>
  <c r="X18" i="33"/>
  <c r="W162" i="33"/>
  <c r="W164" i="33" s="1"/>
  <c r="X88" i="34"/>
  <c r="Q60" i="42"/>
  <c r="Q115" i="46"/>
  <c r="Q153" i="46" s="1"/>
  <c r="X18" i="47"/>
  <c r="W140" i="46"/>
  <c r="W147" i="42" s="1"/>
  <c r="Q144" i="42"/>
  <c r="Q121" i="46"/>
  <c r="Q159" i="46" s="1"/>
  <c r="Q74" i="42"/>
  <c r="Q116" i="46"/>
  <c r="Q154" i="46" s="1"/>
  <c r="Q158" i="42"/>
  <c r="Q122" i="46"/>
  <c r="Q160" i="46" s="1"/>
  <c r="X60" i="34"/>
  <c r="O166" i="45"/>
  <c r="O168" i="45" s="1"/>
  <c r="O201" i="45"/>
  <c r="X151" i="47"/>
  <c r="X203" i="47" s="1"/>
  <c r="Y21" i="47" s="1"/>
  <c r="X144" i="34"/>
  <c r="AG81" i="48" l="1"/>
  <c r="AG86" i="48" s="1"/>
  <c r="N150" i="39"/>
  <c r="J47" i="48"/>
  <c r="J52" i="48" s="1"/>
  <c r="Q80" i="42"/>
  <c r="J68" i="48"/>
  <c r="J72" i="48" s="1"/>
  <c r="Q122" i="42"/>
  <c r="J61" i="48"/>
  <c r="J66" i="48" s="1"/>
  <c r="Q108" i="42"/>
  <c r="J81" i="48"/>
  <c r="J86" i="48" s="1"/>
  <c r="Q150" i="42"/>
  <c r="J54" i="48"/>
  <c r="J59" i="48" s="1"/>
  <c r="Q94" i="42"/>
  <c r="J74" i="48"/>
  <c r="J79" i="48" s="1"/>
  <c r="Q136" i="42"/>
  <c r="J88" i="48"/>
  <c r="J93" i="48" s="1"/>
  <c r="Q164" i="42"/>
  <c r="J40" i="48"/>
  <c r="J45" i="48" s="1"/>
  <c r="Q66" i="42"/>
  <c r="W19" i="42"/>
  <c r="J33" i="48"/>
  <c r="J38" i="48" s="1"/>
  <c r="Q52" i="42"/>
  <c r="AF111" i="48"/>
  <c r="Y151" i="47"/>
  <c r="Y203" i="47" s="1"/>
  <c r="Z21" i="47" s="1"/>
  <c r="Y154" i="32"/>
  <c r="Y207" i="32" s="1"/>
  <c r="Z20" i="32" s="1"/>
  <c r="Z46" i="32" s="1"/>
  <c r="Z46" i="47" s="1"/>
  <c r="Z150" i="47" s="1"/>
  <c r="Z202" i="47" s="1"/>
  <c r="AA20" i="47" s="1"/>
  <c r="Y151" i="45"/>
  <c r="Y203" i="45" s="1"/>
  <c r="Z21" i="45" s="1"/>
  <c r="Y165" i="32"/>
  <c r="Y218" i="32" s="1"/>
  <c r="Z31" i="32" s="1"/>
  <c r="Z57" i="32" s="1"/>
  <c r="Z57" i="47" s="1"/>
  <c r="Z161" i="47" s="1"/>
  <c r="Z213" i="47" s="1"/>
  <c r="AA31" i="47" s="1"/>
  <c r="X48" i="47"/>
  <c r="X152" i="47" s="1"/>
  <c r="X204" i="47" s="1"/>
  <c r="Y22" i="47" s="1"/>
  <c r="Y168" i="32"/>
  <c r="Y221" i="32" s="1"/>
  <c r="Z34" i="32" s="1"/>
  <c r="Z60" i="32" s="1"/>
  <c r="Z60" i="47" s="1"/>
  <c r="Z164" i="47" s="1"/>
  <c r="Z216" i="47" s="1"/>
  <c r="AA34" i="47" s="1"/>
  <c r="Y158" i="32"/>
  <c r="Y211" i="32" s="1"/>
  <c r="Z24" i="32" s="1"/>
  <c r="Z50" i="32" s="1"/>
  <c r="Z50" i="47" s="1"/>
  <c r="Z154" i="47" s="1"/>
  <c r="Z206" i="47" s="1"/>
  <c r="AA24" i="47" s="1"/>
  <c r="AB40" i="37"/>
  <c r="AB116" i="37" s="1"/>
  <c r="AB153" i="37" s="1"/>
  <c r="AA45" i="32"/>
  <c r="AA153" i="32" s="1"/>
  <c r="AA206" i="32" s="1"/>
  <c r="AB19" i="32" s="1"/>
  <c r="AB38" i="37"/>
  <c r="AB114" i="37" s="1"/>
  <c r="AB151" i="37" s="1"/>
  <c r="AA37" i="37"/>
  <c r="AA113" i="37" s="1"/>
  <c r="AA150" i="37" s="1"/>
  <c r="AB19" i="37" s="1"/>
  <c r="AA39" i="37"/>
  <c r="AA115" i="37" s="1"/>
  <c r="AA152" i="37" s="1"/>
  <c r="AB21" i="37" s="1"/>
  <c r="P19" i="45"/>
  <c r="O218" i="45"/>
  <c r="O220" i="45" s="1"/>
  <c r="R27" i="46"/>
  <c r="R26" i="46"/>
  <c r="X29" i="33"/>
  <c r="X31" i="33" s="1"/>
  <c r="X32" i="34"/>
  <c r="Y55" i="32"/>
  <c r="Y55" i="47" s="1"/>
  <c r="Y159" i="47" s="1"/>
  <c r="Y211" i="47" s="1"/>
  <c r="Z29" i="47" s="1"/>
  <c r="I136" i="48"/>
  <c r="I107" i="48"/>
  <c r="I67" i="48"/>
  <c r="Y155" i="32"/>
  <c r="Y208" i="32" s="1"/>
  <c r="Z21" i="32" s="1"/>
  <c r="Z47" i="32" s="1"/>
  <c r="I135" i="48"/>
  <c r="I106" i="48"/>
  <c r="I60" i="48"/>
  <c r="I73" i="48"/>
  <c r="I108" i="48"/>
  <c r="Y49" i="32"/>
  <c r="Y49" i="45" s="1"/>
  <c r="AF94" i="48"/>
  <c r="M166" i="39"/>
  <c r="O166" i="47"/>
  <c r="O168" i="47" s="1"/>
  <c r="O201" i="47"/>
  <c r="I137" i="48"/>
  <c r="I80" i="48"/>
  <c r="I109" i="48"/>
  <c r="R21" i="46"/>
  <c r="R20" i="46"/>
  <c r="X62" i="45"/>
  <c r="X64" i="45" s="1"/>
  <c r="I134" i="48"/>
  <c r="I53" i="48"/>
  <c r="I105" i="48"/>
  <c r="I133" i="48"/>
  <c r="I104" i="48"/>
  <c r="I46" i="48"/>
  <c r="R22" i="46"/>
  <c r="Y162" i="32"/>
  <c r="Y215" i="32" s="1"/>
  <c r="Z28" i="32" s="1"/>
  <c r="Z45" i="45"/>
  <c r="Z45" i="47" s="1"/>
  <c r="M120" i="38"/>
  <c r="M130" i="39"/>
  <c r="M136" i="39" s="1"/>
  <c r="M29" i="38"/>
  <c r="M31" i="38" s="1"/>
  <c r="R19" i="46"/>
  <c r="Y160" i="32"/>
  <c r="Y213" i="32" s="1"/>
  <c r="Z26" i="32" s="1"/>
  <c r="I132" i="48"/>
  <c r="I103" i="48"/>
  <c r="I39" i="48"/>
  <c r="Y53" i="32"/>
  <c r="Y53" i="47" s="1"/>
  <c r="Y157" i="47" s="1"/>
  <c r="Y209" i="47" s="1"/>
  <c r="Z27" i="47" s="1"/>
  <c r="Y56" i="32"/>
  <c r="Y56" i="47" s="1"/>
  <c r="Y160" i="47" s="1"/>
  <c r="Y212" i="47" s="1"/>
  <c r="Z30" i="47" s="1"/>
  <c r="X112" i="37"/>
  <c r="X46" i="37"/>
  <c r="X49" i="37" s="1"/>
  <c r="X44" i="38"/>
  <c r="X45" i="38"/>
  <c r="X145" i="39" s="1"/>
  <c r="X46" i="38"/>
  <c r="X159" i="39" s="1"/>
  <c r="Z156" i="32"/>
  <c r="Z209" i="32" s="1"/>
  <c r="AA22" i="32" s="1"/>
  <c r="AA48" i="32" s="1"/>
  <c r="Z48" i="45"/>
  <c r="Z48" i="47" s="1"/>
  <c r="AF138" i="48"/>
  <c r="AF87" i="48"/>
  <c r="AF110" i="48"/>
  <c r="Y51" i="32"/>
  <c r="Y51" i="47" s="1"/>
  <c r="Y155" i="47" s="1"/>
  <c r="Y207" i="47" s="1"/>
  <c r="Z25" i="47" s="1"/>
  <c r="L22" i="39"/>
  <c r="L138" i="39"/>
  <c r="I139" i="48"/>
  <c r="I94" i="48"/>
  <c r="I111" i="48"/>
  <c r="I138" i="48"/>
  <c r="I87" i="48"/>
  <c r="I110" i="48"/>
  <c r="R23" i="46"/>
  <c r="N22" i="42"/>
  <c r="N40" i="42"/>
  <c r="W22" i="34"/>
  <c r="W24" i="34" s="1"/>
  <c r="W40" i="34"/>
  <c r="O26" i="38"/>
  <c r="R24" i="46"/>
  <c r="Y48" i="45"/>
  <c r="Y152" i="45" s="1"/>
  <c r="Y204" i="45" s="1"/>
  <c r="Z22" i="45" s="1"/>
  <c r="X152" i="32"/>
  <c r="X44" i="33"/>
  <c r="X43" i="33"/>
  <c r="X62" i="32"/>
  <c r="X65" i="32" s="1"/>
  <c r="X45" i="33"/>
  <c r="X44" i="47"/>
  <c r="X148" i="47" s="1"/>
  <c r="X42" i="33"/>
  <c r="X39" i="33"/>
  <c r="X38" i="33"/>
  <c r="X41" i="33"/>
  <c r="X40" i="33"/>
  <c r="X46" i="33"/>
  <c r="X37" i="33"/>
  <c r="W143" i="46"/>
  <c r="W145" i="46" s="1"/>
  <c r="A145" i="46" s="1"/>
  <c r="N122" i="38"/>
  <c r="N160" i="38" s="1"/>
  <c r="N158" i="39"/>
  <c r="O32" i="42"/>
  <c r="O38" i="42" s="1"/>
  <c r="O29" i="46"/>
  <c r="O31" i="46" s="1"/>
  <c r="O113" i="46"/>
  <c r="R25" i="46"/>
  <c r="X16" i="34" l="1"/>
  <c r="AG88" i="48"/>
  <c r="AG93" i="48" s="1"/>
  <c r="AG139" i="48" s="1"/>
  <c r="N164" i="39"/>
  <c r="Y163" i="32"/>
  <c r="Y216" i="32" s="1"/>
  <c r="Z29" i="32" s="1"/>
  <c r="Y159" i="32"/>
  <c r="Y212" i="32" s="1"/>
  <c r="Z25" i="32" s="1"/>
  <c r="Z51" i="32" s="1"/>
  <c r="Z51" i="47" s="1"/>
  <c r="Z155" i="47" s="1"/>
  <c r="Z207" i="47" s="1"/>
  <c r="AA25" i="47" s="1"/>
  <c r="Y164" i="32"/>
  <c r="Y217" i="32" s="1"/>
  <c r="Z30" i="32" s="1"/>
  <c r="Z56" i="32" s="1"/>
  <c r="Z56" i="47" s="1"/>
  <c r="Z160" i="47" s="1"/>
  <c r="Z212" i="47" s="1"/>
  <c r="AA30" i="47" s="1"/>
  <c r="Y161" i="32"/>
  <c r="Y214" i="32" s="1"/>
  <c r="Z27" i="32" s="1"/>
  <c r="Z53" i="32" s="1"/>
  <c r="Z53" i="47" s="1"/>
  <c r="Z157" i="47" s="1"/>
  <c r="Z209" i="47" s="1"/>
  <c r="AA27" i="47" s="1"/>
  <c r="Z158" i="32"/>
  <c r="Z211" i="32" s="1"/>
  <c r="AA24" i="32" s="1"/>
  <c r="AA50" i="32" s="1"/>
  <c r="AA50" i="47" s="1"/>
  <c r="AA154" i="47" s="1"/>
  <c r="AA206" i="47" s="1"/>
  <c r="AB24" i="47" s="1"/>
  <c r="Z165" i="32"/>
  <c r="Z218" i="32" s="1"/>
  <c r="AA31" i="32" s="1"/>
  <c r="AA57" i="32" s="1"/>
  <c r="AA57" i="47" s="1"/>
  <c r="AA161" i="47" s="1"/>
  <c r="AA213" i="47" s="1"/>
  <c r="AB31" i="47" s="1"/>
  <c r="Z168" i="32"/>
  <c r="Z221" i="32" s="1"/>
  <c r="AA34" i="32" s="1"/>
  <c r="AA60" i="32" s="1"/>
  <c r="AA60" i="47" s="1"/>
  <c r="AA164" i="47" s="1"/>
  <c r="AA216" i="47" s="1"/>
  <c r="AB34" i="47" s="1"/>
  <c r="Y157" i="32"/>
  <c r="Y210" i="32" s="1"/>
  <c r="Z23" i="32" s="1"/>
  <c r="Z49" i="32" s="1"/>
  <c r="Z49" i="45" s="1"/>
  <c r="Z49" i="47" s="1"/>
  <c r="AB45" i="32"/>
  <c r="AB153" i="32" s="1"/>
  <c r="AB206" i="32" s="1"/>
  <c r="AB37" i="37"/>
  <c r="AB113" i="37" s="1"/>
  <c r="AB150" i="37" s="1"/>
  <c r="X200" i="47"/>
  <c r="AB39" i="37"/>
  <c r="AB115" i="37" s="1"/>
  <c r="AB152" i="37" s="1"/>
  <c r="O27" i="38"/>
  <c r="Q138" i="42"/>
  <c r="H26" i="48"/>
  <c r="H31" i="48" s="1"/>
  <c r="O16" i="42"/>
  <c r="H13" i="48" s="1"/>
  <c r="X48" i="33"/>
  <c r="X50" i="33" s="1"/>
  <c r="X33" i="34"/>
  <c r="X38" i="34" s="1"/>
  <c r="X47" i="34"/>
  <c r="X52" i="34" s="1"/>
  <c r="X114" i="33"/>
  <c r="X152" i="33" s="1"/>
  <c r="X145" i="34"/>
  <c r="X150" i="34" s="1"/>
  <c r="X121" i="33"/>
  <c r="X159" i="33" s="1"/>
  <c r="X170" i="32"/>
  <c r="X172" i="32" s="1"/>
  <c r="X205" i="32"/>
  <c r="N24" i="42"/>
  <c r="G18" i="48"/>
  <c r="G19" i="48" s="1"/>
  <c r="X149" i="37"/>
  <c r="X122" i="37"/>
  <c r="X124" i="37" s="1"/>
  <c r="Q68" i="42"/>
  <c r="R144" i="42"/>
  <c r="R121" i="46"/>
  <c r="R159" i="46" s="1"/>
  <c r="O124" i="46"/>
  <c r="O126" i="46" s="1"/>
  <c r="O151" i="46"/>
  <c r="X89" i="34"/>
  <c r="X94" i="34" s="1"/>
  <c r="X117" i="33"/>
  <c r="X155" i="33" s="1"/>
  <c r="R130" i="42"/>
  <c r="R120" i="46"/>
  <c r="R158" i="46" s="1"/>
  <c r="X159" i="34"/>
  <c r="X164" i="34" s="1"/>
  <c r="X122" i="33"/>
  <c r="X160" i="33" s="1"/>
  <c r="X61" i="34"/>
  <c r="X66" i="34" s="1"/>
  <c r="X115" i="33"/>
  <c r="X153" i="33" s="1"/>
  <c r="X64" i="32"/>
  <c r="Y48" i="47"/>
  <c r="Y152" i="47" s="1"/>
  <c r="Y204" i="47" s="1"/>
  <c r="Z22" i="47" s="1"/>
  <c r="Z152" i="47" s="1"/>
  <c r="Z204" i="47" s="1"/>
  <c r="AA22" i="47" s="1"/>
  <c r="Q124" i="42"/>
  <c r="O144" i="39"/>
  <c r="O121" i="38"/>
  <c r="O159" i="38" s="1"/>
  <c r="Q110" i="42"/>
  <c r="Y62" i="45"/>
  <c r="Y64" i="45" s="1"/>
  <c r="Z52" i="32"/>
  <c r="Z52" i="47" s="1"/>
  <c r="Z156" i="47" s="1"/>
  <c r="Z208" i="47" s="1"/>
  <c r="AA26" i="47" s="1"/>
  <c r="AF74" i="48"/>
  <c r="AF79" i="48" s="1"/>
  <c r="M16" i="39"/>
  <c r="AF13" i="48" s="1"/>
  <c r="Z54" i="32"/>
  <c r="Z54" i="47" s="1"/>
  <c r="Z158" i="47" s="1"/>
  <c r="Z210" i="47" s="1"/>
  <c r="AA28" i="47" s="1"/>
  <c r="R116" i="46"/>
  <c r="R154" i="46" s="1"/>
  <c r="R74" i="42"/>
  <c r="Z154" i="32"/>
  <c r="Z207" i="32" s="1"/>
  <c r="AA20" i="32" s="1"/>
  <c r="Q152" i="42"/>
  <c r="P36" i="45"/>
  <c r="P38" i="45" s="1"/>
  <c r="P149" i="45"/>
  <c r="AA45" i="45"/>
  <c r="AA45" i="47" s="1"/>
  <c r="X75" i="34"/>
  <c r="X80" i="34" s="1"/>
  <c r="X116" i="33"/>
  <c r="X154" i="33" s="1"/>
  <c r="X103" i="34"/>
  <c r="X108" i="34" s="1"/>
  <c r="X118" i="33"/>
  <c r="X156" i="33" s="1"/>
  <c r="X117" i="34"/>
  <c r="X122" i="34" s="1"/>
  <c r="X119" i="33"/>
  <c r="X157" i="33" s="1"/>
  <c r="R116" i="42"/>
  <c r="R119" i="46"/>
  <c r="R157" i="46" s="1"/>
  <c r="N152" i="39"/>
  <c r="R118" i="46"/>
  <c r="R156" i="46" s="1"/>
  <c r="R102" i="42"/>
  <c r="L24" i="39"/>
  <c r="AE18" i="48"/>
  <c r="AE19" i="48" s="1"/>
  <c r="Z152" i="45"/>
  <c r="Z204" i="45" s="1"/>
  <c r="AA22" i="45" s="1"/>
  <c r="X48" i="38"/>
  <c r="X50" i="38" s="1"/>
  <c r="X131" i="39"/>
  <c r="X17" i="39" s="1"/>
  <c r="R46" i="42"/>
  <c r="R114" i="46"/>
  <c r="R152" i="46" s="1"/>
  <c r="M124" i="38"/>
  <c r="M126" i="38" s="1"/>
  <c r="M158" i="38"/>
  <c r="R117" i="46"/>
  <c r="R155" i="46" s="1"/>
  <c r="R88" i="42"/>
  <c r="Q82" i="42"/>
  <c r="P19" i="47"/>
  <c r="O218" i="47"/>
  <c r="O220" i="47" s="1"/>
  <c r="R158" i="42"/>
  <c r="R122" i="46"/>
  <c r="R160" i="46" s="1"/>
  <c r="X43" i="46"/>
  <c r="X117" i="42" s="1"/>
  <c r="X62" i="47"/>
  <c r="X64" i="47" s="1"/>
  <c r="X44" i="46"/>
  <c r="X131" i="42" s="1"/>
  <c r="X45" i="46"/>
  <c r="X145" i="42" s="1"/>
  <c r="X42" i="46"/>
  <c r="X103" i="42" s="1"/>
  <c r="X39" i="46"/>
  <c r="X61" i="42" s="1"/>
  <c r="X38" i="46"/>
  <c r="X47" i="42" s="1"/>
  <c r="X41" i="46"/>
  <c r="X89" i="42" s="1"/>
  <c r="X40" i="46"/>
  <c r="X75" i="42" s="1"/>
  <c r="X46" i="46"/>
  <c r="X159" i="42" s="1"/>
  <c r="X37" i="46"/>
  <c r="X131" i="34"/>
  <c r="X136" i="34" s="1"/>
  <c r="X120" i="33"/>
  <c r="X158" i="33" s="1"/>
  <c r="G32" i="48"/>
  <c r="G131" i="48"/>
  <c r="G102" i="48"/>
  <c r="AE137" i="48"/>
  <c r="AE109" i="48"/>
  <c r="AE80" i="48"/>
  <c r="AA156" i="32"/>
  <c r="AA209" i="32" s="1"/>
  <c r="AB22" i="32" s="1"/>
  <c r="AA48" i="45"/>
  <c r="X48" i="37"/>
  <c r="Q54" i="42"/>
  <c r="Q96" i="42"/>
  <c r="R115" i="46"/>
  <c r="R153" i="46" s="1"/>
  <c r="R60" i="42"/>
  <c r="Y49" i="47"/>
  <c r="Y153" i="47" s="1"/>
  <c r="Y205" i="47" s="1"/>
  <c r="Z23" i="47" s="1"/>
  <c r="Y153" i="45"/>
  <c r="Y205" i="45" s="1"/>
  <c r="Z23" i="45" s="1"/>
  <c r="Z155" i="32"/>
  <c r="Z208" i="32" s="1"/>
  <c r="AA21" i="32" s="1"/>
  <c r="Z47" i="45"/>
  <c r="Z151" i="45" s="1"/>
  <c r="Z203" i="45" s="1"/>
  <c r="AA21" i="45" s="1"/>
  <c r="Z55" i="32"/>
  <c r="Z55" i="47" s="1"/>
  <c r="Z159" i="47" s="1"/>
  <c r="Z211" i="47" s="1"/>
  <c r="AA29" i="47" s="1"/>
  <c r="X113" i="33"/>
  <c r="Q166" i="42"/>
  <c r="K54" i="48" l="1"/>
  <c r="K59" i="48" s="1"/>
  <c r="R94" i="42"/>
  <c r="K68" i="48"/>
  <c r="K72" i="48" s="1"/>
  <c r="R122" i="42"/>
  <c r="K40" i="48"/>
  <c r="K45" i="48" s="1"/>
  <c r="R66" i="42"/>
  <c r="K61" i="48"/>
  <c r="K66" i="48" s="1"/>
  <c r="R108" i="42"/>
  <c r="K47" i="48"/>
  <c r="K52" i="48" s="1"/>
  <c r="R80" i="42"/>
  <c r="K81" i="48"/>
  <c r="K86" i="48" s="1"/>
  <c r="R150" i="42"/>
  <c r="K88" i="48"/>
  <c r="K93" i="48" s="1"/>
  <c r="R164" i="42"/>
  <c r="AH81" i="48"/>
  <c r="AH86" i="48" s="1"/>
  <c r="O150" i="39"/>
  <c r="K33" i="48"/>
  <c r="K38" i="48" s="1"/>
  <c r="R52" i="42"/>
  <c r="K74" i="48"/>
  <c r="K79" i="48" s="1"/>
  <c r="R136" i="42"/>
  <c r="AG111" i="48"/>
  <c r="AA152" i="45"/>
  <c r="AA204" i="45" s="1"/>
  <c r="AB22" i="45" s="1"/>
  <c r="Z157" i="32"/>
  <c r="Z210" i="32" s="1"/>
  <c r="AA23" i="32" s="1"/>
  <c r="AA49" i="32" s="1"/>
  <c r="AA49" i="45" s="1"/>
  <c r="AA49" i="47" s="1"/>
  <c r="AA165" i="32"/>
  <c r="AA218" i="32" s="1"/>
  <c r="AB31" i="32" s="1"/>
  <c r="AB57" i="32" s="1"/>
  <c r="AB57" i="47" s="1"/>
  <c r="AB161" i="47" s="1"/>
  <c r="AB213" i="47" s="1"/>
  <c r="AA48" i="47"/>
  <c r="AA152" i="47" s="1"/>
  <c r="AA204" i="47" s="1"/>
  <c r="AB22" i="47" s="1"/>
  <c r="Z47" i="47"/>
  <c r="Z151" i="47" s="1"/>
  <c r="Z203" i="47" s="1"/>
  <c r="AA21" i="47" s="1"/>
  <c r="X151" i="33"/>
  <c r="X124" i="33"/>
  <c r="X126" i="33" s="1"/>
  <c r="Z163" i="32"/>
  <c r="Z216" i="32" s="1"/>
  <c r="AA29" i="32" s="1"/>
  <c r="AA47" i="32"/>
  <c r="AA47" i="45" s="1"/>
  <c r="AA47" i="47" s="1"/>
  <c r="S20" i="46"/>
  <c r="AA168" i="32"/>
  <c r="AA221" i="32" s="1"/>
  <c r="AB34" i="32" s="1"/>
  <c r="Y25" i="33"/>
  <c r="X138" i="34"/>
  <c r="Z153" i="45"/>
  <c r="Z205" i="45" s="1"/>
  <c r="AA23" i="45" s="1"/>
  <c r="J134" i="48"/>
  <c r="J53" i="48"/>
  <c r="J105" i="48"/>
  <c r="N25" i="38"/>
  <c r="M162" i="38"/>
  <c r="M164" i="38" s="1"/>
  <c r="Z164" i="32"/>
  <c r="Z217" i="32" s="1"/>
  <c r="AA30" i="32" s="1"/>
  <c r="S23" i="46"/>
  <c r="Z162" i="32"/>
  <c r="Z215" i="32" s="1"/>
  <c r="AA28" i="32" s="1"/>
  <c r="Z160" i="32"/>
  <c r="Z213" i="32" s="1"/>
  <c r="AA26" i="32" s="1"/>
  <c r="J136" i="48"/>
  <c r="J107" i="48"/>
  <c r="J67" i="48"/>
  <c r="J108" i="48"/>
  <c r="J73" i="48"/>
  <c r="Y20" i="33"/>
  <c r="X68" i="34"/>
  <c r="S25" i="46"/>
  <c r="P18" i="46"/>
  <c r="O162" i="46"/>
  <c r="O164" i="46" s="1"/>
  <c r="S26" i="46"/>
  <c r="Z62" i="45"/>
  <c r="Z64" i="45" s="1"/>
  <c r="X163" i="37"/>
  <c r="Y18" i="37"/>
  <c r="X159" i="37"/>
  <c r="X162" i="37" s="1"/>
  <c r="J137" i="48"/>
  <c r="J80" i="48"/>
  <c r="J109" i="48"/>
  <c r="J135" i="48"/>
  <c r="J60" i="48"/>
  <c r="J106" i="48"/>
  <c r="AB48" i="32"/>
  <c r="AB48" i="45" s="1"/>
  <c r="AB48" i="47" s="1"/>
  <c r="S27" i="46"/>
  <c r="Y24" i="33"/>
  <c r="X124" i="34"/>
  <c r="X82" i="34"/>
  <c r="Y21" i="33"/>
  <c r="P166" i="45"/>
  <c r="P168" i="45" s="1"/>
  <c r="P201" i="45"/>
  <c r="AA46" i="32"/>
  <c r="AA46" i="47" s="1"/>
  <c r="AA150" i="47" s="1"/>
  <c r="AA202" i="47" s="1"/>
  <c r="AB20" i="47" s="1"/>
  <c r="P26" i="38"/>
  <c r="Z161" i="32"/>
  <c r="Z214" i="32" s="1"/>
  <c r="AA27" i="32" s="1"/>
  <c r="Z159" i="32"/>
  <c r="Z212" i="32" s="1"/>
  <c r="AA25" i="32" s="1"/>
  <c r="X227" i="32"/>
  <c r="X223" i="32"/>
  <c r="X226" i="32" s="1"/>
  <c r="Y18" i="32"/>
  <c r="X54" i="34"/>
  <c r="Y19" i="33"/>
  <c r="O122" i="38"/>
  <c r="O160" i="38" s="1"/>
  <c r="O158" i="39"/>
  <c r="S19" i="46"/>
  <c r="AG138" i="48"/>
  <c r="AG87" i="48"/>
  <c r="AG110" i="48"/>
  <c r="X166" i="34"/>
  <c r="Y27" i="33"/>
  <c r="X96" i="34"/>
  <c r="Y22" i="33"/>
  <c r="AA158" i="32"/>
  <c r="AA211" i="32" s="1"/>
  <c r="AB24" i="32" s="1"/>
  <c r="AG94" i="48"/>
  <c r="N166" i="39"/>
  <c r="J139" i="48"/>
  <c r="J111" i="48"/>
  <c r="J94" i="48"/>
  <c r="X33" i="42"/>
  <c r="X17" i="42" s="1"/>
  <c r="X48" i="46"/>
  <c r="X50" i="46" s="1"/>
  <c r="J132" i="48"/>
  <c r="J103" i="48"/>
  <c r="J39" i="48"/>
  <c r="Z153" i="47"/>
  <c r="Z205" i="47" s="1"/>
  <c r="AA23" i="47" s="1"/>
  <c r="P36" i="47"/>
  <c r="P38" i="47" s="1"/>
  <c r="P149" i="47"/>
  <c r="S22" i="46"/>
  <c r="S24" i="46"/>
  <c r="X110" i="34"/>
  <c r="Y23" i="33"/>
  <c r="J138" i="48"/>
  <c r="J87" i="48"/>
  <c r="J110" i="48"/>
  <c r="S21" i="46"/>
  <c r="J133" i="48"/>
  <c r="J104" i="48"/>
  <c r="J46" i="48"/>
  <c r="X152" i="34"/>
  <c r="Y26" i="33"/>
  <c r="X17" i="34"/>
  <c r="Y18" i="47"/>
  <c r="AB45" i="45"/>
  <c r="AB45" i="47" s="1"/>
  <c r="AH88" i="48" l="1"/>
  <c r="AH93" i="48" s="1"/>
  <c r="AH139" i="48" s="1"/>
  <c r="O164" i="39"/>
  <c r="AA151" i="45"/>
  <c r="AA203" i="45" s="1"/>
  <c r="AB21" i="45" s="1"/>
  <c r="AA151" i="47"/>
  <c r="AA203" i="47" s="1"/>
  <c r="AB21" i="47" s="1"/>
  <c r="AA155" i="32"/>
  <c r="AA208" i="32" s="1"/>
  <c r="AB21" i="32" s="1"/>
  <c r="AB47" i="32" s="1"/>
  <c r="AB47" i="45" s="1"/>
  <c r="R124" i="42"/>
  <c r="S114" i="46"/>
  <c r="S152" i="46" s="1"/>
  <c r="S46" i="42"/>
  <c r="Y46" i="34"/>
  <c r="R82" i="42"/>
  <c r="Y102" i="34"/>
  <c r="S117" i="46"/>
  <c r="S155" i="46" s="1"/>
  <c r="S88" i="42"/>
  <c r="AA153" i="47"/>
  <c r="AA205" i="47" s="1"/>
  <c r="AB23" i="47" s="1"/>
  <c r="Y88" i="34"/>
  <c r="R54" i="42"/>
  <c r="AA51" i="32"/>
  <c r="AA51" i="47" s="1"/>
  <c r="AA155" i="47" s="1"/>
  <c r="AA207" i="47" s="1"/>
  <c r="AB25" i="47" s="1"/>
  <c r="Y116" i="34"/>
  <c r="S158" i="42"/>
  <c r="S122" i="46"/>
  <c r="S160" i="46" s="1"/>
  <c r="R138" i="42"/>
  <c r="AA52" i="32"/>
  <c r="AA52" i="47" s="1"/>
  <c r="AA156" i="47" s="1"/>
  <c r="AA208" i="47" s="1"/>
  <c r="AB26" i="47" s="1"/>
  <c r="S102" i="42"/>
  <c r="S118" i="46"/>
  <c r="S156" i="46" s="1"/>
  <c r="M22" i="39"/>
  <c r="M138" i="39"/>
  <c r="AA153" i="45"/>
  <c r="AA205" i="45" s="1"/>
  <c r="AB23" i="45" s="1"/>
  <c r="AB152" i="45"/>
  <c r="AB204" i="45" s="1"/>
  <c r="Y158" i="34"/>
  <c r="AB50" i="32"/>
  <c r="AB50" i="47" s="1"/>
  <c r="AB154" i="47" s="1"/>
  <c r="AB206" i="47" s="1"/>
  <c r="R96" i="42"/>
  <c r="Y44" i="32"/>
  <c r="Y152" i="32" s="1"/>
  <c r="Y36" i="32"/>
  <c r="Y38" i="32" s="1"/>
  <c r="AA53" i="32"/>
  <c r="AA53" i="47" s="1"/>
  <c r="AA157" i="47" s="1"/>
  <c r="AA209" i="47" s="1"/>
  <c r="AB27" i="47" s="1"/>
  <c r="AA154" i="32"/>
  <c r="AA207" i="32" s="1"/>
  <c r="AB20" i="32" s="1"/>
  <c r="Y74" i="34"/>
  <c r="AA157" i="32"/>
  <c r="AA210" i="32" s="1"/>
  <c r="AB23" i="32" s="1"/>
  <c r="AB49" i="32" s="1"/>
  <c r="AB156" i="32"/>
  <c r="AB209" i="32" s="1"/>
  <c r="AB165" i="32"/>
  <c r="AB218" i="32" s="1"/>
  <c r="O40" i="42"/>
  <c r="O22" i="42"/>
  <c r="AA54" i="32"/>
  <c r="AA54" i="47" s="1"/>
  <c r="AA158" i="47" s="1"/>
  <c r="AA210" i="47" s="1"/>
  <c r="AB28" i="47" s="1"/>
  <c r="AA56" i="32"/>
  <c r="AA56" i="47" s="1"/>
  <c r="AA160" i="47" s="1"/>
  <c r="AA212" i="47" s="1"/>
  <c r="AB30" i="47" s="1"/>
  <c r="R68" i="42"/>
  <c r="AA55" i="32"/>
  <c r="AA55" i="47" s="1"/>
  <c r="AA159" i="47" s="1"/>
  <c r="AA211" i="47" s="1"/>
  <c r="AB29" i="47" s="1"/>
  <c r="P201" i="47"/>
  <c r="P166" i="47"/>
  <c r="P168" i="47" s="1"/>
  <c r="P27" i="38"/>
  <c r="X225" i="32"/>
  <c r="O152" i="39"/>
  <c r="X161" i="37"/>
  <c r="R152" i="42"/>
  <c r="P113" i="46"/>
  <c r="P32" i="42"/>
  <c r="P38" i="42" s="1"/>
  <c r="P29" i="46"/>
  <c r="P31" i="46" s="1"/>
  <c r="Y60" i="34"/>
  <c r="AA62" i="45"/>
  <c r="AA64" i="45" s="1"/>
  <c r="Y130" i="34"/>
  <c r="S60" i="42"/>
  <c r="S115" i="46"/>
  <c r="S153" i="46" s="1"/>
  <c r="Y144" i="34"/>
  <c r="S116" i="42"/>
  <c r="S119" i="46"/>
  <c r="S157" i="46" s="1"/>
  <c r="S74" i="42"/>
  <c r="S116" i="46"/>
  <c r="S154" i="46" s="1"/>
  <c r="P121" i="38"/>
  <c r="P159" i="38" s="1"/>
  <c r="P144" i="39"/>
  <c r="P218" i="45"/>
  <c r="P220" i="45" s="1"/>
  <c r="Q19" i="45"/>
  <c r="R166" i="42"/>
  <c r="AB152" i="47"/>
  <c r="AB204" i="47" s="1"/>
  <c r="Y28" i="37"/>
  <c r="Y30" i="37" s="1"/>
  <c r="Y36" i="37"/>
  <c r="S144" i="42"/>
  <c r="S121" i="46"/>
  <c r="S159" i="46" s="1"/>
  <c r="S130" i="42"/>
  <c r="S120" i="46"/>
  <c r="S158" i="46" s="1"/>
  <c r="R110" i="42"/>
  <c r="N29" i="38"/>
  <c r="N31" i="38" s="1"/>
  <c r="N120" i="38"/>
  <c r="N130" i="39"/>
  <c r="N136" i="39" s="1"/>
  <c r="AB60" i="32"/>
  <c r="AB60" i="47" s="1"/>
  <c r="AB164" i="47" s="1"/>
  <c r="AB216" i="47" s="1"/>
  <c r="X162" i="33"/>
  <c r="X164" i="33" s="1"/>
  <c r="Y18" i="33"/>
  <c r="AB155" i="32" l="1"/>
  <c r="AB208" i="32" s="1"/>
  <c r="AI81" i="48"/>
  <c r="AI86" i="48" s="1"/>
  <c r="P150" i="39"/>
  <c r="L61" i="48"/>
  <c r="L66" i="48" s="1"/>
  <c r="S108" i="42"/>
  <c r="L88" i="48"/>
  <c r="L93" i="48" s="1"/>
  <c r="S164" i="42"/>
  <c r="L74" i="48"/>
  <c r="L79" i="48" s="1"/>
  <c r="S136" i="42"/>
  <c r="L40" i="48"/>
  <c r="L45" i="48" s="1"/>
  <c r="S66" i="42"/>
  <c r="L47" i="48"/>
  <c r="L52" i="48" s="1"/>
  <c r="S80" i="42"/>
  <c r="L54" i="48"/>
  <c r="L59" i="48" s="1"/>
  <c r="S94" i="42"/>
  <c r="L81" i="48"/>
  <c r="L86" i="48" s="1"/>
  <c r="S150" i="42"/>
  <c r="L68" i="48"/>
  <c r="L72" i="48" s="1"/>
  <c r="S122" i="42"/>
  <c r="L33" i="48"/>
  <c r="L38" i="48" s="1"/>
  <c r="S52" i="42"/>
  <c r="AH111" i="48"/>
  <c r="AB151" i="45"/>
  <c r="AB203" i="45" s="1"/>
  <c r="AA162" i="32"/>
  <c r="AA215" i="32" s="1"/>
  <c r="AB28" i="32" s="1"/>
  <c r="AB54" i="32" s="1"/>
  <c r="AB54" i="47" s="1"/>
  <c r="AB158" i="47" s="1"/>
  <c r="AB210" i="47" s="1"/>
  <c r="AB168" i="32"/>
  <c r="AB221" i="32" s="1"/>
  <c r="Y170" i="32"/>
  <c r="Y172" i="32" s="1"/>
  <c r="Y205" i="32"/>
  <c r="N158" i="38"/>
  <c r="N124" i="38"/>
  <c r="N126" i="38" s="1"/>
  <c r="Q36" i="45"/>
  <c r="Q38" i="45" s="1"/>
  <c r="Q149" i="45"/>
  <c r="AB47" i="47"/>
  <c r="AB151" i="47" s="1"/>
  <c r="AB203" i="47" s="1"/>
  <c r="K136" i="48"/>
  <c r="K107" i="48"/>
  <c r="K67" i="48"/>
  <c r="T26" i="46"/>
  <c r="K138" i="48"/>
  <c r="K110" i="48"/>
  <c r="K87" i="48"/>
  <c r="AH94" i="48"/>
  <c r="O166" i="39"/>
  <c r="AA163" i="32"/>
  <c r="AA216" i="32" s="1"/>
  <c r="AB29" i="32" s="1"/>
  <c r="AA164" i="32"/>
  <c r="AA217" i="32" s="1"/>
  <c r="AB30" i="32" s="1"/>
  <c r="H18" i="48"/>
  <c r="H19" i="48" s="1"/>
  <c r="O24" i="42"/>
  <c r="AB46" i="32"/>
  <c r="AB46" i="47" s="1"/>
  <c r="AB150" i="47" s="1"/>
  <c r="AB202" i="47" s="1"/>
  <c r="AB158" i="32"/>
  <c r="AB211" i="32" s="1"/>
  <c r="K137" i="48"/>
  <c r="K80" i="48"/>
  <c r="K109" i="48"/>
  <c r="Q26" i="38"/>
  <c r="X40" i="34"/>
  <c r="X22" i="34"/>
  <c r="X24" i="34" s="1"/>
  <c r="N16" i="39"/>
  <c r="AG13" i="48" s="1"/>
  <c r="AG74" i="48"/>
  <c r="AG79" i="48" s="1"/>
  <c r="T24" i="46"/>
  <c r="T20" i="46"/>
  <c r="I26" i="48"/>
  <c r="I31" i="48" s="1"/>
  <c r="P16" i="42"/>
  <c r="I13" i="48" s="1"/>
  <c r="AB157" i="32"/>
  <c r="AB210" i="32" s="1"/>
  <c r="AB49" i="45"/>
  <c r="AB153" i="45" s="1"/>
  <c r="AB205" i="45" s="1"/>
  <c r="AA161" i="32"/>
  <c r="AA214" i="32" s="1"/>
  <c r="AB27" i="32" s="1"/>
  <c r="Y62" i="32"/>
  <c r="Y65" i="32" s="1"/>
  <c r="Y44" i="47"/>
  <c r="Y43" i="33"/>
  <c r="Y45" i="33"/>
  <c r="Y44" i="33"/>
  <c r="Y42" i="33"/>
  <c r="Y39" i="33"/>
  <c r="Y38" i="33"/>
  <c r="Y41" i="33"/>
  <c r="Y40" i="33"/>
  <c r="Y46" i="33"/>
  <c r="Y37" i="33"/>
  <c r="Y113" i="33" s="1"/>
  <c r="AF137" i="48"/>
  <c r="AF109" i="48"/>
  <c r="AF80" i="48"/>
  <c r="AA160" i="32"/>
  <c r="AA213" i="32" s="1"/>
  <c r="AB26" i="32" s="1"/>
  <c r="T27" i="46"/>
  <c r="AA159" i="32"/>
  <c r="AA212" i="32" s="1"/>
  <c r="AB25" i="32" s="1"/>
  <c r="T22" i="46"/>
  <c r="K134" i="48"/>
  <c r="K105" i="48"/>
  <c r="K53" i="48"/>
  <c r="T19" i="46"/>
  <c r="Y32" i="34"/>
  <c r="Y29" i="33"/>
  <c r="Y31" i="33" s="1"/>
  <c r="Y112" i="37"/>
  <c r="Y46" i="37"/>
  <c r="Y49" i="37" s="1"/>
  <c r="Y45" i="38"/>
  <c r="Y145" i="39" s="1"/>
  <c r="Y44" i="38"/>
  <c r="Y46" i="38"/>
  <c r="Y159" i="39" s="1"/>
  <c r="K139" i="48"/>
  <c r="K94" i="48"/>
  <c r="K111" i="48"/>
  <c r="P124" i="46"/>
  <c r="P126" i="46" s="1"/>
  <c r="P151" i="46"/>
  <c r="Q19" i="47"/>
  <c r="P218" i="47"/>
  <c r="P220" i="47" s="1"/>
  <c r="H131" i="48"/>
  <c r="H102" i="48"/>
  <c r="H32" i="48"/>
  <c r="K135" i="48"/>
  <c r="K106" i="48"/>
  <c r="K60" i="48"/>
  <c r="M24" i="39"/>
  <c r="AF18" i="48"/>
  <c r="AF19" i="48" s="1"/>
  <c r="K73" i="48"/>
  <c r="K108" i="48"/>
  <c r="T25" i="46"/>
  <c r="T21" i="46"/>
  <c r="AH138" i="48"/>
  <c r="AH110" i="48"/>
  <c r="AH87" i="48"/>
  <c r="P158" i="39"/>
  <c r="P122" i="38"/>
  <c r="P160" i="38" s="1"/>
  <c r="K133" i="48"/>
  <c r="K104" i="48"/>
  <c r="K46" i="48"/>
  <c r="T23" i="46"/>
  <c r="K132" i="48"/>
  <c r="K39" i="48"/>
  <c r="K103" i="48"/>
  <c r="Y16" i="34" l="1"/>
  <c r="AI88" i="48"/>
  <c r="AI93" i="48" s="1"/>
  <c r="AI139" i="48" s="1"/>
  <c r="P164" i="39"/>
  <c r="AB62" i="45"/>
  <c r="AB64" i="45" s="1"/>
  <c r="A64" i="45" s="1"/>
  <c r="AB162" i="32"/>
  <c r="AB215" i="32" s="1"/>
  <c r="S110" i="42"/>
  <c r="T74" i="42"/>
  <c r="T116" i="46"/>
  <c r="T154" i="46" s="1"/>
  <c r="Y131" i="39"/>
  <c r="Y17" i="39" s="1"/>
  <c r="Y48" i="38"/>
  <c r="Y50" i="38" s="1"/>
  <c r="S54" i="42"/>
  <c r="T88" i="42"/>
  <c r="T117" i="46"/>
  <c r="T155" i="46" s="1"/>
  <c r="S166" i="42"/>
  <c r="Y89" i="34"/>
  <c r="Y94" i="34" s="1"/>
  <c r="Y117" i="33"/>
  <c r="Y155" i="33" s="1"/>
  <c r="Y131" i="34"/>
  <c r="Y136" i="34" s="1"/>
  <c r="Y120" i="33"/>
  <c r="Y158" i="33" s="1"/>
  <c r="Y64" i="32"/>
  <c r="S68" i="42"/>
  <c r="Q121" i="38"/>
  <c r="Q159" i="38" s="1"/>
  <c r="Q144" i="39"/>
  <c r="T144" i="42"/>
  <c r="T121" i="46"/>
  <c r="T159" i="46" s="1"/>
  <c r="T118" i="46"/>
  <c r="T156" i="46" s="1"/>
  <c r="T102" i="42"/>
  <c r="T130" i="42"/>
  <c r="T120" i="46"/>
  <c r="T158" i="46" s="1"/>
  <c r="Q36" i="47"/>
  <c r="Q38" i="47" s="1"/>
  <c r="Q149" i="47"/>
  <c r="S96" i="42"/>
  <c r="AB52" i="32"/>
  <c r="AB52" i="47" s="1"/>
  <c r="AB156" i="47" s="1"/>
  <c r="AB208" i="47" s="1"/>
  <c r="Y48" i="33"/>
  <c r="Y50" i="33" s="1"/>
  <c r="Y33" i="34"/>
  <c r="Y38" i="34" s="1"/>
  <c r="Y47" i="34"/>
  <c r="Y52" i="34" s="1"/>
  <c r="Y114" i="33"/>
  <c r="Y152" i="33" s="1"/>
  <c r="Y145" i="34"/>
  <c r="Y150" i="34" s="1"/>
  <c r="Y121" i="33"/>
  <c r="Y159" i="33" s="1"/>
  <c r="AB53" i="32"/>
  <c r="AB53" i="47" s="1"/>
  <c r="AB157" i="47" s="1"/>
  <c r="AB209" i="47" s="1"/>
  <c r="S124" i="42"/>
  <c r="AB154" i="32"/>
  <c r="AB207" i="32" s="1"/>
  <c r="AB56" i="32"/>
  <c r="AB56" i="47" s="1"/>
  <c r="AB160" i="47" s="1"/>
  <c r="AB212" i="47" s="1"/>
  <c r="S152" i="42"/>
  <c r="O25" i="38"/>
  <c r="N162" i="38"/>
  <c r="N164" i="38" s="1"/>
  <c r="Q27" i="38"/>
  <c r="S138" i="42"/>
  <c r="Q18" i="46"/>
  <c r="P162" i="46"/>
  <c r="P164" i="46" s="1"/>
  <c r="Y48" i="37"/>
  <c r="Y151" i="33"/>
  <c r="AB51" i="32"/>
  <c r="AB51" i="47" s="1"/>
  <c r="AB155" i="47" s="1"/>
  <c r="AB207" i="47" s="1"/>
  <c r="Y159" i="34"/>
  <c r="Y164" i="34" s="1"/>
  <c r="Y122" i="33"/>
  <c r="Y160" i="33" s="1"/>
  <c r="Y61" i="34"/>
  <c r="Y66" i="34" s="1"/>
  <c r="Y115" i="33"/>
  <c r="Y153" i="33" s="1"/>
  <c r="Y117" i="34"/>
  <c r="Y122" i="34" s="1"/>
  <c r="Y119" i="33"/>
  <c r="Y157" i="33" s="1"/>
  <c r="AB49" i="47"/>
  <c r="AB153" i="47" s="1"/>
  <c r="AB205" i="47" s="1"/>
  <c r="T116" i="42"/>
  <c r="T119" i="46"/>
  <c r="T157" i="46" s="1"/>
  <c r="AB55" i="32"/>
  <c r="AB55" i="47" s="1"/>
  <c r="AB159" i="47" s="1"/>
  <c r="AB211" i="47" s="1"/>
  <c r="Q166" i="45"/>
  <c r="Q168" i="45" s="1"/>
  <c r="Q201" i="45"/>
  <c r="Y227" i="32"/>
  <c r="Y223" i="32"/>
  <c r="Y226" i="32" s="1"/>
  <c r="Z18" i="32"/>
  <c r="S82" i="42"/>
  <c r="Y122" i="37"/>
  <c r="Y124" i="37" s="1"/>
  <c r="Y149" i="37"/>
  <c r="T114" i="46"/>
  <c r="T152" i="46" s="1"/>
  <c r="T46" i="42"/>
  <c r="T122" i="46"/>
  <c r="T160" i="46" s="1"/>
  <c r="T158" i="42"/>
  <c r="Y75" i="34"/>
  <c r="Y80" i="34" s="1"/>
  <c r="Y116" i="33"/>
  <c r="Y154" i="33" s="1"/>
  <c r="Y103" i="34"/>
  <c r="Y108" i="34" s="1"/>
  <c r="Y118" i="33"/>
  <c r="Y156" i="33" s="1"/>
  <c r="Y45" i="46"/>
  <c r="Y145" i="42" s="1"/>
  <c r="Y43" i="46"/>
  <c r="Y117" i="42" s="1"/>
  <c r="Y62" i="47"/>
  <c r="Y64" i="47" s="1"/>
  <c r="Y44" i="46"/>
  <c r="Y131" i="42" s="1"/>
  <c r="Y42" i="46"/>
  <c r="Y103" i="42" s="1"/>
  <c r="Y39" i="46"/>
  <c r="Y61" i="42" s="1"/>
  <c r="Y38" i="46"/>
  <c r="Y47" i="42" s="1"/>
  <c r="Y40" i="46"/>
  <c r="Y75" i="42" s="1"/>
  <c r="Y41" i="46"/>
  <c r="Y89" i="42" s="1"/>
  <c r="Y46" i="46"/>
  <c r="Y159" i="42" s="1"/>
  <c r="Y37" i="46"/>
  <c r="Y148" i="47"/>
  <c r="T60" i="42"/>
  <c r="T115" i="46"/>
  <c r="T153" i="46" s="1"/>
  <c r="P152" i="39"/>
  <c r="M40" i="48" l="1"/>
  <c r="M45" i="48" s="1"/>
  <c r="T66" i="42"/>
  <c r="M88" i="48"/>
  <c r="M93" i="48" s="1"/>
  <c r="T164" i="42"/>
  <c r="M74" i="48"/>
  <c r="M79" i="48" s="1"/>
  <c r="T136" i="42"/>
  <c r="M54" i="48"/>
  <c r="M59" i="48" s="1"/>
  <c r="T94" i="42"/>
  <c r="M61" i="48"/>
  <c r="M66" i="48" s="1"/>
  <c r="T108" i="42"/>
  <c r="M33" i="48"/>
  <c r="M38" i="48" s="1"/>
  <c r="T52" i="42"/>
  <c r="M81" i="48"/>
  <c r="M86" i="48" s="1"/>
  <c r="T150" i="42"/>
  <c r="M68" i="48"/>
  <c r="M72" i="48" s="1"/>
  <c r="T122" i="42"/>
  <c r="AJ81" i="48"/>
  <c r="AJ86" i="48" s="1"/>
  <c r="Q150" i="39"/>
  <c r="M47" i="48"/>
  <c r="M52" i="48" s="1"/>
  <c r="T80" i="42"/>
  <c r="AI111" i="48"/>
  <c r="AB163" i="32"/>
  <c r="AB216" i="32" s="1"/>
  <c r="AB159" i="32"/>
  <c r="AB212" i="32" s="1"/>
  <c r="U20" i="46"/>
  <c r="AI138" i="48"/>
  <c r="AI87" i="48"/>
  <c r="AI110" i="48"/>
  <c r="Y33" i="42"/>
  <c r="Y17" i="42" s="1"/>
  <c r="Y48" i="46"/>
  <c r="Y50" i="46" s="1"/>
  <c r="U27" i="46"/>
  <c r="Y225" i="32"/>
  <c r="L137" i="48"/>
  <c r="L80" i="48"/>
  <c r="L109" i="48"/>
  <c r="N138" i="39"/>
  <c r="N22" i="39"/>
  <c r="L73" i="48"/>
  <c r="L108" i="48"/>
  <c r="Z26" i="33"/>
  <c r="Y152" i="34"/>
  <c r="Y17" i="34"/>
  <c r="U25" i="46"/>
  <c r="U26" i="46"/>
  <c r="Z25" i="33"/>
  <c r="Y138" i="34"/>
  <c r="U21" i="46"/>
  <c r="Y82" i="34"/>
  <c r="Z21" i="33"/>
  <c r="L134" i="48"/>
  <c r="L53" i="48"/>
  <c r="L105" i="48"/>
  <c r="Z24" i="33"/>
  <c r="Y124" i="34"/>
  <c r="Y166" i="34"/>
  <c r="Z27" i="33"/>
  <c r="Y124" i="33"/>
  <c r="Y126" i="33" s="1"/>
  <c r="P22" i="42"/>
  <c r="P40" i="42"/>
  <c r="AB164" i="32"/>
  <c r="AB217" i="32" s="1"/>
  <c r="L135" i="48"/>
  <c r="L106" i="48"/>
  <c r="L60" i="48"/>
  <c r="L133" i="48"/>
  <c r="L104" i="48"/>
  <c r="L46" i="48"/>
  <c r="L139" i="48"/>
  <c r="L94" i="48"/>
  <c r="L111" i="48"/>
  <c r="L132" i="48"/>
  <c r="L39" i="48"/>
  <c r="L103" i="48"/>
  <c r="U19" i="46"/>
  <c r="Q218" i="45"/>
  <c r="Q220" i="45" s="1"/>
  <c r="R19" i="45"/>
  <c r="U24" i="46"/>
  <c r="Y162" i="33"/>
  <c r="Y164" i="33" s="1"/>
  <c r="Z18" i="33"/>
  <c r="P166" i="39"/>
  <c r="AI94" i="48"/>
  <c r="O120" i="38"/>
  <c r="O130" i="39"/>
  <c r="O136" i="39" s="1"/>
  <c r="O29" i="38"/>
  <c r="O31" i="38" s="1"/>
  <c r="AB161" i="32"/>
  <c r="AB214" i="32" s="1"/>
  <c r="Y54" i="34"/>
  <c r="Z19" i="33"/>
  <c r="AB160" i="32"/>
  <c r="AB213" i="32" s="1"/>
  <c r="Q166" i="47"/>
  <c r="Q168" i="47" s="1"/>
  <c r="Q201" i="47"/>
  <c r="Y96" i="34"/>
  <c r="Z22" i="33"/>
  <c r="U22" i="46"/>
  <c r="Y200" i="47"/>
  <c r="Z23" i="33"/>
  <c r="Y110" i="34"/>
  <c r="Y163" i="37"/>
  <c r="Y159" i="37"/>
  <c r="Y162" i="37" s="1"/>
  <c r="Z18" i="37"/>
  <c r="Z44" i="32"/>
  <c r="Z152" i="32" s="1"/>
  <c r="Z36" i="32"/>
  <c r="Z38" i="32" s="1"/>
  <c r="Y68" i="34"/>
  <c r="Z20" i="33"/>
  <c r="Q32" i="42"/>
  <c r="Q38" i="42" s="1"/>
  <c r="Q113" i="46"/>
  <c r="Q29" i="46"/>
  <c r="Q31" i="46" s="1"/>
  <c r="Q158" i="39"/>
  <c r="Q122" i="38"/>
  <c r="Q160" i="38" s="1"/>
  <c r="L138" i="48"/>
  <c r="L110" i="48"/>
  <c r="L87" i="48"/>
  <c r="U23" i="46"/>
  <c r="R26" i="38"/>
  <c r="L136" i="48"/>
  <c r="L107" i="48"/>
  <c r="L67" i="48"/>
  <c r="AJ88" i="48" l="1"/>
  <c r="AJ93" i="48" s="1"/>
  <c r="AJ139" i="48" s="1"/>
  <c r="Q164" i="39"/>
  <c r="R27" i="38"/>
  <c r="J26" i="48"/>
  <c r="J31" i="48" s="1"/>
  <c r="Q16" i="42"/>
  <c r="J13" i="48" s="1"/>
  <c r="Z46" i="34"/>
  <c r="AH74" i="48"/>
  <c r="AH79" i="48" s="1"/>
  <c r="O16" i="39"/>
  <c r="AH13" i="48" s="1"/>
  <c r="Z32" i="34"/>
  <c r="Z29" i="33"/>
  <c r="Z31" i="33" s="1"/>
  <c r="T54" i="42"/>
  <c r="T82" i="42"/>
  <c r="AG137" i="48"/>
  <c r="AG80" i="48"/>
  <c r="AG109" i="48"/>
  <c r="T166" i="42"/>
  <c r="T68" i="42"/>
  <c r="Q152" i="39"/>
  <c r="Z60" i="34"/>
  <c r="Z45" i="33"/>
  <c r="Z145" i="34" s="1"/>
  <c r="Z44" i="47"/>
  <c r="Z44" i="33"/>
  <c r="Z131" i="34" s="1"/>
  <c r="Z43" i="33"/>
  <c r="Z117" i="34" s="1"/>
  <c r="Z62" i="32"/>
  <c r="Z65" i="32" s="1"/>
  <c r="Z42" i="33"/>
  <c r="Z103" i="34" s="1"/>
  <c r="Z39" i="33"/>
  <c r="Z61" i="34" s="1"/>
  <c r="Z38" i="33"/>
  <c r="Z47" i="34" s="1"/>
  <c r="Z40" i="33"/>
  <c r="Z75" i="34" s="1"/>
  <c r="Z41" i="33"/>
  <c r="Z89" i="34" s="1"/>
  <c r="Z46" i="33"/>
  <c r="Z159" i="34" s="1"/>
  <c r="Z37" i="33"/>
  <c r="U88" i="42"/>
  <c r="U117" i="46"/>
  <c r="U155" i="46" s="1"/>
  <c r="R19" i="47"/>
  <c r="Q218" i="47"/>
  <c r="Q220" i="47" s="1"/>
  <c r="O158" i="38"/>
  <c r="O124" i="38"/>
  <c r="O126" i="38" s="1"/>
  <c r="R36" i="45"/>
  <c r="R38" i="45" s="1"/>
  <c r="R149" i="45"/>
  <c r="Z116" i="34"/>
  <c r="Z74" i="34"/>
  <c r="U130" i="42"/>
  <c r="U120" i="46"/>
  <c r="U158" i="46" s="1"/>
  <c r="Z144" i="34"/>
  <c r="AG18" i="48"/>
  <c r="AG19" i="48" s="1"/>
  <c r="N24" i="39"/>
  <c r="U122" i="46"/>
  <c r="U160" i="46" s="1"/>
  <c r="U158" i="42"/>
  <c r="Y40" i="34"/>
  <c r="Y22" i="34"/>
  <c r="Y24" i="34" s="1"/>
  <c r="R121" i="38"/>
  <c r="R159" i="38" s="1"/>
  <c r="R144" i="39"/>
  <c r="Z36" i="37"/>
  <c r="Z112" i="37" s="1"/>
  <c r="Z28" i="37"/>
  <c r="Z30" i="37" s="1"/>
  <c r="Z102" i="34"/>
  <c r="T96" i="42"/>
  <c r="Z158" i="34"/>
  <c r="Z130" i="34"/>
  <c r="T138" i="42"/>
  <c r="T110" i="42"/>
  <c r="Q124" i="46"/>
  <c r="Q126" i="46" s="1"/>
  <c r="Q151" i="46"/>
  <c r="Z170" i="32"/>
  <c r="Z172" i="32" s="1"/>
  <c r="Z205" i="32"/>
  <c r="Y161" i="37"/>
  <c r="Z18" i="47"/>
  <c r="Z88" i="34"/>
  <c r="U116" i="42"/>
  <c r="U119" i="46"/>
  <c r="U157" i="46" s="1"/>
  <c r="U46" i="42"/>
  <c r="U114" i="46"/>
  <c r="U152" i="46" s="1"/>
  <c r="P24" i="42"/>
  <c r="I18" i="48"/>
  <c r="I19" i="48" s="1"/>
  <c r="U116" i="46"/>
  <c r="U154" i="46" s="1"/>
  <c r="U74" i="42"/>
  <c r="U144" i="42"/>
  <c r="U121" i="46"/>
  <c r="U159" i="46" s="1"/>
  <c r="U115" i="46"/>
  <c r="U153" i="46" s="1"/>
  <c r="U60" i="42"/>
  <c r="U118" i="46"/>
  <c r="U156" i="46" s="1"/>
  <c r="U102" i="42"/>
  <c r="T124" i="42"/>
  <c r="I131" i="48"/>
  <c r="I102" i="48"/>
  <c r="I32" i="48"/>
  <c r="T152" i="42"/>
  <c r="Z150" i="34" l="1"/>
  <c r="Z94" i="34"/>
  <c r="Z66" i="34"/>
  <c r="Z136" i="34"/>
  <c r="Z164" i="34"/>
  <c r="Z80" i="34"/>
  <c r="Z52" i="34"/>
  <c r="Z108" i="34"/>
  <c r="Z122" i="34"/>
  <c r="N88" i="48"/>
  <c r="N93" i="48" s="1"/>
  <c r="U164" i="42"/>
  <c r="N33" i="48"/>
  <c r="N38" i="48" s="1"/>
  <c r="U52" i="42"/>
  <c r="N40" i="48"/>
  <c r="N45" i="48" s="1"/>
  <c r="U66" i="42"/>
  <c r="N68" i="48"/>
  <c r="N72" i="48" s="1"/>
  <c r="U122" i="42"/>
  <c r="N47" i="48"/>
  <c r="N52" i="48" s="1"/>
  <c r="U80" i="42"/>
  <c r="AK81" i="48"/>
  <c r="AK86" i="48" s="1"/>
  <c r="R150" i="39"/>
  <c r="N81" i="48"/>
  <c r="N86" i="48" s="1"/>
  <c r="U150" i="42"/>
  <c r="N74" i="48"/>
  <c r="N79" i="48" s="1"/>
  <c r="U136" i="42"/>
  <c r="N61" i="48"/>
  <c r="N66" i="48" s="1"/>
  <c r="U108" i="42"/>
  <c r="N54" i="48"/>
  <c r="N59" i="48" s="1"/>
  <c r="U94" i="42"/>
  <c r="AJ111" i="48"/>
  <c r="Z120" i="33"/>
  <c r="Z158" i="33" s="1"/>
  <c r="Z138" i="34" s="1"/>
  <c r="Z122" i="33"/>
  <c r="Z160" i="33" s="1"/>
  <c r="AA27" i="33" s="1"/>
  <c r="Z117" i="33"/>
  <c r="Z155" i="33" s="1"/>
  <c r="Z118" i="33"/>
  <c r="Z156" i="33" s="1"/>
  <c r="Z121" i="33"/>
  <c r="Z159" i="33" s="1"/>
  <c r="AA26" i="33" s="1"/>
  <c r="Z116" i="33"/>
  <c r="Z154" i="33" s="1"/>
  <c r="Z119" i="33"/>
  <c r="Z157" i="33" s="1"/>
  <c r="AA24" i="33" s="1"/>
  <c r="V26" i="46"/>
  <c r="V23" i="46"/>
  <c r="M136" i="48"/>
  <c r="M67" i="48"/>
  <c r="M107" i="48"/>
  <c r="M135" i="48"/>
  <c r="M106" i="48"/>
  <c r="M60" i="48"/>
  <c r="V25" i="46"/>
  <c r="V22" i="46"/>
  <c r="Z43" i="46"/>
  <c r="Z117" i="42" s="1"/>
  <c r="Z62" i="47"/>
  <c r="Z64" i="47" s="1"/>
  <c r="Z45" i="46"/>
  <c r="Z145" i="42" s="1"/>
  <c r="Z44" i="46"/>
  <c r="Z131" i="42" s="1"/>
  <c r="Z42" i="46"/>
  <c r="Z103" i="42" s="1"/>
  <c r="Z39" i="46"/>
  <c r="Z61" i="42" s="1"/>
  <c r="Z38" i="46"/>
  <c r="Z47" i="42" s="1"/>
  <c r="Z41" i="46"/>
  <c r="Z89" i="42" s="1"/>
  <c r="Z40" i="46"/>
  <c r="Z75" i="42" s="1"/>
  <c r="Z46" i="46"/>
  <c r="Z159" i="42" s="1"/>
  <c r="Z37" i="46"/>
  <c r="M139" i="48"/>
  <c r="M111" i="48"/>
  <c r="M94" i="48"/>
  <c r="M138" i="48"/>
  <c r="M87" i="48"/>
  <c r="M110" i="48"/>
  <c r="V19" i="46"/>
  <c r="R18" i="46"/>
  <c r="Q162" i="46"/>
  <c r="Q164" i="46" s="1"/>
  <c r="M137" i="48"/>
  <c r="M109" i="48"/>
  <c r="M80" i="48"/>
  <c r="Z46" i="37"/>
  <c r="Z49" i="37" s="1"/>
  <c r="Z45" i="38"/>
  <c r="Z145" i="39" s="1"/>
  <c r="Z44" i="38"/>
  <c r="Z46" i="38"/>
  <c r="Z159" i="39" s="1"/>
  <c r="O162" i="38"/>
  <c r="O164" i="38" s="1"/>
  <c r="P25" i="38"/>
  <c r="Z64" i="32"/>
  <c r="AJ138" i="48"/>
  <c r="AJ87" i="48"/>
  <c r="AJ110" i="48"/>
  <c r="M105" i="48"/>
  <c r="M134" i="48"/>
  <c r="M53" i="48"/>
  <c r="M108" i="48"/>
  <c r="M73" i="48"/>
  <c r="V20" i="46"/>
  <c r="V21" i="46"/>
  <c r="R201" i="45"/>
  <c r="R166" i="45"/>
  <c r="R168" i="45" s="1"/>
  <c r="Z48" i="33"/>
  <c r="Z50" i="33" s="1"/>
  <c r="Z33" i="34"/>
  <c r="Z17" i="34" s="1"/>
  <c r="Z115" i="33"/>
  <c r="Z153" i="33" s="1"/>
  <c r="Z113" i="33"/>
  <c r="AJ94" i="48"/>
  <c r="Q166" i="39"/>
  <c r="V24" i="46"/>
  <c r="Z148" i="47"/>
  <c r="Z227" i="32"/>
  <c r="AA18" i="32"/>
  <c r="Z223" i="32"/>
  <c r="Z226" i="32" s="1"/>
  <c r="Z122" i="37"/>
  <c r="Z124" i="37" s="1"/>
  <c r="Z149" i="37"/>
  <c r="S26" i="38"/>
  <c r="V27" i="46"/>
  <c r="R36" i="47"/>
  <c r="R38" i="47" s="1"/>
  <c r="R149" i="47"/>
  <c r="M133" i="48"/>
  <c r="M46" i="48"/>
  <c r="M104" i="48"/>
  <c r="M132" i="48"/>
  <c r="M103" i="48"/>
  <c r="M39" i="48"/>
  <c r="Z16" i="34"/>
  <c r="Z114" i="33"/>
  <c r="Z152" i="33" s="1"/>
  <c r="R158" i="39"/>
  <c r="R122" i="38"/>
  <c r="R160" i="38" s="1"/>
  <c r="Z96" i="34" l="1"/>
  <c r="Z110" i="34"/>
  <c r="Z82" i="34"/>
  <c r="AA23" i="33"/>
  <c r="AA102" i="34" s="1"/>
  <c r="Z38" i="34"/>
  <c r="AK88" i="48"/>
  <c r="AK93" i="48" s="1"/>
  <c r="AK139" i="48" s="1"/>
  <c r="R164" i="39"/>
  <c r="AA25" i="33"/>
  <c r="AA130" i="34" s="1"/>
  <c r="AA21" i="33"/>
  <c r="AA74" i="34" s="1"/>
  <c r="Z166" i="34"/>
  <c r="Z152" i="34"/>
  <c r="AA22" i="33"/>
  <c r="AA88" i="34" s="1"/>
  <c r="Z124" i="34"/>
  <c r="R201" i="47"/>
  <c r="R166" i="47"/>
  <c r="R168" i="47" s="1"/>
  <c r="S121" i="38"/>
  <c r="S159" i="38" s="1"/>
  <c r="S144" i="39"/>
  <c r="AA20" i="33"/>
  <c r="Z68" i="34"/>
  <c r="V116" i="46"/>
  <c r="V154" i="46" s="1"/>
  <c r="V74" i="42"/>
  <c r="V80" i="42" s="1"/>
  <c r="R152" i="39"/>
  <c r="Z200" i="47"/>
  <c r="V60" i="42"/>
  <c r="V66" i="42" s="1"/>
  <c r="V115" i="46"/>
  <c r="V153" i="46" s="1"/>
  <c r="P120" i="38"/>
  <c r="P29" i="38"/>
  <c r="P31" i="38" s="1"/>
  <c r="P130" i="39"/>
  <c r="P136" i="39" s="1"/>
  <c r="Z48" i="38"/>
  <c r="Z50" i="38" s="1"/>
  <c r="Z131" i="39"/>
  <c r="Z17" i="39" s="1"/>
  <c r="AA158" i="34"/>
  <c r="U96" i="42"/>
  <c r="V130" i="42"/>
  <c r="V136" i="42" s="1"/>
  <c r="V120" i="46"/>
  <c r="V158" i="46" s="1"/>
  <c r="U110" i="42"/>
  <c r="Z225" i="32"/>
  <c r="U68" i="42"/>
  <c r="O22" i="39"/>
  <c r="O138" i="39"/>
  <c r="Q40" i="42"/>
  <c r="Q22" i="42"/>
  <c r="V114" i="46"/>
  <c r="V152" i="46" s="1"/>
  <c r="V46" i="42"/>
  <c r="V52" i="42" s="1"/>
  <c r="Z48" i="46"/>
  <c r="Z50" i="46" s="1"/>
  <c r="Z33" i="42"/>
  <c r="Z17" i="42" s="1"/>
  <c r="V88" i="42"/>
  <c r="V94" i="42" s="1"/>
  <c r="V117" i="46"/>
  <c r="V155" i="46" s="1"/>
  <c r="U138" i="42"/>
  <c r="V102" i="42"/>
  <c r="V108" i="42" s="1"/>
  <c r="V118" i="46"/>
  <c r="V156" i="46" s="1"/>
  <c r="AA19" i="33"/>
  <c r="Z54" i="34"/>
  <c r="S27" i="38"/>
  <c r="V122" i="46"/>
  <c r="V160" i="46" s="1"/>
  <c r="V158" i="42"/>
  <c r="V164" i="42" s="1"/>
  <c r="Z163" i="37"/>
  <c r="AA18" i="37"/>
  <c r="Z159" i="37"/>
  <c r="Z162" i="37" s="1"/>
  <c r="U166" i="42"/>
  <c r="AA44" i="32"/>
  <c r="AA152" i="32" s="1"/>
  <c r="AA36" i="32"/>
  <c r="AA38" i="32" s="1"/>
  <c r="V116" i="42"/>
  <c r="V122" i="42" s="1"/>
  <c r="V119" i="46"/>
  <c r="V157" i="46" s="1"/>
  <c r="Z124" i="33"/>
  <c r="Z126" i="33" s="1"/>
  <c r="Z151" i="33"/>
  <c r="AA144" i="34"/>
  <c r="U82" i="42"/>
  <c r="Z48" i="37"/>
  <c r="R32" i="42"/>
  <c r="R38" i="42" s="1"/>
  <c r="R29" i="46"/>
  <c r="R31" i="46" s="1"/>
  <c r="R113" i="46"/>
  <c r="U54" i="42"/>
  <c r="AA116" i="34"/>
  <c r="V144" i="42"/>
  <c r="V150" i="42" s="1"/>
  <c r="V121" i="46"/>
  <c r="V159" i="46" s="1"/>
  <c r="U124" i="42"/>
  <c r="S19" i="45"/>
  <c r="R218" i="45"/>
  <c r="R220" i="45" s="1"/>
  <c r="U152" i="42"/>
  <c r="AL81" i="48" l="1"/>
  <c r="AL86" i="48" s="1"/>
  <c r="S150" i="39"/>
  <c r="AK111" i="48"/>
  <c r="N73" i="48"/>
  <c r="A73" i="48" s="1"/>
  <c r="N108" i="48"/>
  <c r="R124" i="46"/>
  <c r="R126" i="46" s="1"/>
  <c r="R151" i="46"/>
  <c r="S158" i="39"/>
  <c r="S122" i="38"/>
  <c r="S160" i="38" s="1"/>
  <c r="W19" i="46"/>
  <c r="V54" i="42"/>
  <c r="N133" i="48"/>
  <c r="N104" i="48"/>
  <c r="N46" i="48"/>
  <c r="A46" i="48" s="1"/>
  <c r="N136" i="48"/>
  <c r="N107" i="48"/>
  <c r="N67" i="48"/>
  <c r="A67" i="48" s="1"/>
  <c r="V68" i="42"/>
  <c r="W20" i="46"/>
  <c r="AK138" i="48"/>
  <c r="AK110" i="48"/>
  <c r="AK87" i="48"/>
  <c r="N105" i="48"/>
  <c r="N134" i="48"/>
  <c r="N53" i="48"/>
  <c r="A53" i="48" s="1"/>
  <c r="AA18" i="33"/>
  <c r="Z162" i="33"/>
  <c r="Z164" i="33" s="1"/>
  <c r="AA170" i="32"/>
  <c r="AA172" i="32" s="1"/>
  <c r="AA205" i="32"/>
  <c r="N139" i="48"/>
  <c r="N94" i="48"/>
  <c r="N111" i="48"/>
  <c r="Q24" i="42"/>
  <c r="J18" i="48"/>
  <c r="J19" i="48" s="1"/>
  <c r="AH137" i="48"/>
  <c r="AH109" i="48"/>
  <c r="AH80" i="48"/>
  <c r="W25" i="46"/>
  <c r="V138" i="42"/>
  <c r="P16" i="39"/>
  <c r="AI13" i="48" s="1"/>
  <c r="AI74" i="48"/>
  <c r="AI79" i="48" s="1"/>
  <c r="AA60" i="34"/>
  <c r="T26" i="38"/>
  <c r="N138" i="48"/>
  <c r="N87" i="48"/>
  <c r="N110" i="48"/>
  <c r="W26" i="46"/>
  <c r="V152" i="42"/>
  <c r="K26" i="48"/>
  <c r="K31" i="48" s="1"/>
  <c r="R16" i="42"/>
  <c r="K13" i="48" s="1"/>
  <c r="Z161" i="37"/>
  <c r="W27" i="46"/>
  <c r="V166" i="42"/>
  <c r="AA46" i="34"/>
  <c r="N137" i="48"/>
  <c r="N80" i="48"/>
  <c r="N109" i="48"/>
  <c r="O24" i="39"/>
  <c r="AH18" i="48"/>
  <c r="AH19" i="48" s="1"/>
  <c r="S36" i="45"/>
  <c r="S38" i="45" s="1"/>
  <c r="S149" i="45"/>
  <c r="N132" i="48"/>
  <c r="N103" i="48"/>
  <c r="N39" i="48"/>
  <c r="A39" i="48" s="1"/>
  <c r="V124" i="42"/>
  <c r="W24" i="46"/>
  <c r="AA62" i="32"/>
  <c r="AA65" i="32" s="1"/>
  <c r="AA45" i="33"/>
  <c r="AA44" i="47"/>
  <c r="AA44" i="33"/>
  <c r="AA43" i="33"/>
  <c r="AA42" i="33"/>
  <c r="AA39" i="33"/>
  <c r="AA61" i="34" s="1"/>
  <c r="AA38" i="33"/>
  <c r="AA47" i="34" s="1"/>
  <c r="AA41" i="33"/>
  <c r="AA40" i="33"/>
  <c r="AA46" i="33"/>
  <c r="AA37" i="33"/>
  <c r="AA36" i="37"/>
  <c r="AA28" i="37"/>
  <c r="AA30" i="37" s="1"/>
  <c r="AK94" i="48"/>
  <c r="R166" i="39"/>
  <c r="V110" i="42"/>
  <c r="W23" i="46"/>
  <c r="V96" i="42"/>
  <c r="W22" i="46"/>
  <c r="J32" i="48"/>
  <c r="J102" i="48"/>
  <c r="J131" i="48"/>
  <c r="N135" i="48"/>
  <c r="N60" i="48"/>
  <c r="A60" i="48" s="1"/>
  <c r="N106" i="48"/>
  <c r="P124" i="38"/>
  <c r="P126" i="38" s="1"/>
  <c r="P158" i="38"/>
  <c r="AA18" i="47"/>
  <c r="V82" i="42"/>
  <c r="W21" i="46"/>
  <c r="S19" i="47"/>
  <c r="R218" i="47"/>
  <c r="R220" i="47" s="1"/>
  <c r="AA52" i="34" l="1"/>
  <c r="AA66" i="34"/>
  <c r="AL88" i="48"/>
  <c r="AL93" i="48" s="1"/>
  <c r="AL139" i="48" s="1"/>
  <c r="S164" i="39"/>
  <c r="W74" i="42"/>
  <c r="W80" i="42" s="1"/>
  <c r="W116" i="46"/>
  <c r="W154" i="46" s="1"/>
  <c r="P162" i="38"/>
  <c r="P164" i="38" s="1"/>
  <c r="Q25" i="38"/>
  <c r="W88" i="42"/>
  <c r="W94" i="42" s="1"/>
  <c r="W117" i="46"/>
  <c r="W155" i="46" s="1"/>
  <c r="AA46" i="37"/>
  <c r="AA49" i="37" s="1"/>
  <c r="AA44" i="38"/>
  <c r="AA45" i="38"/>
  <c r="AA145" i="39" s="1"/>
  <c r="AA46" i="38"/>
  <c r="AA159" i="39" s="1"/>
  <c r="AA33" i="34"/>
  <c r="AA48" i="33"/>
  <c r="AA50" i="33" s="1"/>
  <c r="AA131" i="34"/>
  <c r="AA136" i="34" s="1"/>
  <c r="AA120" i="33"/>
  <c r="AA158" i="33" s="1"/>
  <c r="W116" i="42"/>
  <c r="W122" i="42" s="1"/>
  <c r="W119" i="46"/>
  <c r="W157" i="46" s="1"/>
  <c r="AA114" i="33"/>
  <c r="AA152" i="33" s="1"/>
  <c r="AA115" i="33"/>
  <c r="AA153" i="33" s="1"/>
  <c r="W130" i="42"/>
  <c r="W136" i="42" s="1"/>
  <c r="W120" i="46"/>
  <c r="W158" i="46" s="1"/>
  <c r="W60" i="42"/>
  <c r="W66" i="42" s="1"/>
  <c r="W115" i="46"/>
  <c r="W153" i="46" s="1"/>
  <c r="S18" i="46"/>
  <c r="R162" i="46"/>
  <c r="R164" i="46" s="1"/>
  <c r="AA148" i="47"/>
  <c r="W118" i="46"/>
  <c r="W156" i="46" s="1"/>
  <c r="W102" i="42"/>
  <c r="W108" i="42" s="1"/>
  <c r="AA112" i="37"/>
  <c r="AA159" i="34"/>
  <c r="AA164" i="34" s="1"/>
  <c r="AA122" i="33"/>
  <c r="AA160" i="33" s="1"/>
  <c r="AA62" i="47"/>
  <c r="AA64" i="47" s="1"/>
  <c r="AA45" i="46"/>
  <c r="AA145" i="42" s="1"/>
  <c r="AA44" i="46"/>
  <c r="AA131" i="42" s="1"/>
  <c r="AA43" i="46"/>
  <c r="AA117" i="42" s="1"/>
  <c r="AA42" i="46"/>
  <c r="AA103" i="42" s="1"/>
  <c r="AA39" i="46"/>
  <c r="AA61" i="42" s="1"/>
  <c r="AA38" i="46"/>
  <c r="AA47" i="42" s="1"/>
  <c r="AA41" i="46"/>
  <c r="AA89" i="42" s="1"/>
  <c r="AA40" i="46"/>
  <c r="AA75" i="42" s="1"/>
  <c r="AA46" i="46"/>
  <c r="AA159" i="42" s="1"/>
  <c r="AA37" i="46"/>
  <c r="S201" i="45"/>
  <c r="S166" i="45"/>
  <c r="S168" i="45" s="1"/>
  <c r="W144" i="42"/>
  <c r="W150" i="42" s="1"/>
  <c r="W121" i="46"/>
  <c r="W159" i="46" s="1"/>
  <c r="S152" i="39"/>
  <c r="AA227" i="32"/>
  <c r="AA223" i="32"/>
  <c r="AA226" i="32" s="1"/>
  <c r="AB18" i="32"/>
  <c r="AA113" i="33"/>
  <c r="AA32" i="34"/>
  <c r="AA29" i="33"/>
  <c r="AA31" i="33" s="1"/>
  <c r="W114" i="46"/>
  <c r="W152" i="46" s="1"/>
  <c r="W46" i="42"/>
  <c r="W52" i="42" s="1"/>
  <c r="S149" i="47"/>
  <c r="S36" i="47"/>
  <c r="S38" i="47" s="1"/>
  <c r="AA75" i="34"/>
  <c r="AA80" i="34" s="1"/>
  <c r="AA116" i="33"/>
  <c r="AA154" i="33" s="1"/>
  <c r="AA103" i="34"/>
  <c r="AA108" i="34" s="1"/>
  <c r="AA118" i="33"/>
  <c r="AA156" i="33" s="1"/>
  <c r="AA145" i="34"/>
  <c r="AA150" i="34" s="1"/>
  <c r="AA121" i="33"/>
  <c r="AA159" i="33" s="1"/>
  <c r="T144" i="39"/>
  <c r="T121" i="38"/>
  <c r="T159" i="38" s="1"/>
  <c r="T27" i="38"/>
  <c r="AA89" i="34"/>
  <c r="AA94" i="34" s="1"/>
  <c r="AA117" i="33"/>
  <c r="AA155" i="33" s="1"/>
  <c r="AA117" i="34"/>
  <c r="AA122" i="34" s="1"/>
  <c r="AA119" i="33"/>
  <c r="AA157" i="33" s="1"/>
  <c r="AA64" i="32"/>
  <c r="W158" i="42"/>
  <c r="W164" i="42" s="1"/>
  <c r="W122" i="46"/>
  <c r="W160" i="46" s="1"/>
  <c r="Z22" i="34"/>
  <c r="Z24" i="34" s="1"/>
  <c r="Z40" i="34"/>
  <c r="AA16" i="34" l="1"/>
  <c r="AA38" i="34"/>
  <c r="AM81" i="48"/>
  <c r="AM86" i="48" s="1"/>
  <c r="T150" i="39"/>
  <c r="AL111" i="48"/>
  <c r="AB23" i="33"/>
  <c r="AA110" i="34"/>
  <c r="AA225" i="32"/>
  <c r="W152" i="42"/>
  <c r="X26" i="46"/>
  <c r="AA33" i="42"/>
  <c r="AA17" i="42" s="1"/>
  <c r="AA48" i="46"/>
  <c r="AA50" i="46" s="1"/>
  <c r="AA200" i="47"/>
  <c r="S32" i="42"/>
  <c r="S38" i="42" s="1"/>
  <c r="S113" i="46"/>
  <c r="S29" i="46"/>
  <c r="S31" i="46" s="1"/>
  <c r="AA17" i="34"/>
  <c r="AA48" i="37"/>
  <c r="P138" i="39"/>
  <c r="P22" i="39"/>
  <c r="AA124" i="34"/>
  <c r="AB24" i="33"/>
  <c r="T122" i="38"/>
  <c r="T160" i="38" s="1"/>
  <c r="T158" i="39"/>
  <c r="AA149" i="37"/>
  <c r="AA122" i="37"/>
  <c r="AA124" i="37" s="1"/>
  <c r="W68" i="42"/>
  <c r="X20" i="46"/>
  <c r="AB20" i="33"/>
  <c r="AA68" i="34"/>
  <c r="AB25" i="33"/>
  <c r="AA138" i="34"/>
  <c r="X22" i="46"/>
  <c r="W96" i="42"/>
  <c r="W166" i="42"/>
  <c r="X27" i="46"/>
  <c r="S201" i="47"/>
  <c r="S166" i="47"/>
  <c r="S168" i="47" s="1"/>
  <c r="AL94" i="48"/>
  <c r="S166" i="39"/>
  <c r="AB26" i="33"/>
  <c r="AA152" i="34"/>
  <c r="AA82" i="34"/>
  <c r="AB21" i="33"/>
  <c r="AA124" i="33"/>
  <c r="AA126" i="33" s="1"/>
  <c r="AA151" i="33"/>
  <c r="AL138" i="48"/>
  <c r="AL110" i="48"/>
  <c r="AL87" i="48"/>
  <c r="AB19" i="33"/>
  <c r="AA54" i="34"/>
  <c r="W82" i="42"/>
  <c r="X21" i="46"/>
  <c r="AA96" i="34"/>
  <c r="AB22" i="33"/>
  <c r="U26" i="38"/>
  <c r="W54" i="42"/>
  <c r="X19" i="46"/>
  <c r="AB44" i="32"/>
  <c r="AB36" i="32"/>
  <c r="AB38" i="32" s="1"/>
  <c r="A38" i="32" s="1"/>
  <c r="T19" i="45"/>
  <c r="S218" i="45"/>
  <c r="S220" i="45" s="1"/>
  <c r="AA166" i="34"/>
  <c r="AB27" i="33"/>
  <c r="X23" i="46"/>
  <c r="W110" i="42"/>
  <c r="R40" i="42"/>
  <c r="R22" i="42"/>
  <c r="X25" i="46"/>
  <c r="W138" i="42"/>
  <c r="W124" i="42"/>
  <c r="X24" i="46"/>
  <c r="AA48" i="38"/>
  <c r="AA50" i="38" s="1"/>
  <c r="AA131" i="39"/>
  <c r="AA17" i="39" s="1"/>
  <c r="Q120" i="38"/>
  <c r="Q29" i="38"/>
  <c r="Q31" i="38" s="1"/>
  <c r="Q130" i="39"/>
  <c r="Q136" i="39" s="1"/>
  <c r="AM88" i="48" l="1"/>
  <c r="AM93" i="48" s="1"/>
  <c r="AM139" i="48" s="1"/>
  <c r="T164" i="39"/>
  <c r="U144" i="39"/>
  <c r="U121" i="38"/>
  <c r="U159" i="38" s="1"/>
  <c r="X74" i="42"/>
  <c r="X80" i="42" s="1"/>
  <c r="X116" i="46"/>
  <c r="X154" i="46" s="1"/>
  <c r="AB144" i="34"/>
  <c r="T19" i="47"/>
  <c r="S218" i="47"/>
  <c r="S220" i="47" s="1"/>
  <c r="X117" i="46"/>
  <c r="X155" i="46" s="1"/>
  <c r="X88" i="42"/>
  <c r="X94" i="42" s="1"/>
  <c r="AB60" i="34"/>
  <c r="AA163" i="37"/>
  <c r="AB18" i="37"/>
  <c r="AA159" i="37"/>
  <c r="AA162" i="37" s="1"/>
  <c r="S151" i="46"/>
  <c r="S124" i="46"/>
  <c r="S126" i="46" s="1"/>
  <c r="Q16" i="39"/>
  <c r="AJ13" i="48" s="1"/>
  <c r="AJ74" i="48"/>
  <c r="AJ79" i="48" s="1"/>
  <c r="X130" i="42"/>
  <c r="X136" i="42" s="1"/>
  <c r="X120" i="46"/>
  <c r="X158" i="46" s="1"/>
  <c r="AB45" i="33"/>
  <c r="AB145" i="34" s="1"/>
  <c r="AB62" i="32"/>
  <c r="AB65" i="32" s="1"/>
  <c r="AB44" i="47"/>
  <c r="AB44" i="33"/>
  <c r="AB131" i="34" s="1"/>
  <c r="AB43" i="33"/>
  <c r="AB117" i="34" s="1"/>
  <c r="AB42" i="33"/>
  <c r="AB103" i="34" s="1"/>
  <c r="AB39" i="33"/>
  <c r="AB61" i="34" s="1"/>
  <c r="AB38" i="33"/>
  <c r="AB47" i="34" s="1"/>
  <c r="AB40" i="33"/>
  <c r="AB75" i="34" s="1"/>
  <c r="AB41" i="33"/>
  <c r="AB89" i="34" s="1"/>
  <c r="AB46" i="33"/>
  <c r="AB159" i="34" s="1"/>
  <c r="AB37" i="33"/>
  <c r="AB74" i="34"/>
  <c r="X122" i="46"/>
  <c r="X160" i="46" s="1"/>
  <c r="X158" i="42"/>
  <c r="X164" i="42" s="1"/>
  <c r="X60" i="42"/>
  <c r="X66" i="42" s="1"/>
  <c r="X115" i="46"/>
  <c r="X153" i="46" s="1"/>
  <c r="AI137" i="48"/>
  <c r="AI109" i="48"/>
  <c r="AI80" i="48"/>
  <c r="S16" i="42"/>
  <c r="L13" i="48" s="1"/>
  <c r="L26" i="48"/>
  <c r="L31" i="48" s="1"/>
  <c r="T152" i="39"/>
  <c r="X116" i="42"/>
  <c r="X122" i="42" s="1"/>
  <c r="X119" i="46"/>
  <c r="X157" i="46" s="1"/>
  <c r="K102" i="48"/>
  <c r="K32" i="48"/>
  <c r="K131" i="48"/>
  <c r="X102" i="42"/>
  <c r="X108" i="42" s="1"/>
  <c r="X118" i="46"/>
  <c r="X156" i="46" s="1"/>
  <c r="T36" i="45"/>
  <c r="T38" i="45" s="1"/>
  <c r="T149" i="45"/>
  <c r="X114" i="46"/>
  <c r="X152" i="46" s="1"/>
  <c r="X46" i="42"/>
  <c r="X52" i="42" s="1"/>
  <c r="AB88" i="34"/>
  <c r="AB130" i="34"/>
  <c r="U27" i="38"/>
  <c r="AI18" i="48"/>
  <c r="AI19" i="48" s="1"/>
  <c r="P24" i="39"/>
  <c r="X144" i="42"/>
  <c r="X150" i="42" s="1"/>
  <c r="X121" i="46"/>
  <c r="X159" i="46" s="1"/>
  <c r="Q158" i="38"/>
  <c r="Q124" i="38"/>
  <c r="Q126" i="38" s="1"/>
  <c r="R24" i="42"/>
  <c r="K18" i="48"/>
  <c r="K19" i="48" s="1"/>
  <c r="AB158" i="34"/>
  <c r="AB152" i="32"/>
  <c r="AB46" i="34"/>
  <c r="AA162" i="33"/>
  <c r="AA164" i="33" s="1"/>
  <c r="AB18" i="33"/>
  <c r="AB116" i="34"/>
  <c r="AB18" i="47"/>
  <c r="AB102" i="34"/>
  <c r="AB136" i="34" l="1"/>
  <c r="AB108" i="34"/>
  <c r="AB52" i="34"/>
  <c r="AB164" i="34"/>
  <c r="AB150" i="34"/>
  <c r="AB80" i="34"/>
  <c r="AB122" i="34"/>
  <c r="AB94" i="34"/>
  <c r="AB66" i="34"/>
  <c r="AN81" i="48"/>
  <c r="AN86" i="48" s="1"/>
  <c r="U150" i="39"/>
  <c r="AM111" i="48"/>
  <c r="AB114" i="33"/>
  <c r="AB152" i="33" s="1"/>
  <c r="AB118" i="33"/>
  <c r="AB156" i="33" s="1"/>
  <c r="AB110" i="34" s="1"/>
  <c r="A110" i="34" s="1"/>
  <c r="AB122" i="33"/>
  <c r="AB160" i="33" s="1"/>
  <c r="AB166" i="34" s="1"/>
  <c r="A166" i="34" s="1"/>
  <c r="AB117" i="33"/>
  <c r="AB155" i="33" s="1"/>
  <c r="AB96" i="34" s="1"/>
  <c r="A96" i="34" s="1"/>
  <c r="AB120" i="33"/>
  <c r="AB158" i="33" s="1"/>
  <c r="AB138" i="34" s="1"/>
  <c r="A138" i="34" s="1"/>
  <c r="AB119" i="33"/>
  <c r="AB157" i="33" s="1"/>
  <c r="AB116" i="33"/>
  <c r="AB154" i="33" s="1"/>
  <c r="AA40" i="34"/>
  <c r="AA22" i="34"/>
  <c r="AA24" i="34" s="1"/>
  <c r="AB205" i="32"/>
  <c r="AB170" i="32"/>
  <c r="AB172" i="32" s="1"/>
  <c r="A172" i="32" s="1"/>
  <c r="U158" i="39"/>
  <c r="U122" i="38"/>
  <c r="U160" i="38" s="1"/>
  <c r="AB28" i="37"/>
  <c r="AB30" i="37" s="1"/>
  <c r="A30" i="37" s="1"/>
  <c r="AB36" i="37"/>
  <c r="AB121" i="33"/>
  <c r="AB159" i="33" s="1"/>
  <c r="Y23" i="46"/>
  <c r="X110" i="42"/>
  <c r="AM138" i="48"/>
  <c r="AM110" i="48"/>
  <c r="AM87" i="48"/>
  <c r="AB48" i="33"/>
  <c r="AB50" i="33" s="1"/>
  <c r="A50" i="33" s="1"/>
  <c r="AB33" i="34"/>
  <c r="AB17" i="34" s="1"/>
  <c r="X138" i="42"/>
  <c r="Y25" i="46"/>
  <c r="X96" i="42"/>
  <c r="Y22" i="46"/>
  <c r="V26" i="38"/>
  <c r="R25" i="38"/>
  <c r="Q162" i="38"/>
  <c r="Q164" i="38" s="1"/>
  <c r="X54" i="42"/>
  <c r="Y19" i="46"/>
  <c r="X124" i="42"/>
  <c r="Y24" i="46"/>
  <c r="X166" i="42"/>
  <c r="Y27" i="46"/>
  <c r="AB45" i="46"/>
  <c r="AB145" i="42" s="1"/>
  <c r="AB43" i="46"/>
  <c r="AB117" i="42" s="1"/>
  <c r="AB62" i="47"/>
  <c r="AB64" i="47" s="1"/>
  <c r="A64" i="47" s="1"/>
  <c r="AB44" i="46"/>
  <c r="AB131" i="42" s="1"/>
  <c r="AB42" i="46"/>
  <c r="AB103" i="42" s="1"/>
  <c r="AB39" i="46"/>
  <c r="AB61" i="42" s="1"/>
  <c r="AB38" i="46"/>
  <c r="AB47" i="42" s="1"/>
  <c r="AB40" i="46"/>
  <c r="AB75" i="42" s="1"/>
  <c r="AB41" i="46"/>
  <c r="AB89" i="42" s="1"/>
  <c r="AB46" i="46"/>
  <c r="AB159" i="42" s="1"/>
  <c r="AB37" i="46"/>
  <c r="T18" i="46"/>
  <c r="S162" i="46"/>
  <c r="S164" i="46" s="1"/>
  <c r="AB148" i="47"/>
  <c r="AB32" i="34"/>
  <c r="AB113" i="33"/>
  <c r="AB29" i="33"/>
  <c r="AB31" i="33" s="1"/>
  <c r="A31" i="33" s="1"/>
  <c r="X152" i="42"/>
  <c r="Y26" i="46"/>
  <c r="T166" i="39"/>
  <c r="AM94" i="48"/>
  <c r="T201" i="45"/>
  <c r="T166" i="45"/>
  <c r="T168" i="45" s="1"/>
  <c r="X68" i="42"/>
  <c r="Y20" i="46"/>
  <c r="A65" i="32"/>
  <c r="AB64" i="32"/>
  <c r="A64" i="32" s="1"/>
  <c r="AA161" i="37"/>
  <c r="AB115" i="33"/>
  <c r="AB153" i="33" s="1"/>
  <c r="T149" i="47"/>
  <c r="T36" i="47"/>
  <c r="T38" i="47" s="1"/>
  <c r="X82" i="42"/>
  <c r="Y21" i="46"/>
  <c r="AB54" i="34" l="1"/>
  <c r="A54" i="34" s="1"/>
  <c r="AB68" i="34"/>
  <c r="A68" i="34" s="1"/>
  <c r="AB82" i="34"/>
  <c r="A82" i="34" s="1"/>
  <c r="AB152" i="34"/>
  <c r="A152" i="34" s="1"/>
  <c r="AB124" i="34"/>
  <c r="A124" i="34" s="1"/>
  <c r="AN88" i="48"/>
  <c r="AN93" i="48" s="1"/>
  <c r="AN139" i="48" s="1"/>
  <c r="U164" i="39"/>
  <c r="AB16" i="34"/>
  <c r="AB38" i="34"/>
  <c r="Y116" i="46"/>
  <c r="Y154" i="46" s="1"/>
  <c r="Y74" i="42"/>
  <c r="Y80" i="42" s="1"/>
  <c r="U19" i="45"/>
  <c r="T218" i="45"/>
  <c r="T220" i="45" s="1"/>
  <c r="S22" i="42"/>
  <c r="S40" i="42"/>
  <c r="Y158" i="42"/>
  <c r="Y164" i="42" s="1"/>
  <c r="Y122" i="46"/>
  <c r="Y160" i="46" s="1"/>
  <c r="Y114" i="46"/>
  <c r="Y152" i="46" s="1"/>
  <c r="Y46" i="42"/>
  <c r="Y52" i="42" s="1"/>
  <c r="R29" i="38"/>
  <c r="R31" i="38" s="1"/>
  <c r="R130" i="39"/>
  <c r="R136" i="39" s="1"/>
  <c r="R120" i="38"/>
  <c r="T201" i="47"/>
  <c r="T166" i="47"/>
  <c r="T168" i="47" s="1"/>
  <c r="Y115" i="46"/>
  <c r="Y153" i="46" s="1"/>
  <c r="Y60" i="42"/>
  <c r="Y66" i="42" s="1"/>
  <c r="AB200" i="47"/>
  <c r="AB48" i="46"/>
  <c r="AB50" i="46" s="1"/>
  <c r="A50" i="46" s="1"/>
  <c r="AB33" i="42"/>
  <c r="AB17" i="42" s="1"/>
  <c r="U152" i="39"/>
  <c r="Y130" i="42"/>
  <c r="Y136" i="42" s="1"/>
  <c r="Y120" i="46"/>
  <c r="Y158" i="46" s="1"/>
  <c r="Y102" i="42"/>
  <c r="Y108" i="42" s="1"/>
  <c r="Y118" i="46"/>
  <c r="Y156" i="46" s="1"/>
  <c r="AB223" i="32"/>
  <c r="AB226" i="32" s="1"/>
  <c r="AB227" i="32"/>
  <c r="A227" i="32" s="1"/>
  <c r="AB124" i="33"/>
  <c r="AB126" i="33" s="1"/>
  <c r="A126" i="33" s="1"/>
  <c r="AB151" i="33"/>
  <c r="Y116" i="42"/>
  <c r="Y122" i="42" s="1"/>
  <c r="Y119" i="46"/>
  <c r="Y157" i="46" s="1"/>
  <c r="Q22" i="39"/>
  <c r="Q138" i="39"/>
  <c r="V121" i="38"/>
  <c r="V159" i="38" s="1"/>
  <c r="V144" i="39"/>
  <c r="V150" i="39" s="1"/>
  <c r="V27" i="38"/>
  <c r="Y144" i="42"/>
  <c r="Y150" i="42" s="1"/>
  <c r="Y121" i="46"/>
  <c r="Y159" i="46" s="1"/>
  <c r="T29" i="46"/>
  <c r="T31" i="46" s="1"/>
  <c r="T32" i="42"/>
  <c r="T38" i="42" s="1"/>
  <c r="T113" i="46"/>
  <c r="Y88" i="42"/>
  <c r="Y94" i="42" s="1"/>
  <c r="Y117" i="46"/>
  <c r="Y155" i="46" s="1"/>
  <c r="AB112" i="37"/>
  <c r="AB46" i="37"/>
  <c r="AB49" i="37" s="1"/>
  <c r="AB44" i="38"/>
  <c r="AB45" i="38"/>
  <c r="AB145" i="39" s="1"/>
  <c r="AB46" i="38"/>
  <c r="AB159" i="39" s="1"/>
  <c r="AN111" i="48" l="1"/>
  <c r="A49" i="37"/>
  <c r="AB48" i="37"/>
  <c r="A48" i="37" s="1"/>
  <c r="T124" i="46"/>
  <c r="T126" i="46" s="1"/>
  <c r="T151" i="46"/>
  <c r="AJ18" i="48"/>
  <c r="AJ19" i="48" s="1"/>
  <c r="Q24" i="39"/>
  <c r="AB149" i="37"/>
  <c r="AB122" i="37"/>
  <c r="AB124" i="37" s="1"/>
  <c r="A124" i="37" s="1"/>
  <c r="V152" i="39"/>
  <c r="W26" i="38"/>
  <c r="Y124" i="42"/>
  <c r="Z24" i="46"/>
  <c r="AN138" i="48"/>
  <c r="AN87" i="48"/>
  <c r="A87" i="48" s="1"/>
  <c r="AN110" i="48"/>
  <c r="U19" i="47"/>
  <c r="T218" i="47"/>
  <c r="T220" i="47" s="1"/>
  <c r="U36" i="45"/>
  <c r="U38" i="45" s="1"/>
  <c r="U149" i="45"/>
  <c r="M26" i="48"/>
  <c r="M31" i="48" s="1"/>
  <c r="T16" i="42"/>
  <c r="M13" i="48" s="1"/>
  <c r="Y96" i="42"/>
  <c r="Z22" i="46"/>
  <c r="V158" i="39"/>
  <c r="V164" i="39" s="1"/>
  <c r="V122" i="38"/>
  <c r="V160" i="38" s="1"/>
  <c r="A226" i="32"/>
  <c r="AB225" i="32"/>
  <c r="A225" i="32" s="1"/>
  <c r="Z25" i="46"/>
  <c r="Y138" i="42"/>
  <c r="R124" i="38"/>
  <c r="R126" i="38" s="1"/>
  <c r="R158" i="38"/>
  <c r="Y54" i="42"/>
  <c r="Z19" i="46"/>
  <c r="L32" i="48"/>
  <c r="L102" i="48"/>
  <c r="L131" i="48"/>
  <c r="AB131" i="39"/>
  <c r="AB17" i="39" s="1"/>
  <c r="AB48" i="38"/>
  <c r="AB50" i="38" s="1"/>
  <c r="A50" i="38" s="1"/>
  <c r="Z26" i="46"/>
  <c r="Y152" i="42"/>
  <c r="U166" i="39"/>
  <c r="AN94" i="48"/>
  <c r="AJ137" i="48"/>
  <c r="AJ80" i="48"/>
  <c r="AJ109" i="48"/>
  <c r="AB162" i="33"/>
  <c r="AB164" i="33" s="1"/>
  <c r="A164" i="33" s="1"/>
  <c r="A1" i="33" s="1"/>
  <c r="H26" i="25" s="1"/>
  <c r="Z23" i="46"/>
  <c r="Y110" i="42"/>
  <c r="Y68" i="42"/>
  <c r="Z20" i="46"/>
  <c r="R16" i="39"/>
  <c r="AK13" i="48" s="1"/>
  <c r="AK74" i="48"/>
  <c r="AK79" i="48" s="1"/>
  <c r="Z27" i="46"/>
  <c r="Y166" i="42"/>
  <c r="L18" i="48"/>
  <c r="L19" i="48" s="1"/>
  <c r="S24" i="42"/>
  <c r="Y82" i="42"/>
  <c r="Z21" i="46"/>
  <c r="Z118" i="46" l="1"/>
  <c r="Z156" i="46" s="1"/>
  <c r="Z102" i="42"/>
  <c r="Z108" i="42" s="1"/>
  <c r="Z116" i="46"/>
  <c r="Z154" i="46" s="1"/>
  <c r="Z74" i="42"/>
  <c r="Z80" i="42" s="1"/>
  <c r="Z115" i="46"/>
  <c r="Z153" i="46" s="1"/>
  <c r="Z60" i="42"/>
  <c r="Z66" i="42" s="1"/>
  <c r="AB40" i="34"/>
  <c r="A40" i="34" s="1"/>
  <c r="AB22" i="34"/>
  <c r="AB24" i="34" s="1"/>
  <c r="A24" i="34" s="1"/>
  <c r="Z144" i="42"/>
  <c r="Z150" i="42" s="1"/>
  <c r="Z121" i="46"/>
  <c r="Z159" i="46" s="1"/>
  <c r="S25" i="38"/>
  <c r="R162" i="38"/>
  <c r="R164" i="38" s="1"/>
  <c r="A1" i="32"/>
  <c r="H17" i="25" s="1"/>
  <c r="Z117" i="46"/>
  <c r="Z155" i="46" s="1"/>
  <c r="Z88" i="42"/>
  <c r="Z94" i="42" s="1"/>
  <c r="U166" i="45"/>
  <c r="U168" i="45" s="1"/>
  <c r="U201" i="45"/>
  <c r="AB159" i="37"/>
  <c r="AB162" i="37" s="1"/>
  <c r="AB163" i="37"/>
  <c r="A163" i="37" s="1"/>
  <c r="T162" i="46"/>
  <c r="T164" i="46" s="1"/>
  <c r="U18" i="46"/>
  <c r="W121" i="38"/>
  <c r="W159" i="38" s="1"/>
  <c r="W144" i="39"/>
  <c r="W150" i="39" s="1"/>
  <c r="Z46" i="42"/>
  <c r="Z52" i="42" s="1"/>
  <c r="Z114" i="46"/>
  <c r="Z152" i="46" s="1"/>
  <c r="W27" i="38"/>
  <c r="V166" i="39"/>
  <c r="Z122" i="46"/>
  <c r="Z160" i="46" s="1"/>
  <c r="Z158" i="42"/>
  <c r="Z164" i="42" s="1"/>
  <c r="Z130" i="42"/>
  <c r="Z136" i="42" s="1"/>
  <c r="Z120" i="46"/>
  <c r="Z158" i="46" s="1"/>
  <c r="U149" i="47"/>
  <c r="U36" i="47"/>
  <c r="U38" i="47" s="1"/>
  <c r="Z116" i="42"/>
  <c r="Z122" i="42" s="1"/>
  <c r="Z119" i="46"/>
  <c r="Z157" i="46" s="1"/>
  <c r="A1" i="34" l="1"/>
  <c r="H28" i="25" s="1"/>
  <c r="S120" i="38"/>
  <c r="S130" i="39"/>
  <c r="S136" i="39" s="1"/>
  <c r="S29" i="38"/>
  <c r="S31" i="38" s="1"/>
  <c r="U201" i="47"/>
  <c r="U166" i="47"/>
  <c r="U168" i="47" s="1"/>
  <c r="Z54" i="42"/>
  <c r="AA19" i="46"/>
  <c r="U113" i="46"/>
  <c r="U29" i="46"/>
  <c r="U31" i="46" s="1"/>
  <c r="U32" i="42"/>
  <c r="U38" i="42" s="1"/>
  <c r="A162" i="37"/>
  <c r="AB161" i="37"/>
  <c r="A161" i="37" s="1"/>
  <c r="Z96" i="42"/>
  <c r="AA22" i="46"/>
  <c r="R138" i="39"/>
  <c r="R22" i="39"/>
  <c r="Z82" i="42"/>
  <c r="AA21" i="46"/>
  <c r="W122" i="38"/>
  <c r="W160" i="38" s="1"/>
  <c r="W158" i="39"/>
  <c r="W164" i="39" s="1"/>
  <c r="Z124" i="42"/>
  <c r="AA24" i="46"/>
  <c r="AA25" i="46"/>
  <c r="Z138" i="42"/>
  <c r="Z166" i="42"/>
  <c r="AA27" i="46"/>
  <c r="V19" i="45"/>
  <c r="U218" i="45"/>
  <c r="U220" i="45" s="1"/>
  <c r="Z152" i="42"/>
  <c r="AA26" i="46"/>
  <c r="X26" i="38"/>
  <c r="W152" i="39"/>
  <c r="T40" i="42"/>
  <c r="T22" i="42"/>
  <c r="Z68" i="42"/>
  <c r="AA20" i="46"/>
  <c r="AA23" i="46"/>
  <c r="Z110" i="42"/>
  <c r="A1" i="37" l="1"/>
  <c r="H18" i="25" s="1"/>
  <c r="M131" i="48"/>
  <c r="M102" i="48"/>
  <c r="M32" i="48"/>
  <c r="R24" i="39"/>
  <c r="AK18" i="48"/>
  <c r="AK19" i="48" s="1"/>
  <c r="U124" i="46"/>
  <c r="U126" i="46" s="1"/>
  <c r="U151" i="46"/>
  <c r="V19" i="47"/>
  <c r="U218" i="47"/>
  <c r="U220" i="47" s="1"/>
  <c r="X144" i="39"/>
  <c r="X150" i="39" s="1"/>
  <c r="X121" i="38"/>
  <c r="X159" i="38" s="1"/>
  <c r="W166" i="39"/>
  <c r="X27" i="38"/>
  <c r="AA102" i="42"/>
  <c r="AA108" i="42" s="1"/>
  <c r="AA118" i="46"/>
  <c r="AA156" i="46" s="1"/>
  <c r="AA144" i="42"/>
  <c r="AA150" i="42" s="1"/>
  <c r="AA121" i="46"/>
  <c r="AA159" i="46" s="1"/>
  <c r="AA116" i="42"/>
  <c r="AA122" i="42" s="1"/>
  <c r="AA119" i="46"/>
  <c r="AA157" i="46" s="1"/>
  <c r="AA116" i="46"/>
  <c r="AA154" i="46" s="1"/>
  <c r="AA74" i="42"/>
  <c r="AA80" i="42" s="1"/>
  <c r="AA114" i="46"/>
  <c r="AA152" i="46" s="1"/>
  <c r="AA46" i="42"/>
  <c r="AA52" i="42" s="1"/>
  <c r="V36" i="45"/>
  <c r="V38" i="45" s="1"/>
  <c r="V149" i="45"/>
  <c r="AA130" i="42"/>
  <c r="AA136" i="42" s="1"/>
  <c r="AA120" i="46"/>
  <c r="AA158" i="46" s="1"/>
  <c r="T24" i="42"/>
  <c r="M18" i="48"/>
  <c r="M19" i="48" s="1"/>
  <c r="AA158" i="42"/>
  <c r="AA164" i="42" s="1"/>
  <c r="AA122" i="46"/>
  <c r="AA160" i="46" s="1"/>
  <c r="AA60" i="42"/>
  <c r="AA66" i="42" s="1"/>
  <c r="AA115" i="46"/>
  <c r="AA153" i="46" s="1"/>
  <c r="AA88" i="42"/>
  <c r="AA94" i="42" s="1"/>
  <c r="AA117" i="46"/>
  <c r="AA155" i="46" s="1"/>
  <c r="N26" i="48"/>
  <c r="N31" i="48" s="1"/>
  <c r="U16" i="42"/>
  <c r="N13" i="48" s="1"/>
  <c r="AL74" i="48"/>
  <c r="AL79" i="48" s="1"/>
  <c r="S16" i="39"/>
  <c r="AL13" i="48" s="1"/>
  <c r="AK137" i="48"/>
  <c r="AK109" i="48"/>
  <c r="AK80" i="48"/>
  <c r="S158" i="38"/>
  <c r="S124" i="38"/>
  <c r="S126" i="38" s="1"/>
  <c r="AA152" i="42" l="1"/>
  <c r="AB26" i="46"/>
  <c r="AA82" i="42"/>
  <c r="AB21" i="46"/>
  <c r="V149" i="47"/>
  <c r="V36" i="47"/>
  <c r="V38" i="47" s="1"/>
  <c r="AB25" i="46"/>
  <c r="AA138" i="42"/>
  <c r="AB23" i="46"/>
  <c r="AA110" i="42"/>
  <c r="X152" i="39"/>
  <c r="Y26" i="38"/>
  <c r="U162" i="46"/>
  <c r="U164" i="46" s="1"/>
  <c r="V18" i="46"/>
  <c r="AA68" i="42"/>
  <c r="AB20" i="46"/>
  <c r="T25" i="38"/>
  <c r="S162" i="38"/>
  <c r="S164" i="38" s="1"/>
  <c r="AA96" i="42"/>
  <c r="AB22" i="46"/>
  <c r="AA166" i="42"/>
  <c r="AB27" i="46"/>
  <c r="AA124" i="42"/>
  <c r="AB24" i="46"/>
  <c r="AA54" i="42"/>
  <c r="AB19" i="46"/>
  <c r="V201" i="45"/>
  <c r="V166" i="45"/>
  <c r="V168" i="45" s="1"/>
  <c r="X158" i="39"/>
  <c r="X164" i="39" s="1"/>
  <c r="X122" i="38"/>
  <c r="X160" i="38" s="1"/>
  <c r="AB102" i="42" l="1"/>
  <c r="AB108" i="42" s="1"/>
  <c r="AB118" i="46"/>
  <c r="AB156" i="46" s="1"/>
  <c r="V201" i="47"/>
  <c r="V166" i="47"/>
  <c r="V168" i="47" s="1"/>
  <c r="X166" i="39"/>
  <c r="Y27" i="38"/>
  <c r="AB114" i="46"/>
  <c r="AB152" i="46" s="1"/>
  <c r="AB46" i="42"/>
  <c r="AB52" i="42" s="1"/>
  <c r="AB158" i="42"/>
  <c r="AB164" i="42" s="1"/>
  <c r="AB122" i="46"/>
  <c r="AB160" i="46" s="1"/>
  <c r="Y144" i="39"/>
  <c r="Y150" i="39" s="1"/>
  <c r="Y121" i="38"/>
  <c r="Y159" i="38" s="1"/>
  <c r="AB74" i="42"/>
  <c r="AB80" i="42" s="1"/>
  <c r="AB116" i="46"/>
  <c r="AB154" i="46" s="1"/>
  <c r="V218" i="45"/>
  <c r="V220" i="45" s="1"/>
  <c r="W19" i="45"/>
  <c r="AB60" i="42"/>
  <c r="AB66" i="42" s="1"/>
  <c r="AB115" i="46"/>
  <c r="AB153" i="46" s="1"/>
  <c r="S138" i="39"/>
  <c r="S22" i="39"/>
  <c r="U40" i="42"/>
  <c r="U22" i="42"/>
  <c r="AB130" i="42"/>
  <c r="AB136" i="42" s="1"/>
  <c r="AB120" i="46"/>
  <c r="AB158" i="46" s="1"/>
  <c r="AB116" i="42"/>
  <c r="AB122" i="42" s="1"/>
  <c r="AB119" i="46"/>
  <c r="AB157" i="46" s="1"/>
  <c r="AB88" i="42"/>
  <c r="AB94" i="42" s="1"/>
  <c r="AB117" i="46"/>
  <c r="AB155" i="46" s="1"/>
  <c r="T29" i="38"/>
  <c r="T31" i="38" s="1"/>
  <c r="T120" i="38"/>
  <c r="T130" i="39"/>
  <c r="T136" i="39" s="1"/>
  <c r="V29" i="46"/>
  <c r="V31" i="46" s="1"/>
  <c r="V113" i="46"/>
  <c r="V32" i="42"/>
  <c r="AB144" i="42"/>
  <c r="AB150" i="42" s="1"/>
  <c r="AB121" i="46"/>
  <c r="AB159" i="46" s="1"/>
  <c r="AB82" i="42" l="1"/>
  <c r="A82" i="42" s="1"/>
  <c r="AB124" i="42"/>
  <c r="A124" i="42" s="1"/>
  <c r="AB68" i="42"/>
  <c r="A68" i="42" s="1"/>
  <c r="AB166" i="42"/>
  <c r="A166" i="42" s="1"/>
  <c r="AB110" i="42"/>
  <c r="A110" i="42" s="1"/>
  <c r="AB152" i="42"/>
  <c r="A152" i="42" s="1"/>
  <c r="AB96" i="42"/>
  <c r="A96" i="42" s="1"/>
  <c r="AB138" i="42"/>
  <c r="A138" i="42" s="1"/>
  <c r="AB54" i="42"/>
  <c r="A54" i="42" s="1"/>
  <c r="V16" i="42"/>
  <c r="V38" i="42"/>
  <c r="T124" i="38"/>
  <c r="T126" i="38" s="1"/>
  <c r="T158" i="38"/>
  <c r="U24" i="42"/>
  <c r="N18" i="48"/>
  <c r="N19" i="48" s="1"/>
  <c r="S24" i="39"/>
  <c r="AL18" i="48"/>
  <c r="AL19" i="48" s="1"/>
  <c r="W36" i="45"/>
  <c r="W38" i="45" s="1"/>
  <c r="W149" i="45"/>
  <c r="Z26" i="38"/>
  <c r="Y152" i="39"/>
  <c r="V124" i="46"/>
  <c r="V126" i="46" s="1"/>
  <c r="V151" i="46"/>
  <c r="W19" i="47"/>
  <c r="V218" i="47"/>
  <c r="V220" i="47" s="1"/>
  <c r="N131" i="48"/>
  <c r="N32" i="48"/>
  <c r="A32" i="48" s="1"/>
  <c r="N102" i="48"/>
  <c r="Y158" i="39"/>
  <c r="Y164" i="39" s="1"/>
  <c r="Y122" i="38"/>
  <c r="Y160" i="38" s="1"/>
  <c r="AM74" i="48"/>
  <c r="AM79" i="48" s="1"/>
  <c r="T16" i="39"/>
  <c r="AM13" i="48" s="1"/>
  <c r="AL137" i="48"/>
  <c r="AL109" i="48"/>
  <c r="AL80" i="48"/>
  <c r="V162" i="46" l="1"/>
  <c r="V164" i="46" s="1"/>
  <c r="W18" i="46"/>
  <c r="W201" i="45"/>
  <c r="W166" i="45"/>
  <c r="W168" i="45" s="1"/>
  <c r="Y166" i="39"/>
  <c r="Z27" i="38"/>
  <c r="U25" i="38"/>
  <c r="T162" i="38"/>
  <c r="T164" i="38" s="1"/>
  <c r="W149" i="47"/>
  <c r="W36" i="47"/>
  <c r="W38" i="47" s="1"/>
  <c r="Z144" i="39"/>
  <c r="Z150" i="39" s="1"/>
  <c r="Z121" i="38"/>
  <c r="Z159" i="38" s="1"/>
  <c r="W201" i="47" l="1"/>
  <c r="W166" i="47"/>
  <c r="W168" i="47" s="1"/>
  <c r="Z122" i="38"/>
  <c r="Z160" i="38" s="1"/>
  <c r="Z158" i="39"/>
  <c r="Z164" i="39" s="1"/>
  <c r="W218" i="45"/>
  <c r="W220" i="45" s="1"/>
  <c r="X19" i="45"/>
  <c r="W29" i="46"/>
  <c r="W31" i="46" s="1"/>
  <c r="W113" i="46"/>
  <c r="W32" i="42"/>
  <c r="U120" i="38"/>
  <c r="U130" i="39"/>
  <c r="U136" i="39" s="1"/>
  <c r="U29" i="38"/>
  <c r="U31" i="38" s="1"/>
  <c r="Z152" i="39"/>
  <c r="AA26" i="38"/>
  <c r="T138" i="39"/>
  <c r="T22" i="39"/>
  <c r="V40" i="42"/>
  <c r="V22" i="42"/>
  <c r="V24" i="42" s="1"/>
  <c r="W16" i="42" l="1"/>
  <c r="W38" i="42"/>
  <c r="W124" i="46"/>
  <c r="W126" i="46" s="1"/>
  <c r="W151" i="46"/>
  <c r="AM18" i="48"/>
  <c r="AM19" i="48" s="1"/>
  <c r="T24" i="39"/>
  <c r="Z166" i="39"/>
  <c r="AA27" i="38"/>
  <c r="AM137" i="48"/>
  <c r="AM109" i="48"/>
  <c r="AM80" i="48"/>
  <c r="U16" i="39"/>
  <c r="AN13" i="48" s="1"/>
  <c r="AN74" i="48"/>
  <c r="AN79" i="48" s="1"/>
  <c r="AA121" i="38"/>
  <c r="AA159" i="38" s="1"/>
  <c r="AA144" i="39"/>
  <c r="AA150" i="39" s="1"/>
  <c r="U124" i="38"/>
  <c r="U126" i="38" s="1"/>
  <c r="U158" i="38"/>
  <c r="X36" i="45"/>
  <c r="X38" i="45" s="1"/>
  <c r="X149" i="45"/>
  <c r="X19" i="47"/>
  <c r="W218" i="47"/>
  <c r="W220" i="47" s="1"/>
  <c r="X201" i="45" l="1"/>
  <c r="X166" i="45"/>
  <c r="X168" i="45" s="1"/>
  <c r="AA152" i="39"/>
  <c r="AB26" i="38"/>
  <c r="U162" i="38"/>
  <c r="U164" i="38" s="1"/>
  <c r="V25" i="38"/>
  <c r="X149" i="47"/>
  <c r="X36" i="47"/>
  <c r="X38" i="47" s="1"/>
  <c r="AA158" i="39"/>
  <c r="AA164" i="39" s="1"/>
  <c r="AA122" i="38"/>
  <c r="AA160" i="38" s="1"/>
  <c r="W162" i="46"/>
  <c r="W164" i="46" s="1"/>
  <c r="X18" i="46"/>
  <c r="X201" i="47" l="1"/>
  <c r="X166" i="47"/>
  <c r="X168" i="47" s="1"/>
  <c r="AA166" i="39"/>
  <c r="AB27" i="38"/>
  <c r="V29" i="38"/>
  <c r="V31" i="38" s="1"/>
  <c r="V120" i="38"/>
  <c r="V130" i="39"/>
  <c r="AB121" i="38"/>
  <c r="AB159" i="38" s="1"/>
  <c r="AB144" i="39"/>
  <c r="AB150" i="39" s="1"/>
  <c r="X29" i="46"/>
  <c r="X31" i="46" s="1"/>
  <c r="X113" i="46"/>
  <c r="X32" i="42"/>
  <c r="U138" i="39"/>
  <c r="U22" i="39"/>
  <c r="W22" i="42"/>
  <c r="W24" i="42" s="1"/>
  <c r="W40" i="42"/>
  <c r="Y19" i="45"/>
  <c r="X218" i="45"/>
  <c r="X220" i="45" s="1"/>
  <c r="AB152" i="39" l="1"/>
  <c r="A152" i="39" s="1"/>
  <c r="V16" i="39"/>
  <c r="V136" i="39"/>
  <c r="X16" i="42"/>
  <c r="X38" i="42"/>
  <c r="AB158" i="39"/>
  <c r="AB164" i="39" s="1"/>
  <c r="AB122" i="38"/>
  <c r="AB160" i="38" s="1"/>
  <c r="U24" i="39"/>
  <c r="AN18" i="48"/>
  <c r="AN19" i="48" s="1"/>
  <c r="A19" i="48" s="1"/>
  <c r="X151" i="46"/>
  <c r="X124" i="46"/>
  <c r="X126" i="46" s="1"/>
  <c r="Y36" i="45"/>
  <c r="Y38" i="45" s="1"/>
  <c r="Y149" i="45"/>
  <c r="V158" i="38"/>
  <c r="V124" i="38"/>
  <c r="V126" i="38" s="1"/>
  <c r="AN137" i="48"/>
  <c r="AN80" i="48"/>
  <c r="A80" i="48" s="1"/>
  <c r="AN109" i="48"/>
  <c r="Y19" i="47"/>
  <c r="X218" i="47"/>
  <c r="X220" i="47" s="1"/>
  <c r="AB166" i="39" l="1"/>
  <c r="A166" i="39" s="1"/>
  <c r="A6" i="48"/>
  <c r="H31" i="25" s="1"/>
  <c r="Y201" i="45"/>
  <c r="Y166" i="45"/>
  <c r="Y168" i="45" s="1"/>
  <c r="Y149" i="47"/>
  <c r="Y36" i="47"/>
  <c r="Y38" i="47" s="1"/>
  <c r="V162" i="38"/>
  <c r="V164" i="38" s="1"/>
  <c r="W25" i="38"/>
  <c r="X162" i="46"/>
  <c r="X164" i="46" s="1"/>
  <c r="Y18" i="46"/>
  <c r="W130" i="39" l="1"/>
  <c r="W29" i="38"/>
  <c r="W31" i="38" s="1"/>
  <c r="W120" i="38"/>
  <c r="Y201" i="47"/>
  <c r="Y166" i="47"/>
  <c r="Y168" i="47" s="1"/>
  <c r="X40" i="42"/>
  <c r="X22" i="42"/>
  <c r="X24" i="42" s="1"/>
  <c r="V138" i="39"/>
  <c r="V22" i="39"/>
  <c r="V24" i="39" s="1"/>
  <c r="Y29" i="46"/>
  <c r="Y31" i="46" s="1"/>
  <c r="Y113" i="46"/>
  <c r="Y32" i="42"/>
  <c r="Y218" i="45"/>
  <c r="Y220" i="45" s="1"/>
  <c r="Z19" i="45"/>
  <c r="Y16" i="42" l="1"/>
  <c r="Y38" i="42"/>
  <c r="W16" i="39"/>
  <c r="W136" i="39"/>
  <c r="Z19" i="47"/>
  <c r="Y218" i="47"/>
  <c r="Y220" i="47" s="1"/>
  <c r="W158" i="38"/>
  <c r="W124" i="38"/>
  <c r="W126" i="38" s="1"/>
  <c r="Y124" i="46"/>
  <c r="Y126" i="46" s="1"/>
  <c r="Y151" i="46"/>
  <c r="Z36" i="45"/>
  <c r="Z38" i="45" s="1"/>
  <c r="Z149" i="45"/>
  <c r="Z166" i="45" l="1"/>
  <c r="Z168" i="45" s="1"/>
  <c r="Z201" i="45"/>
  <c r="X25" i="38"/>
  <c r="W162" i="38"/>
  <c r="W164" i="38" s="1"/>
  <c r="Y162" i="46"/>
  <c r="Y164" i="46" s="1"/>
  <c r="Z18" i="46"/>
  <c r="Z149" i="47"/>
  <c r="Z36" i="47"/>
  <c r="Z38" i="47" s="1"/>
  <c r="Z32" i="42" l="1"/>
  <c r="Z113" i="46"/>
  <c r="Z29" i="46"/>
  <c r="Z31" i="46" s="1"/>
  <c r="X120" i="38"/>
  <c r="X130" i="39"/>
  <c r="X29" i="38"/>
  <c r="X31" i="38" s="1"/>
  <c r="Y40" i="42"/>
  <c r="Y22" i="42"/>
  <c r="Y24" i="42" s="1"/>
  <c r="W22" i="39"/>
  <c r="W24" i="39" s="1"/>
  <c r="W138" i="39"/>
  <c r="AA19" i="45"/>
  <c r="Z218" i="45"/>
  <c r="Z220" i="45" s="1"/>
  <c r="Z201" i="47"/>
  <c r="Z166" i="47"/>
  <c r="Z168" i="47" s="1"/>
  <c r="X16" i="39" l="1"/>
  <c r="X136" i="39"/>
  <c r="Z16" i="42"/>
  <c r="Z38" i="42"/>
  <c r="AA19" i="47"/>
  <c r="Z218" i="47"/>
  <c r="Z220" i="47" s="1"/>
  <c r="X158" i="38"/>
  <c r="X124" i="38"/>
  <c r="X126" i="38" s="1"/>
  <c r="AA36" i="45"/>
  <c r="AA38" i="45" s="1"/>
  <c r="AA149" i="45"/>
  <c r="Z124" i="46"/>
  <c r="Z126" i="46" s="1"/>
  <c r="Z151" i="46"/>
  <c r="Z162" i="46" l="1"/>
  <c r="Z164" i="46" s="1"/>
  <c r="AA18" i="46"/>
  <c r="Y25" i="38"/>
  <c r="X162" i="38"/>
  <c r="X164" i="38" s="1"/>
  <c r="AA201" i="45"/>
  <c r="AA166" i="45"/>
  <c r="AA168" i="45" s="1"/>
  <c r="AA149" i="47"/>
  <c r="AA36" i="47"/>
  <c r="AA38" i="47" s="1"/>
  <c r="X138" i="39" l="1"/>
  <c r="X22" i="39"/>
  <c r="X24" i="39" s="1"/>
  <c r="AB19" i="45"/>
  <c r="AA218" i="45"/>
  <c r="AA220" i="45" s="1"/>
  <c r="AA113" i="46"/>
  <c r="AA32" i="42"/>
  <c r="AA29" i="46"/>
  <c r="AA31" i="46" s="1"/>
  <c r="AA201" i="47"/>
  <c r="AA166" i="47"/>
  <c r="AA168" i="47" s="1"/>
  <c r="Y120" i="38"/>
  <c r="Y130" i="39"/>
  <c r="Y29" i="38"/>
  <c r="Y31" i="38" s="1"/>
  <c r="Z40" i="42"/>
  <c r="Z22" i="42"/>
  <c r="Z24" i="42" s="1"/>
  <c r="AA16" i="42" l="1"/>
  <c r="AA38" i="42"/>
  <c r="Y16" i="39"/>
  <c r="Y136" i="39"/>
  <c r="AB19" i="47"/>
  <c r="AA218" i="47"/>
  <c r="AA220" i="47" s="1"/>
  <c r="AB36" i="45"/>
  <c r="AB38" i="45" s="1"/>
  <c r="A38" i="45" s="1"/>
  <c r="AB149" i="45"/>
  <c r="Y158" i="38"/>
  <c r="Y124" i="38"/>
  <c r="Y126" i="38" s="1"/>
  <c r="AA151" i="46"/>
  <c r="AA124" i="46"/>
  <c r="AA126" i="46" s="1"/>
  <c r="AB18" i="46" l="1"/>
  <c r="AA162" i="46"/>
  <c r="AA164" i="46" s="1"/>
  <c r="Z25" i="38"/>
  <c r="Y162" i="38"/>
  <c r="Y164" i="38" s="1"/>
  <c r="AB149" i="47"/>
  <c r="AB36" i="47"/>
  <c r="AB38" i="47" s="1"/>
  <c r="A38" i="47" s="1"/>
  <c r="AB166" i="45"/>
  <c r="AB168" i="45" s="1"/>
  <c r="A168" i="45" s="1"/>
  <c r="AB201" i="45"/>
  <c r="AB218" i="45" s="1"/>
  <c r="AB220" i="45" s="1"/>
  <c r="A220" i="45" s="1"/>
  <c r="A1" i="45" l="1"/>
  <c r="H23" i="25" s="1"/>
  <c r="Y22" i="39"/>
  <c r="Y24" i="39" s="1"/>
  <c r="Y138" i="39"/>
  <c r="AB201" i="47"/>
  <c r="AB218" i="47" s="1"/>
  <c r="AB220" i="47" s="1"/>
  <c r="A220" i="47" s="1"/>
  <c r="AB166" i="47"/>
  <c r="AB168" i="47" s="1"/>
  <c r="A168" i="47" s="1"/>
  <c r="AB113" i="46"/>
  <c r="AB32" i="42"/>
  <c r="AB29" i="46"/>
  <c r="AB31" i="46" s="1"/>
  <c r="A31" i="46" s="1"/>
  <c r="Z120" i="38"/>
  <c r="Z130" i="39"/>
  <c r="Z29" i="38"/>
  <c r="Z31" i="38" s="1"/>
  <c r="AA22" i="42"/>
  <c r="AA24" i="42" s="1"/>
  <c r="AA40" i="42"/>
  <c r="Z16" i="39" l="1"/>
  <c r="Z136" i="39"/>
  <c r="AB16" i="42"/>
  <c r="AB38" i="42"/>
  <c r="A1" i="47"/>
  <c r="H24" i="25" s="1"/>
  <c r="AB124" i="46"/>
  <c r="AB126" i="46" s="1"/>
  <c r="A126" i="46" s="1"/>
  <c r="AB151" i="46"/>
  <c r="Z124" i="38"/>
  <c r="Z126" i="38" s="1"/>
  <c r="Z158" i="38"/>
  <c r="Z162" i="38" l="1"/>
  <c r="Z164" i="38" s="1"/>
  <c r="AA25" i="38"/>
  <c r="AB162" i="46"/>
  <c r="AB164" i="46" s="1"/>
  <c r="A164" i="46" s="1"/>
  <c r="A1" i="46" s="1"/>
  <c r="H25" i="25" s="1"/>
  <c r="AB40" i="42" l="1"/>
  <c r="A40" i="42" s="1"/>
  <c r="AB22" i="42"/>
  <c r="AB24" i="42" s="1"/>
  <c r="A24" i="42" s="1"/>
  <c r="AA130" i="39"/>
  <c r="AA29" i="38"/>
  <c r="AA31" i="38" s="1"/>
  <c r="AA120" i="38"/>
  <c r="Z138" i="39"/>
  <c r="Z22" i="39"/>
  <c r="Z24" i="39" s="1"/>
  <c r="AA16" i="39" l="1"/>
  <c r="AA136" i="39"/>
  <c r="A1" i="42"/>
  <c r="H30" i="25" s="1"/>
  <c r="AA158" i="38"/>
  <c r="AA124" i="38"/>
  <c r="AA126" i="38" s="1"/>
  <c r="AA162" i="38" l="1"/>
  <c r="AA164" i="38" s="1"/>
  <c r="AB25" i="38"/>
  <c r="AB130" i="39" l="1"/>
  <c r="AB120" i="38"/>
  <c r="AB29" i="38"/>
  <c r="AB31" i="38" s="1"/>
  <c r="A31" i="38" s="1"/>
  <c r="AA138" i="39"/>
  <c r="AA22" i="39"/>
  <c r="AA24" i="39" s="1"/>
  <c r="AB16" i="39" l="1"/>
  <c r="AB136" i="39"/>
  <c r="AB158" i="38"/>
  <c r="AB124" i="38"/>
  <c r="AB126" i="38" s="1"/>
  <c r="A126" i="38" s="1"/>
  <c r="AB162" i="38" l="1"/>
  <c r="AB164" i="38" s="1"/>
  <c r="A164" i="38" s="1"/>
  <c r="A1" i="38" s="1"/>
  <c r="H27" i="25" s="1"/>
  <c r="AB138" i="39" l="1"/>
  <c r="A138" i="39" s="1"/>
  <c r="AB22" i="39"/>
  <c r="AB24" i="39" s="1"/>
  <c r="A24" i="39" s="1"/>
  <c r="A1" i="39" s="1"/>
  <c r="H29" i="25" s="1"/>
  <c r="H33" i="25" s="1"/>
  <c r="H8" i="25" s="1"/>
  <c r="H10" i="25" s="1"/>
  <c r="B2" i="28" l="1"/>
  <c r="B2" i="25"/>
  <c r="B2" i="33"/>
  <c r="B2" i="37"/>
  <c r="B2" i="31"/>
  <c r="B2" i="4"/>
  <c r="B2" i="39"/>
  <c r="B2" i="45"/>
  <c r="B2" i="42"/>
  <c r="B2" i="46"/>
  <c r="B2" i="44"/>
  <c r="B2" i="49"/>
  <c r="B2" i="47"/>
  <c r="B2" i="50"/>
  <c r="B2" i="34"/>
  <c r="B2" i="43"/>
  <c r="B2" i="32"/>
  <c r="B2"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 Grace-Webb</author>
  </authors>
  <commentList>
    <comment ref="F12" authorId="0" shapeId="0" xr:uid="{D1858BEE-5579-48CF-8BD8-68FB8161F669}">
      <text>
        <r>
          <rPr>
            <b/>
            <sz val="9"/>
            <color indexed="81"/>
            <rFont val="Tahoma"/>
            <family val="2"/>
          </rPr>
          <t>PWC:</t>
        </r>
        <r>
          <rPr>
            <sz val="9"/>
            <color indexed="81"/>
            <rFont val="Tahoma"/>
            <family val="2"/>
          </rPr>
          <t xml:space="preserve">
Values are hardcoded to avoid circularity.  The are sorced from row 47  below.</t>
        </r>
      </text>
    </comment>
    <comment ref="I13" authorId="0" shapeId="0" xr:uid="{5AE48320-BE56-4DF6-8DC9-9BB97A98F538}">
      <text>
        <r>
          <rPr>
            <b/>
            <sz val="9"/>
            <color indexed="81"/>
            <rFont val="Tahoma"/>
            <family val="2"/>
          </rPr>
          <t>PWC:</t>
        </r>
        <r>
          <rPr>
            <sz val="9"/>
            <color indexed="81"/>
            <rFont val="Tahoma"/>
            <family val="2"/>
          </rPr>
          <t xml:space="preserve">
Values are hardcoded to avoid circularity.  The are sorced from row 47  below.</t>
        </r>
      </text>
    </comment>
    <comment ref="F14" authorId="0" shapeId="0" xr:uid="{A93E8242-D723-4BB8-8C24-AB5319EEAA51}">
      <text>
        <r>
          <rPr>
            <b/>
            <sz val="9"/>
            <color indexed="81"/>
            <rFont val="Tahoma"/>
            <family val="2"/>
          </rPr>
          <t>PWC:</t>
        </r>
        <r>
          <rPr>
            <sz val="9"/>
            <color indexed="81"/>
            <rFont val="Tahoma"/>
            <family val="2"/>
          </rPr>
          <t xml:space="preserve">
Values are hardcoded to avoid circularity.  The are sorced from row 47  below.</t>
        </r>
      </text>
    </comment>
  </commentList>
</comments>
</file>

<file path=xl/sharedStrings.xml><?xml version="1.0" encoding="utf-8"?>
<sst xmlns="http://schemas.openxmlformats.org/spreadsheetml/2006/main" count="1750" uniqueCount="489">
  <si>
    <t>General Model Constant</t>
  </si>
  <si>
    <t>Name</t>
  </si>
  <si>
    <t>Mths_In_Mth</t>
  </si>
  <si>
    <t>Mths_In_Qtr</t>
  </si>
  <si>
    <t>Mths_In_Yr</t>
  </si>
  <si>
    <t>Heading 1</t>
  </si>
  <si>
    <t>Ok</t>
  </si>
  <si>
    <t>Error</t>
  </si>
  <si>
    <t>Half</t>
  </si>
  <si>
    <t>Yes</t>
  </si>
  <si>
    <t>No</t>
  </si>
  <si>
    <t>Yes_No</t>
  </si>
  <si>
    <t>Error Checks</t>
  </si>
  <si>
    <t>Days_In_Wk</t>
  </si>
  <si>
    <t>Calculations</t>
  </si>
  <si>
    <t>Assumptions</t>
  </si>
  <si>
    <t>Checks</t>
  </si>
  <si>
    <t>Error Message</t>
  </si>
  <si>
    <t>Model Title Message</t>
  </si>
  <si>
    <t>Alert Message</t>
  </si>
  <si>
    <t>Model Message</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</si>
  <si>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</si>
  <si>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</si>
  <si>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</si>
  <si>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</si>
  <si>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</si>
  <si>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</si>
  <si>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</si>
  <si>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</si>
  <si>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</si>
  <si>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Purpose of the Model:</t>
  </si>
  <si>
    <t>Model Settings</t>
  </si>
  <si>
    <t>Model Checks</t>
  </si>
  <si>
    <t>End</t>
  </si>
  <si>
    <t>Qtrs_In_Yr</t>
  </si>
  <si>
    <t>N/A</t>
  </si>
  <si>
    <t>NA</t>
  </si>
  <si>
    <t>Model Legend:</t>
  </si>
  <si>
    <t>Cells where inputs or outputs are not applicable</t>
  </si>
  <si>
    <t>Cells containing a drop down list for users to select inputs</t>
  </si>
  <si>
    <t>Cells containing a hyperlink to another part of the workbook</t>
  </si>
  <si>
    <t>Cells representing there is an error in the nominated area of the workbook</t>
  </si>
  <si>
    <t>Cells representing there are no errors in the nominated area of the workbook</t>
  </si>
  <si>
    <t>Cells containing a link from external workbooks</t>
  </si>
  <si>
    <t>Drop Down</t>
  </si>
  <si>
    <t>Hyperlink</t>
  </si>
  <si>
    <t>Model Lookups</t>
  </si>
  <si>
    <t>Days_In_Yr</t>
  </si>
  <si>
    <t>Client Lookups</t>
  </si>
  <si>
    <t>Total Errors</t>
  </si>
  <si>
    <t>Table of Contents</t>
  </si>
  <si>
    <t>Inputs</t>
  </si>
  <si>
    <t>Outputs</t>
  </si>
  <si>
    <t>Appendix</t>
  </si>
  <si>
    <t>Go to Cover Sheet</t>
  </si>
  <si>
    <t>Period Counter</t>
  </si>
  <si>
    <t>Period Start Date</t>
  </si>
  <si>
    <t>Period End Date</t>
  </si>
  <si>
    <t>Model Start Date</t>
  </si>
  <si>
    <t>Periodicity Inputs</t>
  </si>
  <si>
    <t>Time Series Headings</t>
  </si>
  <si>
    <t>Base Year</t>
  </si>
  <si>
    <t>Year</t>
  </si>
  <si>
    <t>Period Type</t>
  </si>
  <si>
    <t>Actual</t>
  </si>
  <si>
    <t>Forecast</t>
  </si>
  <si>
    <t>Regulatory Year</t>
  </si>
  <si>
    <t>Source</t>
  </si>
  <si>
    <t>Unit</t>
  </si>
  <si>
    <t>Basis</t>
  </si>
  <si>
    <t>Timing</t>
  </si>
  <si>
    <t>Real $2018</t>
  </si>
  <si>
    <t>Nominal</t>
  </si>
  <si>
    <t>Real$2018</t>
  </si>
  <si>
    <t>LU_Basis</t>
  </si>
  <si>
    <t>Units</t>
  </si>
  <si>
    <t>Percent</t>
  </si>
  <si>
    <t>Dollars</t>
  </si>
  <si>
    <t>Factor</t>
  </si>
  <si>
    <t>$Millions</t>
  </si>
  <si>
    <t>$000's</t>
  </si>
  <si>
    <t>Millions</t>
  </si>
  <si>
    <t>Thousands</t>
  </si>
  <si>
    <t>LU_Units</t>
  </si>
  <si>
    <t>Start year</t>
  </si>
  <si>
    <t>Mid year</t>
  </si>
  <si>
    <t>End year</t>
  </si>
  <si>
    <t>LU_Timing</t>
  </si>
  <si>
    <t>LU_Timing_Value</t>
  </si>
  <si>
    <t>End_year</t>
  </si>
  <si>
    <t>Mid_year</t>
  </si>
  <si>
    <t>Start_year</t>
  </si>
  <si>
    <t>Service Classification</t>
  </si>
  <si>
    <t>Standard control services</t>
  </si>
  <si>
    <t>Alternative control services</t>
  </si>
  <si>
    <t>Negotiated services</t>
  </si>
  <si>
    <t>Unregulated services</t>
  </si>
  <si>
    <t>Advanced metering infrastructure</t>
  </si>
  <si>
    <t>LU_Service_Long</t>
  </si>
  <si>
    <t>LU_Service_Short</t>
  </si>
  <si>
    <t>SCS</t>
  </si>
  <si>
    <t>ACS</t>
  </si>
  <si>
    <t>NEG</t>
  </si>
  <si>
    <t>UNR</t>
  </si>
  <si>
    <t>AMI</t>
  </si>
  <si>
    <t>Metering</t>
  </si>
  <si>
    <t>Distribution Substations</t>
  </si>
  <si>
    <t>IT and Communications</t>
  </si>
  <si>
    <t>Motor Vehicles</t>
  </si>
  <si>
    <t>Category Heading</t>
  </si>
  <si>
    <t>Total</t>
  </si>
  <si>
    <t>Calculated</t>
  </si>
  <si>
    <t>Not Applicable</t>
  </si>
  <si>
    <t>Number</t>
  </si>
  <si>
    <t>Check</t>
  </si>
  <si>
    <t>AER / RIN Lookups</t>
  </si>
  <si>
    <t>Km</t>
  </si>
  <si>
    <t>Kilometres</t>
  </si>
  <si>
    <t>Disclaimer:</t>
  </si>
  <si>
    <t>This model is confidential information of, and is owned by, Power and Water Corporation ABN 15 947 352 360 (PWC).  It may not be disclosed to, or used or relied on by, any person without the consent of PWC.
PWC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PWC will not be liable to any person for any loss or damage of any kind arising out of or in any way connected with the use of this model (including negligence).   The references to PWC in this disclaimer includes their respective directors, officers, employees, contractors, advisers or agents.</t>
  </si>
  <si>
    <t>Summary of Allocations</t>
  </si>
  <si>
    <t>System Capex</t>
  </si>
  <si>
    <t>Substations</t>
  </si>
  <si>
    <t>Distribution Lines</t>
  </si>
  <si>
    <t>Transmission Lines</t>
  </si>
  <si>
    <t>LV Services</t>
  </si>
  <si>
    <t>Distribution Switchgear</t>
  </si>
  <si>
    <t>Protection</t>
  </si>
  <si>
    <t>SCADA</t>
  </si>
  <si>
    <t>Communications</t>
  </si>
  <si>
    <t>Non System Capex</t>
  </si>
  <si>
    <t>Land and Easements</t>
  </si>
  <si>
    <t>Property</t>
  </si>
  <si>
    <t>Plant and Equipment</t>
  </si>
  <si>
    <t>ACS Metering</t>
  </si>
  <si>
    <t>Street Lights</t>
  </si>
  <si>
    <t>Zone substations and transformers</t>
  </si>
  <si>
    <t>Overhead network assets less than 33kV</t>
  </si>
  <si>
    <t>Underground network assets less than 33kV</t>
  </si>
  <si>
    <t>Distribution substations and transformers</t>
  </si>
  <si>
    <t>Overhead network assets 33kV and above</t>
  </si>
  <si>
    <t>Underground network assets 33kV and above</t>
  </si>
  <si>
    <t>Easements</t>
  </si>
  <si>
    <t>Meters</t>
  </si>
  <si>
    <t>“Other” asset items with short lives</t>
  </si>
  <si>
    <t>“Other” asset items with long lives</t>
  </si>
  <si>
    <t>RAB by Asset Category</t>
  </si>
  <si>
    <t>Opening Balance</t>
  </si>
  <si>
    <t>Inflation</t>
  </si>
  <si>
    <t>Straight Line Depreciation</t>
  </si>
  <si>
    <t>RAB Additions</t>
  </si>
  <si>
    <t>Disposals</t>
  </si>
  <si>
    <t>Closing Balance</t>
  </si>
  <si>
    <t>RAB Asset Classes</t>
  </si>
  <si>
    <t>LU_RAB_Assets</t>
  </si>
  <si>
    <t>RAB by EB RIN Category</t>
  </si>
  <si>
    <t>EB RIN Asset Classes</t>
  </si>
  <si>
    <t>LU_EB_RIN_Assets</t>
  </si>
  <si>
    <t>Calc_Alloc</t>
  </si>
  <si>
    <t>Input - SCS RAB by Asset Category</t>
  </si>
  <si>
    <t>Calculation - SCS RAB by EB RIN Category</t>
  </si>
  <si>
    <t>Outputs - SCS EB RIN</t>
  </si>
  <si>
    <t>Calculation - ACS RAB by EB RIN Category</t>
  </si>
  <si>
    <t>Calc_EB_SCS</t>
  </si>
  <si>
    <t>Calc_EB_ACS</t>
  </si>
  <si>
    <t>Outputs - ACS (Public Lighting and ACS Metering) EB RIN</t>
  </si>
  <si>
    <t>Outputs - Network Services EB RIN</t>
  </si>
  <si>
    <t>Electronic Meters</t>
  </si>
  <si>
    <t>Metering Communications</t>
  </si>
  <si>
    <t>Metering - Non-Network IT &amp; Communications</t>
  </si>
  <si>
    <t>Metering - Non-Network Other</t>
  </si>
  <si>
    <t>Metering - Dedicated CTs and VTs</t>
  </si>
  <si>
    <t>Detailed Allocations</t>
  </si>
  <si>
    <t>Standard Life</t>
  </si>
  <si>
    <t>Threshold for Other Assets with Short Lives (Years)</t>
  </si>
  <si>
    <t>Mechanical meters - General</t>
  </si>
  <si>
    <t>Interim Closing Balance</t>
  </si>
  <si>
    <t>Adjustments</t>
  </si>
  <si>
    <t>Input - Proportion of Connection Gross Capex</t>
  </si>
  <si>
    <t>Gross Capex by Purpose</t>
  </si>
  <si>
    <t>Gross Capex</t>
  </si>
  <si>
    <t>Proportion of Connection Capex</t>
  </si>
  <si>
    <t>Check - CA RIN - 2.1.1</t>
  </si>
  <si>
    <t>Output - Network Services Calculation</t>
  </si>
  <si>
    <t>Input - Estimated Depreciated Replacement Cost</t>
  </si>
  <si>
    <t>Primary Inputs</t>
  </si>
  <si>
    <t>Connection Related Capex</t>
  </si>
  <si>
    <t>Capital Contributions</t>
  </si>
  <si>
    <t>Net Connection Related Capex</t>
  </si>
  <si>
    <t>Net Distribution Related Capex</t>
  </si>
  <si>
    <t>Calc_EB_NS</t>
  </si>
  <si>
    <t>RAB by Asset Category - Proxy for Connections RAB</t>
  </si>
  <si>
    <t>RAB by Asset Category - Based on SCS less Connections RAB</t>
  </si>
  <si>
    <t>RAB Asset Class</t>
  </si>
  <si>
    <t>RAB Asset Category</t>
  </si>
  <si>
    <t>Closing Balances</t>
  </si>
  <si>
    <t>Input_RAB_SCS</t>
  </si>
  <si>
    <t>Input_RAB_SCS/Calc_RAB_Connection</t>
  </si>
  <si>
    <t>Calculation - Estimated Connection RAB by Asset Category</t>
  </si>
  <si>
    <t>Calculation - Estimated Network Services RAB by Asset Category</t>
  </si>
  <si>
    <t>Calculation - Network Services RAB by EB RIN Category</t>
  </si>
  <si>
    <t>EB RIN Categories</t>
  </si>
  <si>
    <t>Calc_EB_ACS/Calc_EB_PL</t>
  </si>
  <si>
    <t>Input - ACS Metering RAB by Asset Category</t>
  </si>
  <si>
    <t>MVA</t>
  </si>
  <si>
    <t>Note: As per definition in Appendix F</t>
  </si>
  <si>
    <t>Check - Calculation</t>
  </si>
  <si>
    <t>Check - Source</t>
  </si>
  <si>
    <t>Equity Raising Costs</t>
  </si>
  <si>
    <t>[Spare]</t>
  </si>
  <si>
    <t>Various</t>
  </si>
  <si>
    <t>Final Closing Balance</t>
  </si>
  <si>
    <t>Utility Commission Categories</t>
  </si>
  <si>
    <t>UC_RAB_Class</t>
  </si>
  <si>
    <t>Proposed_RAB_Class</t>
  </si>
  <si>
    <t>Building</t>
  </si>
  <si>
    <t>Civil Works</t>
  </si>
  <si>
    <t>Land &amp; Easements</t>
  </si>
  <si>
    <t>Plant &amp; Equipment</t>
  </si>
  <si>
    <t>Office Equipment</t>
  </si>
  <si>
    <t>Small Plant &amp; Equipment</t>
  </si>
  <si>
    <t>Transformer (66kV &amp; Above)</t>
  </si>
  <si>
    <t>Switchgear</t>
  </si>
  <si>
    <t>Switchyard</t>
  </si>
  <si>
    <t>Distribution Substation</t>
  </si>
  <si>
    <t>LV Reticulation - Overhead</t>
  </si>
  <si>
    <t>LV Reticulation - Underground</t>
  </si>
  <si>
    <t>HV Reticulation - Overhead</t>
  </si>
  <si>
    <t>HV Reticulation - Underground</t>
  </si>
  <si>
    <t>Streetlights</t>
  </si>
  <si>
    <t>Other</t>
  </si>
  <si>
    <t>Transmission terminal station</t>
  </si>
  <si>
    <t>Zone substations</t>
  </si>
  <si>
    <t>Transmission lines</t>
  </si>
  <si>
    <t>Distribution mains</t>
  </si>
  <si>
    <t>Distribution substations</t>
  </si>
  <si>
    <t>Land and easements</t>
  </si>
  <si>
    <t>Secondary systems - Control, communications &amp; Protection</t>
  </si>
  <si>
    <t>Non-System Capex</t>
  </si>
  <si>
    <t>Non-network—IT and Communications Capex</t>
  </si>
  <si>
    <t>Non-network—Motor Vehicles Capex</t>
  </si>
  <si>
    <t>Non-network—Property Capex</t>
  </si>
  <si>
    <t>Non-network—Plant &amp; Equipment Capex</t>
  </si>
  <si>
    <t>Non-network—Other capex</t>
  </si>
  <si>
    <t>UC - Po ADJUSTMENT MODEL - March 2009</t>
  </si>
  <si>
    <t>CA RIN - 2.1.1</t>
  </si>
  <si>
    <t>CA RIN - 2.1.7</t>
  </si>
  <si>
    <t>EB RIN - 3.5.1</t>
  </si>
  <si>
    <t>Circuit Length</t>
  </si>
  <si>
    <t>Circuit Capacity MVA</t>
  </si>
  <si>
    <t>RY06-RY17</t>
  </si>
  <si>
    <t>Remaining Life</t>
  </si>
  <si>
    <t>Calculation - Estimated Depreciated Replacement Cost</t>
  </si>
  <si>
    <t>Replacement Unit Cost (Dollars)</t>
  </si>
  <si>
    <t>Physical Asset (Km/MVA)</t>
  </si>
  <si>
    <t>Remaining Life (Years)</t>
  </si>
  <si>
    <t>Standard Life (Years)</t>
  </si>
  <si>
    <t>Depreciated Replacement Cost ($/km/MVA)</t>
  </si>
  <si>
    <t>Transmission Line - % share of DRC</t>
  </si>
  <si>
    <t>Distribution Line - % share of DRC</t>
  </si>
  <si>
    <t>Physical Asset (Km)</t>
  </si>
  <si>
    <t>Physical Asset (MVA)</t>
  </si>
  <si>
    <t>Years</t>
  </si>
  <si>
    <t>EB RIN - 3.3.4</t>
  </si>
  <si>
    <t>Item - Based on RY17</t>
  </si>
  <si>
    <t>Summary - Total Asset Base</t>
  </si>
  <si>
    <t>Net Capex - Distribution Lines</t>
  </si>
  <si>
    <t>Net Capex - Distribution Substations</t>
  </si>
  <si>
    <t>Capex for asset classes which contain connections</t>
  </si>
  <si>
    <t>Weighted average unit rate replacement costs ($/km/MVA)</t>
  </si>
  <si>
    <t>Disposals (including half year of WACC, where relevant)</t>
  </si>
  <si>
    <t>REGULATORY REPORTING STATEMENT</t>
  </si>
  <si>
    <t>3.3 ASSETS</t>
  </si>
  <si>
    <r>
      <t xml:space="preserve">There are </t>
    </r>
    <r>
      <rPr>
        <b/>
        <sz val="11"/>
        <color rgb="FFFF0000"/>
        <rFont val="Calibri"/>
        <family val="2"/>
        <scheme val="minor"/>
      </rPr>
      <t>FOUR</t>
    </r>
    <r>
      <rPr>
        <sz val="11"/>
        <rFont val="Calibri"/>
        <family val="2"/>
        <scheme val="minor"/>
      </rPr>
      <t xml:space="preserve"> tables on this worksheet. Both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in each have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</si>
  <si>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3.3.1 - REGULATORY ASSET BASE VALUES</t>
  </si>
  <si>
    <t>Network services</t>
  </si>
  <si>
    <t>Actual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</si>
  <si>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</si>
  <si>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</si>
  <si>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</si>
  <si>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</si>
  <si>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</si>
  <si>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</si>
  <si>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</si>
  <si>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</si>
  <si>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</si>
  <si>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</si>
  <si>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</si>
  <si>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</si>
  <si>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</si>
  <si>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</si>
  <si>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</si>
  <si>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</si>
  <si>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</si>
  <si>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</si>
  <si>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</si>
  <si>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</si>
  <si>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</si>
  <si>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</si>
  <si>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</si>
  <si>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</si>
  <si>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</si>
  <si>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</si>
  <si>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</si>
  <si>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</si>
  <si>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</si>
  <si>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</si>
  <si>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</si>
  <si>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</si>
  <si>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</si>
  <si>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</si>
  <si>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</si>
  <si>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</si>
  <si>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</si>
  <si>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</si>
  <si>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</si>
  <si>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</si>
  <si>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</si>
  <si>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</si>
  <si>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</si>
  <si>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</si>
  <si>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</si>
  <si>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</si>
  <si>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</si>
  <si>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</si>
  <si>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</si>
  <si>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</si>
  <si>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</si>
  <si>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</si>
  <si>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</si>
  <si>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</si>
  <si>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</si>
  <si>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</si>
  <si>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</si>
  <si>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</si>
  <si>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</si>
  <si>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</si>
  <si>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</si>
  <si>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</si>
  <si>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</si>
  <si>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</si>
  <si>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</si>
  <si>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</si>
  <si>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</si>
  <si>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</si>
  <si>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</si>
  <si>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</si>
  <si>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</si>
  <si>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</si>
  <si>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</si>
  <si>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</si>
  <si>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</si>
  <si>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</si>
  <si>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</si>
  <si>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</si>
  <si>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</si>
  <si>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</si>
  <si>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</si>
  <si>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</si>
  <si>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</si>
  <si>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</si>
  <si>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distribution assets (wires and poles)</t>
  </si>
  <si>
    <t>DRAB1202</t>
  </si>
  <si>
    <t>Underground distribution assets (cables, ducts etc)</t>
  </si>
  <si>
    <t>DRAB1203</t>
  </si>
  <si>
    <t>Distribution substations including transformers</t>
  </si>
  <si>
    <t>DRAB1204</t>
  </si>
  <si>
    <t>Overhead assets 33kV and above (wires and towers / poles etc)</t>
  </si>
  <si>
    <t>DRAB1205</t>
  </si>
  <si>
    <t>Underground assets 33kV and above (cables, ducts etc)</t>
  </si>
  <si>
    <t>DRAB1206</t>
  </si>
  <si>
    <t>DRAB1207</t>
  </si>
  <si>
    <t xml:space="preserve">Easements </t>
  </si>
  <si>
    <t>DRAB1208</t>
  </si>
  <si>
    <t>DRAB1209</t>
  </si>
  <si>
    <t>Other assets with long lives</t>
  </si>
  <si>
    <t>DRAB1210</t>
  </si>
  <si>
    <t>Other assets with short lives</t>
  </si>
  <si>
    <t>DRAB13</t>
  </si>
  <si>
    <t xml:space="preserve">Value of Capital Contributions or Contributed Assets </t>
  </si>
  <si>
    <t>3.3.4 - ASSET LIVES</t>
  </si>
  <si>
    <t>Service Life (Years)</t>
  </si>
  <si>
    <t>ESTIMATED SERVICE LIFE OF NEW ASSETS</t>
  </si>
  <si>
    <t>DRAB1401</t>
  </si>
  <si>
    <t>Overhead network assets less than 33kV (wires and poles)</t>
  </si>
  <si>
    <t>DRAB1402</t>
  </si>
  <si>
    <t>Underground network assets less than 33kV (cables)</t>
  </si>
  <si>
    <t>DRAB1403</t>
  </si>
  <si>
    <t>DRAB1404</t>
  </si>
  <si>
    <t xml:space="preserve">Overhead network assets 33kV and above (wires and towers / poles etc) </t>
  </si>
  <si>
    <t>DRAB1405</t>
  </si>
  <si>
    <t>Underground network assets 33kV and above(cables, ducts etc)</t>
  </si>
  <si>
    <t>DRAB1406</t>
  </si>
  <si>
    <t>DRAB1407</t>
  </si>
  <si>
    <t>DRAB1408</t>
  </si>
  <si>
    <t>“Other” assets with long lives</t>
  </si>
  <si>
    <t>DRAB1409</t>
  </si>
  <si>
    <t>“Other” assets with short lives</t>
  </si>
  <si>
    <t>ESTIMATED RESIDUAL SERVICE LIFE</t>
  </si>
  <si>
    <t>DRAB1501</t>
  </si>
  <si>
    <t>DRAB1502</t>
  </si>
  <si>
    <t>DRAB1503</t>
  </si>
  <si>
    <t>DRAB1504</t>
  </si>
  <si>
    <t>DRAB1505</t>
  </si>
  <si>
    <t>Underground network assets 33kV and above (cables, ducts etc)</t>
  </si>
  <si>
    <t>DRAB1506</t>
  </si>
  <si>
    <t>DRAB1507</t>
  </si>
  <si>
    <t>DRAB1508</t>
  </si>
  <si>
    <t>DRAB1509</t>
  </si>
  <si>
    <t>Net Capex - Distribution Switchgear</t>
  </si>
  <si>
    <t>RAB Net Additions (gross capex less capital contributions, including half year of WACC, where relevant)</t>
  </si>
  <si>
    <t>UE</t>
  </si>
  <si>
    <t>TasNet</t>
  </si>
  <si>
    <t>AusNet</t>
  </si>
  <si>
    <t>Essential</t>
  </si>
  <si>
    <t>SAPN</t>
  </si>
  <si>
    <t>Powercor</t>
  </si>
  <si>
    <t>JEN</t>
  </si>
  <si>
    <t>Ergon</t>
  </si>
  <si>
    <t>Energex</t>
  </si>
  <si>
    <t>Endeavour</t>
  </si>
  <si>
    <t>Citipower</t>
  </si>
  <si>
    <t>Ausgrid</t>
  </si>
  <si>
    <t>ActewAGL</t>
  </si>
  <si>
    <t>Summary Outputs</t>
  </si>
  <si>
    <t>Standard Lives - Peer Comparison - SCS - EB RINs 2016</t>
  </si>
  <si>
    <t>Standard Life Calculations</t>
  </si>
  <si>
    <t>Standard Lives - Peer Comparison - NS - EB RINs 2016</t>
  </si>
  <si>
    <t>Standard Lives - Peer Comparison - ACS - EB RINs 2016</t>
  </si>
  <si>
    <t>Implied SCS Std Life</t>
  </si>
  <si>
    <t>Implied NS Std Life</t>
  </si>
  <si>
    <t>Implied ACS Std Life</t>
  </si>
  <si>
    <t>ECONOMIC BENCHMARKING 2005-06 to 2016-17</t>
  </si>
  <si>
    <t>2005-06</t>
  </si>
  <si>
    <t>2006-07</t>
  </si>
  <si>
    <t>2007-08</t>
  </si>
  <si>
    <t>2008-09</t>
  </si>
  <si>
    <t>2009-10</t>
  </si>
  <si>
    <t>2010-11</t>
  </si>
  <si>
    <t>2011-12</t>
  </si>
  <si>
    <t>2012-13</t>
  </si>
  <si>
    <t>2013-14</t>
  </si>
  <si>
    <t>2014-15</t>
  </si>
  <si>
    <t>2015-16</t>
  </si>
  <si>
    <t>2016-17</t>
  </si>
  <si>
    <t>Power and Water</t>
  </si>
  <si>
    <r>
      <rPr>
        <b/>
        <sz val="10"/>
        <color theme="4"/>
        <rFont val="Helvetica"/>
      </rPr>
      <t>Note</t>
    </r>
    <r>
      <rPr>
        <sz val="10"/>
        <color theme="4"/>
        <rFont val="Helvetica"/>
        <family val="2"/>
      </rPr>
      <t>: Distribution lines, Distribution substations and Distribution Switchgear are the three RAB asset classes in the RFM and PTRM models where captial contributions are forecast.</t>
    </r>
  </si>
  <si>
    <t>ACS Metering RAB asset classes to EB categories</t>
  </si>
  <si>
    <t>SCS RAB asset classes to EB categories</t>
  </si>
  <si>
    <t>Calculation Outputs - Allocation from RAB asset classes to EB categories</t>
  </si>
  <si>
    <t>The purpose of this model is to apply the AER's "Standard Approach" to disaggregate PWCs RAB into economic benchmarking categories</t>
  </si>
  <si>
    <t>Net Capex - LV Services</t>
  </si>
  <si>
    <t>Input - Standard Lives</t>
  </si>
  <si>
    <t>Output - Standard Lives - SCS</t>
  </si>
  <si>
    <t>CPI Assumptions and Associated Indexes</t>
  </si>
  <si>
    <t>CPI Assumptions</t>
  </si>
  <si>
    <t>CPI Indexation Calculations</t>
  </si>
  <si>
    <t>CPI Input</t>
  </si>
  <si>
    <t>ABS/RBA</t>
  </si>
  <si>
    <t>Real 2009 to Nominal</t>
  </si>
  <si>
    <t>Real 2013 to Nominal</t>
  </si>
  <si>
    <t>Real 2019 to Nominal</t>
  </si>
  <si>
    <t>Inflation Profiles</t>
  </si>
  <si>
    <t>Item</t>
  </si>
  <si>
    <t>RY05</t>
  </si>
  <si>
    <t>RY04</t>
  </si>
  <si>
    <t>RY03</t>
  </si>
  <si>
    <t>RY02</t>
  </si>
  <si>
    <t>Real 2002 to Nominal</t>
  </si>
  <si>
    <r>
      <rPr>
        <b/>
        <sz val="10"/>
        <color theme="1"/>
        <rFont val="Helvetica"/>
      </rPr>
      <t>Note</t>
    </r>
    <r>
      <rPr>
        <sz val="10"/>
        <color theme="1"/>
        <rFont val="Helvetica"/>
        <family val="2"/>
      </rPr>
      <t>: The inflation method used for RY13 to RY14 is in line with the UC decision and is based on the average of four quarters</t>
    </r>
  </si>
  <si>
    <r>
      <rPr>
        <b/>
        <sz val="10"/>
        <color theme="1"/>
        <rFont val="Helvetica"/>
      </rPr>
      <t>Note</t>
    </r>
    <r>
      <rPr>
        <sz val="10"/>
        <color theme="1"/>
        <rFont val="Helvetica"/>
        <family val="2"/>
      </rPr>
      <t>: Inflation rates for RY02 to RY13 are based on March quarter end i.e. RY13 equals movement between March 2012 to March 2013</t>
    </r>
  </si>
  <si>
    <r>
      <rPr>
        <b/>
        <sz val="10"/>
        <color theme="1"/>
        <rFont val="Helvetica"/>
      </rPr>
      <t>Note</t>
    </r>
    <r>
      <rPr>
        <sz val="10"/>
        <color theme="1"/>
        <rFont val="Helvetica"/>
        <family val="2"/>
      </rPr>
      <t>: The inflation rates used for RY15 to RY24 are based on inputs used in the RFM and PTRM models.</t>
    </r>
  </si>
  <si>
    <t>Partial lag method assumptions</t>
  </si>
  <si>
    <t>Lagged Inflation - RY13 to RY14</t>
  </si>
  <si>
    <t>Lagged profile - RY13 to RY14</t>
  </si>
  <si>
    <t>Real 2013 to Real 2014 - Lagged</t>
  </si>
  <si>
    <t>Real 2014 to Nominal - Lagged</t>
  </si>
  <si>
    <t>Check - Negative Balance</t>
  </si>
  <si>
    <t>PWC</t>
  </si>
  <si>
    <t>Adjustments - [Note these are mapped into Actual additions (recognised in RAB) within the RAB template as there is no adjustment line]</t>
  </si>
  <si>
    <t>Note: The 'Actual additions (recognised in RAB)' line item includes net capex and any end of regulatory period adjustments</t>
  </si>
  <si>
    <t>Power and Water Corporation (PWC) - RAB Allocation - EB RIN - DRAFT</t>
  </si>
  <si>
    <t>Property Leases</t>
  </si>
  <si>
    <t>Fleet Leases</t>
  </si>
  <si>
    <t>Fleet leases</t>
  </si>
  <si>
    <t xml:space="preserve">                                                             -  </t>
  </si>
  <si>
    <t xml:space="preserve">                                                                -  </t>
  </si>
  <si>
    <t xml:space="preserve">                                                                 -   </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</si>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</sst>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quot;$&quot;#,##0.0_);\(&quot;$&quot;#,##0.0\);_(&quot;-&quot;_)"/>
    <numFmt numFmtId="172" formatCode="0.0"/>
    <numFmt numFmtId="173" formatCode="[Red]\●;[Red]\●;[Color10]\●"/>
    <numFmt numFmtId="174" formatCode="[Green]\●;[Red]\●;[Color16]\●"/>
    <numFmt numFmtId="175" formatCode="_(#,##0.00_);\(#,##0.00\);_(&quot;-&quot;_)"/>
    <numFmt numFmtId="176" formatCode="_(#,##0.000_);\(#,##0.000\);_(&quot;-&quot;_)"/>
    <numFmt numFmtId="177" formatCode="_-* #,##0_-;[Red]\(#,##0\)_-;_-* &quot;-&quot;??_-;_-@_-"/>
    <numFmt numFmtId="178" formatCode="#,##0.000_ ;[Red]\-#,##0.000\ "/>
    <numFmt numFmtId="179" formatCode="_(* #,##0.00_);_(* \(#,##0.00\);_(* &quot;-&quot;??_);_(@_)"/>
    <numFmt numFmtId="180" formatCode="_-* #,##0_-;\-* #,##0_-;_-* &quot;-&quot;??_-;_-@_-"/>
    <numFmt numFmtId="181" formatCode="_-* #,##0.0_-;[Red]\(#,##0.0\)_-;_-* &quot;-&quot;??_-;_-@_-"/>
    <numFmt numFmtId="182" formatCode="_(#,##0.00%_);\(#,##0.00%\);_(&quot;-&quot;_)"/>
    <numFmt numFmtId="183" formatCode="_(#,##0.0000_);\(#,##0.0000\);_(&quot;-&quot;_)"/>
  </numFmts>
  <fonts count="96" x14ac:knownFonts="1">
    <font>
      <sz val="8"/>
      <color rgb="FFFF0066"/>
      <name val="Helvetica"/>
      <family val="2"/>
    </font>
    <font>
      <sz val="11"/>
      <color theme="1"/>
      <name val="Calibri"/>
      <family val="2"/>
      <scheme val="minor"/>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sz val="8"/>
      <color theme="4"/>
      <name val="Helvetica"/>
      <family val="2"/>
    </font>
    <font>
      <sz val="7"/>
      <color theme="4"/>
      <name val="Helvetica"/>
      <family val="2"/>
    </font>
    <font>
      <b/>
      <sz val="15"/>
      <color theme="4"/>
      <name val="Helvetica"/>
      <family val="2"/>
    </font>
    <font>
      <i/>
      <sz val="8"/>
      <color theme="6" tint="0.39994506668294322"/>
      <name val="Helvetica"/>
      <family val="2"/>
    </font>
    <font>
      <b/>
      <sz val="10"/>
      <color theme="1"/>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b/>
      <sz val="11"/>
      <color theme="4"/>
      <name val="Helvetica"/>
      <family val="2"/>
    </font>
    <font>
      <b/>
      <sz val="12"/>
      <color theme="0"/>
      <name val="Helvetica"/>
      <family val="2"/>
    </font>
    <font>
      <sz val="10"/>
      <name val="Helvetica"/>
      <family val="2"/>
    </font>
    <font>
      <b/>
      <sz val="10"/>
      <color theme="1"/>
      <name val="Helvetica"/>
    </font>
    <font>
      <b/>
      <sz val="10"/>
      <name val="Helvetica"/>
      <family val="2"/>
    </font>
    <font>
      <b/>
      <i/>
      <sz val="10"/>
      <color theme="4"/>
      <name val="Helvetica"/>
    </font>
    <font>
      <sz val="8"/>
      <name val="Helvetica"/>
      <family val="2"/>
    </font>
    <font>
      <sz val="8"/>
      <color rgb="FFFF0066"/>
      <name val="Helvetica"/>
      <family val="2"/>
    </font>
    <font>
      <sz val="10"/>
      <color theme="1"/>
      <name val="Helvetica"/>
      <family val="2"/>
    </font>
    <font>
      <sz val="8"/>
      <name val="Helvetica"/>
      <family val="2"/>
    </font>
    <font>
      <b/>
      <sz val="15"/>
      <color theme="4"/>
      <name val="Helvetica"/>
      <family val="2"/>
    </font>
    <font>
      <sz val="8"/>
      <color rgb="FFFF0066"/>
      <name val="Helvetica"/>
      <family val="2"/>
    </font>
    <font>
      <i/>
      <sz val="8"/>
      <color rgb="FF92D050"/>
      <name val="Helvetica"/>
      <family val="2"/>
    </font>
    <font>
      <u/>
      <sz val="8"/>
      <color theme="10"/>
      <name val="Helvetica"/>
      <family val="2"/>
    </font>
    <font>
      <b/>
      <sz val="10"/>
      <color theme="1"/>
      <name val="Helvetica"/>
      <family val="2"/>
    </font>
    <font>
      <sz val="10"/>
      <color theme="1"/>
      <name val="Helvetica"/>
      <family val="2"/>
    </font>
    <font>
      <b/>
      <sz val="10"/>
      <name val="Helvetica"/>
      <family val="2"/>
    </font>
    <font>
      <b/>
      <sz val="12"/>
      <color theme="0"/>
      <name val="Helvetica"/>
      <family val="2"/>
    </font>
    <font>
      <b/>
      <sz val="11"/>
      <color theme="4"/>
      <name val="Helvetica"/>
      <family val="2"/>
    </font>
    <font>
      <sz val="10"/>
      <color theme="4"/>
      <name val="Helvetica"/>
      <family val="2"/>
    </font>
    <font>
      <b/>
      <sz val="10"/>
      <color theme="1"/>
      <name val="Helvetica"/>
    </font>
    <font>
      <sz val="10"/>
      <name val="Arial"/>
      <family val="2"/>
    </font>
    <font>
      <i/>
      <sz val="8"/>
      <name val="Arial"/>
      <family val="2"/>
    </font>
    <font>
      <sz val="9"/>
      <color indexed="81"/>
      <name val="Tahoma"/>
      <family val="2"/>
    </font>
    <font>
      <b/>
      <sz val="9"/>
      <color indexed="81"/>
      <name val="Tahoma"/>
      <family val="2"/>
    </font>
    <font>
      <b/>
      <sz val="8"/>
      <color rgb="FFFF0066"/>
      <name val="Helvetica"/>
    </font>
    <font>
      <b/>
      <sz val="10"/>
      <name val="Helvetica"/>
    </font>
    <font>
      <sz val="11"/>
      <color theme="0"/>
      <name val="Calibri"/>
      <family val="2"/>
      <scheme val="minor"/>
    </font>
    <font>
      <b/>
      <sz val="16"/>
      <color indexed="9"/>
      <name val="Arial"/>
      <family val="2"/>
    </font>
    <font>
      <b/>
      <sz val="16"/>
      <color rgb="FFFFFFFF"/>
      <name val="Arial"/>
      <family val="2"/>
    </font>
    <font>
      <sz val="11"/>
      <name val="Calibri"/>
      <family val="2"/>
      <scheme val="minor"/>
    </font>
    <font>
      <b/>
      <sz val="11"/>
      <color rgb="FFFF0000"/>
      <name val="Calibri"/>
      <family val="2"/>
      <scheme val="minor"/>
    </font>
    <font>
      <i/>
      <sz val="11"/>
      <name val="Calibri"/>
      <family val="2"/>
      <scheme val="minor"/>
    </font>
    <font>
      <b/>
      <sz val="14"/>
      <color theme="0"/>
      <name val="Calibri"/>
      <family val="2"/>
      <scheme val="minor"/>
    </font>
    <font>
      <b/>
      <sz val="11"/>
      <color indexed="8"/>
      <name val="Calibri"/>
      <family val="2"/>
    </font>
    <font>
      <b/>
      <sz val="16"/>
      <color indexed="8"/>
      <name val="Calibri"/>
      <family val="2"/>
    </font>
    <font>
      <b/>
      <sz val="16"/>
      <color theme="1"/>
      <name val="Calibri"/>
      <family val="2"/>
      <scheme val="minor"/>
    </font>
    <font>
      <sz val="11"/>
      <color indexed="8"/>
      <name val="Calibri"/>
      <family val="2"/>
    </font>
    <font>
      <b/>
      <sz val="12"/>
      <color indexed="8"/>
      <name val="Calibri"/>
      <family val="2"/>
    </font>
    <font>
      <sz val="8"/>
      <name val="Helvetica"/>
      <family val="2"/>
    </font>
    <font>
      <b/>
      <sz val="15"/>
      <color theme="4"/>
      <name val="Helvetica"/>
      <family val="2"/>
    </font>
    <font>
      <sz val="8"/>
      <color rgb="FFFF0066"/>
      <name val="Helvetica"/>
      <family val="2"/>
    </font>
    <font>
      <i/>
      <sz val="8"/>
      <color rgb="FF92D050"/>
      <name val="Helvetica"/>
      <family val="2"/>
    </font>
    <font>
      <u/>
      <sz val="8"/>
      <color theme="10"/>
      <name val="Helvetica"/>
      <family val="2"/>
    </font>
    <font>
      <b/>
      <sz val="10"/>
      <color theme="1"/>
      <name val="Helvetica"/>
      <family val="2"/>
    </font>
    <font>
      <sz val="10"/>
      <color theme="1"/>
      <name val="Helvetica"/>
      <family val="2"/>
    </font>
    <font>
      <b/>
      <sz val="10"/>
      <name val="Helvetica"/>
      <family val="2"/>
    </font>
    <font>
      <b/>
      <sz val="12"/>
      <color theme="0"/>
      <name val="Helvetica"/>
      <family val="2"/>
    </font>
    <font>
      <b/>
      <sz val="11"/>
      <color theme="4"/>
      <name val="Helvetica"/>
      <family val="2"/>
    </font>
    <font>
      <b/>
      <sz val="10"/>
      <color theme="1"/>
      <name val="Helvetica"/>
    </font>
    <font>
      <sz val="10"/>
      <color theme="4"/>
      <name val="Helvetica"/>
      <family val="2"/>
    </font>
    <font>
      <sz val="8"/>
      <color rgb="FFFF0066"/>
      <name val="Helvetica"/>
      <family val="2"/>
    </font>
    <font>
      <b/>
      <sz val="15"/>
      <color theme="4"/>
      <name val="Helvetica"/>
      <family val="2"/>
    </font>
    <font>
      <b/>
      <sz val="10"/>
      <color theme="4"/>
      <name val="Helvetica"/>
      <family val="2"/>
    </font>
    <font>
      <sz val="10"/>
      <color theme="4"/>
      <name val="Helvetica"/>
      <family val="2"/>
    </font>
    <font>
      <b/>
      <sz val="10"/>
      <name val="Helvetica"/>
      <family val="2"/>
    </font>
    <font>
      <b/>
      <sz val="8"/>
      <color theme="0"/>
      <name val="Helvetica"/>
      <family val="2"/>
    </font>
    <font>
      <b/>
      <sz val="8"/>
      <color theme="4"/>
      <name val="Helvetica"/>
      <family val="2"/>
    </font>
    <font>
      <sz val="8"/>
      <name val="Helvetica"/>
      <family val="2"/>
    </font>
    <font>
      <u/>
      <sz val="8"/>
      <color theme="10"/>
      <name val="Helvetica"/>
      <family val="2"/>
    </font>
    <font>
      <b/>
      <sz val="10"/>
      <color theme="5"/>
      <name val="Helvetica"/>
      <family val="2"/>
    </font>
    <font>
      <b/>
      <sz val="10"/>
      <color theme="4"/>
      <name val="Helvetica"/>
    </font>
    <font>
      <sz val="10"/>
      <color theme="4"/>
      <name val="Helvetica"/>
    </font>
    <font>
      <sz val="10"/>
      <color theme="1"/>
      <name val="Helvetica"/>
    </font>
    <font>
      <b/>
      <i/>
      <sz val="11"/>
      <color rgb="FFFF0000"/>
      <name val="Calibri"/>
      <family val="2"/>
    </font>
  </fonts>
  <fills count="32">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
      <patternFill patternType="solid">
        <fgColor indexed="9"/>
        <bgColor indexed="64"/>
      </patternFill>
    </fill>
    <fill>
      <patternFill patternType="solid">
        <fgColor theme="0"/>
        <bgColor indexed="64"/>
      </patternFill>
    </fill>
    <fill>
      <patternFill patternType="solid">
        <fgColor indexed="8"/>
        <bgColor indexed="64"/>
      </patternFill>
    </fill>
    <fill>
      <patternFill patternType="solid">
        <fgColor theme="1"/>
        <bgColor indexed="64"/>
      </patternFill>
    </fill>
    <fill>
      <patternFill patternType="solid">
        <fgColor rgb="FF808080"/>
        <bgColor rgb="FF000000"/>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6" tint="0.39997558519241921"/>
        <bgColor indexed="64"/>
      </patternFill>
    </fill>
    <fill>
      <patternFill patternType="lightUp">
        <bgColor auto="1"/>
      </patternFill>
    </fill>
  </fills>
  <borders count="10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auto="1"/>
      </left>
      <right style="dotted">
        <color auto="1"/>
      </right>
      <top/>
      <bottom/>
      <diagonal/>
    </border>
    <border>
      <left style="dotted">
        <color auto="1"/>
      </left>
      <right/>
      <top/>
      <bottom style="thin">
        <color auto="1"/>
      </bottom>
      <diagonal/>
    </border>
    <border>
      <left/>
      <right style="dotted">
        <color auto="1"/>
      </right>
      <top/>
      <bottom style="thin">
        <color auto="1"/>
      </bottom>
      <diagonal/>
    </border>
    <border>
      <left style="dotted">
        <color auto="1"/>
      </left>
      <right/>
      <top/>
      <bottom/>
      <diagonal/>
    </border>
    <border>
      <left/>
      <right style="dotted">
        <color auto="1"/>
      </right>
      <top/>
      <bottom/>
      <diagonal/>
    </border>
    <border>
      <left style="dotted">
        <color auto="1"/>
      </left>
      <right style="thin">
        <color theme="0"/>
      </right>
      <top style="thin">
        <color theme="0"/>
      </top>
      <bottom style="thin">
        <color theme="0"/>
      </bottom>
      <diagonal/>
    </border>
    <border>
      <left style="thin">
        <color theme="0"/>
      </left>
      <right style="dotted">
        <color auto="1"/>
      </right>
      <top style="thin">
        <color theme="0"/>
      </top>
      <bottom style="thin">
        <color theme="0"/>
      </bottom>
      <diagonal/>
    </border>
    <border>
      <left style="dotted">
        <color auto="1"/>
      </left>
      <right/>
      <top style="thin">
        <color auto="1"/>
      </top>
      <bottom/>
      <diagonal/>
    </border>
    <border>
      <left/>
      <right style="dotted">
        <color auto="1"/>
      </right>
      <top style="thin">
        <color auto="1"/>
      </top>
      <bottom/>
      <diagonal/>
    </border>
    <border>
      <left style="dotted">
        <color auto="1"/>
      </left>
      <right/>
      <top style="thin">
        <color theme="0"/>
      </top>
      <bottom style="thin">
        <color theme="0"/>
      </bottom>
      <diagonal/>
    </border>
    <border>
      <left/>
      <right style="dotted">
        <color auto="1"/>
      </right>
      <top style="thin">
        <color theme="0"/>
      </top>
      <bottom style="thin">
        <color theme="0"/>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style="dotted">
        <color auto="1"/>
      </right>
      <top style="thin">
        <color auto="1"/>
      </top>
      <bottom/>
      <diagonal/>
    </border>
    <border>
      <left style="thin">
        <color theme="0"/>
      </left>
      <right/>
      <top style="thin">
        <color theme="0"/>
      </top>
      <bottom style="thin">
        <color theme="0"/>
      </bottom>
      <diagonal/>
    </border>
    <border>
      <left style="dotted">
        <color auto="1"/>
      </left>
      <right style="dotted">
        <color auto="1"/>
      </right>
      <top style="thin">
        <color theme="0"/>
      </top>
      <bottom style="thin">
        <color theme="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auto="1"/>
      </left>
      <right style="thin">
        <color theme="0" tint="-0.24994659260841701"/>
      </right>
      <top style="medium">
        <color auto="1"/>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auto="1"/>
      </left>
      <right style="thin">
        <color indexed="64"/>
      </right>
      <top style="medium">
        <color auto="1"/>
      </top>
      <bottom style="thin">
        <color theme="0" tint="-0.34998626667073579"/>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style="medium">
        <color auto="1"/>
      </left>
      <right style="medium">
        <color indexed="64"/>
      </right>
      <top style="thin">
        <color theme="0" tint="-0.34998626667073579"/>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style="thin">
        <color theme="0" tint="-0.24994659260841701"/>
      </right>
      <top style="thin">
        <color theme="0" tint="-0.24994659260841701"/>
      </top>
      <bottom style="medium">
        <color auto="1"/>
      </bottom>
      <diagonal/>
    </border>
    <border>
      <left style="thin">
        <color theme="0" tint="-0.24994659260841701"/>
      </left>
      <right/>
      <top style="thin">
        <color theme="0" tint="-0.24994659260841701"/>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theme="0" tint="-0.24994659260841701"/>
      </left>
      <right style="thin">
        <color indexed="64"/>
      </right>
      <top style="medium">
        <color auto="1"/>
      </top>
      <bottom style="medium">
        <color indexed="64"/>
      </bottom>
      <diagonal/>
    </border>
    <border>
      <left style="thin">
        <color theme="0" tint="-0.24994659260841701"/>
      </left>
      <right/>
      <top style="medium">
        <color auto="1"/>
      </top>
      <bottom style="medium">
        <color indexed="64"/>
      </bottom>
      <diagonal/>
    </border>
    <border>
      <left style="thin">
        <color theme="0" tint="-0.24994659260841701"/>
      </left>
      <right style="medium">
        <color indexed="64"/>
      </right>
      <top style="medium">
        <color auto="1"/>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style="medium">
        <color indexed="64"/>
      </bottom>
      <diagonal/>
    </border>
    <border>
      <left/>
      <right/>
      <top style="thin">
        <color theme="0" tint="-0.24994659260841701"/>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right/>
      <top/>
      <bottom style="medium">
        <color auto="1"/>
      </bottom>
      <diagonal/>
    </border>
    <border>
      <left/>
      <right style="thin">
        <color theme="0" tint="-0.24994659260841701"/>
      </right>
      <top style="medium">
        <color indexed="64"/>
      </top>
      <bottom style="thin">
        <color theme="0" tint="-0.2499465926084170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dotted">
        <color auto="1"/>
      </left>
      <right style="thin">
        <color theme="0"/>
      </right>
      <top style="dotted">
        <color auto="1"/>
      </top>
      <bottom style="dotted">
        <color auto="1"/>
      </bottom>
      <diagonal/>
    </border>
    <border>
      <left style="thin">
        <color theme="0"/>
      </left>
      <right style="dotted">
        <color auto="1"/>
      </right>
      <top style="dotted">
        <color auto="1"/>
      </top>
      <bottom style="dotted">
        <color auto="1"/>
      </bottom>
      <diagonal/>
    </border>
    <border>
      <left/>
      <right style="dotted">
        <color theme="1"/>
      </right>
      <top/>
      <bottom style="thin">
        <color auto="1"/>
      </bottom>
      <diagonal/>
    </border>
    <border>
      <left style="dotted">
        <color theme="1"/>
      </left>
      <right/>
      <top/>
      <bottom style="thin">
        <color auto="1"/>
      </bottom>
      <diagonal/>
    </border>
    <border>
      <left/>
      <right style="dotted">
        <color theme="1"/>
      </right>
      <top/>
      <bottom/>
      <diagonal/>
    </border>
    <border>
      <left style="dotted">
        <color theme="1"/>
      </left>
      <right/>
      <top/>
      <bottom/>
      <diagonal/>
    </border>
    <border>
      <left style="thin">
        <color theme="0"/>
      </left>
      <right style="dotted">
        <color theme="1"/>
      </right>
      <top style="thin">
        <color theme="0"/>
      </top>
      <bottom style="thin">
        <color theme="0"/>
      </bottom>
      <diagonal/>
    </border>
    <border>
      <left style="dotted">
        <color theme="1"/>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style="thin">
        <color theme="0"/>
      </bottom>
      <diagonal/>
    </border>
  </borders>
  <cellStyleXfs count="65">
    <xf numFmtId="0" fontId="0" fillId="0" borderId="0"/>
    <xf numFmtId="168" fontId="3" fillId="0" borderId="0" applyFill="0" applyBorder="0" applyProtection="0">
      <alignment vertical="center"/>
    </xf>
    <xf numFmtId="0" fontId="7" fillId="0" borderId="0" applyNumberFormat="0" applyFill="0" applyBorder="0" applyAlignment="0" applyProtection="0"/>
    <xf numFmtId="0" fontId="32" fillId="11" borderId="0" applyBorder="0">
      <alignment horizontal="left" vertical="center"/>
    </xf>
    <xf numFmtId="0" fontId="2" fillId="3" borderId="0" applyProtection="0">
      <alignment vertical="center"/>
    </xf>
    <xf numFmtId="0" fontId="4" fillId="0" borderId="0" applyFill="0" applyProtection="0">
      <alignment vertical="center"/>
    </xf>
    <xf numFmtId="0" fontId="3" fillId="0" borderId="0" applyFill="0" applyBorder="0" applyProtection="0">
      <alignment vertical="center"/>
    </xf>
    <xf numFmtId="0" fontId="5" fillId="0" borderId="5" applyNumberFormat="0" applyFill="0" applyAlignment="0" applyProtection="0"/>
    <xf numFmtId="0" fontId="28" fillId="12" borderId="4">
      <alignment horizontal="left" vertical="center"/>
      <protection locked="0"/>
    </xf>
    <xf numFmtId="164" fontId="27" fillId="0" borderId="0" applyFill="0" applyBorder="0">
      <alignment horizontal="center" vertical="center"/>
    </xf>
    <xf numFmtId="164" fontId="28" fillId="2" borderId="4">
      <alignment horizontal="center" vertical="center"/>
      <protection locked="0"/>
    </xf>
    <xf numFmtId="170" fontId="27" fillId="0" borderId="0" applyFill="0" applyBorder="0">
      <alignment horizontal="center" vertical="center"/>
    </xf>
    <xf numFmtId="170" fontId="28" fillId="12" borderId="4">
      <alignment horizontal="center" vertical="center"/>
      <protection locked="0"/>
    </xf>
    <xf numFmtId="165" fontId="27" fillId="0" borderId="0" applyFill="0" applyBorder="0">
      <alignment horizontal="right" vertical="center"/>
    </xf>
    <xf numFmtId="165" fontId="28" fillId="12" borderId="4">
      <alignment horizontal="right" vertical="center"/>
      <protection locked="0"/>
    </xf>
    <xf numFmtId="167" fontId="27" fillId="0" borderId="0" applyFill="0" applyBorder="0">
      <alignment horizontal="right" vertical="center"/>
    </xf>
    <xf numFmtId="167" fontId="28" fillId="12" borderId="4">
      <alignment horizontal="right" vertical="center"/>
      <protection locked="0"/>
    </xf>
    <xf numFmtId="166" fontId="27" fillId="0" borderId="0" applyFill="0" applyBorder="0">
      <alignment horizontal="right" vertical="center"/>
    </xf>
    <xf numFmtId="166" fontId="28" fillId="12" borderId="4">
      <alignment horizontal="right" vertical="center"/>
      <protection locked="0"/>
    </xf>
    <xf numFmtId="168" fontId="28" fillId="12" borderId="4">
      <alignment horizontal="right" vertical="center"/>
      <protection locked="0"/>
    </xf>
    <xf numFmtId="0" fontId="24" fillId="0" borderId="0" applyFill="0" applyBorder="0">
      <alignment horizontal="left" vertical="center"/>
    </xf>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6" applyNumberFormat="0" applyAlignment="0" applyProtection="0"/>
    <xf numFmtId="0" fontId="12" fillId="8" borderId="7" applyNumberFormat="0" applyAlignment="0" applyProtection="0"/>
    <xf numFmtId="0" fontId="13" fillId="8" borderId="6" applyNumberFormat="0" applyAlignment="0" applyProtection="0"/>
    <xf numFmtId="0" fontId="14" fillId="0" borderId="8" applyNumberFormat="0" applyFill="0" applyAlignment="0" applyProtection="0"/>
    <xf numFmtId="0" fontId="15" fillId="9" borderId="9" applyNumberFormat="0" applyAlignment="0" applyProtection="0"/>
    <xf numFmtId="0" fontId="16" fillId="0" borderId="0" applyNumberFormat="0" applyFill="0" applyBorder="0" applyAlignment="0" applyProtection="0"/>
    <xf numFmtId="0" fontId="3" fillId="10" borderId="10" applyNumberFormat="0" applyFont="0" applyAlignment="0" applyProtection="0"/>
    <xf numFmtId="0" fontId="17" fillId="0" borderId="0" applyNumberFormat="0" applyFill="0" applyBorder="0" applyAlignment="0" applyProtection="0"/>
    <xf numFmtId="0" fontId="18" fillId="0" borderId="0" applyNumberFormat="0" applyFill="0" applyBorder="0">
      <alignment horizontal="left" vertical="center"/>
    </xf>
    <xf numFmtId="0" fontId="19" fillId="0" borderId="0" applyFill="0" applyBorder="0">
      <alignment vertical="center"/>
    </xf>
    <xf numFmtId="0" fontId="29" fillId="0" borderId="0" applyFill="0" applyBorder="0">
      <alignment horizontal="left" vertical="center"/>
    </xf>
    <xf numFmtId="0" fontId="35" fillId="0" borderId="0" applyFill="0" applyBorder="0">
      <alignment horizontal="left" vertical="center"/>
    </xf>
    <xf numFmtId="0" fontId="28" fillId="0" borderId="0" applyFill="0" applyBorder="0">
      <alignment horizontal="left" vertical="center"/>
    </xf>
    <xf numFmtId="0" fontId="27" fillId="0" borderId="0" applyFill="0" applyBorder="0">
      <alignment vertical="center"/>
    </xf>
    <xf numFmtId="0" fontId="31" fillId="15" borderId="0" applyBorder="0">
      <alignment horizontal="left" vertical="center"/>
    </xf>
    <xf numFmtId="0" fontId="30" fillId="15" borderId="0" applyBorder="0">
      <alignment horizontal="left" vertical="center"/>
    </xf>
    <xf numFmtId="171" fontId="27" fillId="0" borderId="0" applyFill="0" applyBorder="0">
      <alignment horizontal="right" vertical="center"/>
    </xf>
    <xf numFmtId="0" fontId="23" fillId="0" borderId="0">
      <alignment horizontal="right" vertical="center"/>
    </xf>
    <xf numFmtId="0" fontId="21" fillId="13" borderId="0">
      <alignment horizontal="left" indent="3"/>
    </xf>
    <xf numFmtId="0" fontId="21" fillId="14" borderId="0">
      <alignment horizontal="left" indent="3"/>
    </xf>
    <xf numFmtId="173" fontId="6" fillId="0" borderId="0">
      <alignment horizontal="center" vertical="center"/>
    </xf>
    <xf numFmtId="174" fontId="22" fillId="12" borderId="4">
      <alignment horizontal="center" vertical="center"/>
      <protection locked="0"/>
    </xf>
    <xf numFmtId="174" fontId="6" fillId="0" borderId="0"/>
    <xf numFmtId="165" fontId="28" fillId="0" borderId="0" applyFill="0" applyBorder="0">
      <alignment horizontal="right" vertical="center"/>
    </xf>
    <xf numFmtId="170" fontId="28" fillId="0" borderId="0" applyFill="0" applyBorder="0">
      <alignment horizontal="center" vertical="center"/>
    </xf>
    <xf numFmtId="171" fontId="28" fillId="0" borderId="0" applyFill="0" applyBorder="0">
      <alignment horizontal="right" vertical="center"/>
    </xf>
    <xf numFmtId="166" fontId="28" fillId="0" borderId="0" applyFill="0" applyBorder="0">
      <alignment horizontal="right" vertical="center"/>
    </xf>
    <xf numFmtId="167" fontId="28" fillId="0" borderId="0" applyFill="0" applyBorder="0">
      <alignment horizontal="right" vertical="center"/>
    </xf>
    <xf numFmtId="164" fontId="28" fillId="0" borderId="0" applyFill="0" applyBorder="0">
      <alignment horizontal="center" vertical="center"/>
    </xf>
    <xf numFmtId="0" fontId="28" fillId="16" borderId="4">
      <alignment horizontal="center" vertical="center"/>
      <protection locked="0"/>
    </xf>
    <xf numFmtId="0" fontId="6" fillId="17" borderId="0"/>
    <xf numFmtId="165" fontId="33" fillId="3" borderId="4">
      <alignment horizontal="right" vertical="center"/>
      <protection locked="0"/>
    </xf>
    <xf numFmtId="0" fontId="52" fillId="0" borderId="0"/>
    <xf numFmtId="0" fontId="1" fillId="0" borderId="0"/>
    <xf numFmtId="0" fontId="60" fillId="22" borderId="0">
      <alignment horizontal="left" vertical="center"/>
      <protection locked="0"/>
    </xf>
    <xf numFmtId="0" fontId="52" fillId="0" borderId="0"/>
    <xf numFmtId="0" fontId="15" fillId="21" borderId="0">
      <alignment vertical="center"/>
      <protection locked="0"/>
    </xf>
    <xf numFmtId="177" fontId="61" fillId="27" borderId="48" applyBorder="0">
      <alignment horizontal="right"/>
      <protection locked="0"/>
    </xf>
    <xf numFmtId="177" fontId="5" fillId="28" borderId="61" applyBorder="0"/>
    <xf numFmtId="179" fontId="1" fillId="0" borderId="0" applyFont="0" applyFill="0" applyBorder="0" applyAlignment="0" applyProtection="0"/>
    <xf numFmtId="181" fontId="61" fillId="27" borderId="48" applyBorder="0">
      <alignment horizontal="right"/>
      <protection locked="0"/>
    </xf>
  </cellStyleXfs>
  <cellXfs count="409">
    <xf numFmtId="0" fontId="0" fillId="0" borderId="0" xfId="0"/>
    <xf numFmtId="0" fontId="0" fillId="0" borderId="0" xfId="0" applyFont="1"/>
    <xf numFmtId="0" fontId="0" fillId="0" borderId="0" xfId="0" applyFont="1" applyFill="1"/>
    <xf numFmtId="0" fontId="0" fillId="0" borderId="0" xfId="0" applyFont="1" applyFill="1" applyAlignment="1">
      <alignment horizontal="left"/>
    </xf>
    <xf numFmtId="0" fontId="32" fillId="11" borderId="0" xfId="3">
      <alignment horizontal="left" vertical="center"/>
    </xf>
    <xf numFmtId="0" fontId="24" fillId="0" borderId="0" xfId="20">
      <alignment horizontal="left" vertical="center"/>
    </xf>
    <xf numFmtId="0" fontId="0" fillId="0" borderId="0" xfId="0" applyFont="1" applyFill="1"/>
    <xf numFmtId="0" fontId="0" fillId="0" borderId="0" xfId="0" applyFont="1"/>
    <xf numFmtId="0" fontId="29" fillId="0" borderId="0" xfId="34">
      <alignment horizontal="left" vertical="center"/>
    </xf>
    <xf numFmtId="0" fontId="0" fillId="0" borderId="0" xfId="0"/>
    <xf numFmtId="0" fontId="35" fillId="0" borderId="0" xfId="35" applyFill="1">
      <alignment horizontal="left" vertical="center"/>
    </xf>
    <xf numFmtId="0" fontId="28" fillId="0" borderId="0" xfId="36">
      <alignment horizontal="left" vertical="center"/>
    </xf>
    <xf numFmtId="0" fontId="27" fillId="0" borderId="0" xfId="37">
      <alignment vertical="center"/>
    </xf>
    <xf numFmtId="0" fontId="31" fillId="15" borderId="0" xfId="38">
      <alignment horizontal="left" vertical="center"/>
    </xf>
    <xf numFmtId="0" fontId="29" fillId="0" borderId="0" xfId="34" applyFill="1">
      <alignment horizontal="left" vertical="center"/>
    </xf>
    <xf numFmtId="0" fontId="27" fillId="0" borderId="0" xfId="37" applyFill="1">
      <alignment vertical="center"/>
    </xf>
    <xf numFmtId="0" fontId="28" fillId="0" borderId="0" xfId="36" applyFill="1">
      <alignment horizontal="left" vertical="center"/>
    </xf>
    <xf numFmtId="0" fontId="28" fillId="0" borderId="1" xfId="36" applyBorder="1" applyAlignment="1">
      <alignment horizontal="center" vertical="center"/>
    </xf>
    <xf numFmtId="0" fontId="20" fillId="0" borderId="0" xfId="37" applyFont="1" applyFill="1">
      <alignment vertical="center"/>
    </xf>
    <xf numFmtId="0" fontId="28" fillId="0" borderId="0" xfId="36" applyAlignment="1">
      <alignment horizontal="right" vertical="center"/>
    </xf>
    <xf numFmtId="0" fontId="29" fillId="0" borderId="0" xfId="34" applyAlignment="1">
      <alignment horizontal="center" vertical="center"/>
    </xf>
    <xf numFmtId="0" fontId="0" fillId="0" borderId="0" xfId="0" applyFont="1" applyAlignment="1">
      <alignment horizontal="center"/>
    </xf>
    <xf numFmtId="0" fontId="28" fillId="0" borderId="0" xfId="36" applyAlignment="1">
      <alignment horizontal="center" vertical="center"/>
    </xf>
    <xf numFmtId="4" fontId="0" fillId="0" borderId="0" xfId="0" applyNumberFormat="1" applyFont="1"/>
    <xf numFmtId="172" fontId="0" fillId="0" borderId="0" xfId="0" applyNumberFormat="1" applyFont="1"/>
    <xf numFmtId="0" fontId="32" fillId="11" borderId="0" xfId="3" applyFill="1">
      <alignment horizontal="left" vertical="center"/>
    </xf>
    <xf numFmtId="0" fontId="28" fillId="12" borderId="4" xfId="8" applyBorder="1">
      <alignment horizontal="left" vertical="center"/>
      <protection locked="0"/>
    </xf>
    <xf numFmtId="0" fontId="25" fillId="0" borderId="0" xfId="37" applyFont="1" applyFill="1">
      <alignment vertical="center"/>
    </xf>
    <xf numFmtId="0" fontId="28" fillId="0" borderId="0" xfId="36" applyAlignment="1">
      <alignment horizontal="left" vertical="center" indent="1"/>
    </xf>
    <xf numFmtId="169" fontId="27" fillId="0" borderId="0" xfId="13" applyNumberFormat="1">
      <alignment horizontal="right" vertical="center"/>
    </xf>
    <xf numFmtId="173" fontId="6" fillId="0" borderId="0" xfId="44" applyAlignment="1">
      <alignment horizontal="center"/>
    </xf>
    <xf numFmtId="173" fontId="6" fillId="0" borderId="3" xfId="44" applyBorder="1" applyAlignment="1">
      <alignment horizontal="center"/>
    </xf>
    <xf numFmtId="0" fontId="27" fillId="0" borderId="3" xfId="37" applyBorder="1">
      <alignment vertical="center"/>
    </xf>
    <xf numFmtId="0" fontId="0" fillId="0" borderId="0" xfId="0" applyAlignment="1"/>
    <xf numFmtId="0" fontId="26" fillId="0" borderId="0" xfId="3" applyFont="1" applyFill="1">
      <alignment horizontal="left" vertical="center"/>
    </xf>
    <xf numFmtId="0" fontId="18" fillId="0" borderId="0" xfId="32">
      <alignment horizontal="left" vertical="center"/>
    </xf>
    <xf numFmtId="0" fontId="6" fillId="17" borderId="0" xfId="54"/>
    <xf numFmtId="0" fontId="18" fillId="0" borderId="0" xfId="32" applyFill="1">
      <alignment horizontal="left" vertical="center"/>
    </xf>
    <xf numFmtId="170" fontId="28" fillId="0" borderId="1" xfId="48" applyBorder="1">
      <alignment horizontal="center" vertical="center"/>
    </xf>
    <xf numFmtId="170" fontId="27" fillId="0" borderId="0" xfId="11" applyAlignment="1">
      <alignment horizontal="right" vertical="center"/>
    </xf>
    <xf numFmtId="0" fontId="35" fillId="0" borderId="0" xfId="35" applyAlignment="1">
      <alignment horizontal="right" vertical="center"/>
    </xf>
    <xf numFmtId="0" fontId="35" fillId="0" borderId="0" xfId="35" applyAlignment="1">
      <alignment horizontal="center" vertical="center"/>
    </xf>
    <xf numFmtId="170" fontId="27" fillId="0" borderId="0" xfId="11" applyAlignment="1">
      <alignment horizontal="center" vertical="center"/>
    </xf>
    <xf numFmtId="169" fontId="27" fillId="0" borderId="0" xfId="13" applyNumberFormat="1" applyAlignment="1">
      <alignment horizontal="center" vertical="center"/>
    </xf>
    <xf numFmtId="0" fontId="27" fillId="0" borderId="0" xfId="37" applyAlignment="1">
      <alignment horizontal="center" vertical="center"/>
    </xf>
    <xf numFmtId="0" fontId="35" fillId="0" borderId="2" xfId="35" applyBorder="1" applyAlignment="1">
      <alignment horizontal="center" vertical="center"/>
    </xf>
    <xf numFmtId="165" fontId="34" fillId="0" borderId="3" xfId="13" applyFont="1" applyFill="1" applyBorder="1" applyAlignment="1">
      <alignment horizontal="center" vertical="center"/>
    </xf>
    <xf numFmtId="0" fontId="35" fillId="0" borderId="3" xfId="35" applyFill="1" applyBorder="1" applyAlignment="1">
      <alignment horizontal="center" vertical="center"/>
    </xf>
    <xf numFmtId="0" fontId="28" fillId="0" borderId="0" xfId="36" applyFill="1" applyAlignment="1">
      <alignment horizontal="center" vertical="center"/>
    </xf>
    <xf numFmtId="173" fontId="6" fillId="0" borderId="0" xfId="44" applyBorder="1" applyAlignment="1">
      <alignment horizontal="center" vertical="center"/>
    </xf>
    <xf numFmtId="0" fontId="35" fillId="0" borderId="2" xfId="35" applyBorder="1">
      <alignment horizontal="left" vertical="center"/>
    </xf>
    <xf numFmtId="0" fontId="35" fillId="0" borderId="3" xfId="35" applyFill="1" applyBorder="1">
      <alignment horizontal="left" vertical="center"/>
    </xf>
    <xf numFmtId="0" fontId="27" fillId="0" borderId="0" xfId="37" applyFill="1" applyAlignment="1">
      <alignment horizontal="center" vertical="center"/>
    </xf>
    <xf numFmtId="173" fontId="6" fillId="0" borderId="0" xfId="44" applyBorder="1" applyAlignment="1">
      <alignment horizontal="center"/>
    </xf>
    <xf numFmtId="0" fontId="35" fillId="0" borderId="18" xfId="35" applyBorder="1" applyAlignment="1">
      <alignment horizontal="center" vertical="center"/>
    </xf>
    <xf numFmtId="0" fontId="35" fillId="0" borderId="19" xfId="35" applyBorder="1" applyAlignment="1">
      <alignment horizontal="center" vertical="center"/>
    </xf>
    <xf numFmtId="0" fontId="0" fillId="0" borderId="20" xfId="0" applyFont="1" applyBorder="1"/>
    <xf numFmtId="0" fontId="0" fillId="0" borderId="0" xfId="0" applyFont="1" applyBorder="1"/>
    <xf numFmtId="0" fontId="0" fillId="0" borderId="21" xfId="0" applyFont="1" applyBorder="1"/>
    <xf numFmtId="165" fontId="28" fillId="12" borderId="22" xfId="14" applyBorder="1" applyAlignment="1">
      <alignment horizontal="center" vertical="center"/>
      <protection locked="0"/>
    </xf>
    <xf numFmtId="165" fontId="28" fillId="12" borderId="4" xfId="14" applyBorder="1" applyAlignment="1">
      <alignment horizontal="center" vertical="center"/>
      <protection locked="0"/>
    </xf>
    <xf numFmtId="165" fontId="28" fillId="12" borderId="23" xfId="14" applyBorder="1" applyAlignment="1">
      <alignment horizontal="center" vertical="center"/>
      <protection locked="0"/>
    </xf>
    <xf numFmtId="165" fontId="34" fillId="0" borderId="24" xfId="13" applyFont="1" applyFill="1" applyBorder="1" applyAlignment="1">
      <alignment horizontal="center" vertical="center"/>
    </xf>
    <xf numFmtId="165" fontId="34" fillId="0" borderId="25" xfId="13" applyFont="1" applyFill="1" applyBorder="1" applyAlignment="1">
      <alignment horizontal="center" vertical="center"/>
    </xf>
    <xf numFmtId="165" fontId="28" fillId="12" borderId="26" xfId="14" applyBorder="1" applyAlignment="1">
      <alignment horizontal="center" vertical="center"/>
      <protection locked="0"/>
    </xf>
    <xf numFmtId="165" fontId="28" fillId="12" borderId="27" xfId="14" applyBorder="1" applyAlignment="1">
      <alignment horizontal="center" vertical="center"/>
      <protection locked="0"/>
    </xf>
    <xf numFmtId="165" fontId="27" fillId="0" borderId="20" xfId="13" applyFill="1" applyBorder="1" applyAlignment="1">
      <alignment horizontal="center" vertical="center"/>
    </xf>
    <xf numFmtId="165" fontId="27" fillId="0" borderId="0" xfId="13" applyFill="1" applyBorder="1" applyAlignment="1">
      <alignment horizontal="center" vertical="center"/>
    </xf>
    <xf numFmtId="165" fontId="27" fillId="0" borderId="21" xfId="13" applyFill="1" applyBorder="1" applyAlignment="1">
      <alignment horizontal="center" vertical="center"/>
    </xf>
    <xf numFmtId="0" fontId="35" fillId="0" borderId="0" xfId="35" applyFill="1" applyAlignment="1">
      <alignment horizontal="center" vertical="center" wrapText="1"/>
    </xf>
    <xf numFmtId="173" fontId="6" fillId="0" borderId="0" xfId="44" applyFill="1" applyBorder="1" applyAlignment="1">
      <alignment horizontal="center" vertical="center"/>
    </xf>
    <xf numFmtId="165" fontId="27" fillId="0" borderId="28" xfId="13" applyFill="1" applyBorder="1" applyAlignment="1">
      <alignment horizontal="center" vertical="center"/>
    </xf>
    <xf numFmtId="165" fontId="27" fillId="0" borderId="17" xfId="13" applyFill="1" applyBorder="1" applyAlignment="1">
      <alignment horizontal="center" vertical="center"/>
    </xf>
    <xf numFmtId="165" fontId="27" fillId="0" borderId="29" xfId="13" applyFill="1" applyBorder="1" applyAlignment="1">
      <alignment horizontal="center" vertical="center"/>
    </xf>
    <xf numFmtId="167" fontId="27" fillId="0" borderId="0" xfId="15" applyAlignment="1">
      <alignment horizontal="center" vertical="center"/>
    </xf>
    <xf numFmtId="165" fontId="28" fillId="12" borderId="4" xfId="14" applyAlignment="1">
      <alignment horizontal="center" vertical="center"/>
      <protection locked="0"/>
    </xf>
    <xf numFmtId="167" fontId="27" fillId="0" borderId="0" xfId="15" applyFill="1" applyAlignment="1">
      <alignment horizontal="center" vertical="center"/>
    </xf>
    <xf numFmtId="167" fontId="28" fillId="12" borderId="4" xfId="16" applyAlignment="1">
      <alignment horizontal="center" vertical="center"/>
      <protection locked="0"/>
    </xf>
    <xf numFmtId="167" fontId="27" fillId="0" borderId="1" xfId="15" applyFill="1" applyBorder="1" applyAlignment="1">
      <alignment horizontal="center" vertical="center"/>
    </xf>
    <xf numFmtId="0" fontId="29" fillId="0" borderId="0" xfId="34" applyFill="1" applyAlignment="1">
      <alignment horizontal="left"/>
    </xf>
    <xf numFmtId="0" fontId="6" fillId="17" borderId="28" xfId="54" applyBorder="1"/>
    <xf numFmtId="0" fontId="6" fillId="17" borderId="17" xfId="54" applyBorder="1"/>
    <xf numFmtId="0" fontId="6" fillId="17" borderId="29" xfId="54" applyBorder="1"/>
    <xf numFmtId="173" fontId="37" fillId="0" borderId="0" xfId="44" applyFont="1" applyBorder="1" applyAlignment="1">
      <alignment horizontal="center" vertical="center"/>
    </xf>
    <xf numFmtId="0" fontId="39" fillId="0" borderId="0" xfId="37" applyFont="1" applyFill="1">
      <alignment vertical="center"/>
    </xf>
    <xf numFmtId="0" fontId="38" fillId="0" borderId="0" xfId="0" applyFont="1" applyFill="1"/>
    <xf numFmtId="173" fontId="37" fillId="0" borderId="0" xfId="44" applyFont="1" applyFill="1" applyBorder="1" applyAlignment="1">
      <alignment horizontal="center" vertical="center"/>
    </xf>
    <xf numFmtId="173" fontId="37" fillId="0" borderId="20" xfId="44" applyFont="1" applyFill="1" applyBorder="1" applyAlignment="1">
      <alignment horizontal="center" vertical="center"/>
    </xf>
    <xf numFmtId="173" fontId="37" fillId="0" borderId="21" xfId="44" applyFont="1" applyFill="1" applyBorder="1" applyAlignment="1">
      <alignment horizontal="center" vertical="center"/>
    </xf>
    <xf numFmtId="173" fontId="37" fillId="0" borderId="17" xfId="44" applyFont="1" applyFill="1" applyBorder="1" applyAlignment="1">
      <alignment horizontal="center" vertical="center"/>
    </xf>
    <xf numFmtId="0" fontId="35" fillId="0" borderId="30" xfId="35" applyBorder="1" applyAlignment="1">
      <alignment horizontal="center" vertical="center"/>
    </xf>
    <xf numFmtId="0" fontId="0" fillId="0" borderId="17" xfId="0" applyFont="1" applyBorder="1"/>
    <xf numFmtId="165" fontId="34" fillId="0" borderId="31" xfId="13" applyFont="1" applyFill="1" applyBorder="1" applyAlignment="1">
      <alignment horizontal="center" vertical="center"/>
    </xf>
    <xf numFmtId="165" fontId="28" fillId="12" borderId="32" xfId="14" applyBorder="1" applyAlignment="1">
      <alignment horizontal="center" vertical="center"/>
      <protection locked="0"/>
    </xf>
    <xf numFmtId="165" fontId="28" fillId="12" borderId="33" xfId="14" applyBorder="1" applyAlignment="1">
      <alignment horizontal="center" vertical="center"/>
      <protection locked="0"/>
    </xf>
    <xf numFmtId="173" fontId="40" fillId="0" borderId="0" xfId="44" applyFont="1" applyBorder="1" applyAlignment="1">
      <alignment horizontal="center" vertical="center"/>
    </xf>
    <xf numFmtId="0" fontId="42" fillId="0" borderId="0" xfId="0" applyFont="1"/>
    <xf numFmtId="0" fontId="43" fillId="0" borderId="0" xfId="37" applyFont="1" applyFill="1">
      <alignment vertical="center"/>
    </xf>
    <xf numFmtId="0" fontId="44" fillId="0" borderId="0" xfId="32" applyFont="1" applyFill="1">
      <alignment horizontal="left" vertical="center"/>
    </xf>
    <xf numFmtId="0" fontId="44" fillId="0" borderId="0" xfId="32" applyFont="1">
      <alignment horizontal="left" vertical="center"/>
    </xf>
    <xf numFmtId="0" fontId="45" fillId="0" borderId="0" xfId="3" applyFont="1" applyFill="1">
      <alignment horizontal="left" vertical="center"/>
    </xf>
    <xf numFmtId="0" fontId="46" fillId="0" borderId="0" xfId="37" applyFont="1" applyFill="1">
      <alignment vertical="center"/>
    </xf>
    <xf numFmtId="170" fontId="46" fillId="0" borderId="0" xfId="11" applyFont="1" applyAlignment="1">
      <alignment horizontal="center" vertical="center"/>
    </xf>
    <xf numFmtId="169" fontId="46" fillId="0" borderId="0" xfId="13" applyNumberFormat="1" applyFont="1" applyAlignment="1">
      <alignment horizontal="center" vertical="center"/>
    </xf>
    <xf numFmtId="0" fontId="46" fillId="0" borderId="0" xfId="37" applyFont="1" applyAlignment="1">
      <alignment horizontal="center" vertical="center"/>
    </xf>
    <xf numFmtId="0" fontId="47" fillId="0" borderId="0" xfId="35" applyFont="1" applyFill="1">
      <alignment horizontal="left" vertical="center"/>
    </xf>
    <xf numFmtId="0" fontId="47" fillId="0" borderId="0" xfId="35" applyFont="1" applyAlignment="1">
      <alignment horizontal="center" vertical="center"/>
    </xf>
    <xf numFmtId="0" fontId="48" fillId="11" borderId="0" xfId="3" applyFont="1">
      <alignment horizontal="left" vertical="center"/>
    </xf>
    <xf numFmtId="0" fontId="42" fillId="0" borderId="0" xfId="0" applyFont="1" applyFill="1"/>
    <xf numFmtId="0" fontId="49" fillId="15" borderId="0" xfId="38" applyFont="1">
      <alignment horizontal="left" vertical="center"/>
    </xf>
    <xf numFmtId="0" fontId="47" fillId="0" borderId="2" xfId="35" applyFont="1" applyBorder="1">
      <alignment horizontal="left" vertical="center"/>
    </xf>
    <xf numFmtId="0" fontId="47" fillId="0" borderId="2" xfId="35" applyFont="1" applyBorder="1" applyAlignment="1">
      <alignment horizontal="center" vertical="center"/>
    </xf>
    <xf numFmtId="0" fontId="47" fillId="0" borderId="18" xfId="35" applyFont="1" applyBorder="1" applyAlignment="1">
      <alignment horizontal="center" vertical="center"/>
    </xf>
    <xf numFmtId="0" fontId="47" fillId="0" borderId="19" xfId="35" applyFont="1" applyBorder="1" applyAlignment="1">
      <alignment horizontal="center" vertical="center"/>
    </xf>
    <xf numFmtId="0" fontId="42" fillId="0" borderId="20" xfId="0" applyFont="1" applyBorder="1"/>
    <xf numFmtId="0" fontId="42" fillId="0" borderId="0" xfId="0" applyFont="1" applyBorder="1"/>
    <xf numFmtId="0" fontId="42" fillId="0" borderId="17" xfId="0" applyFont="1" applyBorder="1"/>
    <xf numFmtId="0" fontId="42" fillId="0" borderId="21" xfId="0" applyFont="1" applyBorder="1"/>
    <xf numFmtId="0" fontId="50" fillId="12" borderId="4" xfId="8" applyFont="1" applyBorder="1">
      <alignment horizontal="left" vertical="center"/>
      <protection locked="0"/>
    </xf>
    <xf numFmtId="0" fontId="46" fillId="0" borderId="0" xfId="37" applyFont="1" applyFill="1" applyAlignment="1">
      <alignment horizontal="center" vertical="center"/>
    </xf>
    <xf numFmtId="165" fontId="50" fillId="12" borderId="26" xfId="14" applyFont="1" applyBorder="1" applyAlignment="1">
      <alignment horizontal="center" vertical="center"/>
      <protection locked="0"/>
    </xf>
    <xf numFmtId="165" fontId="46" fillId="0" borderId="0" xfId="13" applyFont="1" applyFill="1" applyBorder="1" applyAlignment="1">
      <alignment horizontal="center" vertical="center"/>
    </xf>
    <xf numFmtId="165" fontId="46" fillId="0" borderId="20" xfId="13" applyFont="1" applyFill="1" applyBorder="1" applyAlignment="1">
      <alignment horizontal="center" vertical="center"/>
    </xf>
    <xf numFmtId="165" fontId="46" fillId="0" borderId="21" xfId="13" applyFont="1" applyFill="1" applyBorder="1" applyAlignment="1">
      <alignment horizontal="center" vertical="center"/>
    </xf>
    <xf numFmtId="0" fontId="47" fillId="0" borderId="3" xfId="35" applyFont="1" applyFill="1" applyBorder="1">
      <alignment horizontal="left" vertical="center"/>
    </xf>
    <xf numFmtId="0" fontId="47" fillId="0" borderId="3" xfId="35" applyFont="1" applyFill="1" applyBorder="1" applyAlignment="1">
      <alignment horizontal="center" vertical="center"/>
    </xf>
    <xf numFmtId="165" fontId="51" fillId="0" borderId="24" xfId="13" applyFont="1" applyFill="1" applyBorder="1" applyAlignment="1">
      <alignment horizontal="center" vertical="center"/>
    </xf>
    <xf numFmtId="165" fontId="51" fillId="0" borderId="3" xfId="13" applyFont="1" applyFill="1" applyBorder="1" applyAlignment="1">
      <alignment horizontal="center" vertical="center"/>
    </xf>
    <xf numFmtId="165" fontId="51" fillId="0" borderId="31" xfId="13" applyFont="1" applyFill="1" applyBorder="1" applyAlignment="1">
      <alignment horizontal="center" vertical="center"/>
    </xf>
    <xf numFmtId="165" fontId="51" fillId="0" borderId="25" xfId="13" applyFont="1" applyFill="1" applyBorder="1" applyAlignment="1">
      <alignment horizontal="center" vertical="center"/>
    </xf>
    <xf numFmtId="173" fontId="40" fillId="0" borderId="0" xfId="44" applyFont="1" applyFill="1" applyBorder="1" applyAlignment="1">
      <alignment horizontal="center" vertical="center"/>
    </xf>
    <xf numFmtId="165" fontId="50" fillId="12" borderId="4" xfId="14" applyFont="1" applyBorder="1" applyAlignment="1">
      <alignment horizontal="center" vertical="center"/>
      <protection locked="0"/>
    </xf>
    <xf numFmtId="165" fontId="50" fillId="12" borderId="32" xfId="14" applyFont="1" applyBorder="1" applyAlignment="1">
      <alignment horizontal="center" vertical="center"/>
      <protection locked="0"/>
    </xf>
    <xf numFmtId="165" fontId="50" fillId="12" borderId="33" xfId="14" applyFont="1" applyBorder="1" applyAlignment="1">
      <alignment horizontal="center" vertical="center"/>
      <protection locked="0"/>
    </xf>
    <xf numFmtId="165" fontId="50" fillId="12" borderId="22" xfId="14" applyFont="1" applyBorder="1" applyAlignment="1">
      <alignment horizontal="center" vertical="center"/>
      <protection locked="0"/>
    </xf>
    <xf numFmtId="165" fontId="50" fillId="12" borderId="23" xfId="14" applyFont="1" applyBorder="1" applyAlignment="1">
      <alignment horizontal="center" vertical="center"/>
      <protection locked="0"/>
    </xf>
    <xf numFmtId="173" fontId="40" fillId="0" borderId="17" xfId="44" applyFont="1" applyFill="1" applyBorder="1" applyAlignment="1">
      <alignment horizontal="center" vertical="center"/>
    </xf>
    <xf numFmtId="173" fontId="40" fillId="0" borderId="20" xfId="44" applyFont="1" applyFill="1" applyBorder="1" applyAlignment="1">
      <alignment horizontal="center" vertical="center"/>
    </xf>
    <xf numFmtId="173" fontId="40" fillId="0" borderId="21" xfId="44" applyFont="1" applyFill="1" applyBorder="1" applyAlignment="1">
      <alignment horizontal="center" vertical="center"/>
    </xf>
    <xf numFmtId="0" fontId="28" fillId="16" borderId="1" xfId="53" applyBorder="1">
      <alignment horizontal="center" vertical="center"/>
      <protection locked="0"/>
    </xf>
    <xf numFmtId="43" fontId="42" fillId="0" borderId="0" xfId="0" applyNumberFormat="1" applyFont="1"/>
    <xf numFmtId="175" fontId="34" fillId="0" borderId="3" xfId="13" applyNumberFormat="1" applyFont="1" applyFill="1" applyBorder="1" applyAlignment="1">
      <alignment horizontal="center" vertical="center"/>
    </xf>
    <xf numFmtId="0" fontId="35" fillId="0" borderId="0" xfId="35" applyFill="1" applyAlignment="1">
      <alignment horizontal="left" vertical="center" wrapText="1"/>
    </xf>
    <xf numFmtId="0" fontId="35" fillId="0" borderId="20" xfId="35" applyFill="1" applyBorder="1" applyAlignment="1">
      <alignment horizontal="center" vertical="center" wrapText="1"/>
    </xf>
    <xf numFmtId="0" fontId="35" fillId="0" borderId="0" xfId="35" applyFill="1" applyBorder="1" applyAlignment="1">
      <alignment horizontal="center" vertical="center" wrapText="1"/>
    </xf>
    <xf numFmtId="0" fontId="35" fillId="0" borderId="21" xfId="35" applyFill="1" applyBorder="1" applyAlignment="1">
      <alignment horizontal="center" vertical="center" wrapText="1"/>
    </xf>
    <xf numFmtId="0" fontId="27" fillId="0" borderId="0" xfId="37" applyFill="1" applyBorder="1">
      <alignment vertical="center"/>
    </xf>
    <xf numFmtId="167" fontId="27" fillId="0" borderId="20" xfId="15" applyBorder="1" applyAlignment="1">
      <alignment horizontal="center" vertical="center"/>
    </xf>
    <xf numFmtId="167" fontId="27" fillId="0" borderId="0" xfId="15" applyBorder="1" applyAlignment="1">
      <alignment horizontal="center" vertical="center"/>
    </xf>
    <xf numFmtId="167" fontId="27" fillId="0" borderId="21" xfId="15" applyBorder="1" applyAlignment="1">
      <alignment horizontal="center" vertical="center"/>
    </xf>
    <xf numFmtId="0" fontId="27" fillId="0" borderId="0" xfId="37" applyFill="1" applyAlignment="1">
      <alignment horizontal="left" vertical="center" indent="1"/>
    </xf>
    <xf numFmtId="0" fontId="53" fillId="18" borderId="0" xfId="56" quotePrefix="1" applyFont="1" applyFill="1" applyBorder="1" applyAlignment="1">
      <alignment horizontal="right"/>
    </xf>
    <xf numFmtId="0" fontId="56" fillId="0" borderId="0" xfId="0" applyFont="1"/>
    <xf numFmtId="0" fontId="57" fillId="0" borderId="0" xfId="35" applyFont="1" applyFill="1" applyAlignment="1">
      <alignment horizontal="center" vertical="center" wrapText="1"/>
    </xf>
    <xf numFmtId="0" fontId="58" fillId="19" borderId="0" xfId="57" applyFont="1" applyFill="1" applyAlignment="1" applyProtection="1">
      <alignment horizontal="right" indent="1"/>
      <protection locked="0"/>
    </xf>
    <xf numFmtId="0" fontId="59" fillId="20" borderId="0" xfId="57" applyFont="1" applyFill="1" applyBorder="1" applyAlignment="1">
      <alignment vertical="center"/>
    </xf>
    <xf numFmtId="0" fontId="1" fillId="21" borderId="0" xfId="57" applyFill="1" applyBorder="1"/>
    <xf numFmtId="0" fontId="1" fillId="19" borderId="0" xfId="57" applyFill="1"/>
    <xf numFmtId="0" fontId="1" fillId="0" borderId="0" xfId="57"/>
    <xf numFmtId="0" fontId="59" fillId="20" borderId="0" xfId="57" applyFont="1" applyFill="1" applyBorder="1" applyAlignment="1" applyProtection="1">
      <alignment horizontal="left" vertical="center"/>
    </xf>
    <xf numFmtId="0" fontId="59" fillId="21" borderId="0" xfId="57" applyFont="1" applyFill="1" applyBorder="1" applyAlignment="1">
      <alignment horizontal="left" vertical="center" wrapText="1"/>
    </xf>
    <xf numFmtId="0" fontId="60" fillId="22" borderId="0" xfId="58">
      <alignment horizontal="left" vertical="center"/>
      <protection locked="0"/>
    </xf>
    <xf numFmtId="0" fontId="61" fillId="23" borderId="1" xfId="59" applyFont="1" applyFill="1" applyBorder="1" applyAlignment="1" applyProtection="1">
      <alignment vertical="center" wrapText="1"/>
    </xf>
    <xf numFmtId="0" fontId="58" fillId="19" borderId="0" xfId="57" applyFont="1" applyFill="1" applyAlignment="1">
      <alignment horizontal="right" indent="1"/>
    </xf>
    <xf numFmtId="0" fontId="64" fillId="21" borderId="0" xfId="60" applyFont="1">
      <alignment vertical="center"/>
      <protection locked="0"/>
    </xf>
    <xf numFmtId="0" fontId="65" fillId="19" borderId="0" xfId="57" applyFont="1" applyFill="1"/>
    <xf numFmtId="0" fontId="67" fillId="0" borderId="0" xfId="57" applyFont="1"/>
    <xf numFmtId="0" fontId="67" fillId="19" borderId="0" xfId="57" applyFont="1" applyFill="1"/>
    <xf numFmtId="0" fontId="1" fillId="19" borderId="0" xfId="57" applyFill="1" applyAlignment="1">
      <alignment vertical="center"/>
    </xf>
    <xf numFmtId="0" fontId="1" fillId="0" borderId="0" xfId="57" applyAlignment="1">
      <alignment vertical="center"/>
    </xf>
    <xf numFmtId="0" fontId="15" fillId="19" borderId="0" xfId="57" applyFont="1" applyFill="1" applyAlignment="1">
      <alignment horizontal="right" indent="1"/>
    </xf>
    <xf numFmtId="0" fontId="5" fillId="24" borderId="40" xfId="57" applyFont="1" applyFill="1" applyBorder="1" applyAlignment="1" applyProtection="1">
      <alignment horizontal="center" vertical="center"/>
    </xf>
    <xf numFmtId="0" fontId="5" fillId="24" borderId="41" xfId="57" applyFont="1" applyFill="1" applyBorder="1" applyAlignment="1" applyProtection="1">
      <alignment horizontal="center" vertical="center"/>
    </xf>
    <xf numFmtId="0" fontId="5" fillId="24" borderId="42" xfId="57" applyFont="1" applyFill="1" applyBorder="1" applyAlignment="1" applyProtection="1">
      <alignment horizontal="center" vertical="center"/>
    </xf>
    <xf numFmtId="0" fontId="5" fillId="24" borderId="43" xfId="57" applyFont="1" applyFill="1" applyBorder="1" applyAlignment="1" applyProtection="1">
      <alignment horizontal="center" vertical="center"/>
    </xf>
    <xf numFmtId="0" fontId="5" fillId="24" borderId="44" xfId="57" applyFont="1" applyFill="1" applyBorder="1" applyAlignment="1" applyProtection="1">
      <alignment horizontal="center" vertical="center"/>
    </xf>
    <xf numFmtId="0" fontId="1" fillId="0" borderId="0" xfId="57" applyFill="1"/>
    <xf numFmtId="0" fontId="65" fillId="26" borderId="45" xfId="57" applyFont="1" applyFill="1" applyBorder="1" applyAlignment="1">
      <alignment horizontal="left" vertical="center" wrapText="1"/>
    </xf>
    <xf numFmtId="0" fontId="65" fillId="26" borderId="46" xfId="57" applyFont="1" applyFill="1" applyBorder="1" applyAlignment="1">
      <alignment horizontal="left" vertical="center" wrapText="1"/>
    </xf>
    <xf numFmtId="0" fontId="1" fillId="19" borderId="0" xfId="57" applyFont="1" applyFill="1" applyAlignment="1">
      <alignment horizontal="right" indent="1"/>
    </xf>
    <xf numFmtId="0" fontId="1" fillId="0" borderId="47" xfId="57" applyFont="1" applyBorder="1" applyAlignment="1">
      <alignment horizontal="left" vertical="center" wrapText="1" indent="1"/>
    </xf>
    <xf numFmtId="177" fontId="61" fillId="27" borderId="49" xfId="61" applyBorder="1">
      <alignment horizontal="right"/>
      <protection locked="0"/>
    </xf>
    <xf numFmtId="177" fontId="61" fillId="27" borderId="50" xfId="61" applyBorder="1">
      <alignment horizontal="right"/>
      <protection locked="0"/>
    </xf>
    <xf numFmtId="177" fontId="61" fillId="27" borderId="51" xfId="61" applyBorder="1">
      <alignment horizontal="right"/>
      <protection locked="0"/>
    </xf>
    <xf numFmtId="177" fontId="61" fillId="27" borderId="52" xfId="61" applyBorder="1">
      <alignment horizontal="right"/>
      <protection locked="0"/>
    </xf>
    <xf numFmtId="177" fontId="61" fillId="27" borderId="53" xfId="61" applyBorder="1">
      <alignment horizontal="right"/>
      <protection locked="0"/>
    </xf>
    <xf numFmtId="0" fontId="1" fillId="0" borderId="54" xfId="57" applyFont="1" applyBorder="1" applyAlignment="1">
      <alignment horizontal="left" vertical="center" wrapText="1" indent="2"/>
    </xf>
    <xf numFmtId="177" fontId="61" fillId="27" borderId="55" xfId="61" applyBorder="1">
      <alignment horizontal="right"/>
      <protection locked="0"/>
    </xf>
    <xf numFmtId="177" fontId="61" fillId="27" borderId="56" xfId="61" applyBorder="1">
      <alignment horizontal="right"/>
      <protection locked="0"/>
    </xf>
    <xf numFmtId="177" fontId="61" fillId="27" borderId="57" xfId="61" applyBorder="1">
      <alignment horizontal="right"/>
      <protection locked="0"/>
    </xf>
    <xf numFmtId="177" fontId="61" fillId="27" borderId="58" xfId="61" applyBorder="1">
      <alignment horizontal="right"/>
      <protection locked="0"/>
    </xf>
    <xf numFmtId="177" fontId="61" fillId="27" borderId="59" xfId="61" applyBorder="1">
      <alignment horizontal="right"/>
      <protection locked="0"/>
    </xf>
    <xf numFmtId="0" fontId="1" fillId="0" borderId="60" xfId="57" applyFont="1" applyBorder="1" applyAlignment="1">
      <alignment horizontal="left" vertical="center" wrapText="1" indent="1"/>
    </xf>
    <xf numFmtId="177" fontId="5" fillId="28" borderId="62" xfId="62" applyBorder="1"/>
    <xf numFmtId="177" fontId="5" fillId="28" borderId="42" xfId="62" applyBorder="1"/>
    <xf numFmtId="177" fontId="5" fillId="28" borderId="63" xfId="62" applyBorder="1"/>
    <xf numFmtId="177" fontId="5" fillId="28" borderId="64" xfId="62" applyBorder="1"/>
    <xf numFmtId="177" fontId="5" fillId="28" borderId="65" xfId="62" applyBorder="1"/>
    <xf numFmtId="0" fontId="1" fillId="0" borderId="0" xfId="57" applyFont="1"/>
    <xf numFmtId="178" fontId="1" fillId="0" borderId="0" xfId="57" applyNumberFormat="1" applyFont="1" applyBorder="1" applyAlignment="1">
      <alignment horizontal="center" vertical="center" wrapText="1"/>
    </xf>
    <xf numFmtId="0" fontId="1" fillId="19" borderId="66" xfId="57" applyFill="1" applyBorder="1"/>
    <xf numFmtId="0" fontId="65" fillId="26" borderId="67" xfId="57" applyFont="1" applyFill="1" applyBorder="1" applyAlignment="1">
      <alignment horizontal="left" vertical="center" wrapText="1"/>
    </xf>
    <xf numFmtId="0" fontId="1" fillId="19" borderId="0" xfId="57" applyFill="1" applyBorder="1"/>
    <xf numFmtId="180" fontId="0" fillId="0" borderId="0" xfId="63" applyNumberFormat="1" applyFont="1" applyFill="1" applyBorder="1"/>
    <xf numFmtId="0" fontId="1" fillId="0" borderId="0" xfId="57" applyBorder="1"/>
    <xf numFmtId="177" fontId="61" fillId="29" borderId="49" xfId="61" applyFill="1" applyBorder="1">
      <alignment horizontal="right"/>
      <protection locked="0"/>
    </xf>
    <xf numFmtId="177" fontId="61" fillId="29" borderId="50" xfId="61" applyFill="1" applyBorder="1">
      <alignment horizontal="right"/>
      <protection locked="0"/>
    </xf>
    <xf numFmtId="177" fontId="61" fillId="29" borderId="51" xfId="61" applyFill="1" applyBorder="1">
      <alignment horizontal="right"/>
      <protection locked="0"/>
    </xf>
    <xf numFmtId="177" fontId="61" fillId="29" borderId="52" xfId="61" applyFill="1" applyBorder="1">
      <alignment horizontal="right"/>
      <protection locked="0"/>
    </xf>
    <xf numFmtId="177" fontId="61" fillId="29" borderId="53" xfId="61" applyFill="1" applyBorder="1">
      <alignment horizontal="right"/>
      <protection locked="0"/>
    </xf>
    <xf numFmtId="177" fontId="61" fillId="29" borderId="55" xfId="61" applyFill="1" applyBorder="1">
      <alignment horizontal="right"/>
      <protection locked="0"/>
    </xf>
    <xf numFmtId="177" fontId="61" fillId="29" borderId="56" xfId="61" applyFill="1" applyBorder="1">
      <alignment horizontal="right"/>
      <protection locked="0"/>
    </xf>
    <xf numFmtId="177" fontId="61" fillId="29" borderId="57" xfId="61" applyFill="1" applyBorder="1">
      <alignment horizontal="right"/>
      <protection locked="0"/>
    </xf>
    <xf numFmtId="177" fontId="61" fillId="29" borderId="58" xfId="61" applyFill="1" applyBorder="1">
      <alignment horizontal="right"/>
      <protection locked="0"/>
    </xf>
    <xf numFmtId="177" fontId="61" fillId="29" borderId="59" xfId="61" applyFill="1" applyBorder="1">
      <alignment horizontal="right"/>
      <protection locked="0"/>
    </xf>
    <xf numFmtId="0" fontId="1" fillId="19" borderId="0" xfId="57" applyFill="1" applyAlignment="1">
      <alignment horizontal="right" indent="1"/>
    </xf>
    <xf numFmtId="0" fontId="5" fillId="24" borderId="70" xfId="57" applyFont="1" applyFill="1" applyBorder="1" applyAlignment="1" applyProtection="1">
      <alignment horizontal="center" vertical="center"/>
    </xf>
    <xf numFmtId="0" fontId="5" fillId="24" borderId="71" xfId="57" applyFont="1" applyFill="1" applyBorder="1" applyAlignment="1" applyProtection="1">
      <alignment horizontal="center" vertical="center"/>
    </xf>
    <xf numFmtId="0" fontId="5" fillId="24" borderId="72" xfId="57" applyFont="1" applyFill="1" applyBorder="1" applyAlignment="1" applyProtection="1">
      <alignment horizontal="center" vertical="center"/>
    </xf>
    <xf numFmtId="177" fontId="61" fillId="27" borderId="73" xfId="61" applyBorder="1">
      <alignment horizontal="right"/>
      <protection locked="0"/>
    </xf>
    <xf numFmtId="177" fontId="61" fillId="27" borderId="74" xfId="61" applyBorder="1">
      <alignment horizontal="right"/>
      <protection locked="0"/>
    </xf>
    <xf numFmtId="177" fontId="61" fillId="27" borderId="75" xfId="61" applyBorder="1">
      <alignment horizontal="right"/>
      <protection locked="0"/>
    </xf>
    <xf numFmtId="0" fontId="1" fillId="0" borderId="54" xfId="57" applyFont="1" applyBorder="1" applyAlignment="1">
      <alignment horizontal="left" vertical="center" wrapText="1" indent="1"/>
    </xf>
    <xf numFmtId="177" fontId="61" fillId="27" borderId="76" xfId="61" applyBorder="1">
      <alignment horizontal="right"/>
      <protection locked="0"/>
    </xf>
    <xf numFmtId="0" fontId="1" fillId="0" borderId="54" xfId="57" applyFont="1" applyFill="1" applyBorder="1" applyAlignment="1">
      <alignment horizontal="left" vertical="center" wrapText="1" indent="1"/>
    </xf>
    <xf numFmtId="177" fontId="61" fillId="29" borderId="76" xfId="61" applyFill="1" applyBorder="1">
      <alignment horizontal="right"/>
      <protection locked="0"/>
    </xf>
    <xf numFmtId="177" fontId="61" fillId="27" borderId="77" xfId="61" applyBorder="1">
      <alignment horizontal="right"/>
      <protection locked="0"/>
    </xf>
    <xf numFmtId="177" fontId="61" fillId="27" borderId="78" xfId="61" applyBorder="1">
      <alignment horizontal="right"/>
      <protection locked="0"/>
    </xf>
    <xf numFmtId="177" fontId="61" fillId="27" borderId="79" xfId="61" applyBorder="1">
      <alignment horizontal="right"/>
      <protection locked="0"/>
    </xf>
    <xf numFmtId="177" fontId="61" fillId="27" borderId="80" xfId="61" applyBorder="1">
      <alignment horizontal="right"/>
      <protection locked="0"/>
    </xf>
    <xf numFmtId="177" fontId="61" fillId="27" borderId="81" xfId="61" applyBorder="1">
      <alignment horizontal="right"/>
      <protection locked="0"/>
    </xf>
    <xf numFmtId="0" fontId="68" fillId="0" borderId="60" xfId="57" applyFont="1" applyBorder="1" applyAlignment="1">
      <alignment horizontal="left" vertical="center" wrapText="1" indent="1"/>
    </xf>
    <xf numFmtId="177" fontId="61" fillId="27" borderId="82" xfId="61" applyBorder="1">
      <alignment horizontal="right"/>
      <protection locked="0"/>
    </xf>
    <xf numFmtId="177" fontId="61" fillId="27" borderId="42" xfId="61" applyBorder="1">
      <alignment horizontal="right"/>
      <protection locked="0"/>
    </xf>
    <xf numFmtId="177" fontId="61" fillId="27" borderId="63" xfId="61" applyBorder="1">
      <alignment horizontal="right"/>
      <protection locked="0"/>
    </xf>
    <xf numFmtId="0" fontId="1" fillId="0" borderId="83" xfId="57" applyBorder="1"/>
    <xf numFmtId="177" fontId="61" fillId="27" borderId="62" xfId="61" applyBorder="1">
      <alignment horizontal="right"/>
      <protection locked="0"/>
    </xf>
    <xf numFmtId="177" fontId="61" fillId="27" borderId="65" xfId="61" applyBorder="1">
      <alignment horizontal="right"/>
      <protection locked="0"/>
    </xf>
    <xf numFmtId="0" fontId="1" fillId="19" borderId="83" xfId="57" applyFill="1" applyBorder="1"/>
    <xf numFmtId="178" fontId="0" fillId="19" borderId="0" xfId="63" applyNumberFormat="1" applyFont="1" applyFill="1" applyBorder="1"/>
    <xf numFmtId="0" fontId="5" fillId="30" borderId="43" xfId="57" applyNumberFormat="1" applyFont="1" applyFill="1" applyBorder="1" applyAlignment="1">
      <alignment horizontal="center" vertical="center"/>
    </xf>
    <xf numFmtId="0" fontId="5" fillId="30" borderId="44" xfId="57" applyNumberFormat="1" applyFont="1" applyFill="1" applyBorder="1" applyAlignment="1">
      <alignment horizontal="center" vertical="center"/>
    </xf>
    <xf numFmtId="0" fontId="5" fillId="30" borderId="70" xfId="57" applyNumberFormat="1" applyFont="1" applyFill="1" applyBorder="1" applyAlignment="1">
      <alignment horizontal="center" vertical="center"/>
    </xf>
    <xf numFmtId="0" fontId="5" fillId="30" borderId="37" xfId="57" applyNumberFormat="1" applyFont="1" applyFill="1" applyBorder="1" applyAlignment="1">
      <alignment horizontal="center" vertical="center"/>
    </xf>
    <xf numFmtId="0" fontId="5" fillId="30" borderId="38" xfId="57" applyNumberFormat="1" applyFont="1" applyFill="1" applyBorder="1" applyAlignment="1">
      <alignment horizontal="center" vertical="center"/>
    </xf>
    <xf numFmtId="0" fontId="5" fillId="30" borderId="39" xfId="57" applyNumberFormat="1" applyFont="1" applyFill="1" applyBorder="1" applyAlignment="1">
      <alignment horizontal="center" vertical="center"/>
    </xf>
    <xf numFmtId="0" fontId="69" fillId="26" borderId="87" xfId="57" applyFont="1" applyFill="1" applyBorder="1" applyAlignment="1">
      <alignment horizontal="left" vertical="center" wrapText="1" indent="1"/>
    </xf>
    <xf numFmtId="0" fontId="65" fillId="26" borderId="88" xfId="57" applyFont="1" applyFill="1" applyBorder="1" applyAlignment="1">
      <alignment horizontal="left" vertical="center" wrapText="1"/>
    </xf>
    <xf numFmtId="181" fontId="61" fillId="27" borderId="73" xfId="64" applyBorder="1">
      <alignment horizontal="right"/>
      <protection locked="0"/>
    </xf>
    <xf numFmtId="181" fontId="61" fillId="27" borderId="74" xfId="64" applyBorder="1">
      <alignment horizontal="right"/>
      <protection locked="0"/>
    </xf>
    <xf numFmtId="181" fontId="61" fillId="27" borderId="75" xfId="64" applyBorder="1">
      <alignment horizontal="right"/>
      <protection locked="0"/>
    </xf>
    <xf numFmtId="181" fontId="61" fillId="27" borderId="76" xfId="64" applyBorder="1">
      <alignment horizontal="right"/>
      <protection locked="0"/>
    </xf>
    <xf numFmtId="181" fontId="61" fillId="27" borderId="56" xfId="64" applyBorder="1">
      <alignment horizontal="right"/>
      <protection locked="0"/>
    </xf>
    <xf numFmtId="181" fontId="61" fillId="27" borderId="57" xfId="64" applyBorder="1">
      <alignment horizontal="right"/>
      <protection locked="0"/>
    </xf>
    <xf numFmtId="181" fontId="61" fillId="27" borderId="82" xfId="64" applyBorder="1">
      <alignment horizontal="right"/>
      <protection locked="0"/>
    </xf>
    <xf numFmtId="181" fontId="61" fillId="27" borderId="42" xfId="64" applyBorder="1">
      <alignment horizontal="right"/>
      <protection locked="0"/>
    </xf>
    <xf numFmtId="181" fontId="61" fillId="27" borderId="63" xfId="64" applyBorder="1">
      <alignment horizontal="right"/>
      <protection locked="0"/>
    </xf>
    <xf numFmtId="181" fontId="61" fillId="27" borderId="89" xfId="64" applyBorder="1">
      <alignment horizontal="right"/>
      <protection locked="0"/>
    </xf>
    <xf numFmtId="181" fontId="61" fillId="27" borderId="50" xfId="64" applyBorder="1">
      <alignment horizontal="right"/>
      <protection locked="0"/>
    </xf>
    <xf numFmtId="181" fontId="61" fillId="27" borderId="51" xfId="64" applyBorder="1">
      <alignment horizontal="right"/>
      <protection locked="0"/>
    </xf>
    <xf numFmtId="0" fontId="58" fillId="0" borderId="0" xfId="57" applyFont="1" applyAlignment="1">
      <alignment horizontal="right" indent="1"/>
    </xf>
    <xf numFmtId="173" fontId="6" fillId="0" borderId="20" xfId="44" applyFill="1" applyBorder="1" applyAlignment="1">
      <alignment horizontal="center" vertical="center"/>
    </xf>
    <xf numFmtId="173" fontId="6" fillId="0" borderId="21" xfId="44" applyFill="1" applyBorder="1" applyAlignment="1">
      <alignment horizontal="center" vertical="center"/>
    </xf>
    <xf numFmtId="173" fontId="70" fillId="0" borderId="0" xfId="44" applyFont="1" applyBorder="1" applyAlignment="1">
      <alignment horizontal="center" vertical="center"/>
    </xf>
    <xf numFmtId="0" fontId="71" fillId="0" borderId="0" xfId="20" applyFont="1">
      <alignment horizontal="left" vertical="center"/>
    </xf>
    <xf numFmtId="0" fontId="72" fillId="0" borderId="0" xfId="0" applyFont="1"/>
    <xf numFmtId="0" fontId="73" fillId="0" borderId="0" xfId="37" applyFont="1" applyFill="1">
      <alignment vertical="center"/>
    </xf>
    <xf numFmtId="0" fontId="74" fillId="0" borderId="0" xfId="32" applyFont="1" applyFill="1">
      <alignment horizontal="left" vertical="center"/>
    </xf>
    <xf numFmtId="0" fontId="74" fillId="0" borderId="0" xfId="32" applyFont="1">
      <alignment horizontal="left" vertical="center"/>
    </xf>
    <xf numFmtId="0" fontId="75" fillId="0" borderId="0" xfId="3" applyFont="1" applyFill="1">
      <alignment horizontal="left" vertical="center"/>
    </xf>
    <xf numFmtId="0" fontId="76" fillId="0" borderId="0" xfId="37" applyFont="1" applyFill="1">
      <alignment vertical="center"/>
    </xf>
    <xf numFmtId="170" fontId="76" fillId="0" borderId="0" xfId="11" applyFont="1" applyAlignment="1">
      <alignment horizontal="center" vertical="center"/>
    </xf>
    <xf numFmtId="169" fontId="76" fillId="0" borderId="0" xfId="13" applyNumberFormat="1" applyFont="1" applyAlignment="1">
      <alignment horizontal="center" vertical="center"/>
    </xf>
    <xf numFmtId="0" fontId="76" fillId="0" borderId="0" xfId="37" applyFont="1" applyAlignment="1">
      <alignment horizontal="center" vertical="center"/>
    </xf>
    <xf numFmtId="0" fontId="77" fillId="0" borderId="0" xfId="35" applyFont="1" applyFill="1">
      <alignment horizontal="left" vertical="center"/>
    </xf>
    <xf numFmtId="0" fontId="77" fillId="0" borderId="0" xfId="35" applyFont="1" applyAlignment="1">
      <alignment horizontal="center" vertical="center"/>
    </xf>
    <xf numFmtId="0" fontId="78" fillId="11" borderId="0" xfId="3" applyFont="1">
      <alignment horizontal="left" vertical="center"/>
    </xf>
    <xf numFmtId="0" fontId="72" fillId="0" borderId="0" xfId="0" applyFont="1" applyFill="1"/>
    <xf numFmtId="0" fontId="79" fillId="15" borderId="0" xfId="38" applyFont="1">
      <alignment horizontal="left" vertical="center"/>
    </xf>
    <xf numFmtId="0" fontId="77" fillId="0" borderId="2" xfId="35" applyFont="1" applyBorder="1">
      <alignment horizontal="left" vertical="center"/>
    </xf>
    <xf numFmtId="0" fontId="77" fillId="0" borderId="2" xfId="35" applyFont="1" applyBorder="1" applyAlignment="1">
      <alignment horizontal="center" vertical="center"/>
    </xf>
    <xf numFmtId="0" fontId="72" fillId="0" borderId="0" xfId="0" applyFont="1" applyBorder="1"/>
    <xf numFmtId="0" fontId="76" fillId="0" borderId="0" xfId="37" applyFont="1" applyFill="1" applyAlignment="1">
      <alignment horizontal="center" vertical="center"/>
    </xf>
    <xf numFmtId="0" fontId="77" fillId="0" borderId="3" xfId="35" applyFont="1" applyFill="1" applyBorder="1">
      <alignment horizontal="left" vertical="center"/>
    </xf>
    <xf numFmtId="0" fontId="77" fillId="0" borderId="3" xfId="35" applyFont="1" applyFill="1" applyBorder="1" applyAlignment="1">
      <alignment horizontal="center" vertical="center"/>
    </xf>
    <xf numFmtId="165" fontId="80" fillId="0" borderId="3" xfId="13" applyFont="1" applyFill="1" applyBorder="1" applyAlignment="1">
      <alignment horizontal="center" vertical="center"/>
    </xf>
    <xf numFmtId="173" fontId="70" fillId="0" borderId="0" xfId="44" applyFont="1" applyFill="1" applyBorder="1" applyAlignment="1">
      <alignment horizontal="center" vertical="center"/>
    </xf>
    <xf numFmtId="165" fontId="81" fillId="12" borderId="4" xfId="14" applyFont="1" applyBorder="1" applyAlignment="1">
      <alignment horizontal="center" vertical="center"/>
      <protection locked="0"/>
    </xf>
    <xf numFmtId="0" fontId="77" fillId="0" borderId="2" xfId="35" applyFont="1" applyBorder="1" applyAlignment="1">
      <alignment horizontal="center" vertical="center" wrapText="1"/>
    </xf>
    <xf numFmtId="169" fontId="76" fillId="0" borderId="0" xfId="13" applyNumberFormat="1" applyFont="1" applyFill="1" applyBorder="1" applyAlignment="1">
      <alignment horizontal="center" vertical="center"/>
    </xf>
    <xf numFmtId="165" fontId="76" fillId="0" borderId="0" xfId="13" applyFont="1" applyFill="1" applyBorder="1" applyAlignment="1">
      <alignment horizontal="center" vertical="center"/>
    </xf>
    <xf numFmtId="0" fontId="82" fillId="0" borderId="0" xfId="0" applyFont="1"/>
    <xf numFmtId="0" fontId="83" fillId="0" borderId="0" xfId="20" applyFont="1">
      <alignment horizontal="left" vertical="center"/>
    </xf>
    <xf numFmtId="0" fontId="82" fillId="0" borderId="0" xfId="0" applyFont="1" applyFill="1"/>
    <xf numFmtId="0" fontId="84" fillId="0" borderId="0" xfId="34" applyFont="1" applyFill="1" applyBorder="1" applyAlignment="1">
      <alignment vertical="center"/>
    </xf>
    <xf numFmtId="0" fontId="85" fillId="0" borderId="0" xfId="36" applyFont="1" applyFill="1" applyBorder="1">
      <alignment horizontal="left" vertical="center"/>
    </xf>
    <xf numFmtId="0" fontId="84" fillId="0" borderId="0" xfId="34" applyFont="1" applyFill="1">
      <alignment horizontal="left" vertical="center"/>
    </xf>
    <xf numFmtId="0" fontId="85" fillId="0" borderId="0" xfId="36" applyFont="1" applyFill="1">
      <alignment horizontal="left" vertical="center"/>
    </xf>
    <xf numFmtId="0" fontId="82" fillId="0" borderId="14" xfId="0" applyFont="1" applyBorder="1"/>
    <xf numFmtId="0" fontId="82" fillId="0" borderId="3" xfId="0" applyFont="1" applyBorder="1"/>
    <xf numFmtId="0" fontId="82" fillId="0" borderId="15" xfId="0" applyFont="1" applyBorder="1"/>
    <xf numFmtId="0" fontId="82" fillId="0" borderId="12" xfId="0" applyFont="1" applyBorder="1"/>
    <xf numFmtId="0" fontId="85" fillId="12" borderId="4" xfId="8" applyFont="1" applyBorder="1" applyAlignment="1">
      <alignment horizontal="center" vertical="center"/>
      <protection locked="0"/>
    </xf>
    <xf numFmtId="0" fontId="82" fillId="0" borderId="0" xfId="0" applyFont="1" applyBorder="1"/>
    <xf numFmtId="0" fontId="85" fillId="0" borderId="0" xfId="36" applyFont="1" applyBorder="1">
      <alignment horizontal="left" vertical="center"/>
    </xf>
    <xf numFmtId="0" fontId="82" fillId="0" borderId="11" xfId="0" applyFont="1" applyBorder="1"/>
    <xf numFmtId="0" fontId="85" fillId="16" borderId="4" xfId="53" applyFont="1">
      <alignment horizontal="center" vertical="center"/>
      <protection locked="0"/>
    </xf>
    <xf numFmtId="0" fontId="84" fillId="0" borderId="0" xfId="34" applyFont="1" applyBorder="1" applyAlignment="1">
      <alignment horizontal="center" vertical="center"/>
    </xf>
    <xf numFmtId="0" fontId="86" fillId="0" borderId="0" xfId="35" applyFont="1" applyBorder="1" applyAlignment="1">
      <alignment horizontal="center" vertical="center"/>
    </xf>
    <xf numFmtId="0" fontId="87" fillId="11" borderId="0" xfId="3" applyFont="1" applyBorder="1" applyAlignment="1">
      <alignment horizontal="center" vertical="center"/>
    </xf>
    <xf numFmtId="0" fontId="88" fillId="15" borderId="0" xfId="38" applyFont="1" applyBorder="1" applyAlignment="1">
      <alignment horizontal="center" vertical="center"/>
    </xf>
    <xf numFmtId="0" fontId="89" fillId="17" borderId="0" xfId="54" applyFont="1"/>
    <xf numFmtId="0" fontId="90" fillId="0" borderId="0" xfId="32" applyFont="1" applyAlignment="1">
      <alignment horizontal="center" vertical="center"/>
    </xf>
    <xf numFmtId="0" fontId="91" fillId="0" borderId="0" xfId="0" applyFont="1" applyFill="1" applyAlignment="1">
      <alignment horizontal="center"/>
    </xf>
    <xf numFmtId="165" fontId="85" fillId="3" borderId="4" xfId="14" applyFont="1" applyFill="1">
      <alignment horizontal="right" vertical="center"/>
      <protection locked="0"/>
    </xf>
    <xf numFmtId="0" fontId="82" fillId="0" borderId="16" xfId="0" applyFont="1" applyBorder="1"/>
    <xf numFmtId="0" fontId="82" fillId="0" borderId="2" xfId="0" applyFont="1" applyBorder="1"/>
    <xf numFmtId="0" fontId="82" fillId="0" borderId="13" xfId="0" applyFont="1" applyBorder="1"/>
    <xf numFmtId="0" fontId="90" fillId="0" borderId="0" xfId="32" applyFont="1" applyBorder="1">
      <alignment horizontal="left" vertical="center"/>
    </xf>
    <xf numFmtId="0" fontId="93" fillId="0" borderId="0" xfId="36" applyFont="1" applyFill="1">
      <alignment horizontal="left" vertical="center"/>
    </xf>
    <xf numFmtId="0" fontId="27" fillId="17" borderId="0" xfId="37" applyFill="1" applyAlignment="1">
      <alignment horizontal="center" vertical="center"/>
    </xf>
    <xf numFmtId="167" fontId="28" fillId="12" borderId="90" xfId="16" applyBorder="1" applyAlignment="1">
      <alignment horizontal="center" vertical="center"/>
      <protection locked="0"/>
    </xf>
    <xf numFmtId="167" fontId="28" fillId="12" borderId="91" xfId="16" applyBorder="1" applyAlignment="1">
      <alignment horizontal="center" vertical="center"/>
      <protection locked="0"/>
    </xf>
    <xf numFmtId="167" fontId="28" fillId="12" borderId="92" xfId="16" applyBorder="1" applyAlignment="1">
      <alignment horizontal="center" vertical="center"/>
      <protection locked="0"/>
    </xf>
    <xf numFmtId="167" fontId="28" fillId="12" borderId="93" xfId="16" applyBorder="1" applyAlignment="1">
      <alignment horizontal="center" vertical="center"/>
      <protection locked="0"/>
    </xf>
    <xf numFmtId="167" fontId="28" fillId="12" borderId="94" xfId="16" applyBorder="1" applyAlignment="1">
      <alignment horizontal="center" vertical="center"/>
      <protection locked="0"/>
    </xf>
    <xf numFmtId="167" fontId="28" fillId="12" borderId="32" xfId="16" applyBorder="1" applyAlignment="1">
      <alignment horizontal="center" vertical="center"/>
      <protection locked="0"/>
    </xf>
    <xf numFmtId="173" fontId="6" fillId="0" borderId="0" xfId="44" applyFill="1" applyBorder="1" applyAlignment="1">
      <alignment horizontal="right" vertical="center"/>
    </xf>
    <xf numFmtId="182" fontId="28" fillId="12" borderId="4" xfId="16" applyNumberFormat="1" applyAlignment="1">
      <alignment horizontal="center" vertical="center"/>
      <protection locked="0"/>
    </xf>
    <xf numFmtId="0" fontId="94" fillId="0" borderId="0" xfId="37" applyFont="1">
      <alignment vertical="center"/>
    </xf>
    <xf numFmtId="176" fontId="27" fillId="0" borderId="0" xfId="13" applyNumberFormat="1" applyFill="1" applyBorder="1" applyAlignment="1">
      <alignment horizontal="center" vertical="center"/>
    </xf>
    <xf numFmtId="176" fontId="27" fillId="0" borderId="21" xfId="13" applyNumberFormat="1" applyFill="1" applyBorder="1" applyAlignment="1">
      <alignment horizontal="center" vertical="center"/>
    </xf>
    <xf numFmtId="176" fontId="27" fillId="0" borderId="0" xfId="13" applyNumberFormat="1" applyFill="1" applyAlignment="1">
      <alignment horizontal="center" vertical="center"/>
    </xf>
    <xf numFmtId="176" fontId="27" fillId="0" borderId="20" xfId="13" applyNumberFormat="1" applyFill="1" applyBorder="1" applyAlignment="1">
      <alignment horizontal="center" vertical="center"/>
    </xf>
    <xf numFmtId="182" fontId="27" fillId="0" borderId="20" xfId="15" applyNumberFormat="1" applyFill="1" applyBorder="1" applyAlignment="1">
      <alignment horizontal="center" vertical="center"/>
    </xf>
    <xf numFmtId="182" fontId="27" fillId="0" borderId="0" xfId="15" applyNumberFormat="1" applyFill="1" applyBorder="1" applyAlignment="1">
      <alignment horizontal="center" vertical="center"/>
    </xf>
    <xf numFmtId="182" fontId="27" fillId="0" borderId="21" xfId="15" applyNumberFormat="1" applyFill="1" applyBorder="1" applyAlignment="1">
      <alignment horizontal="center" vertical="center"/>
    </xf>
    <xf numFmtId="43" fontId="42" fillId="0" borderId="20" xfId="0" applyNumberFormat="1" applyFont="1" applyBorder="1"/>
    <xf numFmtId="0" fontId="47" fillId="0" borderId="18" xfId="35" applyFont="1" applyFill="1" applyBorder="1" applyAlignment="1">
      <alignment horizontal="center" vertical="center"/>
    </xf>
    <xf numFmtId="0" fontId="47" fillId="0" borderId="2" xfId="35" applyFont="1" applyFill="1" applyBorder="1" applyAlignment="1">
      <alignment horizontal="center" vertical="center"/>
    </xf>
    <xf numFmtId="0" fontId="47" fillId="0" borderId="19" xfId="35" applyFont="1" applyFill="1" applyBorder="1" applyAlignment="1">
      <alignment horizontal="center" vertical="center"/>
    </xf>
    <xf numFmtId="183" fontId="46" fillId="0" borderId="20" xfId="13" applyNumberFormat="1" applyFont="1" applyFill="1" applyBorder="1" applyAlignment="1">
      <alignment horizontal="center" vertical="center"/>
    </xf>
    <xf numFmtId="183" fontId="46" fillId="0" borderId="0" xfId="13" applyNumberFormat="1" applyFont="1" applyFill="1" applyBorder="1" applyAlignment="1">
      <alignment horizontal="center" vertical="center"/>
    </xf>
    <xf numFmtId="183" fontId="46" fillId="0" borderId="21" xfId="13" applyNumberFormat="1" applyFont="1" applyFill="1" applyBorder="1" applyAlignment="1">
      <alignment horizontal="center" vertical="center"/>
    </xf>
    <xf numFmtId="0" fontId="35" fillId="0" borderId="18" xfId="35" applyFill="1" applyBorder="1" applyAlignment="1">
      <alignment horizontal="center" vertical="center"/>
    </xf>
    <xf numFmtId="0" fontId="35" fillId="0" borderId="2" xfId="35" applyFill="1" applyBorder="1" applyAlignment="1">
      <alignment horizontal="center" vertical="center"/>
    </xf>
    <xf numFmtId="0" fontId="35" fillId="0" borderId="19" xfId="35" applyFill="1" applyBorder="1" applyAlignment="1">
      <alignment horizontal="center" vertical="center"/>
    </xf>
    <xf numFmtId="0" fontId="47" fillId="0" borderId="30" xfId="35" applyFont="1" applyFill="1" applyBorder="1" applyAlignment="1">
      <alignment horizontal="center" vertical="center"/>
    </xf>
    <xf numFmtId="0" fontId="35" fillId="0" borderId="30" xfId="35" applyFill="1" applyBorder="1" applyAlignment="1">
      <alignment horizontal="center" vertical="center"/>
    </xf>
    <xf numFmtId="0" fontId="28" fillId="12" borderId="22" xfId="14" applyNumberFormat="1" applyBorder="1" applyAlignment="1">
      <alignment horizontal="center" vertical="center"/>
      <protection locked="0"/>
    </xf>
    <xf numFmtId="165" fontId="50" fillId="31" borderId="26" xfId="14" applyFont="1" applyFill="1" applyBorder="1" applyAlignment="1">
      <alignment horizontal="center" vertical="center"/>
      <protection locked="0"/>
    </xf>
    <xf numFmtId="165" fontId="50" fillId="31" borderId="4" xfId="14" applyFont="1" applyFill="1" applyBorder="1" applyAlignment="1">
      <alignment horizontal="center" vertical="center"/>
      <protection locked="0"/>
    </xf>
    <xf numFmtId="165" fontId="50" fillId="31" borderId="32" xfId="14" applyFont="1" applyFill="1" applyBorder="1" applyAlignment="1">
      <alignment horizontal="center" vertical="center"/>
      <protection locked="0"/>
    </xf>
    <xf numFmtId="165" fontId="50" fillId="31" borderId="22" xfId="14" applyFont="1" applyFill="1" applyBorder="1" applyAlignment="1">
      <alignment horizontal="center" vertical="center"/>
      <protection locked="0"/>
    </xf>
    <xf numFmtId="165" fontId="50" fillId="31" borderId="23" xfId="14" applyFont="1" applyFill="1" applyBorder="1" applyAlignment="1">
      <alignment horizontal="center" vertical="center"/>
      <protection locked="0"/>
    </xf>
    <xf numFmtId="165" fontId="28" fillId="31" borderId="26" xfId="14" applyFill="1" applyBorder="1" applyAlignment="1">
      <alignment horizontal="center" vertical="center"/>
      <protection locked="0"/>
    </xf>
    <xf numFmtId="165" fontId="28" fillId="31" borderId="4" xfId="14" applyFill="1" applyBorder="1" applyAlignment="1">
      <alignment horizontal="center" vertical="center"/>
      <protection locked="0"/>
    </xf>
    <xf numFmtId="165" fontId="28" fillId="31" borderId="32" xfId="14" applyFill="1" applyBorder="1" applyAlignment="1">
      <alignment horizontal="center" vertical="center"/>
      <protection locked="0"/>
    </xf>
    <xf numFmtId="165" fontId="28" fillId="31" borderId="22" xfId="14" applyFill="1" applyBorder="1" applyAlignment="1">
      <alignment horizontal="center" vertical="center"/>
      <protection locked="0"/>
    </xf>
    <xf numFmtId="165" fontId="28" fillId="31" borderId="23" xfId="14" applyFill="1" applyBorder="1" applyAlignment="1">
      <alignment horizontal="center" vertical="center"/>
      <protection locked="0"/>
    </xf>
    <xf numFmtId="182" fontId="28" fillId="12" borderId="32" xfId="16" applyNumberFormat="1" applyBorder="1" applyAlignment="1">
      <alignment horizontal="center" vertical="center"/>
      <protection locked="0"/>
    </xf>
    <xf numFmtId="176" fontId="27" fillId="0" borderId="17" xfId="13" applyNumberFormat="1" applyFill="1" applyBorder="1" applyAlignment="1">
      <alignment horizontal="center" vertical="center"/>
    </xf>
    <xf numFmtId="0" fontId="35" fillId="0" borderId="95" xfId="35" applyBorder="1" applyAlignment="1">
      <alignment horizontal="center" vertical="center"/>
    </xf>
    <xf numFmtId="0" fontId="35" fillId="0" borderId="96" xfId="35" applyBorder="1" applyAlignment="1">
      <alignment horizontal="center" vertical="center"/>
    </xf>
    <xf numFmtId="0" fontId="0" fillId="0" borderId="97" xfId="0" applyFont="1" applyBorder="1"/>
    <xf numFmtId="0" fontId="0" fillId="0" borderId="98" xfId="0" applyFont="1" applyBorder="1"/>
    <xf numFmtId="182" fontId="28" fillId="12" borderId="99" xfId="16" applyNumberFormat="1" applyBorder="1" applyAlignment="1">
      <alignment horizontal="center" vertical="center"/>
      <protection locked="0"/>
    </xf>
    <xf numFmtId="182" fontId="28" fillId="12" borderId="100" xfId="16" applyNumberFormat="1" applyBorder="1" applyAlignment="1">
      <alignment horizontal="center" vertical="center"/>
      <protection locked="0"/>
    </xf>
    <xf numFmtId="176" fontId="27" fillId="17" borderId="0" xfId="13" applyNumberFormat="1" applyFill="1" applyBorder="1" applyAlignment="1">
      <alignment horizontal="center" vertical="center"/>
    </xf>
    <xf numFmtId="176" fontId="28" fillId="12" borderId="4" xfId="14" applyNumberFormat="1" applyAlignment="1">
      <alignment horizontal="center" vertical="center"/>
      <protection locked="0"/>
    </xf>
    <xf numFmtId="43" fontId="42" fillId="0" borderId="0" xfId="0" applyNumberFormat="1" applyFont="1" applyFill="1"/>
    <xf numFmtId="167" fontId="28" fillId="12" borderId="101" xfId="16" applyBorder="1" applyAlignment="1">
      <alignment horizontal="center" vertical="center"/>
      <protection locked="0"/>
    </xf>
    <xf numFmtId="165" fontId="28" fillId="12" borderId="90" xfId="14" applyBorder="1" applyAlignment="1">
      <alignment horizontal="center" vertical="center"/>
      <protection locked="0"/>
    </xf>
    <xf numFmtId="165" fontId="50" fillId="12" borderId="90" xfId="14" applyFont="1" applyBorder="1" applyAlignment="1">
      <alignment horizontal="center" vertical="center"/>
      <protection locked="0"/>
    </xf>
    <xf numFmtId="0" fontId="42" fillId="0" borderId="0" xfId="0" applyFont="1" applyFill="1" applyBorder="1"/>
    <xf numFmtId="165" fontId="28" fillId="12" borderId="102" xfId="14" applyBorder="1" applyAlignment="1">
      <alignment horizontal="center" vertical="center"/>
      <protection locked="0"/>
    </xf>
    <xf numFmtId="0" fontId="0" fillId="0" borderId="0" xfId="0" applyFont="1" applyFill="1" applyBorder="1"/>
    <xf numFmtId="0" fontId="95" fillId="0" borderId="0" xfId="57" applyFont="1" applyAlignment="1">
      <alignment horizontal="left" vertical="center"/>
    </xf>
    <xf numFmtId="0" fontId="41" fillId="0" borderId="0" xfId="20" applyFont="1" applyFill="1">
      <alignment horizontal="left" vertical="center"/>
    </xf>
    <xf numFmtId="0" fontId="24" fillId="0" borderId="0" xfId="20" applyFill="1">
      <alignment horizontal="left" vertical="center"/>
    </xf>
    <xf numFmtId="0" fontId="85" fillId="0" borderId="0" xfId="36" applyFont="1" applyFill="1" applyAlignment="1">
      <alignment horizontal="left" vertical="center" wrapText="1"/>
    </xf>
    <xf numFmtId="0" fontId="36" fillId="0" borderId="0" xfId="34" applyFont="1" applyFill="1" applyAlignment="1">
      <alignment horizontal="right" vertical="center" textRotation="90"/>
    </xf>
    <xf numFmtId="0" fontId="0" fillId="0" borderId="0" xfId="0" applyAlignment="1">
      <alignment horizontal="right" textRotation="90"/>
    </xf>
    <xf numFmtId="0" fontId="36" fillId="0" borderId="0" xfId="34" applyFont="1" applyFill="1" applyAlignment="1">
      <alignment horizontal="right" vertical="center" textRotation="90" wrapText="1"/>
    </xf>
    <xf numFmtId="0" fontId="0" fillId="0" borderId="0" xfId="0" applyAlignment="1">
      <alignment horizontal="right" textRotation="90" wrapText="1"/>
    </xf>
    <xf numFmtId="178" fontId="5" fillId="30" borderId="34" xfId="57" applyNumberFormat="1" applyFont="1" applyFill="1" applyBorder="1" applyAlignment="1">
      <alignment horizontal="center" vertical="center" wrapText="1"/>
    </xf>
    <xf numFmtId="178" fontId="5" fillId="30" borderId="35" xfId="57" applyNumberFormat="1" applyFont="1" applyFill="1" applyBorder="1" applyAlignment="1">
      <alignment horizontal="center" vertical="center" wrapText="1"/>
    </xf>
    <xf numFmtId="178" fontId="5" fillId="30" borderId="36" xfId="57" applyNumberFormat="1" applyFont="1" applyFill="1" applyBorder="1" applyAlignment="1">
      <alignment horizontal="center" vertical="center" wrapText="1"/>
    </xf>
    <xf numFmtId="178" fontId="5" fillId="30" borderId="68" xfId="57" applyNumberFormat="1" applyFont="1" applyFill="1" applyBorder="1" applyAlignment="1">
      <alignment horizontal="center" vertical="center" wrapText="1"/>
    </xf>
    <xf numFmtId="178" fontId="5" fillId="30" borderId="3" xfId="57" applyNumberFormat="1" applyFont="1" applyFill="1" applyBorder="1" applyAlignment="1">
      <alignment horizontal="center" vertical="center" wrapText="1"/>
    </xf>
    <xf numFmtId="178" fontId="5" fillId="30" borderId="69" xfId="57" applyNumberFormat="1" applyFont="1" applyFill="1" applyBorder="1" applyAlignment="1">
      <alignment horizontal="center" vertical="center" wrapText="1"/>
    </xf>
    <xf numFmtId="178" fontId="5" fillId="30" borderId="84" xfId="57" applyNumberFormat="1" applyFont="1" applyFill="1" applyBorder="1" applyAlignment="1">
      <alignment horizontal="center" vertical="center" wrapText="1"/>
    </xf>
    <xf numFmtId="178" fontId="5" fillId="30" borderId="85" xfId="57" applyNumberFormat="1" applyFont="1" applyFill="1" applyBorder="1" applyAlignment="1">
      <alignment horizontal="center" vertical="center" wrapText="1"/>
    </xf>
    <xf numFmtId="178" fontId="5" fillId="30" borderId="86" xfId="57" applyNumberFormat="1" applyFont="1" applyFill="1" applyBorder="1" applyAlignment="1">
      <alignment horizontal="center" vertical="center" wrapText="1"/>
    </xf>
    <xf numFmtId="0" fontId="66" fillId="24" borderId="34" xfId="57" applyFont="1" applyFill="1" applyBorder="1" applyAlignment="1" applyProtection="1">
      <alignment horizontal="center" vertical="center" wrapText="1"/>
      <protection locked="0"/>
    </xf>
    <xf numFmtId="0" fontId="66" fillId="24" borderId="35" xfId="57" applyFont="1" applyFill="1" applyBorder="1" applyAlignment="1" applyProtection="1">
      <alignment horizontal="center" vertical="center" wrapText="1"/>
      <protection locked="0"/>
    </xf>
    <xf numFmtId="0" fontId="66" fillId="24" borderId="36" xfId="57" applyFont="1" applyFill="1" applyBorder="1" applyAlignment="1" applyProtection="1">
      <alignment horizontal="center" vertical="center" wrapText="1"/>
      <protection locked="0"/>
    </xf>
    <xf numFmtId="0" fontId="66" fillId="25" borderId="34" xfId="57" applyFont="1" applyFill="1" applyBorder="1" applyAlignment="1" applyProtection="1">
      <alignment horizontal="center" vertical="center" wrapText="1"/>
      <protection locked="0"/>
    </xf>
    <xf numFmtId="0" fontId="66" fillId="25" borderId="35" xfId="57" applyFont="1" applyFill="1" applyBorder="1" applyAlignment="1" applyProtection="1">
      <alignment horizontal="center" vertical="center" wrapText="1"/>
      <protection locked="0"/>
    </xf>
    <xf numFmtId="0" fontId="66" fillId="25" borderId="36" xfId="57" applyFont="1" applyFill="1" applyBorder="1" applyAlignment="1" applyProtection="1">
      <alignment horizontal="center" vertical="center" wrapText="1"/>
      <protection locked="0"/>
    </xf>
    <xf numFmtId="0" fontId="5" fillId="24" borderId="68" xfId="57" applyFont="1" applyFill="1" applyBorder="1" applyAlignment="1">
      <alignment horizontal="center" vertical="center" wrapText="1"/>
    </xf>
    <xf numFmtId="0" fontId="5" fillId="24" borderId="3" xfId="57" applyFont="1" applyFill="1" applyBorder="1" applyAlignment="1">
      <alignment horizontal="center" vertical="center" wrapText="1"/>
    </xf>
    <xf numFmtId="0" fontId="5" fillId="24" borderId="69" xfId="57" applyFont="1" applyFill="1" applyBorder="1" applyAlignment="1">
      <alignment horizontal="center" vertical="center" wrapText="1"/>
    </xf>
    <xf numFmtId="0" fontId="5" fillId="25" borderId="37" xfId="57" applyFont="1" applyFill="1" applyBorder="1" applyAlignment="1">
      <alignment horizontal="center" vertical="center" wrapText="1"/>
    </xf>
    <xf numFmtId="0" fontId="5" fillId="25" borderId="38" xfId="57" applyFont="1" applyFill="1" applyBorder="1" applyAlignment="1">
      <alignment horizontal="center" vertical="center" wrapText="1"/>
    </xf>
    <xf numFmtId="0" fontId="5" fillId="25" borderId="39" xfId="57" applyFont="1" applyFill="1" applyBorder="1" applyAlignment="1">
      <alignment horizontal="center" vertical="center" wrapText="1"/>
    </xf>
    <xf numFmtId="0" fontId="5" fillId="24" borderId="37" xfId="57" applyFont="1" applyFill="1" applyBorder="1" applyAlignment="1">
      <alignment horizontal="center" vertical="center" wrapText="1"/>
    </xf>
    <xf numFmtId="0" fontId="5" fillId="24" borderId="38" xfId="57" applyFont="1" applyFill="1" applyBorder="1" applyAlignment="1">
      <alignment horizontal="center" vertical="center" wrapText="1"/>
    </xf>
    <xf numFmtId="0" fontId="5" fillId="24" borderId="39" xfId="57" applyFont="1" applyFill="1" applyBorder="1" applyAlignment="1">
      <alignment horizontal="center" vertical="center" wrapText="1"/>
    </xf>
  </cellXfs>
  <cellStyles count="65">
    <cellStyle name="Bad" xfId="22" builtinId="27" hidden="1"/>
    <cellStyle name="Calculation" xfId="26" builtinId="22" hidden="1"/>
    <cellStyle name="Check Cell" xfId="28" builtinId="23" hidden="1"/>
    <cellStyle name="Check RedRedGreen" xfId="44" xr:uid="{00000000-0005-0000-0000-000003000000}"/>
    <cellStyle name="Comma 2" xfId="63" xr:uid="{DCB90095-B6F4-4879-B58E-986025A501DB}"/>
    <cellStyle name="Currency" xfId="1" builtinId="4" hidden="1" customBuiltin="1"/>
    <cellStyle name="Currency" xfId="40" xr:uid="{00000000-0005-0000-0000-000005000000}"/>
    <cellStyle name="Currency Assumptions" xfId="19" xr:uid="{00000000-0005-0000-0000-000006000000}"/>
    <cellStyle name="Currency Input" xfId="49" xr:uid="{00000000-0005-0000-0000-000007000000}"/>
    <cellStyle name="Date" xfId="11" xr:uid="{00000000-0005-0000-0000-000008000000}"/>
    <cellStyle name="Date Assumptions" xfId="12" xr:uid="{00000000-0005-0000-0000-000009000000}"/>
    <cellStyle name="Date Input" xfId="48" xr:uid="{00000000-0005-0000-0000-00000A000000}"/>
    <cellStyle name="dms_NUM" xfId="61" xr:uid="{3127356D-8AC4-41B4-BCA2-40AF3CBDF7F1}"/>
    <cellStyle name="dms_NUM 2_1dp" xfId="64" xr:uid="{78D02678-0FE1-4A80-A3F1-0BC78D619AD5}"/>
    <cellStyle name="dms_NUM_grey" xfId="62" xr:uid="{07DB44F3-2F02-4311-AFA4-028D8C073B28}"/>
    <cellStyle name="Dropdown" xfId="53" xr:uid="{00000000-0005-0000-0000-00000B000000}"/>
    <cellStyle name="Explanatory Text" xfId="31" builtinId="53" hidden="1"/>
    <cellStyle name="External Link" xfId="55" xr:uid="{00000000-0005-0000-0000-00000D000000}"/>
    <cellStyle name="Good" xfId="21" builtinId="26" hidden="1"/>
    <cellStyle name="Heading 1" xfId="3" builtinId="16" customBuiltin="1"/>
    <cellStyle name="Heading 2" xfId="4" builtinId="17" hidden="1" customBuiltin="1"/>
    <cellStyle name="Heading 2 Input" xfId="38" xr:uid="{00000000-0005-0000-0000-000011000000}"/>
    <cellStyle name="Heading 2 Output" xfId="39" xr:uid="{00000000-0005-0000-0000-000012000000}"/>
    <cellStyle name="Heading 3" xfId="5" builtinId="18" hidden="1" customBuiltin="1"/>
    <cellStyle name="Heading 3 Input" xfId="34" xr:uid="{00000000-0005-0000-0000-000014000000}"/>
    <cellStyle name="Heading 3 Output" xfId="35" xr:uid="{00000000-0005-0000-0000-000015000000}"/>
    <cellStyle name="Heading 4" xfId="6" builtinId="19" hidden="1" customBuiltin="1"/>
    <cellStyle name="Heading 4 Assumptions" xfId="8" xr:uid="{00000000-0005-0000-0000-000017000000}"/>
    <cellStyle name="Heading 4 Input" xfId="36" xr:uid="{00000000-0005-0000-0000-000018000000}"/>
    <cellStyle name="Heading 4 Output" xfId="37" xr:uid="{00000000-0005-0000-0000-000019000000}"/>
    <cellStyle name="Hyperlink" xfId="32" builtinId="8" customBuiltin="1"/>
    <cellStyle name="Input" xfId="24" builtinId="20" hidden="1"/>
    <cellStyle name="Line Item Modifier" xfId="41" xr:uid="{00000000-0005-0000-0000-00001C000000}"/>
    <cellStyle name="Linked Cell" xfId="27" builtinId="24" hidden="1"/>
    <cellStyle name="Multiple" xfId="17" xr:uid="{00000000-0005-0000-0000-00001E000000}"/>
    <cellStyle name="Multiple Assumptions" xfId="18" xr:uid="{00000000-0005-0000-0000-00001F000000}"/>
    <cellStyle name="Multiple Input" xfId="50" xr:uid="{00000000-0005-0000-0000-000020000000}"/>
    <cellStyle name="Neutral" xfId="23" builtinId="28" hidden="1"/>
    <cellStyle name="Normal" xfId="0" builtinId="0" customBuiltin="1"/>
    <cellStyle name="Normal 2" xfId="56" xr:uid="{DC14BFD9-3B97-42BC-A9EE-704A44289EAA}"/>
    <cellStyle name="Normal 3" xfId="57" xr:uid="{4274726F-B120-4960-8736-20C16AD12ACC}"/>
    <cellStyle name="Normal 4" xfId="59" xr:uid="{CE221B14-ABDF-4E74-BCDA-B641776D7113}"/>
    <cellStyle name="Not Applicable" xfId="54" xr:uid="{00000000-0005-0000-0000-000023000000}"/>
    <cellStyle name="Note" xfId="30" builtinId="10" hidden="1"/>
    <cellStyle name="Number" xfId="13" xr:uid="{00000000-0005-0000-0000-000025000000}"/>
    <cellStyle name="Number Assumptions" xfId="14" xr:uid="{00000000-0005-0000-0000-000026000000}"/>
    <cellStyle name="Number Input" xfId="47" xr:uid="{00000000-0005-0000-0000-000027000000}"/>
    <cellStyle name="Output" xfId="25" builtinId="21" hidden="1"/>
    <cellStyle name="Percentage" xfId="15" xr:uid="{00000000-0005-0000-0000-000029000000}"/>
    <cellStyle name="Percentage Assumptions" xfId="16" xr:uid="{00000000-0005-0000-0000-00002A000000}"/>
    <cellStyle name="Percentage Input" xfId="51" xr:uid="{00000000-0005-0000-0000-00002B000000}"/>
    <cellStyle name="RIN_TB2" xfId="58" xr:uid="{D47E9B42-D92A-40A0-8542-F930BAD96410}"/>
    <cellStyle name="RIN_TB3" xfId="60" xr:uid="{2C00F12F-1358-43BD-85C4-CB7D12881C05}"/>
    <cellStyle name="Sheet Title Input" xfId="20" xr:uid="{00000000-0005-0000-0000-00002C000000}"/>
    <cellStyle name="Sheet Title Output" xfId="33" xr:uid="{00000000-0005-0000-0000-00002D000000}"/>
    <cellStyle name="Table Header 1" xfId="42" xr:uid="{00000000-0005-0000-0000-00002E000000}"/>
    <cellStyle name="Table Header 2" xfId="43" xr:uid="{00000000-0005-0000-0000-00002F000000}"/>
    <cellStyle name="Title" xfId="2" builtinId="15" hidden="1"/>
    <cellStyle name="Total" xfId="7" builtinId="25" hidden="1"/>
    <cellStyle name="Trigger Assumption GreenRedGrey" xfId="45" xr:uid="{00000000-0005-0000-0000-000032000000}"/>
    <cellStyle name="Trigger GreenRedGrey" xfId="46" xr:uid="{00000000-0005-0000-0000-000033000000}"/>
    <cellStyle name="Warning Text" xfId="29" builtinId="11" hidden="1"/>
    <cellStyle name="Year" xfId="9" xr:uid="{00000000-0005-0000-0000-000035000000}"/>
    <cellStyle name="Year Assumptions" xfId="10" xr:uid="{00000000-0005-0000-0000-000036000000}"/>
    <cellStyle name="Year Input" xfId="52" xr:uid="{00000000-0005-0000-0000-000037000000}"/>
  </cellStyles>
  <dxfs count="24">
    <dxf>
      <font>
        <b val="0"/>
        <i val="0"/>
        <color rgb="FF00B050"/>
      </font>
    </dxf>
    <dxf>
      <font>
        <b val="0"/>
        <i val="0"/>
        <color rgb="FF00B050"/>
      </font>
    </dxf>
    <dxf>
      <font>
        <b val="0"/>
        <i val="0"/>
        <color rgb="FF00B050"/>
      </font>
    </dxf>
    <dxf>
      <font>
        <b val="0"/>
        <i val="0"/>
        <color rgb="FF00B05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color rgb="FF00B050"/>
      </font>
    </dxf>
    <dxf>
      <font>
        <b val="0"/>
        <i val="0"/>
        <color rgb="FF00B050"/>
      </font>
    </dxf>
  </dxfs>
  <tableStyles count="0" defaultTableStyle="TableStyleMedium2" defaultPivotStyle="PivotStyleLight16"/>
  <colors>
    <mruColors>
      <color rgb="FF139C00"/>
      <color rgb="FF426286"/>
      <color rgb="FFFF0066"/>
      <color rgb="FFCC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haredStrings" Target="sharedStrings.xml"/><Relationship Id="rId35"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76200</xdr:rowOff>
    </xdr:from>
    <xdr:to>
      <xdr:col>5</xdr:col>
      <xdr:colOff>371750</xdr:colOff>
      <xdr:row>8</xdr:row>
      <xdr:rowOff>104839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895350"/>
          <a:ext cx="1971950" cy="457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30</xdr:col>
      <xdr:colOff>0</xdr:colOff>
      <xdr:row>0</xdr:row>
      <xdr:rowOff>0</xdr:rowOff>
    </xdr:from>
    <xdr:to>
      <xdr:col>34</xdr:col>
      <xdr:colOff>1017360</xdr:colOff>
      <xdr:row>2</xdr:row>
      <xdr:rowOff>276237</xdr:rowOff>
    </xdr:to>
    <xdr:grpSp>
      <xdr:nvGrpSpPr>
        <xdr:cNvPr id="28" name="Group 27">
          <a:extLst>
            <a:ext uri="{FF2B5EF4-FFF2-40B4-BE49-F238E27FC236}">
              <a16:creationId xmlns:a16="http://schemas.microsoft.com/office/drawing/2014/main" id="{9A0FF348-F8C7-451F-BCA4-C1E82E5A9F5B}"/>
            </a:ext>
          </a:extLst>
        </xdr:cNvPr>
        <xdr:cNvGrpSpPr/>
      </xdr:nvGrpSpPr>
      <xdr:grpSpPr>
        <a:xfrm>
          <a:off x="42252900" y="0"/>
          <a:ext cx="6366600" cy="1038237"/>
          <a:chOff x="6257924" y="76200"/>
          <a:chExt cx="5973778" cy="1034035"/>
        </a:xfrm>
      </xdr:grpSpPr>
      <xdr:grpSp>
        <xdr:nvGrpSpPr>
          <xdr:cNvPr id="29" name="Group 28">
            <a:extLst>
              <a:ext uri="{FF2B5EF4-FFF2-40B4-BE49-F238E27FC236}">
                <a16:creationId xmlns:a16="http://schemas.microsoft.com/office/drawing/2014/main" id="{7E40BBEC-FAA0-4784-81F1-C949475409E4}"/>
              </a:ext>
            </a:extLst>
          </xdr:cNvPr>
          <xdr:cNvGrpSpPr/>
        </xdr:nvGrpSpPr>
        <xdr:grpSpPr>
          <a:xfrm>
            <a:off x="6257924" y="94034"/>
            <a:ext cx="1753561" cy="971060"/>
            <a:chOff x="11448892" y="2483864"/>
            <a:chExt cx="1750813" cy="517167"/>
          </a:xfrm>
        </xdr:grpSpPr>
        <xdr:sp macro="[0]!MarkConfidential" textlink="">
          <xdr:nvSpPr>
            <xdr:cNvPr id="36" name="Rounded Rectangle 47">
              <a:extLst>
                <a:ext uri="{FF2B5EF4-FFF2-40B4-BE49-F238E27FC236}">
                  <a16:creationId xmlns:a16="http://schemas.microsoft.com/office/drawing/2014/main" id="{77E8C7DD-93EB-4B0D-817D-C7552E6D556B}"/>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48">
              <a:extLst>
                <a:ext uri="{FF2B5EF4-FFF2-40B4-BE49-F238E27FC236}">
                  <a16:creationId xmlns:a16="http://schemas.microsoft.com/office/drawing/2014/main" id="{16AFD152-66FA-4380-AED8-D2832CFFF685}"/>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C939297-8F83-4005-AD4A-AB777EAE3592}"/>
              </a:ext>
            </a:extLst>
          </xdr:cNvPr>
          <xdr:cNvGrpSpPr/>
        </xdr:nvGrpSpPr>
        <xdr:grpSpPr>
          <a:xfrm>
            <a:off x="9047916" y="76200"/>
            <a:ext cx="3183786" cy="1034035"/>
            <a:chOff x="8959453" y="47625"/>
            <a:chExt cx="3191911" cy="1037397"/>
          </a:xfrm>
        </xdr:grpSpPr>
        <xdr:sp macro="" textlink="">
          <xdr:nvSpPr>
            <xdr:cNvPr id="31" name="Rounded Rectangle 42">
              <a:extLst>
                <a:ext uri="{FF2B5EF4-FFF2-40B4-BE49-F238E27FC236}">
                  <a16:creationId xmlns:a16="http://schemas.microsoft.com/office/drawing/2014/main" id="{8BAC0287-4157-4B28-929E-AC917BD3F7C4}"/>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68FFABF-F5E5-4A21-9CBC-7208428030F3}"/>
                </a:ext>
              </a:extLst>
            </xdr:cNvPr>
            <xdr:cNvGrpSpPr/>
          </xdr:nvGrpSpPr>
          <xdr:grpSpPr>
            <a:xfrm>
              <a:off x="10422881" y="79536"/>
              <a:ext cx="1576451" cy="972629"/>
              <a:chOff x="24351211" y="420304"/>
              <a:chExt cx="1935032" cy="711040"/>
            </a:xfrm>
          </xdr:grpSpPr>
          <xdr:sp macro="[0]!dms_ReturnNonAmended" textlink="">
            <xdr:nvSpPr>
              <xdr:cNvPr id="34" name="Rounded Rectangle 45">
                <a:extLst>
                  <a:ext uri="{FF2B5EF4-FFF2-40B4-BE49-F238E27FC236}">
                    <a16:creationId xmlns:a16="http://schemas.microsoft.com/office/drawing/2014/main" id="{5F7C0CBE-11A2-4138-8A0D-BF79C7D14CA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46">
                <a:extLst>
                  <a:ext uri="{FF2B5EF4-FFF2-40B4-BE49-F238E27FC236}">
                    <a16:creationId xmlns:a16="http://schemas.microsoft.com/office/drawing/2014/main" id="{6DBBFA5F-2368-44C7-AD37-0494078FE75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44">
              <a:extLst>
                <a:ext uri="{FF2B5EF4-FFF2-40B4-BE49-F238E27FC236}">
                  <a16:creationId xmlns:a16="http://schemas.microsoft.com/office/drawing/2014/main" id="{2860F17D-7C31-4A7F-BE42-6F66EF26D1A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3%20Sustained%20interruptions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WC12.11%20-%20SCS%20and%20ACS%20Metering%20RFM%20-%2016%20Mar%2018%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WC12.10%20-%20Rate%20of%20Return%20Model%20-%2031%20Jan%2018%20-%20Publi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WC12.23%20-%20Updated%20UC%20RFM%20(Valuation%20Error)%20-%2031%20Jan%2018%20-%20Publi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WC12.1%20-%20SCS%20Post-tax%20Revenue%20Model%20-%2016%20Mar%2018%20-%20Public.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WC12.14%20-%20Updated%20UC%20RFM%20(Asset%20Classes)%20-%2031%20Jan%2018%20-%20Publi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WC12.2%20-%20ACS%20Metering%20Post-tax%20Revenue%20Model%20-%2016%20Mar%2018%20-%20Publi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Intro"/>
      <sheetName val="DMS input"/>
      <sheetName val="RFM input"/>
      <sheetName val="Adjustment for previous period"/>
      <sheetName val="RAB roll forward"/>
      <sheetName val="Total RAB roll forward"/>
      <sheetName val="TAB roll forward"/>
      <sheetName val="RAB remaining lives"/>
      <sheetName val="TAB remaining lives"/>
      <sheetName val="PTRM input summary"/>
    </sheetNames>
    <sheetDataSet>
      <sheetData sheetId="0"/>
      <sheetData sheetId="1"/>
      <sheetData sheetId="2"/>
      <sheetData sheetId="3"/>
      <sheetData sheetId="4">
        <row r="7">
          <cell r="J7">
            <v>247.15838494764884</v>
          </cell>
        </row>
        <row r="8">
          <cell r="J8">
            <v>211.58708026101553</v>
          </cell>
        </row>
        <row r="9">
          <cell r="J9">
            <v>167.02589930043948</v>
          </cell>
        </row>
        <row r="10">
          <cell r="J10">
            <v>0.1909410030775564</v>
          </cell>
        </row>
        <row r="11">
          <cell r="J11">
            <v>80.297330765413648</v>
          </cell>
        </row>
        <row r="12">
          <cell r="J12">
            <v>14.45466068104192</v>
          </cell>
        </row>
        <row r="13">
          <cell r="J13">
            <v>8.3903020321881421</v>
          </cell>
        </row>
        <row r="14">
          <cell r="J14">
            <v>2.1260573650090362</v>
          </cell>
        </row>
        <row r="15">
          <cell r="J15">
            <v>7.2356595534338553</v>
          </cell>
        </row>
        <row r="16">
          <cell r="J16">
            <v>33.024999999999999</v>
          </cell>
        </row>
        <row r="17">
          <cell r="J17">
            <v>0.90311269775714276</v>
          </cell>
        </row>
        <row r="18">
          <cell r="J18">
            <v>0.70379206895000002</v>
          </cell>
        </row>
        <row r="19">
          <cell r="J19">
            <v>4.3694539999999997E-2</v>
          </cell>
        </row>
        <row r="20">
          <cell r="J20">
            <v>7.2053953999153562</v>
          </cell>
        </row>
        <row r="21">
          <cell r="J21">
            <v>4.0802493072798489</v>
          </cell>
        </row>
        <row r="22">
          <cell r="J22">
            <v>3.5305159118669058</v>
          </cell>
        </row>
        <row r="23">
          <cell r="J23">
            <v>0</v>
          </cell>
        </row>
        <row r="24">
          <cell r="J24">
            <v>0</v>
          </cell>
        </row>
        <row r="25">
          <cell r="J25">
            <v>0</v>
          </cell>
        </row>
        <row r="26">
          <cell r="J26">
            <v>0</v>
          </cell>
        </row>
        <row r="75">
          <cell r="H75">
            <v>3.1527083999999997E-2</v>
          </cell>
          <cell r="I75">
            <v>3.2585330999999995E-2</v>
          </cell>
          <cell r="J75">
            <v>0.136414496</v>
          </cell>
          <cell r="K75">
            <v>0</v>
          </cell>
          <cell r="L75">
            <v>0</v>
          </cell>
        </row>
        <row r="76">
          <cell r="H76">
            <v>6.3054167999999994E-2</v>
          </cell>
          <cell r="I76">
            <v>6.286666199999999E-2</v>
          </cell>
          <cell r="J76">
            <v>0.11989699199999998</v>
          </cell>
          <cell r="K76">
            <v>0</v>
          </cell>
          <cell r="L76">
            <v>0</v>
          </cell>
        </row>
        <row r="77">
          <cell r="H77">
            <v>1.0509028E-2</v>
          </cell>
          <cell r="I77">
            <v>1.0477777000000002E-2</v>
          </cell>
          <cell r="J77">
            <v>1.9982831999999999E-2</v>
          </cell>
          <cell r="K77">
            <v>0</v>
          </cell>
          <cell r="L77">
            <v>0</v>
          </cell>
        </row>
        <row r="78">
          <cell r="H78">
            <v>0</v>
          </cell>
          <cell r="I78">
            <v>0</v>
          </cell>
          <cell r="J78">
            <v>0</v>
          </cell>
          <cell r="K78">
            <v>0</v>
          </cell>
          <cell r="L78">
            <v>0</v>
          </cell>
        </row>
        <row r="79">
          <cell r="H79">
            <v>7.6680000000000003E-3</v>
          </cell>
          <cell r="I79">
            <v>0</v>
          </cell>
          <cell r="J79">
            <v>0</v>
          </cell>
          <cell r="K79">
            <v>0</v>
          </cell>
          <cell r="L79">
            <v>0</v>
          </cell>
        </row>
        <row r="80">
          <cell r="H80">
            <v>0</v>
          </cell>
          <cell r="I80">
            <v>0</v>
          </cell>
          <cell r="J80">
            <v>0</v>
          </cell>
          <cell r="K80">
            <v>0</v>
          </cell>
          <cell r="L80">
            <v>0</v>
          </cell>
        </row>
        <row r="81">
          <cell r="H81">
            <v>0</v>
          </cell>
          <cell r="I81">
            <v>0</v>
          </cell>
          <cell r="J81">
            <v>0</v>
          </cell>
          <cell r="K81">
            <v>0</v>
          </cell>
          <cell r="L81">
            <v>0</v>
          </cell>
        </row>
        <row r="82">
          <cell r="H82">
            <v>0</v>
          </cell>
          <cell r="I82">
            <v>0</v>
          </cell>
          <cell r="J82">
            <v>0</v>
          </cell>
          <cell r="K82">
            <v>0</v>
          </cell>
          <cell r="L82">
            <v>0</v>
          </cell>
        </row>
        <row r="83">
          <cell r="H83">
            <v>0</v>
          </cell>
          <cell r="I83">
            <v>0</v>
          </cell>
          <cell r="J83">
            <v>0</v>
          </cell>
          <cell r="K83">
            <v>0</v>
          </cell>
          <cell r="L83">
            <v>0</v>
          </cell>
        </row>
        <row r="84">
          <cell r="H84">
            <v>0</v>
          </cell>
          <cell r="I84">
            <v>0</v>
          </cell>
          <cell r="J84">
            <v>0.01</v>
          </cell>
          <cell r="K84">
            <v>0</v>
          </cell>
          <cell r="L84">
            <v>0</v>
          </cell>
        </row>
        <row r="85">
          <cell r="H85">
            <v>0</v>
          </cell>
          <cell r="I85">
            <v>8.8683600000000005E-3</v>
          </cell>
          <cell r="J85">
            <v>0</v>
          </cell>
          <cell r="K85">
            <v>0</v>
          </cell>
          <cell r="L85">
            <v>0</v>
          </cell>
        </row>
        <row r="86">
          <cell r="H86">
            <v>0</v>
          </cell>
          <cell r="I86">
            <v>0</v>
          </cell>
          <cell r="J86">
            <v>0</v>
          </cell>
          <cell r="K86">
            <v>0</v>
          </cell>
          <cell r="L86">
            <v>0</v>
          </cell>
        </row>
        <row r="87">
          <cell r="H87">
            <v>0</v>
          </cell>
          <cell r="I87">
            <v>0</v>
          </cell>
          <cell r="J87">
            <v>4.7779199999999997E-3</v>
          </cell>
          <cell r="K87">
            <v>0</v>
          </cell>
          <cell r="L87">
            <v>0</v>
          </cell>
        </row>
        <row r="88">
          <cell r="H88">
            <v>2.725E-3</v>
          </cell>
          <cell r="I88">
            <v>2.1818200000000001E-3</v>
          </cell>
          <cell r="J88">
            <v>0</v>
          </cell>
          <cell r="K88">
            <v>0</v>
          </cell>
          <cell r="L88">
            <v>0</v>
          </cell>
        </row>
        <row r="105">
          <cell r="H105">
            <v>0.11548327999999999</v>
          </cell>
          <cell r="I105">
            <v>0.11697995</v>
          </cell>
          <cell r="J105">
            <v>0.29107223999999998</v>
          </cell>
          <cell r="K105">
            <v>0</v>
          </cell>
          <cell r="L105">
            <v>0</v>
          </cell>
        </row>
        <row r="182">
          <cell r="G182">
            <v>2.4498886414253906E-2</v>
          </cell>
          <cell r="H182">
            <v>1.3282732447817747E-2</v>
          </cell>
          <cell r="I182">
            <v>1.3108614232209881E-2</v>
          </cell>
          <cell r="J182">
            <v>2.1256931608133023E-2</v>
          </cell>
          <cell r="K182">
            <v>2.4248746575396662E-2</v>
          </cell>
          <cell r="L182">
            <v>2.4248746575396662E-2</v>
          </cell>
        </row>
        <row r="188">
          <cell r="H188">
            <v>4.5696461643434994E-2</v>
          </cell>
          <cell r="I188">
            <v>4.5696461643434994E-2</v>
          </cell>
          <cell r="J188">
            <v>4.5696461643434994E-2</v>
          </cell>
          <cell r="K188">
            <v>4.5696461643434994E-2</v>
          </cell>
          <cell r="L188">
            <v>4.5696461643434994E-2</v>
          </cell>
        </row>
      </sheetData>
      <sheetData sheetId="5"/>
      <sheetData sheetId="6">
        <row r="7">
          <cell r="H7">
            <v>1.0244988864142539</v>
          </cell>
          <cell r="I7">
            <v>1.0381070310155818</v>
          </cell>
          <cell r="J7">
            <v>1.0517151756169099</v>
          </cell>
          <cell r="K7">
            <v>1.0740714131762341</v>
          </cell>
          <cell r="L7">
            <v>1.1001162986782227</v>
          </cell>
        </row>
        <row r="12">
          <cell r="H12">
            <v>32.227114546279296</v>
          </cell>
          <cell r="I12">
            <v>27.26593098895064</v>
          </cell>
          <cell r="J12">
            <v>13.66779526554731</v>
          </cell>
          <cell r="K12">
            <v>7.5595482071815177</v>
          </cell>
          <cell r="L12">
            <v>12.315621319592506</v>
          </cell>
        </row>
        <row r="13">
          <cell r="H13">
            <v>14.644551418498185</v>
          </cell>
          <cell r="I13">
            <v>9.7493505955183206</v>
          </cell>
          <cell r="J13">
            <v>9.036519580223203</v>
          </cell>
          <cell r="K13">
            <v>5.5582577699751079</v>
          </cell>
          <cell r="L13">
            <v>8.2222949335142044</v>
          </cell>
        </row>
        <row r="14">
          <cell r="H14">
            <v>3.3412863581950241</v>
          </cell>
          <cell r="I14">
            <v>5.8432951018661718</v>
          </cell>
          <cell r="J14">
            <v>5.6855452734295255</v>
          </cell>
          <cell r="K14">
            <v>7.9857780012667599</v>
          </cell>
          <cell r="L14">
            <v>0.22022845346200803</v>
          </cell>
        </row>
        <row r="15">
          <cell r="H15">
            <v>1.8011175663040058</v>
          </cell>
          <cell r="I15">
            <v>1.8103966862738241</v>
          </cell>
          <cell r="J15">
            <v>1.6359032577199502</v>
          </cell>
          <cell r="K15">
            <v>2.0044186145404128E-2</v>
          </cell>
          <cell r="L15">
            <v>5.6297690771999004E-2</v>
          </cell>
        </row>
        <row r="16">
          <cell r="H16">
            <v>8.3249750439041463</v>
          </cell>
          <cell r="I16">
            <v>5.6323818512619122</v>
          </cell>
          <cell r="J16">
            <v>3.2776712310101992</v>
          </cell>
          <cell r="K16">
            <v>1.7357961426596207</v>
          </cell>
          <cell r="L16">
            <v>3.4638573941966793</v>
          </cell>
        </row>
        <row r="17">
          <cell r="H17">
            <v>4.8736954135427455</v>
          </cell>
          <cell r="I17">
            <v>5.6230124797813632</v>
          </cell>
          <cell r="J17">
            <v>4.9322281631467115</v>
          </cell>
          <cell r="K17">
            <v>4.2023781905165638</v>
          </cell>
          <cell r="L17">
            <v>3.1868286894059077</v>
          </cell>
        </row>
        <row r="18">
          <cell r="H18">
            <v>5.6685429469921518</v>
          </cell>
          <cell r="I18">
            <v>4.7303067616928551</v>
          </cell>
          <cell r="J18">
            <v>2.8791079508542707</v>
          </cell>
          <cell r="K18">
            <v>0.93601286064098632</v>
          </cell>
          <cell r="L18">
            <v>2.3453535556241358</v>
          </cell>
        </row>
        <row r="19">
          <cell r="H19">
            <v>2.2486812896833577</v>
          </cell>
          <cell r="I19">
            <v>1.0524964838373698</v>
          </cell>
          <cell r="J19">
            <v>0.56414519222383608</v>
          </cell>
          <cell r="K19">
            <v>0.44618953563890129</v>
          </cell>
          <cell r="L19">
            <v>1.1078946631961883</v>
          </cell>
        </row>
        <row r="20">
          <cell r="H20">
            <v>2.9320763686516953</v>
          </cell>
          <cell r="I20">
            <v>1.7678068869518302</v>
          </cell>
          <cell r="J20">
            <v>0.81606710413290184</v>
          </cell>
          <cell r="K20">
            <v>4.9201069268452535</v>
          </cell>
          <cell r="L20">
            <v>1.7098316898336841</v>
          </cell>
        </row>
        <row r="21">
          <cell r="H21">
            <v>0</v>
          </cell>
          <cell r="I21">
            <v>0</v>
          </cell>
          <cell r="J21">
            <v>-9.825896546740806E-3</v>
          </cell>
          <cell r="K21">
            <v>0</v>
          </cell>
          <cell r="L21">
            <v>8.5934306887438083</v>
          </cell>
        </row>
        <row r="22">
          <cell r="H22">
            <v>1.037332145373995E-2</v>
          </cell>
          <cell r="I22">
            <v>3.295726482685167E-2</v>
          </cell>
          <cell r="J22">
            <v>3.6090894323259452E-2</v>
          </cell>
          <cell r="K22">
            <v>0</v>
          </cell>
          <cell r="L22">
            <v>9.6185869885120798</v>
          </cell>
        </row>
        <row r="23">
          <cell r="H23">
            <v>0.4252086916334864</v>
          </cell>
          <cell r="I23">
            <v>0.88957492887611622</v>
          </cell>
          <cell r="J23">
            <v>2.6908295711210259</v>
          </cell>
          <cell r="K23">
            <v>4.2901117973961398</v>
          </cell>
          <cell r="L23">
            <v>4.629673603033444</v>
          </cell>
        </row>
        <row r="24">
          <cell r="H24">
            <v>7.2194200531833758E-2</v>
          </cell>
          <cell r="I24">
            <v>9.3946606945639367E-3</v>
          </cell>
          <cell r="J24">
            <v>-4.6001481035650603E-3</v>
          </cell>
          <cell r="K24">
            <v>0</v>
          </cell>
          <cell r="L24">
            <v>0</v>
          </cell>
        </row>
        <row r="25">
          <cell r="H25">
            <v>0.60006149341344628</v>
          </cell>
          <cell r="I25">
            <v>0.30782567276311812</v>
          </cell>
          <cell r="J25">
            <v>0.44587639653286165</v>
          </cell>
          <cell r="K25">
            <v>0.52024396950378149</v>
          </cell>
          <cell r="L25">
            <v>0.55213243122342681</v>
          </cell>
        </row>
        <row r="26">
          <cell r="H26">
            <v>2.0064542080407719</v>
          </cell>
          <cell r="I26">
            <v>2.8809621893498485</v>
          </cell>
          <cell r="J26">
            <v>3.0060497958531864</v>
          </cell>
          <cell r="K26">
            <v>0</v>
          </cell>
          <cell r="L26">
            <v>0</v>
          </cell>
        </row>
        <row r="27">
          <cell r="H27">
            <v>0</v>
          </cell>
          <cell r="I27">
            <v>0</v>
          </cell>
          <cell r="J27">
            <v>0</v>
          </cell>
          <cell r="K27">
            <v>1.7993140997224895</v>
          </cell>
          <cell r="L27">
            <v>3.9083691771495963</v>
          </cell>
        </row>
        <row r="28">
          <cell r="H28">
            <v>0</v>
          </cell>
          <cell r="I28">
            <v>0</v>
          </cell>
          <cell r="J28">
            <v>0</v>
          </cell>
          <cell r="K28">
            <v>0</v>
          </cell>
          <cell r="L28">
            <v>0</v>
          </cell>
        </row>
        <row r="29">
          <cell r="H29">
            <v>0</v>
          </cell>
          <cell r="I29">
            <v>0</v>
          </cell>
          <cell r="J29">
            <v>0</v>
          </cell>
          <cell r="K29">
            <v>0.10227001856384998</v>
          </cell>
          <cell r="L29">
            <v>0.10247817096791215</v>
          </cell>
        </row>
        <row r="30">
          <cell r="H30">
            <v>3.1453599861910368E-2</v>
          </cell>
          <cell r="I30">
            <v>0.21571017711642915</v>
          </cell>
          <cell r="J30">
            <v>1.4703471592542941E-2</v>
          </cell>
          <cell r="K30">
            <v>0</v>
          </cell>
          <cell r="L30">
            <v>0</v>
          </cell>
        </row>
        <row r="31">
          <cell r="H31">
            <v>0</v>
          </cell>
          <cell r="I31">
            <v>0</v>
          </cell>
          <cell r="J31">
            <v>0</v>
          </cell>
          <cell r="K31">
            <v>0</v>
          </cell>
          <cell r="L31">
            <v>0</v>
          </cell>
        </row>
        <row r="631">
          <cell r="G631">
            <v>-39.577616939784058</v>
          </cell>
          <cell r="H631">
            <v>-51.750479999266091</v>
          </cell>
          <cell r="I631">
            <v>-54.736253268168312</v>
          </cell>
          <cell r="J631">
            <v>-50.506892527890884</v>
          </cell>
          <cell r="K631">
            <v>-52.190878619404579</v>
          </cell>
          <cell r="L631">
            <v>-54.664472400856887</v>
          </cell>
        </row>
        <row r="632">
          <cell r="G632">
            <v>-16.256574526659879</v>
          </cell>
          <cell r="H632">
            <v>-24.74229958880742</v>
          </cell>
          <cell r="I632">
            <v>-26.062766539954062</v>
          </cell>
          <cell r="J632">
            <v>-24.279286748736411</v>
          </cell>
          <cell r="K632">
            <v>-25.236564538756291</v>
          </cell>
          <cell r="L632">
            <v>-26.324513351096982</v>
          </cell>
        </row>
        <row r="633">
          <cell r="G633">
            <v>-6.4959685823221136</v>
          </cell>
          <cell r="H633">
            <v>-9.7613513936589129</v>
          </cell>
          <cell r="I633">
            <v>-9.9741260641553371</v>
          </cell>
          <cell r="J633">
            <v>-10.199192780525113</v>
          </cell>
          <cell r="K633">
            <v>-10.462202865904764</v>
          </cell>
          <cell r="L633">
            <v>-10.774270227499702</v>
          </cell>
        </row>
        <row r="634">
          <cell r="G634">
            <v>-5.289107288404109</v>
          </cell>
          <cell r="H634">
            <v>-5.739817160462958</v>
          </cell>
          <cell r="I634">
            <v>-6.0426783090670906</v>
          </cell>
          <cell r="J634">
            <v>-6.2297458028896111</v>
          </cell>
          <cell r="K634">
            <v>-6.3942765477553412</v>
          </cell>
          <cell r="L634">
            <v>-6.6969122541972039</v>
          </cell>
        </row>
        <row r="635">
          <cell r="G635">
            <v>-5.8604374659147161E-3</v>
          </cell>
          <cell r="H635">
            <v>-5.7529325790817015E-3</v>
          </cell>
          <cell r="I635">
            <v>-5.8765099658908788E-3</v>
          </cell>
          <cell r="J635">
            <v>-6.0073012730056949E-3</v>
          </cell>
          <cell r="K635">
            <v>-6.1657081238775946E-3</v>
          </cell>
          <cell r="L635">
            <v>-6.3476380341376823E-3</v>
          </cell>
        </row>
        <row r="636">
          <cell r="G636">
            <v>-3.4531191684174471</v>
          </cell>
          <cell r="H636">
            <v>-3.7311670136415422</v>
          </cell>
          <cell r="I636">
            <v>-3.8243155920757852</v>
          </cell>
          <cell r="J636">
            <v>-3.9085321850689461</v>
          </cell>
          <cell r="K636">
            <v>-4.0312886477898964</v>
          </cell>
          <cell r="L636">
            <v>-4.1997665982332517</v>
          </cell>
        </row>
        <row r="637">
          <cell r="G637">
            <v>-0.46174460997385325</v>
          </cell>
          <cell r="H637">
            <v>-0.54940241377787369</v>
          </cell>
          <cell r="I637">
            <v>-0.56042522033758135</v>
          </cell>
          <cell r="J637">
            <v>-0.57201783271701023</v>
          </cell>
          <cell r="K637">
            <v>-0.58660287162092151</v>
          </cell>
          <cell r="L637">
            <v>-0.60338795218449259</v>
          </cell>
        </row>
        <row r="638">
          <cell r="G638">
            <v>-0.52762032497120848</v>
          </cell>
          <cell r="H638">
            <v>-0.77478645479446406</v>
          </cell>
          <cell r="I638">
            <v>-0.80872840921616751</v>
          </cell>
          <cell r="J638">
            <v>-0.77132811206003848</v>
          </cell>
          <cell r="K638">
            <v>-0.7989985312950888</v>
          </cell>
          <cell r="L638">
            <v>-0.83059288338821047</v>
          </cell>
        </row>
        <row r="639">
          <cell r="G639">
            <v>-1.4259437724275821</v>
          </cell>
          <cell r="H639">
            <v>-0.80203151733871292</v>
          </cell>
          <cell r="I639">
            <v>-0.86685514554906928</v>
          </cell>
          <cell r="J639">
            <v>-8.6822896997050966E-2</v>
          </cell>
          <cell r="K639">
            <v>-0.11485269172440669</v>
          </cell>
          <cell r="L639">
            <v>-0.14065610555553587</v>
          </cell>
        </row>
        <row r="640">
          <cell r="G640">
            <v>-3.7027991039471182</v>
          </cell>
          <cell r="H640">
            <v>-2.6763103441691802</v>
          </cell>
          <cell r="I640">
            <v>-2.891733867054314</v>
          </cell>
          <cell r="J640">
            <v>-0.29763346863436707</v>
          </cell>
          <cell r="K640">
            <v>-0.3909079706139989</v>
          </cell>
          <cell r="L640">
            <v>-0.47679001507698199</v>
          </cell>
        </row>
        <row r="641">
          <cell r="G641">
            <v>-9.0828959042256185E-2</v>
          </cell>
          <cell r="H641">
            <v>0</v>
          </cell>
          <cell r="I641">
            <v>0</v>
          </cell>
          <cell r="J641">
            <v>0</v>
          </cell>
          <cell r="K641">
            <v>0</v>
          </cell>
          <cell r="L641">
            <v>0</v>
          </cell>
        </row>
        <row r="642">
          <cell r="G642">
            <v>-8.0782779591869705E-2</v>
          </cell>
          <cell r="H642">
            <v>-0.1971496871843002</v>
          </cell>
          <cell r="I642">
            <v>-0.22297259831527302</v>
          </cell>
          <cell r="J642">
            <v>-0.2494038599035025</v>
          </cell>
          <cell r="K642">
            <v>-0.21457558667562623</v>
          </cell>
          <cell r="L642">
            <v>-0.24436905868471545</v>
          </cell>
        </row>
        <row r="643">
          <cell r="G643">
            <v>-8.8285136086500626E-2</v>
          </cell>
          <cell r="H643">
            <v>-0.10378054754609714</v>
          </cell>
          <cell r="I643">
            <v>-0.21227575779623456</v>
          </cell>
          <cell r="J643">
            <v>-0.24804175929783751</v>
          </cell>
          <cell r="K643">
            <v>-0.25331436601119262</v>
          </cell>
          <cell r="L643">
            <v>-0.25945692187650532</v>
          </cell>
        </row>
        <row r="644">
          <cell r="G644">
            <v>-3.9084450954506769E-3</v>
          </cell>
          <cell r="H644">
            <v>-9.5385270454678012E-3</v>
          </cell>
          <cell r="I644">
            <v>-1.0787895176522641E-2</v>
          </cell>
          <cell r="J644">
            <v>-1.2066696614688137E-2</v>
          </cell>
          <cell r="K644">
            <v>-1.0381629644125402E-2</v>
          </cell>
          <cell r="L644">
            <v>-1.1823102073505527E-2</v>
          </cell>
        </row>
        <row r="645">
          <cell r="G645">
            <v>-0.70566350338596595</v>
          </cell>
          <cell r="H645">
            <v>-1.4178132529328729</v>
          </cell>
          <cell r="I645">
            <v>-1.898797430199922</v>
          </cell>
          <cell r="J645">
            <v>-2.1568709695770636</v>
          </cell>
          <cell r="K645">
            <v>-1.9798501972401825</v>
          </cell>
          <cell r="L645">
            <v>-2.1644262428410053</v>
          </cell>
        </row>
        <row r="646">
          <cell r="G646">
            <v>-0.53043821259463853</v>
          </cell>
          <cell r="H646">
            <v>-0.6643967866899384</v>
          </cell>
          <cell r="I646">
            <v>-0.72585426210045378</v>
          </cell>
          <cell r="J646">
            <v>-0.79878108203812415</v>
          </cell>
          <cell r="K646">
            <v>-0.91723813837763557</v>
          </cell>
          <cell r="L646">
            <v>-1.0353248628539693</v>
          </cell>
        </row>
        <row r="647">
          <cell r="G647">
            <v>-0.45897208939815637</v>
          </cell>
          <cell r="H647">
            <v>-0.57488237863725944</v>
          </cell>
          <cell r="I647">
            <v>-0.62805966720462003</v>
          </cell>
          <cell r="J647">
            <v>-0.69116103155812403</v>
          </cell>
          <cell r="K647">
            <v>-0.79365832787121826</v>
          </cell>
          <cell r="L647">
            <v>-0.895835187260694</v>
          </cell>
        </row>
        <row r="648">
          <cell r="G648">
            <v>0</v>
          </cell>
          <cell r="H648">
            <v>0</v>
          </cell>
          <cell r="I648">
            <v>0</v>
          </cell>
          <cell r="J648">
            <v>0</v>
          </cell>
          <cell r="K648">
            <v>0</v>
          </cell>
          <cell r="L648">
            <v>0</v>
          </cell>
        </row>
        <row r="649">
          <cell r="G649">
            <v>0</v>
          </cell>
          <cell r="H649">
            <v>0</v>
          </cell>
          <cell r="I649">
            <v>0</v>
          </cell>
          <cell r="J649">
            <v>0</v>
          </cell>
          <cell r="K649">
            <v>0</v>
          </cell>
          <cell r="L649">
            <v>0</v>
          </cell>
        </row>
        <row r="650">
          <cell r="G650">
            <v>0</v>
          </cell>
          <cell r="H650">
            <v>0</v>
          </cell>
          <cell r="I650">
            <v>0</v>
          </cell>
          <cell r="J650">
            <v>0</v>
          </cell>
          <cell r="K650">
            <v>0</v>
          </cell>
          <cell r="L650">
            <v>0</v>
          </cell>
        </row>
        <row r="651">
          <cell r="G651">
            <v>0</v>
          </cell>
          <cell r="H651">
            <v>0</v>
          </cell>
          <cell r="I651">
            <v>0</v>
          </cell>
          <cell r="J651">
            <v>0</v>
          </cell>
          <cell r="K651">
            <v>0</v>
          </cell>
          <cell r="L651">
            <v>0</v>
          </cell>
        </row>
        <row r="664">
          <cell r="G664">
            <v>6.0551051991628917</v>
          </cell>
          <cell r="H664">
            <v>3.9558259456231331</v>
          </cell>
          <cell r="I664">
            <v>4.0642911209666535</v>
          </cell>
          <cell r="J664">
            <v>6.7247117383960964</v>
          </cell>
          <cell r="K664">
            <v>7.5940741268649061</v>
          </cell>
          <cell r="L664">
            <v>7.363153415410892</v>
          </cell>
        </row>
        <row r="665">
          <cell r="G665">
            <v>5.1836478460382445</v>
          </cell>
          <cell r="H665">
            <v>3.0101591966772405</v>
          </cell>
          <cell r="I665">
            <v>3.078874227737971</v>
          </cell>
          <cell r="J665">
            <v>5.0612698300742061</v>
          </cell>
          <cell r="K665">
            <v>5.8794883195477619</v>
          </cell>
          <cell r="L665">
            <v>5.9131274230953075</v>
          </cell>
        </row>
        <row r="666">
          <cell r="G666">
            <v>4.0919485352000775</v>
          </cell>
          <cell r="H666">
            <v>2.2458472015316553</v>
          </cell>
          <cell r="I666">
            <v>2.2154788287768117</v>
          </cell>
          <cell r="J666">
            <v>3.6402102378091659</v>
          </cell>
          <cell r="K666">
            <v>4.2347572084954574</v>
          </cell>
          <cell r="L666">
            <v>4.3903802450003697</v>
          </cell>
        </row>
        <row r="667">
          <cell r="G667">
            <v>4.67784194622076E-3</v>
          </cell>
          <cell r="H667">
            <v>2.648560467489413E-3</v>
          </cell>
          <cell r="I667">
            <v>2.6761725371616436E-2</v>
          </cell>
          <cell r="J667">
            <v>8.3790744765667322E-2</v>
          </cell>
          <cell r="K667">
            <v>0.13919012850179005</v>
          </cell>
          <cell r="L667">
            <v>0.14293785249301069</v>
          </cell>
        </row>
        <row r="668">
          <cell r="G668">
            <v>1.9671951857896446</v>
          </cell>
          <cell r="H668">
            <v>1.0993462390227222</v>
          </cell>
          <cell r="I668">
            <v>1.162238232539321</v>
          </cell>
          <cell r="J668">
            <v>1.952387769282949</v>
          </cell>
          <cell r="K668">
            <v>2.2633329933595236</v>
          </cell>
          <cell r="L668">
            <v>2.2656708965290657</v>
          </cell>
        </row>
        <row r="669">
          <cell r="G669">
            <v>0.35412309018142801</v>
          </cell>
          <cell r="H669">
            <v>0.20068219061051548</v>
          </cell>
          <cell r="I669">
            <v>0.25893284935739697</v>
          </cell>
          <cell r="J669">
            <v>0.53755960910883882</v>
          </cell>
          <cell r="K669">
            <v>0.73816857703405581</v>
          </cell>
          <cell r="L669">
            <v>0.85129431422219837</v>
          </cell>
        </row>
        <row r="670">
          <cell r="G670">
            <v>0.20555305646786101</v>
          </cell>
          <cell r="H670">
            <v>0.12818137245738964</v>
          </cell>
          <cell r="I670">
            <v>0.19415217091044987</v>
          </cell>
          <cell r="J670">
            <v>0.40615673445615103</v>
          </cell>
          <cell r="K670">
            <v>0.52789171274754532</v>
          </cell>
          <cell r="L670">
            <v>0.54569605999350723</v>
          </cell>
        </row>
        <row r="671">
          <cell r="G671">
            <v>5.2086037895544335E-2</v>
          </cell>
          <cell r="H671">
            <v>1.9446710345155056E-2</v>
          </cell>
          <cell r="I671">
            <v>3.9132440155824511E-2</v>
          </cell>
          <cell r="J671">
            <v>6.9087736786906301E-2</v>
          </cell>
          <cell r="K671">
            <v>9.2768729083788137E-2</v>
          </cell>
          <cell r="L671">
            <v>0.10385417603823595</v>
          </cell>
        </row>
        <row r="672">
          <cell r="G672">
            <v>0.17726560153178716</v>
          </cell>
          <cell r="H672">
            <v>8.0442099005678891E-2</v>
          </cell>
          <cell r="I672">
            <v>8.4736463074542176E-2</v>
          </cell>
          <cell r="J672">
            <v>0.11675065640496254</v>
          </cell>
          <cell r="K672">
            <v>0.14960856625760541</v>
          </cell>
          <cell r="L672">
            <v>0.27190097971979893</v>
          </cell>
        </row>
        <row r="673">
          <cell r="G673">
            <v>0.80907572383073523</v>
          </cell>
          <cell r="H673">
            <v>0.4578724295316603</v>
          </cell>
          <cell r="I673">
            <v>0.4578724295316684</v>
          </cell>
          <cell r="J673">
            <v>0.75221899137344483</v>
          </cell>
          <cell r="K673">
            <v>0.87608012100708033</v>
          </cell>
          <cell r="L673">
            <v>0.89732396584112384</v>
          </cell>
        </row>
        <row r="674">
          <cell r="G674">
            <v>2.2125255401622659E-2</v>
          </cell>
          <cell r="H674">
            <v>1.4663158059903956E-2</v>
          </cell>
          <cell r="I674">
            <v>1.2218110089219384E-2</v>
          </cell>
          <cell r="J674">
            <v>1.6060163138909848E-2</v>
          </cell>
          <cell r="K674">
            <v>1.358268272198037E-2</v>
          </cell>
          <cell r="L674">
            <v>8.7088567305553689E-3</v>
          </cell>
        </row>
        <row r="675">
          <cell r="G675">
            <v>1.7242121956458804E-2</v>
          </cell>
          <cell r="H675">
            <v>8.4046364017830687E-3</v>
          </cell>
          <cell r="I675">
            <v>1.2754668208304799E-2</v>
          </cell>
          <cell r="J675">
            <v>3.6071989916036301E-2</v>
          </cell>
          <cell r="K675">
            <v>0.10463257518834855</v>
          </cell>
          <cell r="L675">
            <v>0.21276269867622252</v>
          </cell>
        </row>
        <row r="676">
          <cell r="G676">
            <v>1.0704675723830737E-3</v>
          </cell>
          <cell r="H676">
            <v>7.094352099864808E-4</v>
          </cell>
          <cell r="I676">
            <v>1.5539491744710392E-3</v>
          </cell>
          <cell r="J676">
            <v>2.5309106481659583E-3</v>
          </cell>
          <cell r="K676">
            <v>2.5385772368327684E-3</v>
          </cell>
          <cell r="L676">
            <v>2.3483930466307746E-3</v>
          </cell>
        </row>
        <row r="677">
          <cell r="G677">
            <v>0.17652416347231392</v>
          </cell>
          <cell r="H677">
            <v>0.10781968663797595</v>
          </cell>
          <cell r="I677">
            <v>9.7292801903792206E-2</v>
          </cell>
          <cell r="J677">
            <v>0.12626834738018286</v>
          </cell>
          <cell r="K677">
            <v>0.10617155114575733</v>
          </cell>
          <cell r="L677">
            <v>7.4286887111707348E-2</v>
          </cell>
        </row>
        <row r="678">
          <cell r="H678">
            <v>5.3450619660485081E-2</v>
          </cell>
          <cell r="I678">
            <v>7.1687498322701909E-2</v>
          </cell>
          <cell r="J678">
            <v>0.16591699093117335</v>
          </cell>
          <cell r="K678">
            <v>0.25058549117014556</v>
          </cell>
          <cell r="L678">
            <v>0.23442000007419378</v>
          </cell>
        </row>
        <row r="679">
          <cell r="H679">
            <v>4.6249199252065672E-2</v>
          </cell>
          <cell r="I679">
            <v>3.8713287921615436E-2</v>
          </cell>
          <cell r="J679">
            <v>5.0249780193914802E-2</v>
          </cell>
          <cell r="K679">
            <v>4.1780910209816072E-2</v>
          </cell>
          <cell r="L679">
            <v>7.0411754962567102E-2</v>
          </cell>
        </row>
        <row r="680">
          <cell r="H680">
            <v>0</v>
          </cell>
          <cell r="I680">
            <v>0</v>
          </cell>
          <cell r="J680">
            <v>0</v>
          </cell>
          <cell r="K680">
            <v>0</v>
          </cell>
          <cell r="L680">
            <v>0</v>
          </cell>
        </row>
        <row r="681">
          <cell r="H681">
            <v>0</v>
          </cell>
          <cell r="I681">
            <v>0</v>
          </cell>
          <cell r="J681">
            <v>0</v>
          </cell>
          <cell r="K681">
            <v>0</v>
          </cell>
          <cell r="L681">
            <v>2.6636109237817276E-3</v>
          </cell>
        </row>
        <row r="682">
          <cell r="H682">
            <v>0</v>
          </cell>
          <cell r="I682">
            <v>4.2241431877477413E-4</v>
          </cell>
          <cell r="J682">
            <v>5.4540364225283289E-3</v>
          </cell>
          <cell r="K682">
            <v>6.7288997355755649E-3</v>
          </cell>
          <cell r="L682">
            <v>6.8920671199947901E-3</v>
          </cell>
        </row>
        <row r="683">
          <cell r="H683">
            <v>0</v>
          </cell>
          <cell r="I683">
            <v>0</v>
          </cell>
          <cell r="J683">
            <v>0</v>
          </cell>
          <cell r="K683">
            <v>0</v>
          </cell>
          <cell r="L683">
            <v>0</v>
          </cell>
        </row>
        <row r="684">
          <cell r="H684">
            <v>0</v>
          </cell>
          <cell r="I684">
            <v>0</v>
          </cell>
          <cell r="J684">
            <v>0</v>
          </cell>
          <cell r="K684">
            <v>0</v>
          </cell>
          <cell r="L684">
            <v>0</v>
          </cell>
        </row>
      </sheetData>
      <sheetData sheetId="7">
        <row r="39">
          <cell r="H39">
            <v>81.148289030764971</v>
          </cell>
          <cell r="I39">
            <v>70.395493956794368</v>
          </cell>
          <cell r="J39">
            <v>51.191297099891536</v>
          </cell>
          <cell r="K39">
            <v>43.044541490447806</v>
          </cell>
          <cell r="L39">
            <v>66.043149138680178</v>
          </cell>
        </row>
        <row r="202">
          <cell r="G202">
            <v>297.81718190620074</v>
          </cell>
          <cell r="H202">
            <v>310.04735122802418</v>
          </cell>
          <cell r="I202">
            <v>316.35383047585208</v>
          </cell>
          <cell r="J202">
            <v>313.17388316351281</v>
          </cell>
          <cell r="K202">
            <v>303.65088737748272</v>
          </cell>
          <cell r="L202">
            <v>298.23814318382938</v>
          </cell>
        </row>
        <row r="203">
          <cell r="G203">
            <v>226.62198523555949</v>
          </cell>
          <cell r="H203">
            <v>234.87411965886551</v>
          </cell>
          <cell r="I203">
            <v>238.09973722349164</v>
          </cell>
          <cell r="J203">
            <v>242.46565905032082</v>
          </cell>
          <cell r="K203">
            <v>243.85291028175877</v>
          </cell>
          <cell r="L203">
            <v>248.03724814625275</v>
          </cell>
        </row>
        <row r="204">
          <cell r="G204">
            <v>169.08021074388432</v>
          </cell>
          <cell r="H204">
            <v>169.00938493811495</v>
          </cell>
          <cell r="I204">
            <v>171.24815118737084</v>
          </cell>
          <cell r="J204">
            <v>174.63818986801323</v>
          </cell>
          <cell r="K204">
            <v>181.05596639188562</v>
          </cell>
          <cell r="L204">
            <v>178.99171129377504</v>
          </cell>
        </row>
        <row r="205">
          <cell r="G205">
            <v>0.19939876662384715</v>
          </cell>
          <cell r="H205">
            <v>2.04153733549186</v>
          </cell>
          <cell r="I205">
            <v>3.9418080798457527</v>
          </cell>
          <cell r="J205">
            <v>5.7400958053236266</v>
          </cell>
          <cell r="K205">
            <v>5.8946491130407015</v>
          </cell>
          <cell r="L205">
            <v>6.0931733346957975</v>
          </cell>
        </row>
        <row r="206">
          <cell r="G206">
            <v>82.765066852139796</v>
          </cell>
          <cell r="H206">
            <v>88.662173739427232</v>
          </cell>
          <cell r="I206">
            <v>91.847111581050314</v>
          </cell>
          <cell r="J206">
            <v>93.338143739600696</v>
          </cell>
          <cell r="K206">
            <v>93.434557101102598</v>
          </cell>
          <cell r="L206">
            <v>95.311107375051265</v>
          </cell>
        </row>
        <row r="207">
          <cell r="G207">
            <v>15.108502064534626</v>
          </cell>
          <cell r="H207">
            <v>19.752877365264066</v>
          </cell>
          <cell r="I207">
            <v>25.288673785033275</v>
          </cell>
          <cell r="J207">
            <v>30.441514770211615</v>
          </cell>
          <cell r="K207">
            <v>35.106734757413861</v>
          </cell>
          <cell r="L207">
            <v>38.860523301762363</v>
          </cell>
        </row>
        <row r="208">
          <cell r="G208">
            <v>9.6502261835778285</v>
          </cell>
          <cell r="H208">
            <v>14.811037038025585</v>
          </cell>
          <cell r="I208">
            <v>19.10702550789377</v>
          </cell>
          <cell r="J208">
            <v>21.769855654442626</v>
          </cell>
          <cell r="K208">
            <v>22.504093491874876</v>
          </cell>
          <cell r="L208">
            <v>24.799358341185204</v>
          </cell>
        </row>
        <row r="209">
          <cell r="G209">
            <v>1.4640594788423977</v>
          </cell>
          <cell r="H209">
            <v>2.9852461490300084</v>
          </cell>
          <cell r="I209">
            <v>3.2501274436275152</v>
          </cell>
          <cell r="J209">
            <v>3.8257123433304976</v>
          </cell>
          <cell r="K209">
            <v>4.2828678057780021</v>
          </cell>
          <cell r="L209">
            <v>5.4648788524614487</v>
          </cell>
        </row>
        <row r="210">
          <cell r="G210">
            <v>6.0561408822847236</v>
          </cell>
          <cell r="H210">
            <v>6.464181611686433</v>
          </cell>
          <cell r="I210">
            <v>5.4923569665291243</v>
          </cell>
          <cell r="J210">
            <v>6.1697443120380377</v>
          </cell>
          <cell r="K210">
            <v>11.212991107576503</v>
          </cell>
          <cell r="L210">
            <v>12.889115782201882</v>
          </cell>
        </row>
        <row r="211">
          <cell r="G211">
            <v>34.47125290902666</v>
          </cell>
          <cell r="H211">
            <v>34.929125338558322</v>
          </cell>
          <cell r="I211">
            <v>35.386997768089991</v>
          </cell>
          <cell r="J211">
            <v>36.128882714951189</v>
          </cell>
          <cell r="K211">
            <v>37.004962835958267</v>
          </cell>
          <cell r="L211">
            <v>47.356059964048079</v>
          </cell>
        </row>
        <row r="212">
          <cell r="G212">
            <v>1.1039263282242053</v>
          </cell>
          <cell r="H212">
            <v>0.93206725537758284</v>
          </cell>
          <cell r="I212">
            <v>0.75552593549132641</v>
          </cell>
          <cell r="J212">
            <v>0.56013957998809194</v>
          </cell>
          <cell r="K212">
            <v>0.35914667603444606</v>
          </cell>
          <cell r="L212">
            <v>10.705050790396708</v>
          </cell>
        </row>
        <row r="213">
          <cell r="G213">
            <v>0.63274905481995813</v>
          </cell>
          <cell r="H213">
            <v>0.97299897474781261</v>
          </cell>
          <cell r="I213">
            <v>1.6969518734413651</v>
          </cell>
          <cell r="J213">
            <v>4.3149683990062879</v>
          </cell>
          <cell r="K213">
            <v>8.7741730490967509</v>
          </cell>
          <cell r="L213">
            <v>13.820658214153891</v>
          </cell>
        </row>
        <row r="214">
          <cell r="G214">
            <v>5.3410336523268272E-2</v>
          </cell>
          <cell r="H214">
            <v>0.11854412273821797</v>
          </cell>
          <cell r="I214">
            <v>0.11906284005719892</v>
          </cell>
          <cell r="J214">
            <v>0.10468900852007201</v>
          </cell>
          <cell r="K214">
            <v>9.684595611277938E-2</v>
          </cell>
          <cell r="L214">
            <v>8.737124708590463E-2</v>
          </cell>
        </row>
        <row r="215">
          <cell r="G215">
            <v>8.1172821226019582</v>
          </cell>
          <cell r="H215">
            <v>7.4220508880892107</v>
          </cell>
          <cell r="I215">
            <v>5.9401022550155762</v>
          </cell>
          <cell r="J215">
            <v>4.3784346055016892</v>
          </cell>
          <cell r="K215">
            <v>3.0635351349286042</v>
          </cell>
          <cell r="L215">
            <v>1.5808056658170311</v>
          </cell>
        </row>
        <row r="216">
          <cell r="G216">
            <v>4.0240680801536897</v>
          </cell>
          <cell r="H216">
            <v>5.4687320149032006</v>
          </cell>
          <cell r="I216">
            <v>7.8053123559795701</v>
          </cell>
          <cell r="J216">
            <v>10.333956453831529</v>
          </cell>
          <cell r="K216">
            <v>9.6673038066240391</v>
          </cell>
          <cell r="L216">
            <v>8.8663989438442634</v>
          </cell>
        </row>
        <row r="217">
          <cell r="G217">
            <v>3.4819040008341107</v>
          </cell>
          <cell r="H217">
            <v>2.9532708214489167</v>
          </cell>
          <cell r="I217">
            <v>2.3639244421659122</v>
          </cell>
          <cell r="J217">
            <v>1.723013190801703</v>
          </cell>
          <cell r="K217">
            <v>2.9037276109771581</v>
          </cell>
          <cell r="L217">
            <v>6.3779648117128964</v>
          </cell>
        </row>
        <row r="218">
          <cell r="G218">
            <v>0</v>
          </cell>
          <cell r="H218">
            <v>0</v>
          </cell>
          <cell r="I218">
            <v>0</v>
          </cell>
          <cell r="J218">
            <v>0</v>
          </cell>
          <cell r="K218">
            <v>0</v>
          </cell>
          <cell r="L218">
            <v>0</v>
          </cell>
        </row>
        <row r="219">
          <cell r="G219">
            <v>0</v>
          </cell>
          <cell r="H219">
            <v>0</v>
          </cell>
          <cell r="I219">
            <v>0</v>
          </cell>
          <cell r="J219">
            <v>0</v>
          </cell>
          <cell r="K219">
            <v>0.10984530336443404</v>
          </cell>
          <cell r="L219">
            <v>0.22524682042874938</v>
          </cell>
        </row>
        <row r="220">
          <cell r="G220">
            <v>0</v>
          </cell>
          <cell r="H220">
            <v>3.2224178032246704E-2</v>
          </cell>
          <cell r="I220">
            <v>0.25657684387720303</v>
          </cell>
          <cell r="J220">
            <v>0.27749474450786094</v>
          </cell>
          <cell r="K220">
            <v>0.28422364424343649</v>
          </cell>
          <cell r="L220">
            <v>0.29111571136343128</v>
          </cell>
        </row>
        <row r="221">
          <cell r="G221">
            <v>0</v>
          </cell>
          <cell r="H221">
            <v>0</v>
          </cell>
          <cell r="I221">
            <v>0</v>
          </cell>
          <cell r="J221">
            <v>0</v>
          </cell>
          <cell r="K221">
            <v>0</v>
          </cell>
          <cell r="L221">
            <v>0</v>
          </cell>
        </row>
        <row r="222">
          <cell r="G222">
            <v>0</v>
          </cell>
          <cell r="H222">
            <v>0</v>
          </cell>
          <cell r="I222">
            <v>0</v>
          </cell>
          <cell r="J222">
            <v>0</v>
          </cell>
          <cell r="K222">
            <v>0</v>
          </cell>
          <cell r="L222">
            <v>0</v>
          </cell>
        </row>
        <row r="233">
          <cell r="G233"/>
          <cell r="H233"/>
          <cell r="I233">
            <v>0</v>
          </cell>
          <cell r="J233">
            <v>0</v>
          </cell>
          <cell r="K233">
            <v>0</v>
          </cell>
          <cell r="L233">
            <v>-5.8039745363994797</v>
          </cell>
        </row>
        <row r="234">
          <cell r="G234"/>
          <cell r="H234"/>
          <cell r="I234">
            <v>0</v>
          </cell>
          <cell r="J234">
            <v>0</v>
          </cell>
          <cell r="K234">
            <v>0</v>
          </cell>
          <cell r="L234">
            <v>-21.809540586458937</v>
          </cell>
        </row>
        <row r="235">
          <cell r="G235"/>
          <cell r="H235"/>
          <cell r="I235">
            <v>0</v>
          </cell>
          <cell r="J235">
            <v>0</v>
          </cell>
          <cell r="K235">
            <v>0</v>
          </cell>
          <cell r="L235">
            <v>-3.0878392161605266</v>
          </cell>
        </row>
        <row r="236">
          <cell r="G236"/>
          <cell r="H236"/>
          <cell r="I236">
            <v>0</v>
          </cell>
          <cell r="J236">
            <v>0</v>
          </cell>
          <cell r="K236">
            <v>0</v>
          </cell>
          <cell r="L236">
            <v>1.121811295964406</v>
          </cell>
        </row>
        <row r="237">
          <cell r="G237"/>
          <cell r="H237"/>
          <cell r="I237">
            <v>0</v>
          </cell>
          <cell r="J237">
            <v>0</v>
          </cell>
          <cell r="K237">
            <v>0</v>
          </cell>
          <cell r="L237">
            <v>1.1394234428444792</v>
          </cell>
        </row>
        <row r="238">
          <cell r="G238"/>
          <cell r="H238"/>
          <cell r="I238">
            <v>0</v>
          </cell>
          <cell r="J238">
            <v>0</v>
          </cell>
          <cell r="K238">
            <v>0</v>
          </cell>
          <cell r="L238">
            <v>3.1252908481126664</v>
          </cell>
        </row>
        <row r="239">
          <cell r="G239"/>
          <cell r="H239"/>
          <cell r="I239">
            <v>0</v>
          </cell>
          <cell r="J239">
            <v>0</v>
          </cell>
          <cell r="K239">
            <v>0</v>
          </cell>
          <cell r="L239">
            <v>3.6011789076395382</v>
          </cell>
        </row>
        <row r="240">
          <cell r="G240"/>
          <cell r="H240"/>
          <cell r="I240">
            <v>0</v>
          </cell>
          <cell r="J240">
            <v>0</v>
          </cell>
          <cell r="K240">
            <v>0</v>
          </cell>
          <cell r="L240">
            <v>6.0481225444568416</v>
          </cell>
        </row>
        <row r="241">
          <cell r="G241"/>
          <cell r="H241"/>
          <cell r="I241">
            <v>0</v>
          </cell>
          <cell r="J241">
            <v>0</v>
          </cell>
          <cell r="K241">
            <v>0</v>
          </cell>
          <cell r="L241">
            <v>2.9298982765218531</v>
          </cell>
        </row>
        <row r="242">
          <cell r="G242"/>
          <cell r="H242"/>
          <cell r="I242">
            <v>0</v>
          </cell>
          <cell r="J242">
            <v>0</v>
          </cell>
          <cell r="K242">
            <v>0</v>
          </cell>
          <cell r="L242">
            <v>1.5670703865984046</v>
          </cell>
        </row>
        <row r="243">
          <cell r="G243"/>
          <cell r="H243"/>
          <cell r="I243">
            <v>0</v>
          </cell>
          <cell r="J243">
            <v>0</v>
          </cell>
          <cell r="K243">
            <v>0</v>
          </cell>
          <cell r="L243">
            <v>-0.72800614423817966</v>
          </cell>
        </row>
        <row r="244">
          <cell r="G244"/>
          <cell r="H244"/>
          <cell r="I244">
            <v>0</v>
          </cell>
          <cell r="J244">
            <v>0</v>
          </cell>
          <cell r="K244">
            <v>0</v>
          </cell>
          <cell r="L244">
            <v>-0.25163660655468129</v>
          </cell>
        </row>
        <row r="245">
          <cell r="G245"/>
          <cell r="H245"/>
          <cell r="I245">
            <v>0</v>
          </cell>
          <cell r="J245">
            <v>0</v>
          </cell>
          <cell r="K245">
            <v>0</v>
          </cell>
          <cell r="L245">
            <v>0.65573367446385633</v>
          </cell>
        </row>
        <row r="246">
          <cell r="G246"/>
          <cell r="H246"/>
          <cell r="I246">
            <v>0</v>
          </cell>
          <cell r="J246">
            <v>0</v>
          </cell>
          <cell r="K246">
            <v>0</v>
          </cell>
          <cell r="L246">
            <v>0.16390322795279477</v>
          </cell>
        </row>
        <row r="247">
          <cell r="G247"/>
          <cell r="H247"/>
          <cell r="I247">
            <v>0</v>
          </cell>
          <cell r="J247">
            <v>0</v>
          </cell>
          <cell r="K247">
            <v>0</v>
          </cell>
          <cell r="L247">
            <v>-0.82511268156724749</v>
          </cell>
        </row>
        <row r="248">
          <cell r="G248"/>
          <cell r="H248"/>
          <cell r="I248">
            <v>0</v>
          </cell>
          <cell r="J248">
            <v>0</v>
          </cell>
          <cell r="K248">
            <v>0</v>
          </cell>
          <cell r="L248">
            <v>0.74847051810739429</v>
          </cell>
        </row>
        <row r="249">
          <cell r="G249"/>
          <cell r="H249"/>
          <cell r="I249">
            <v>0</v>
          </cell>
          <cell r="J249">
            <v>0</v>
          </cell>
          <cell r="K249">
            <v>0</v>
          </cell>
          <cell r="L249">
            <v>-0.32386647005681773</v>
          </cell>
        </row>
        <row r="250">
          <cell r="G250"/>
          <cell r="H250"/>
          <cell r="I250">
            <v>0</v>
          </cell>
          <cell r="J250">
            <v>0</v>
          </cell>
          <cell r="K250">
            <v>0</v>
          </cell>
          <cell r="L250">
            <v>0</v>
          </cell>
        </row>
        <row r="251">
          <cell r="G251"/>
          <cell r="H251"/>
          <cell r="I251">
            <v>0</v>
          </cell>
          <cell r="J251">
            <v>0</v>
          </cell>
          <cell r="K251">
            <v>0</v>
          </cell>
          <cell r="L251">
            <v>0</v>
          </cell>
        </row>
        <row r="252">
          <cell r="G252"/>
          <cell r="H252"/>
          <cell r="I252">
            <v>0</v>
          </cell>
          <cell r="J252">
            <v>0</v>
          </cell>
          <cell r="K252">
            <v>0</v>
          </cell>
          <cell r="L252">
            <v>0.12112404597467603</v>
          </cell>
        </row>
        <row r="253">
          <cell r="G253"/>
          <cell r="H253"/>
          <cell r="I253">
            <v>0</v>
          </cell>
          <cell r="J253">
            <v>0</v>
          </cell>
          <cell r="K253">
            <v>0</v>
          </cell>
          <cell r="L253">
            <v>0</v>
          </cell>
        </row>
        <row r="254">
          <cell r="G254"/>
          <cell r="H254"/>
          <cell r="I254">
            <v>0</v>
          </cell>
          <cell r="J254">
            <v>0</v>
          </cell>
          <cell r="K254">
            <v>0</v>
          </cell>
          <cell r="L254">
            <v>0</v>
          </cell>
        </row>
        <row r="263">
          <cell r="L263">
            <v>0</v>
          </cell>
        </row>
        <row r="265">
          <cell r="G265"/>
          <cell r="H265"/>
          <cell r="I265">
            <v>0</v>
          </cell>
          <cell r="J265">
            <v>0</v>
          </cell>
          <cell r="K265">
            <v>0</v>
          </cell>
          <cell r="L265">
            <v>-2.1775571163904734</v>
          </cell>
        </row>
        <row r="266">
          <cell r="G266"/>
          <cell r="H266"/>
          <cell r="I266">
            <v>0</v>
          </cell>
          <cell r="J266">
            <v>0</v>
          </cell>
          <cell r="K266">
            <v>0</v>
          </cell>
          <cell r="L266">
            <v>-8.1825859178755245</v>
          </cell>
        </row>
        <row r="267">
          <cell r="G267"/>
          <cell r="H267"/>
          <cell r="I267">
            <v>0</v>
          </cell>
          <cell r="J267">
            <v>0</v>
          </cell>
          <cell r="K267">
            <v>0</v>
          </cell>
          <cell r="L267">
            <v>-1.1585071948973718</v>
          </cell>
        </row>
        <row r="268">
          <cell r="G268"/>
          <cell r="H268"/>
          <cell r="I268">
            <v>0</v>
          </cell>
          <cell r="J268">
            <v>0</v>
          </cell>
          <cell r="K268">
            <v>0</v>
          </cell>
          <cell r="L268">
            <v>0.42088540455415535</v>
          </cell>
        </row>
        <row r="269">
          <cell r="G269"/>
          <cell r="H269"/>
          <cell r="I269">
            <v>0</v>
          </cell>
          <cell r="J269">
            <v>0</v>
          </cell>
          <cell r="K269">
            <v>0</v>
          </cell>
          <cell r="L269">
            <v>0.42749319642731015</v>
          </cell>
        </row>
        <row r="270">
          <cell r="G270"/>
          <cell r="H270"/>
          <cell r="I270">
            <v>0</v>
          </cell>
          <cell r="J270">
            <v>0</v>
          </cell>
          <cell r="K270">
            <v>0</v>
          </cell>
          <cell r="L270">
            <v>1.1725584398100364</v>
          </cell>
        </row>
        <row r="271">
          <cell r="G271"/>
          <cell r="H271"/>
          <cell r="I271">
            <v>0</v>
          </cell>
          <cell r="J271">
            <v>0</v>
          </cell>
          <cell r="K271">
            <v>0</v>
          </cell>
          <cell r="L271">
            <v>1.3511039217257528</v>
          </cell>
        </row>
        <row r="272">
          <cell r="G272"/>
          <cell r="H272"/>
          <cell r="I272">
            <v>0</v>
          </cell>
          <cell r="J272">
            <v>0</v>
          </cell>
          <cell r="K272">
            <v>0</v>
          </cell>
          <cell r="L272">
            <v>2.2691574893872288</v>
          </cell>
        </row>
        <row r="273">
          <cell r="G273"/>
          <cell r="H273"/>
          <cell r="I273">
            <v>0</v>
          </cell>
          <cell r="J273">
            <v>0</v>
          </cell>
          <cell r="K273">
            <v>0</v>
          </cell>
          <cell r="L273">
            <v>1.0992503158530766</v>
          </cell>
        </row>
        <row r="274">
          <cell r="G274"/>
          <cell r="H274"/>
          <cell r="I274">
            <v>0</v>
          </cell>
          <cell r="J274">
            <v>0</v>
          </cell>
          <cell r="K274">
            <v>0</v>
          </cell>
          <cell r="L274">
            <v>0.58793939408614526</v>
          </cell>
        </row>
        <row r="275">
          <cell r="G275"/>
          <cell r="H275"/>
          <cell r="I275">
            <v>0</v>
          </cell>
          <cell r="J275">
            <v>0</v>
          </cell>
          <cell r="K275">
            <v>0</v>
          </cell>
          <cell r="L275">
            <v>-0.27313609841322106</v>
          </cell>
        </row>
        <row r="276">
          <cell r="G276"/>
          <cell r="H276"/>
          <cell r="I276">
            <v>0</v>
          </cell>
          <cell r="J276">
            <v>0</v>
          </cell>
          <cell r="K276">
            <v>0</v>
          </cell>
          <cell r="L276">
            <v>-9.4409973701817917E-2</v>
          </cell>
        </row>
        <row r="277">
          <cell r="G277"/>
          <cell r="H277"/>
          <cell r="I277">
            <v>0</v>
          </cell>
          <cell r="J277">
            <v>0</v>
          </cell>
          <cell r="K277">
            <v>0</v>
          </cell>
          <cell r="L277">
            <v>0.24602063987886591</v>
          </cell>
        </row>
        <row r="278">
          <cell r="G278"/>
          <cell r="H278"/>
          <cell r="I278">
            <v>0</v>
          </cell>
          <cell r="J278">
            <v>0</v>
          </cell>
          <cell r="K278">
            <v>0</v>
          </cell>
          <cell r="L278">
            <v>6.1493832922531723E-2</v>
          </cell>
        </row>
        <row r="279">
          <cell r="G279"/>
          <cell r="H279"/>
          <cell r="I279">
            <v>0</v>
          </cell>
          <cell r="J279">
            <v>0</v>
          </cell>
          <cell r="K279">
            <v>0</v>
          </cell>
          <cell r="L279">
            <v>-0.30956889633175322</v>
          </cell>
        </row>
        <row r="280">
          <cell r="G280"/>
          <cell r="H280"/>
          <cell r="I280">
            <v>0</v>
          </cell>
          <cell r="J280">
            <v>0</v>
          </cell>
          <cell r="K280">
            <v>0</v>
          </cell>
          <cell r="L280">
            <v>0.28081399959488751</v>
          </cell>
        </row>
        <row r="281">
          <cell r="G281"/>
          <cell r="H281"/>
          <cell r="I281">
            <v>0</v>
          </cell>
          <cell r="J281">
            <v>0</v>
          </cell>
          <cell r="K281">
            <v>0</v>
          </cell>
          <cell r="L281">
            <v>-0.12150944705384298</v>
          </cell>
        </row>
        <row r="282">
          <cell r="G282"/>
          <cell r="H282"/>
          <cell r="I282">
            <v>0</v>
          </cell>
          <cell r="J282">
            <v>0</v>
          </cell>
          <cell r="K282">
            <v>0</v>
          </cell>
          <cell r="L282">
            <v>0</v>
          </cell>
        </row>
        <row r="283">
          <cell r="G283"/>
          <cell r="H283"/>
          <cell r="I283">
            <v>0</v>
          </cell>
          <cell r="J283">
            <v>0</v>
          </cell>
          <cell r="K283">
            <v>0</v>
          </cell>
          <cell r="L283">
            <v>0</v>
          </cell>
        </row>
        <row r="284">
          <cell r="G284"/>
          <cell r="H284"/>
          <cell r="I284">
            <v>0</v>
          </cell>
          <cell r="J284">
            <v>0</v>
          </cell>
          <cell r="K284">
            <v>0</v>
          </cell>
          <cell r="L284">
            <v>4.5443777643067305E-2</v>
          </cell>
        </row>
        <row r="285">
          <cell r="G285"/>
          <cell r="H285"/>
          <cell r="I285">
            <v>0</v>
          </cell>
          <cell r="J285">
            <v>0</v>
          </cell>
          <cell r="K285">
            <v>0</v>
          </cell>
          <cell r="L285">
            <v>0</v>
          </cell>
        </row>
        <row r="286">
          <cell r="G286"/>
          <cell r="H286"/>
          <cell r="I286">
            <v>0</v>
          </cell>
          <cell r="J286">
            <v>0</v>
          </cell>
          <cell r="K286">
            <v>0</v>
          </cell>
          <cell r="L286">
            <v>0</v>
          </cell>
        </row>
        <row r="295">
          <cell r="L295">
            <v>0</v>
          </cell>
        </row>
        <row r="297">
          <cell r="H297"/>
          <cell r="I297">
            <v>0</v>
          </cell>
          <cell r="J297">
            <v>0</v>
          </cell>
          <cell r="K297">
            <v>0</v>
          </cell>
          <cell r="L297">
            <v>0</v>
          </cell>
          <cell r="M297">
            <v>0</v>
          </cell>
        </row>
        <row r="298">
          <cell r="G298"/>
          <cell r="H298"/>
          <cell r="I298">
            <v>0</v>
          </cell>
          <cell r="J298">
            <v>0</v>
          </cell>
          <cell r="K298">
            <v>0</v>
          </cell>
          <cell r="L298">
            <v>0</v>
          </cell>
        </row>
        <row r="299">
          <cell r="G299"/>
          <cell r="H299"/>
          <cell r="I299">
            <v>0</v>
          </cell>
          <cell r="J299">
            <v>0</v>
          </cell>
          <cell r="K299">
            <v>0</v>
          </cell>
          <cell r="L299">
            <v>0</v>
          </cell>
        </row>
        <row r="300">
          <cell r="G300"/>
          <cell r="H300"/>
          <cell r="I300">
            <v>0</v>
          </cell>
          <cell r="J300">
            <v>0</v>
          </cell>
          <cell r="K300">
            <v>0</v>
          </cell>
          <cell r="L300">
            <v>0</v>
          </cell>
        </row>
        <row r="301">
          <cell r="G301"/>
          <cell r="H301"/>
          <cell r="I301">
            <v>0</v>
          </cell>
          <cell r="J301">
            <v>0</v>
          </cell>
          <cell r="K301">
            <v>0</v>
          </cell>
          <cell r="L301">
            <v>0</v>
          </cell>
        </row>
        <row r="302">
          <cell r="G302"/>
          <cell r="H302"/>
          <cell r="I302">
            <v>0</v>
          </cell>
          <cell r="J302">
            <v>0</v>
          </cell>
          <cell r="K302">
            <v>0</v>
          </cell>
          <cell r="L302">
            <v>0</v>
          </cell>
        </row>
        <row r="303">
          <cell r="G303"/>
          <cell r="H303"/>
          <cell r="I303">
            <v>0</v>
          </cell>
          <cell r="J303">
            <v>0</v>
          </cell>
          <cell r="K303">
            <v>0</v>
          </cell>
          <cell r="L303">
            <v>0</v>
          </cell>
        </row>
        <row r="304">
          <cell r="G304"/>
          <cell r="H304"/>
          <cell r="I304">
            <v>0</v>
          </cell>
          <cell r="J304">
            <v>0</v>
          </cell>
          <cell r="K304">
            <v>0</v>
          </cell>
          <cell r="L304">
            <v>0</v>
          </cell>
        </row>
        <row r="305">
          <cell r="G305"/>
          <cell r="H305"/>
          <cell r="I305">
            <v>0</v>
          </cell>
          <cell r="J305">
            <v>0</v>
          </cell>
          <cell r="K305">
            <v>0</v>
          </cell>
          <cell r="L305">
            <v>0</v>
          </cell>
        </row>
        <row r="306">
          <cell r="G306"/>
          <cell r="H306"/>
          <cell r="I306">
            <v>0</v>
          </cell>
          <cell r="J306">
            <v>0</v>
          </cell>
          <cell r="K306">
            <v>0</v>
          </cell>
          <cell r="L306">
            <v>0</v>
          </cell>
        </row>
        <row r="307">
          <cell r="G307"/>
          <cell r="H307"/>
          <cell r="I307">
            <v>0</v>
          </cell>
          <cell r="J307">
            <v>0</v>
          </cell>
          <cell r="K307">
            <v>0</v>
          </cell>
          <cell r="L307">
            <v>0</v>
          </cell>
        </row>
        <row r="308">
          <cell r="G308"/>
          <cell r="H308"/>
          <cell r="I308">
            <v>0</v>
          </cell>
          <cell r="J308">
            <v>0</v>
          </cell>
          <cell r="K308">
            <v>0</v>
          </cell>
          <cell r="L308">
            <v>0</v>
          </cell>
        </row>
        <row r="309">
          <cell r="G309"/>
          <cell r="H309"/>
          <cell r="I309">
            <v>0</v>
          </cell>
          <cell r="J309">
            <v>0</v>
          </cell>
          <cell r="K309">
            <v>0</v>
          </cell>
          <cell r="L309">
            <v>0</v>
          </cell>
        </row>
        <row r="310">
          <cell r="G310"/>
          <cell r="H310"/>
          <cell r="I310">
            <v>0</v>
          </cell>
          <cell r="J310">
            <v>0</v>
          </cell>
          <cell r="K310">
            <v>0</v>
          </cell>
          <cell r="L310">
            <v>0</v>
          </cell>
        </row>
        <row r="311">
          <cell r="G311"/>
          <cell r="H311"/>
          <cell r="I311">
            <v>0</v>
          </cell>
          <cell r="J311">
            <v>0</v>
          </cell>
          <cell r="K311">
            <v>0</v>
          </cell>
          <cell r="L311">
            <v>0</v>
          </cell>
        </row>
        <row r="312">
          <cell r="G312"/>
          <cell r="H312"/>
          <cell r="I312">
            <v>0</v>
          </cell>
          <cell r="J312">
            <v>0</v>
          </cell>
          <cell r="K312">
            <v>0</v>
          </cell>
          <cell r="L312">
            <v>0</v>
          </cell>
        </row>
        <row r="313">
          <cell r="G313"/>
          <cell r="H313"/>
          <cell r="I313">
            <v>0</v>
          </cell>
          <cell r="J313">
            <v>0</v>
          </cell>
          <cell r="K313">
            <v>0</v>
          </cell>
          <cell r="L313">
            <v>0</v>
          </cell>
        </row>
        <row r="314">
          <cell r="G314"/>
          <cell r="H314"/>
          <cell r="I314">
            <v>0</v>
          </cell>
          <cell r="J314">
            <v>0</v>
          </cell>
          <cell r="K314">
            <v>0</v>
          </cell>
          <cell r="L314">
            <v>0</v>
          </cell>
        </row>
        <row r="315">
          <cell r="G315"/>
          <cell r="H315"/>
          <cell r="I315">
            <v>0</v>
          </cell>
          <cell r="J315">
            <v>0</v>
          </cell>
          <cell r="K315">
            <v>0</v>
          </cell>
          <cell r="L315">
            <v>0</v>
          </cell>
        </row>
        <row r="316">
          <cell r="G316"/>
          <cell r="H316"/>
          <cell r="I316">
            <v>0</v>
          </cell>
          <cell r="J316">
            <v>0</v>
          </cell>
          <cell r="K316">
            <v>0</v>
          </cell>
          <cell r="L316">
            <v>0</v>
          </cell>
        </row>
        <row r="317">
          <cell r="G317"/>
          <cell r="H317"/>
          <cell r="I317">
            <v>0</v>
          </cell>
          <cell r="J317">
            <v>0</v>
          </cell>
          <cell r="K317">
            <v>0</v>
          </cell>
          <cell r="L317">
            <v>0</v>
          </cell>
        </row>
        <row r="318">
          <cell r="G318"/>
          <cell r="H318"/>
          <cell r="I318">
            <v>0</v>
          </cell>
          <cell r="J318">
            <v>0</v>
          </cell>
          <cell r="K318">
            <v>0</v>
          </cell>
          <cell r="L318">
            <v>0</v>
          </cell>
        </row>
        <row r="327">
          <cell r="L327">
            <v>0</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Input_Data"/>
      <sheetName val="Calc_Returns"/>
      <sheetName val="Output_PTRM"/>
      <sheetName val="Lookup"/>
      <sheetName val="Checks"/>
      <sheetName val="PWC12"/>
    </sheetNames>
    <sheetDataSet>
      <sheetData sheetId="0"/>
      <sheetData sheetId="1"/>
      <sheetData sheetId="2">
        <row r="18">
          <cell r="J18">
            <v>1.5108593012275628E-2</v>
          </cell>
        </row>
      </sheetData>
      <sheetData sheetId="3">
        <row r="110">
          <cell r="J110">
            <v>4.6481759804943998E-2</v>
          </cell>
        </row>
      </sheetData>
      <sheetData sheetId="4">
        <row r="18">
          <cell r="O18">
            <v>2.4248746575396662E-2</v>
          </cell>
        </row>
      </sheetData>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Adjustment for previous period"/>
      <sheetName val="Actual RAB roll forward"/>
      <sheetName val="Total actual RAB roll forward"/>
      <sheetName val="Tax value roll forward"/>
    </sheetNames>
    <sheetDataSet>
      <sheetData sheetId="0"/>
      <sheetData sheetId="1">
        <row r="252">
          <cell r="G252">
            <v>1.7600000000000001E-2</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Intro"/>
      <sheetName val="DMS input"/>
      <sheetName val="Depn|Inputs"/>
      <sheetName val="Depn|Calc"/>
      <sheetName val="Depn|Comparison"/>
      <sheetName val="Depn|Existing Assets"/>
      <sheetName val="DMIA"/>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sheetData sheetId="3"/>
      <sheetData sheetId="4"/>
      <sheetData sheetId="5"/>
      <sheetData sheetId="6"/>
      <sheetData sheetId="7"/>
      <sheetData sheetId="8"/>
      <sheetData sheetId="9">
        <row r="75">
          <cell r="G75">
            <v>0</v>
          </cell>
          <cell r="H75">
            <v>0</v>
          </cell>
          <cell r="I75">
            <v>0</v>
          </cell>
          <cell r="J75">
            <v>0</v>
          </cell>
          <cell r="K75">
            <v>0</v>
          </cell>
        </row>
        <row r="76">
          <cell r="G76">
            <v>0</v>
          </cell>
          <cell r="H76">
            <v>0</v>
          </cell>
          <cell r="I76">
            <v>0</v>
          </cell>
          <cell r="J76">
            <v>0</v>
          </cell>
          <cell r="K76">
            <v>0</v>
          </cell>
        </row>
        <row r="77">
          <cell r="G77">
            <v>0</v>
          </cell>
          <cell r="H77">
            <v>0</v>
          </cell>
          <cell r="I77">
            <v>0</v>
          </cell>
          <cell r="J77">
            <v>0</v>
          </cell>
          <cell r="K77">
            <v>0</v>
          </cell>
        </row>
        <row r="78">
          <cell r="G78">
            <v>0</v>
          </cell>
          <cell r="H78">
            <v>0</v>
          </cell>
          <cell r="I78">
            <v>0</v>
          </cell>
          <cell r="J78">
            <v>0</v>
          </cell>
          <cell r="K78">
            <v>0</v>
          </cell>
        </row>
        <row r="79">
          <cell r="G79">
            <v>0</v>
          </cell>
          <cell r="H79">
            <v>0</v>
          </cell>
          <cell r="I79">
            <v>0</v>
          </cell>
          <cell r="J79">
            <v>0</v>
          </cell>
          <cell r="K79">
            <v>0</v>
          </cell>
        </row>
        <row r="80">
          <cell r="G80">
            <v>0</v>
          </cell>
          <cell r="H80">
            <v>0</v>
          </cell>
          <cell r="I80">
            <v>0</v>
          </cell>
          <cell r="J80">
            <v>0</v>
          </cell>
          <cell r="K80">
            <v>0</v>
          </cell>
        </row>
        <row r="81">
          <cell r="G81">
            <v>0</v>
          </cell>
          <cell r="H81">
            <v>0</v>
          </cell>
          <cell r="I81">
            <v>0</v>
          </cell>
          <cell r="J81">
            <v>0</v>
          </cell>
          <cell r="K81">
            <v>0</v>
          </cell>
        </row>
        <row r="82">
          <cell r="G82">
            <v>0</v>
          </cell>
          <cell r="H82">
            <v>0</v>
          </cell>
          <cell r="I82">
            <v>0</v>
          </cell>
          <cell r="J82">
            <v>0</v>
          </cell>
          <cell r="K82">
            <v>0</v>
          </cell>
        </row>
        <row r="83">
          <cell r="G83">
            <v>0</v>
          </cell>
          <cell r="H83">
            <v>0</v>
          </cell>
          <cell r="I83">
            <v>0</v>
          </cell>
          <cell r="J83">
            <v>0</v>
          </cell>
          <cell r="K83">
            <v>0</v>
          </cell>
        </row>
        <row r="84">
          <cell r="G84">
            <v>0</v>
          </cell>
          <cell r="H84">
            <v>0</v>
          </cell>
          <cell r="I84">
            <v>0</v>
          </cell>
          <cell r="J84">
            <v>0</v>
          </cell>
          <cell r="K84">
            <v>0</v>
          </cell>
        </row>
        <row r="85">
          <cell r="G85">
            <v>0</v>
          </cell>
          <cell r="H85">
            <v>0</v>
          </cell>
          <cell r="I85">
            <v>0</v>
          </cell>
          <cell r="J85">
            <v>0</v>
          </cell>
          <cell r="K85">
            <v>0</v>
          </cell>
        </row>
        <row r="86">
          <cell r="G86">
            <v>0</v>
          </cell>
          <cell r="H86">
            <v>0</v>
          </cell>
          <cell r="I86">
            <v>0</v>
          </cell>
          <cell r="J86">
            <v>0</v>
          </cell>
          <cell r="K86">
            <v>0</v>
          </cell>
        </row>
        <row r="87">
          <cell r="G87">
            <v>0</v>
          </cell>
          <cell r="H87">
            <v>0</v>
          </cell>
          <cell r="I87">
            <v>0</v>
          </cell>
          <cell r="J87">
            <v>0</v>
          </cell>
          <cell r="K87">
            <v>0</v>
          </cell>
        </row>
        <row r="88">
          <cell r="G88">
            <v>0</v>
          </cell>
          <cell r="H88">
            <v>0</v>
          </cell>
          <cell r="I88">
            <v>0</v>
          </cell>
          <cell r="J88">
            <v>0</v>
          </cell>
          <cell r="K88">
            <v>0</v>
          </cell>
        </row>
        <row r="89">
          <cell r="G89">
            <v>0</v>
          </cell>
          <cell r="H89">
            <v>0</v>
          </cell>
          <cell r="I89">
            <v>0</v>
          </cell>
          <cell r="J89">
            <v>0</v>
          </cell>
          <cell r="K89">
            <v>0</v>
          </cell>
        </row>
        <row r="90">
          <cell r="G90">
            <v>0</v>
          </cell>
          <cell r="H90">
            <v>0</v>
          </cell>
          <cell r="I90">
            <v>0</v>
          </cell>
          <cell r="J90">
            <v>0</v>
          </cell>
          <cell r="K90">
            <v>0</v>
          </cell>
        </row>
        <row r="105">
          <cell r="G105">
            <v>0</v>
          </cell>
          <cell r="H105">
            <v>0</v>
          </cell>
          <cell r="I105">
            <v>0</v>
          </cell>
          <cell r="J105">
            <v>0</v>
          </cell>
          <cell r="K105">
            <v>0</v>
          </cell>
        </row>
      </sheetData>
      <sheetData sheetId="10">
        <row r="19">
          <cell r="G19">
            <v>4.0981331106355781E-2</v>
          </cell>
          <cell r="H19">
            <v>4.0981331106355781E-2</v>
          </cell>
          <cell r="I19">
            <v>4.0981331106355781E-2</v>
          </cell>
          <cell r="J19">
            <v>4.0981331106355781E-2</v>
          </cell>
          <cell r="K19">
            <v>4.0981331106355781E-2</v>
          </cell>
        </row>
      </sheetData>
      <sheetData sheetId="11">
        <row r="7">
          <cell r="G7">
            <v>1.0242487465753967</v>
          </cell>
          <cell r="H7">
            <v>1.0490854948612711</v>
          </cell>
          <cell r="I7">
            <v>1.0745245031620867</v>
          </cell>
          <cell r="J7">
            <v>1.1005803755283181</v>
          </cell>
          <cell r="K7">
            <v>1.1272680701403592</v>
          </cell>
        </row>
        <row r="11">
          <cell r="G11">
            <v>12.295530266324928</v>
          </cell>
          <cell r="H11">
            <v>10.933884692731262</v>
          </cell>
          <cell r="I11">
            <v>15.483399819926912</v>
          </cell>
          <cell r="J11">
            <v>15.776840278701838</v>
          </cell>
          <cell r="K11">
            <v>10.013928416213918</v>
          </cell>
        </row>
        <row r="12">
          <cell r="G12">
            <v>18.473006780598727</v>
          </cell>
          <cell r="H12">
            <v>22.006157430116456</v>
          </cell>
          <cell r="I12">
            <v>16.464029806557242</v>
          </cell>
          <cell r="J12">
            <v>14.510374310559234</v>
          </cell>
          <cell r="K12">
            <v>16.303530568903096</v>
          </cell>
        </row>
        <row r="13">
          <cell r="G13">
            <v>2.9461172765277333</v>
          </cell>
          <cell r="H13">
            <v>2.8460978403666357</v>
          </cell>
          <cell r="I13">
            <v>2.7687732233378721</v>
          </cell>
          <cell r="J13">
            <v>2.9825684547883444</v>
          </cell>
          <cell r="K13">
            <v>3.0229453584876582</v>
          </cell>
        </row>
        <row r="14">
          <cell r="G14">
            <v>0.27359954666280484</v>
          </cell>
          <cell r="H14">
            <v>0.38035002024812992</v>
          </cell>
          <cell r="I14">
            <v>0.32102627123739214</v>
          </cell>
          <cell r="J14">
            <v>0.27468676210619231</v>
          </cell>
          <cell r="K14">
            <v>0.29999714186091497</v>
          </cell>
        </row>
        <row r="15">
          <cell r="G15">
            <v>4.208738701154898</v>
          </cell>
          <cell r="H15">
            <v>4.7878231604825805</v>
          </cell>
          <cell r="I15">
            <v>4.8527272540042858</v>
          </cell>
          <cell r="J15">
            <v>5.6287358700973886</v>
          </cell>
          <cell r="K15">
            <v>5.9309664962977937</v>
          </cell>
        </row>
        <row r="16">
          <cell r="G16">
            <v>5.002574327126065</v>
          </cell>
          <cell r="H16">
            <v>5.3049739777048197</v>
          </cell>
          <cell r="I16">
            <v>4.9916009864011359</v>
          </cell>
          <cell r="J16">
            <v>5.4547553645895848</v>
          </cell>
          <cell r="K16">
            <v>5.6679524710175722</v>
          </cell>
        </row>
        <row r="17">
          <cell r="G17">
            <v>3.8431799248092382</v>
          </cell>
          <cell r="H17">
            <v>4.2453037892241303</v>
          </cell>
          <cell r="I17">
            <v>2.5868741006406313</v>
          </cell>
          <cell r="J17">
            <v>2.6603774180056527</v>
          </cell>
          <cell r="K17">
            <v>2.1440094815892818</v>
          </cell>
        </row>
        <row r="18">
          <cell r="G18">
            <v>1.0593997227024217</v>
          </cell>
          <cell r="H18">
            <v>1.3214025687416524</v>
          </cell>
          <cell r="I18">
            <v>1.160980306611251</v>
          </cell>
          <cell r="J18">
            <v>0.89292944479774516</v>
          </cell>
          <cell r="K18">
            <v>0.69261767257890516</v>
          </cell>
        </row>
        <row r="19">
          <cell r="G19">
            <v>2.8390950570946858</v>
          </cell>
          <cell r="H19">
            <v>3.0995862723569623</v>
          </cell>
          <cell r="I19">
            <v>2.8652163823518468</v>
          </cell>
          <cell r="J19">
            <v>2.5709529669802533</v>
          </cell>
          <cell r="K19">
            <v>2.0805532815674326</v>
          </cell>
        </row>
        <row r="20">
          <cell r="G20">
            <v>0</v>
          </cell>
          <cell r="H20">
            <v>0</v>
          </cell>
          <cell r="I20">
            <v>0</v>
          </cell>
          <cell r="J20">
            <v>0</v>
          </cell>
          <cell r="K20">
            <v>0</v>
          </cell>
        </row>
        <row r="21">
          <cell r="G21">
            <v>8.6645910351104423</v>
          </cell>
          <cell r="H21">
            <v>1.0248085543806937</v>
          </cell>
          <cell r="I21">
            <v>1.0318197215013978</v>
          </cell>
          <cell r="J21">
            <v>0.95092383141862979</v>
          </cell>
          <cell r="K21">
            <v>0.95447575756268421</v>
          </cell>
        </row>
        <row r="22">
          <cell r="G22">
            <v>12.505967214648338</v>
          </cell>
          <cell r="H22">
            <v>12.122268579339377</v>
          </cell>
          <cell r="I22">
            <v>15.772729296968834</v>
          </cell>
          <cell r="J22">
            <v>7.1408054274694495</v>
          </cell>
          <cell r="K22">
            <v>6.413126597952826</v>
          </cell>
        </row>
        <row r="23">
          <cell r="G23">
            <v>0</v>
          </cell>
          <cell r="H23">
            <v>0</v>
          </cell>
          <cell r="I23">
            <v>0</v>
          </cell>
          <cell r="J23">
            <v>0</v>
          </cell>
          <cell r="K23">
            <v>0</v>
          </cell>
        </row>
        <row r="24">
          <cell r="G24">
            <v>1.2253442876660245</v>
          </cell>
          <cell r="H24">
            <v>1.2787361990007067</v>
          </cell>
          <cell r="I24">
            <v>1.2439946713321395</v>
          </cell>
          <cell r="J24">
            <v>1.3400516999247456</v>
          </cell>
          <cell r="K24">
            <v>1.3757844217503008</v>
          </cell>
        </row>
        <row r="25">
          <cell r="G25">
            <v>5.5206630271587036</v>
          </cell>
          <cell r="H25">
            <v>0</v>
          </cell>
          <cell r="I25">
            <v>22.977887834949485</v>
          </cell>
          <cell r="J25">
            <v>0</v>
          </cell>
          <cell r="K25">
            <v>0.58055672360415045</v>
          </cell>
        </row>
        <row r="26">
          <cell r="G26">
            <v>17.02916271424462</v>
          </cell>
          <cell r="H26">
            <v>4.5778090830814628</v>
          </cell>
          <cell r="I26">
            <v>4.0135431023405674</v>
          </cell>
          <cell r="J26">
            <v>4.8091154696003917</v>
          </cell>
          <cell r="K26">
            <v>3.9152164883140301</v>
          </cell>
        </row>
        <row r="40">
          <cell r="G40">
            <v>1.2567279418544619</v>
          </cell>
          <cell r="H40">
            <v>0</v>
          </cell>
          <cell r="I40">
            <v>0</v>
          </cell>
          <cell r="J40">
            <v>0</v>
          </cell>
          <cell r="K40">
            <v>0</v>
          </cell>
        </row>
        <row r="88">
          <cell r="G88">
            <v>15.226216152944414</v>
          </cell>
          <cell r="H88">
            <v>15.524378215241001</v>
          </cell>
          <cell r="I88">
            <v>15.789520875889524</v>
          </cell>
          <cell r="J88">
            <v>16.164987596045211</v>
          </cell>
          <cell r="K88">
            <v>16.547570138817289</v>
          </cell>
        </row>
        <row r="101">
          <cell r="G101">
            <v>8.2617009488653981</v>
          </cell>
          <cell r="H101">
            <v>8.5917614432761198</v>
          </cell>
          <cell r="I101">
            <v>8.9849493681077597</v>
          </cell>
          <cell r="J101">
            <v>9.2791151139706542</v>
          </cell>
          <cell r="K101">
            <v>9.538374549963379</v>
          </cell>
        </row>
        <row r="114">
          <cell r="G114">
            <v>6.3572166567925361</v>
          </cell>
          <cell r="H114">
            <v>6.4093135650675102</v>
          </cell>
          <cell r="I114">
            <v>6.4596418053288538</v>
          </cell>
          <cell r="J114">
            <v>6.5086026955824972</v>
          </cell>
          <cell r="K114">
            <v>6.561344178907313</v>
          </cell>
        </row>
        <row r="127">
          <cell r="G127">
            <v>0.2689180722240484</v>
          </cell>
          <cell r="H127">
            <v>0.27380484188682142</v>
          </cell>
          <cell r="I127">
            <v>0.28059828494202638</v>
          </cell>
          <cell r="J127">
            <v>0.28633214474688001</v>
          </cell>
          <cell r="K127">
            <v>0.29123833319711245</v>
          </cell>
        </row>
        <row r="140">
          <cell r="G140">
            <v>5.1845292494882056</v>
          </cell>
          <cell r="H140">
            <v>5.2780628061138692</v>
          </cell>
          <cell r="I140">
            <v>5.3844657359445511</v>
          </cell>
          <cell r="J140">
            <v>5.4923110719538313</v>
          </cell>
          <cell r="K140">
            <v>5.6174021556773681</v>
          </cell>
        </row>
        <row r="153">
          <cell r="G153">
            <v>1.6114425891337636</v>
          </cell>
          <cell r="H153">
            <v>1.7029307746110722</v>
          </cell>
          <cell r="I153">
            <v>1.7999493117655976</v>
          </cell>
          <cell r="J153">
            <v>1.8912368143612739</v>
          </cell>
          <cell r="K153">
            <v>1.9909945866392149</v>
          </cell>
        </row>
        <row r="166">
          <cell r="G166">
            <v>2.0143419429131848</v>
          </cell>
          <cell r="H166">
            <v>2.1070747077279992</v>
          </cell>
          <cell r="I166">
            <v>2.209510390042067</v>
          </cell>
          <cell r="J166">
            <v>2.2719295305126108</v>
          </cell>
          <cell r="K166">
            <v>2.3361222454646193</v>
          </cell>
        </row>
        <row r="179">
          <cell r="G179">
            <v>1.3222114522319626</v>
          </cell>
          <cell r="H179">
            <v>1.3977381078220512</v>
          </cell>
          <cell r="I179">
            <v>1.4804658631332046</v>
          </cell>
          <cell r="J179">
            <v>0.87335769973371802</v>
          </cell>
          <cell r="K179">
            <v>0.93701636718310699</v>
          </cell>
        </row>
        <row r="192">
          <cell r="G192">
            <v>2.6948865882087945</v>
          </cell>
          <cell r="H192">
            <v>2.2731784429333173</v>
          </cell>
          <cell r="I192">
            <v>1.3752125816301881</v>
          </cell>
          <cell r="J192">
            <v>1.5703440563664448</v>
          </cell>
          <cell r="K192">
            <v>1.7454351409401774</v>
          </cell>
        </row>
        <row r="205">
          <cell r="G205">
            <v>0</v>
          </cell>
          <cell r="H205">
            <v>0</v>
          </cell>
          <cell r="I205">
            <v>0</v>
          </cell>
          <cell r="J205">
            <v>0</v>
          </cell>
          <cell r="K205">
            <v>0</v>
          </cell>
        </row>
        <row r="218">
          <cell r="G218">
            <v>1.2166756524143496</v>
          </cell>
          <cell r="H218">
            <v>1.8213494236619052</v>
          </cell>
          <cell r="I218">
            <v>1.8928674965718786</v>
          </cell>
          <cell r="J218">
            <v>1.964874856148302</v>
          </cell>
          <cell r="K218">
            <v>2.031236753320723</v>
          </cell>
        </row>
        <row r="231">
          <cell r="G231">
            <v>2.8195248808799476</v>
          </cell>
          <cell r="H231">
            <v>3.1117875947367377</v>
          </cell>
          <cell r="I231">
            <v>3.701135549485465</v>
          </cell>
          <cell r="J231">
            <v>5.0331874339303742</v>
          </cell>
          <cell r="K231">
            <v>5.6362487777868937</v>
          </cell>
        </row>
        <row r="244">
          <cell r="G244">
            <v>3.6734958054246439E-2</v>
          </cell>
          <cell r="H244">
            <v>3.6734958054246439E-2</v>
          </cell>
          <cell r="I244">
            <v>3.6734958054246439E-2</v>
          </cell>
          <cell r="J244">
            <v>3.6734958054246439E-2</v>
          </cell>
          <cell r="K244">
            <v>3.6734958054246439E-2</v>
          </cell>
        </row>
        <row r="257">
          <cell r="G257">
            <v>5.9103533740756248E-2</v>
          </cell>
          <cell r="H257">
            <v>0.14938087785694068</v>
          </cell>
          <cell r="I257">
            <v>0.24359187556020223</v>
          </cell>
          <cell r="J257">
            <v>0.33524328827169692</v>
          </cell>
          <cell r="K257">
            <v>0.41610893524796067</v>
          </cell>
        </row>
        <row r="270">
          <cell r="G270">
            <v>0</v>
          </cell>
          <cell r="H270">
            <v>0.34943012678506657</v>
          </cell>
          <cell r="I270">
            <v>0.34943012678506657</v>
          </cell>
          <cell r="J270">
            <v>1.8038145403818107</v>
          </cell>
          <cell r="K270">
            <v>1.8038145403818107</v>
          </cell>
        </row>
        <row r="283">
          <cell r="G283">
            <v>0</v>
          </cell>
          <cell r="H283">
            <v>3.0044718054761548</v>
          </cell>
          <cell r="I283">
            <v>3.8121391319188103</v>
          </cell>
          <cell r="J283">
            <v>4.5202524604125669</v>
          </cell>
          <cell r="K283">
            <v>5.3687293984834774</v>
          </cell>
        </row>
        <row r="465">
          <cell r="G465">
            <v>0</v>
          </cell>
          <cell r="H465">
            <v>0.25134558837089238</v>
          </cell>
          <cell r="I465">
            <v>0.25134558837089238</v>
          </cell>
          <cell r="J465">
            <v>0.25134558837089238</v>
          </cell>
          <cell r="K465">
            <v>0.25134558837089238</v>
          </cell>
        </row>
        <row r="875">
          <cell r="G875">
            <v>99.499310733607501</v>
          </cell>
          <cell r="H875">
            <v>77.558053640879066</v>
          </cell>
          <cell r="I875">
            <v>103.72879608815283</v>
          </cell>
          <cell r="J875">
            <v>71.530149443732867</v>
          </cell>
          <cell r="K875">
            <v>66.954832012316743</v>
          </cell>
        </row>
        <row r="876">
          <cell r="G876">
            <v>-48.214976114744061</v>
          </cell>
          <cell r="H876">
            <v>-54.849067606206731</v>
          </cell>
          <cell r="I876">
            <v>-58.079724518933183</v>
          </cell>
          <cell r="J876">
            <v>-64.145863249408137</v>
          </cell>
          <cell r="K876">
            <v>-68.887032353106193</v>
          </cell>
        </row>
        <row r="877">
          <cell r="G877">
            <v>23.606232324472085</v>
          </cell>
          <cell r="H877">
            <v>25.422234703168808</v>
          </cell>
          <cell r="I877">
            <v>26.589356477205193</v>
          </cell>
          <cell r="J877">
            <v>28.34104781190797</v>
          </cell>
          <cell r="K877">
            <v>29.207342382546511</v>
          </cell>
        </row>
        <row r="878">
          <cell r="G878">
            <v>1048.3937643590532</v>
          </cell>
          <cell r="H878">
            <v>1096.5249850968944</v>
          </cell>
          <cell r="I878">
            <v>1168.7634131433192</v>
          </cell>
          <cell r="J878">
            <v>1204.4887471495517</v>
          </cell>
          <cell r="K878">
            <v>1231.7638891913089</v>
          </cell>
        </row>
      </sheetData>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Adjustment for previous period"/>
      <sheetName val="Actual RAB roll forward"/>
      <sheetName val="Total actual RAB roll forward"/>
      <sheetName val="Tax value roll forward"/>
      <sheetName val="RAB remaining lives"/>
      <sheetName val="PTRM input summary"/>
    </sheetNames>
    <sheetDataSet>
      <sheetData sheetId="0"/>
      <sheetData sheetId="1">
        <row r="105">
          <cell r="H105">
            <v>0.12708951596255064</v>
          </cell>
        </row>
        <row r="106">
          <cell r="H106">
            <v>0.24512701560588571</v>
          </cell>
        </row>
        <row r="107">
          <cell r="H107">
            <v>3.5985601099130715E-3</v>
          </cell>
        </row>
        <row r="108">
          <cell r="H108">
            <v>1.4488693097308968E-4</v>
          </cell>
        </row>
        <row r="109">
          <cell r="H109">
            <v>0.42433725409579431</v>
          </cell>
        </row>
        <row r="110">
          <cell r="H110">
            <v>1.1444181938836543E-2</v>
          </cell>
        </row>
        <row r="111">
          <cell r="H111">
            <v>3.2316695016470958E-3</v>
          </cell>
        </row>
        <row r="112">
          <cell r="H112">
            <v>1.3556624036986482E-5</v>
          </cell>
        </row>
        <row r="113">
          <cell r="H113">
            <v>0</v>
          </cell>
        </row>
        <row r="114">
          <cell r="H114">
            <v>0</v>
          </cell>
        </row>
        <row r="115">
          <cell r="H115">
            <v>0</v>
          </cell>
        </row>
        <row r="116">
          <cell r="H116">
            <v>0</v>
          </cell>
        </row>
        <row r="117">
          <cell r="H117">
            <v>0</v>
          </cell>
        </row>
        <row r="118">
          <cell r="H118">
            <v>0</v>
          </cell>
        </row>
        <row r="119">
          <cell r="H119">
            <v>2.7075495000049602E-4</v>
          </cell>
        </row>
        <row r="120">
          <cell r="H120">
            <v>2.3427604227221742E-4</v>
          </cell>
        </row>
        <row r="121">
          <cell r="H121">
            <v>0</v>
          </cell>
        </row>
        <row r="122">
          <cell r="H122">
            <v>0</v>
          </cell>
        </row>
        <row r="123">
          <cell r="H123">
            <v>0</v>
          </cell>
        </row>
        <row r="124">
          <cell r="H124">
            <v>0</v>
          </cell>
        </row>
        <row r="150">
          <cell r="H150">
            <v>0.81549167176191018</v>
          </cell>
        </row>
        <row r="258">
          <cell r="H258">
            <v>6.8244350078582761E-2</v>
          </cell>
        </row>
      </sheetData>
      <sheetData sheetId="2"/>
      <sheetData sheetId="3">
        <row r="7">
          <cell r="H7">
            <v>1.0176000000000001</v>
          </cell>
        </row>
        <row r="12">
          <cell r="H12">
            <v>59.807651617579459</v>
          </cell>
        </row>
        <row r="13">
          <cell r="H13">
            <v>16.06449067494874</v>
          </cell>
        </row>
        <row r="14">
          <cell r="H14">
            <v>3.195234076895523</v>
          </cell>
        </row>
        <row r="15">
          <cell r="H15">
            <v>9.4736232959755362E-3</v>
          </cell>
        </row>
        <row r="16">
          <cell r="H16">
            <v>3.8852791562047408</v>
          </cell>
        </row>
        <row r="17">
          <cell r="H17">
            <v>0.74829294741070307</v>
          </cell>
        </row>
        <row r="18">
          <cell r="H18">
            <v>1.5546299330709854</v>
          </cell>
        </row>
        <row r="19">
          <cell r="H19">
            <v>0.69954780696285279</v>
          </cell>
        </row>
        <row r="20">
          <cell r="H20">
            <v>2.3054391030524752</v>
          </cell>
        </row>
        <row r="21">
          <cell r="H21">
            <v>0.71541484300135572</v>
          </cell>
        </row>
        <row r="22">
          <cell r="H22">
            <v>0.25498344600757611</v>
          </cell>
        </row>
        <row r="23">
          <cell r="H23">
            <v>0</v>
          </cell>
        </row>
        <row r="24">
          <cell r="H24">
            <v>1.2336649023521889E-2</v>
          </cell>
        </row>
        <row r="25">
          <cell r="H25">
            <v>1.416102655857167</v>
          </cell>
        </row>
        <row r="26">
          <cell r="H26">
            <v>0.36782175820321594</v>
          </cell>
        </row>
        <row r="27">
          <cell r="H27">
            <v>0.31826500595206142</v>
          </cell>
        </row>
        <row r="28">
          <cell r="H28">
            <v>0</v>
          </cell>
        </row>
        <row r="29">
          <cell r="H29">
            <v>0</v>
          </cell>
        </row>
        <row r="30">
          <cell r="H30">
            <v>0</v>
          </cell>
        </row>
        <row r="31">
          <cell r="H31">
            <v>0</v>
          </cell>
        </row>
        <row r="695">
          <cell r="H695">
            <v>60.860266286048862</v>
          </cell>
        </row>
        <row r="696">
          <cell r="H696">
            <v>16.347225710827839</v>
          </cell>
        </row>
        <row r="697">
          <cell r="H697">
            <v>3.2514701966488841</v>
          </cell>
        </row>
        <row r="698">
          <cell r="H698">
            <v>9.6403590659847067E-3</v>
          </cell>
        </row>
        <row r="699">
          <cell r="H699">
            <v>3.9536600693539445</v>
          </cell>
        </row>
        <row r="700">
          <cell r="H700">
            <v>0.76146290328513144</v>
          </cell>
        </row>
        <row r="701">
          <cell r="H701">
            <v>1.5819914198930349</v>
          </cell>
        </row>
        <row r="702">
          <cell r="H702">
            <v>0.71185984836539906</v>
          </cell>
        </row>
        <row r="703">
          <cell r="H703">
            <v>2.3460148312661988</v>
          </cell>
        </row>
        <row r="704">
          <cell r="H704">
            <v>0.72800614423817966</v>
          </cell>
        </row>
        <row r="705">
          <cell r="H705">
            <v>0.25947115465730947</v>
          </cell>
        </row>
        <row r="706">
          <cell r="H706">
            <v>0</v>
          </cell>
        </row>
        <row r="707">
          <cell r="H707">
            <v>1.2553774046335875E-2</v>
          </cell>
        </row>
        <row r="708">
          <cell r="H708">
            <v>1.4410260626002531</v>
          </cell>
        </row>
        <row r="709">
          <cell r="H709">
            <v>0.37429542114759257</v>
          </cell>
        </row>
        <row r="710">
          <cell r="H710">
            <v>0.32386647005681773</v>
          </cell>
        </row>
        <row r="711">
          <cell r="H711">
            <v>0</v>
          </cell>
        </row>
        <row r="712">
          <cell r="H712">
            <v>0</v>
          </cell>
        </row>
        <row r="713">
          <cell r="H713">
            <v>0</v>
          </cell>
        </row>
        <row r="714">
          <cell r="H714">
            <v>0</v>
          </cell>
        </row>
        <row r="715">
          <cell r="H715">
            <v>0</v>
          </cell>
        </row>
        <row r="995">
          <cell r="H995">
            <v>9.9966108028356301E-2</v>
          </cell>
        </row>
        <row r="996">
          <cell r="H996">
            <v>8.6497639840739202E-2</v>
          </cell>
        </row>
        <row r="997">
          <cell r="H997">
            <v>0</v>
          </cell>
        </row>
        <row r="998">
          <cell r="H998">
            <v>0</v>
          </cell>
        </row>
        <row r="999">
          <cell r="H999">
            <v>0</v>
          </cell>
        </row>
        <row r="1000">
          <cell r="H1000">
            <v>0</v>
          </cell>
        </row>
        <row r="1001">
          <cell r="H1001">
            <v>0</v>
          </cell>
        </row>
        <row r="1002">
          <cell r="H1002">
            <v>0</v>
          </cell>
        </row>
      </sheetData>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Intro"/>
      <sheetName val="DMS input"/>
      <sheetName val="Starting prices"/>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sheetData sheetId="3"/>
      <sheetData sheetId="4"/>
      <sheetData sheetId="5">
        <row r="10">
          <cell r="M10">
            <v>15</v>
          </cell>
        </row>
        <row r="11">
          <cell r="M11">
            <v>15</v>
          </cell>
        </row>
        <row r="12">
          <cell r="M12">
            <v>10</v>
          </cell>
        </row>
        <row r="13">
          <cell r="M13">
            <v>5.6679389312977104</v>
          </cell>
        </row>
        <row r="36">
          <cell r="M36">
            <v>5</v>
          </cell>
        </row>
        <row r="75">
          <cell r="G75">
            <v>0</v>
          </cell>
          <cell r="H75">
            <v>0</v>
          </cell>
          <cell r="I75">
            <v>0</v>
          </cell>
          <cell r="J75">
            <v>0</v>
          </cell>
          <cell r="K75">
            <v>0</v>
          </cell>
        </row>
        <row r="76">
          <cell r="G76">
            <v>0</v>
          </cell>
          <cell r="H76">
            <v>0</v>
          </cell>
          <cell r="I76">
            <v>0</v>
          </cell>
          <cell r="J76">
            <v>0</v>
          </cell>
          <cell r="K76">
            <v>0</v>
          </cell>
        </row>
        <row r="77">
          <cell r="G77">
            <v>0</v>
          </cell>
          <cell r="H77">
            <v>0</v>
          </cell>
          <cell r="I77">
            <v>0</v>
          </cell>
          <cell r="J77">
            <v>0</v>
          </cell>
          <cell r="K77">
            <v>0</v>
          </cell>
        </row>
        <row r="78">
          <cell r="G78">
            <v>0</v>
          </cell>
          <cell r="H78">
            <v>0</v>
          </cell>
          <cell r="I78">
            <v>0</v>
          </cell>
          <cell r="J78">
            <v>0</v>
          </cell>
          <cell r="K78">
            <v>0</v>
          </cell>
        </row>
        <row r="79">
          <cell r="G79">
            <v>0</v>
          </cell>
          <cell r="H79">
            <v>0</v>
          </cell>
          <cell r="I79">
            <v>0</v>
          </cell>
          <cell r="J79">
            <v>0</v>
          </cell>
          <cell r="K79">
            <v>0</v>
          </cell>
        </row>
        <row r="80">
          <cell r="G80">
            <v>0</v>
          </cell>
          <cell r="H80">
            <v>0</v>
          </cell>
          <cell r="I80">
            <v>0</v>
          </cell>
          <cell r="J80">
            <v>0</v>
          </cell>
          <cell r="K80">
            <v>0</v>
          </cell>
        </row>
        <row r="105">
          <cell r="G105">
            <v>0</v>
          </cell>
          <cell r="H105">
            <v>0</v>
          </cell>
          <cell r="I105">
            <v>0</v>
          </cell>
          <cell r="J105">
            <v>0</v>
          </cell>
          <cell r="K105">
            <v>0</v>
          </cell>
        </row>
      </sheetData>
      <sheetData sheetId="6">
        <row r="19">
          <cell r="G19">
            <v>4.0981331106355781E-2</v>
          </cell>
          <cell r="H19">
            <v>4.0981331106355781E-2</v>
          </cell>
          <cell r="I19">
            <v>4.0981331106355781E-2</v>
          </cell>
          <cell r="J19">
            <v>4.0981331106355781E-2</v>
          </cell>
          <cell r="K19">
            <v>4.0981331106355781E-2</v>
          </cell>
        </row>
      </sheetData>
      <sheetData sheetId="7">
        <row r="7">
          <cell r="G7">
            <v>1.0242487465753967</v>
          </cell>
          <cell r="H7">
            <v>1.0490854948612711</v>
          </cell>
          <cell r="I7">
            <v>1.0745245031620867</v>
          </cell>
          <cell r="J7">
            <v>1.1005803755283181</v>
          </cell>
          <cell r="K7">
            <v>1.1272680701403592</v>
          </cell>
        </row>
        <row r="11">
          <cell r="G11">
            <v>0</v>
          </cell>
          <cell r="H11">
            <v>0</v>
          </cell>
          <cell r="I11">
            <v>0</v>
          </cell>
          <cell r="J11">
            <v>0</v>
          </cell>
          <cell r="K11">
            <v>0</v>
          </cell>
        </row>
        <row r="12">
          <cell r="G12">
            <v>3.1653856704430043</v>
          </cell>
          <cell r="H12">
            <v>3.4260171440946428</v>
          </cell>
          <cell r="I12">
            <v>3.5185676900792333</v>
          </cell>
          <cell r="J12">
            <v>3.0626511750682126</v>
          </cell>
          <cell r="K12">
            <v>3.3384700471700484</v>
          </cell>
        </row>
        <row r="13">
          <cell r="G13">
            <v>2.9524254397987533</v>
          </cell>
          <cell r="H13">
            <v>0.18476330897219009</v>
          </cell>
          <cell r="I13">
            <v>0.18963920168305712</v>
          </cell>
          <cell r="J13">
            <v>4.2691272758955252</v>
          </cell>
          <cell r="K13">
            <v>0.18155514347817198</v>
          </cell>
        </row>
        <row r="14">
          <cell r="G14">
            <v>0.12063774701051373</v>
          </cell>
          <cell r="H14">
            <v>0.12829537992834808</v>
          </cell>
          <cell r="I14">
            <v>0.12941531250630742</v>
          </cell>
          <cell r="J14">
            <v>0.12298646284453832</v>
          </cell>
          <cell r="K14">
            <v>0.13246136544239592</v>
          </cell>
        </row>
        <row r="15">
          <cell r="G15">
            <v>0</v>
          </cell>
          <cell r="H15">
            <v>0</v>
          </cell>
          <cell r="I15">
            <v>0</v>
          </cell>
          <cell r="J15">
            <v>0</v>
          </cell>
          <cell r="K15">
            <v>0</v>
          </cell>
        </row>
        <row r="16">
          <cell r="G16">
            <v>0.11987010070032014</v>
          </cell>
          <cell r="H16">
            <v>0</v>
          </cell>
          <cell r="I16">
            <v>0</v>
          </cell>
          <cell r="J16">
            <v>0</v>
          </cell>
          <cell r="K16">
            <v>0</v>
          </cell>
        </row>
        <row r="17">
          <cell r="G17">
            <v>0.42644631587519349</v>
          </cell>
          <cell r="H17">
            <v>8.9455982674685117E-2</v>
          </cell>
          <cell r="I17">
            <v>3.7297483962120466E-2</v>
          </cell>
          <cell r="J17">
            <v>0.17486738009007211</v>
          </cell>
          <cell r="K17">
            <v>0.11585620568182546</v>
          </cell>
        </row>
        <row r="40">
          <cell r="G40">
            <v>0.16226832743319919</v>
          </cell>
          <cell r="H40">
            <v>0</v>
          </cell>
          <cell r="I40">
            <v>0</v>
          </cell>
          <cell r="J40">
            <v>0</v>
          </cell>
          <cell r="K40">
            <v>0</v>
          </cell>
        </row>
        <row r="88">
          <cell r="G88">
            <v>0.59960858147823326</v>
          </cell>
          <cell r="H88">
            <v>0.59960858147823326</v>
          </cell>
          <cell r="I88">
            <v>0.59960858147823326</v>
          </cell>
          <cell r="J88">
            <v>0.59960858147823326</v>
          </cell>
          <cell r="K88">
            <v>0.59960858147823326</v>
          </cell>
        </row>
        <row r="101">
          <cell r="G101">
            <v>0.46331006751428838</v>
          </cell>
          <cell r="H101">
            <v>0.67433577887715535</v>
          </cell>
          <cell r="I101">
            <v>0.90273692181679821</v>
          </cell>
          <cell r="J101">
            <v>1.1373081011554138</v>
          </cell>
          <cell r="K101">
            <v>1.3414848461599613</v>
          </cell>
        </row>
        <row r="114">
          <cell r="G114">
            <v>0</v>
          </cell>
          <cell r="H114">
            <v>0.19682836265325021</v>
          </cell>
          <cell r="I114">
            <v>0.20914591658472956</v>
          </cell>
          <cell r="J114">
            <v>0.22178853003026669</v>
          </cell>
          <cell r="K114">
            <v>0.50639701508996837</v>
          </cell>
        </row>
        <row r="127">
          <cell r="G127">
            <v>1.5515271640147004E-2</v>
          </cell>
          <cell r="H127">
            <v>2.3557788107514584E-2</v>
          </cell>
          <cell r="I127">
            <v>3.2110813436071126E-2</v>
          </cell>
          <cell r="J127">
            <v>4.0738500936491617E-2</v>
          </cell>
          <cell r="K127">
            <v>4.8937598459460836E-2</v>
          </cell>
        </row>
        <row r="140">
          <cell r="G140">
            <v>3.8298402568832525E-2</v>
          </cell>
          <cell r="H140">
            <v>3.8298402568832525E-2</v>
          </cell>
          <cell r="I140">
            <v>3.8298402568832525E-2</v>
          </cell>
          <cell r="J140">
            <v>3.8298402568832525E-2</v>
          </cell>
          <cell r="K140">
            <v>3.8298402568832525E-2</v>
          </cell>
        </row>
        <row r="153">
          <cell r="G153">
            <v>0</v>
          </cell>
          <cell r="H153">
            <v>1.1987010070032014E-2</v>
          </cell>
          <cell r="I153">
            <v>1.1987010070032014E-2</v>
          </cell>
          <cell r="J153">
            <v>1.1987010070032014E-2</v>
          </cell>
          <cell r="K153">
            <v>1.1987010070032014E-2</v>
          </cell>
        </row>
        <row r="166">
          <cell r="G166">
            <v>0</v>
          </cell>
          <cell r="H166">
            <v>7.5238339905252985E-2</v>
          </cell>
          <cell r="I166">
            <v>9.1021146276140191E-2</v>
          </cell>
          <cell r="J166">
            <v>9.7601577789995786E-2</v>
          </cell>
          <cell r="K166">
            <v>0.12845360040521389</v>
          </cell>
        </row>
        <row r="465">
          <cell r="G465">
            <v>0</v>
          </cell>
          <cell r="H465">
            <v>3.2453665486639839E-2</v>
          </cell>
          <cell r="I465">
            <v>3.2453665486639839E-2</v>
          </cell>
          <cell r="J465">
            <v>3.2453665486639839E-2</v>
          </cell>
          <cell r="K465">
            <v>3.2453665486639839E-2</v>
          </cell>
        </row>
        <row r="875">
          <cell r="G875">
            <v>7.1154904585087264</v>
          </cell>
          <cell r="H875">
            <v>4.0164571944341425</v>
          </cell>
          <cell r="I875">
            <v>4.1636961527891003</v>
          </cell>
          <cell r="J875">
            <v>8.3970235751616276</v>
          </cell>
          <cell r="K875">
            <v>4.2479324726906116</v>
          </cell>
        </row>
        <row r="876">
          <cell r="G876">
            <v>-1.1438116822993682</v>
          </cell>
          <cell r="H876">
            <v>-1.7334122815122892</v>
          </cell>
          <cell r="I876">
            <v>-2.0602529422605089</v>
          </cell>
          <cell r="J876">
            <v>-2.3990278999725736</v>
          </cell>
          <cell r="K876">
            <v>-3.0522143833889457</v>
          </cell>
        </row>
        <row r="877">
          <cell r="G877">
            <v>0.40037597020758925</v>
          </cell>
          <cell r="H877">
            <v>0.55489031091800733</v>
          </cell>
          <cell r="I877">
            <v>0.62370668295829157</v>
          </cell>
          <cell r="J877">
            <v>0.68983664959857505</v>
          </cell>
          <cell r="K877">
            <v>0.85200820078109618</v>
          </cell>
        </row>
        <row r="878">
          <cell r="G878">
            <v>22.883257457975652</v>
          </cell>
          <cell r="H878">
            <v>25.721192681815516</v>
          </cell>
          <cell r="I878">
            <v>28.448342575302398</v>
          </cell>
          <cell r="J878">
            <v>35.136174900090026</v>
          </cell>
          <cell r="K878">
            <v>37.18390119017279</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33"/>
  <sheetViews>
    <sheetView showGridLines="0" tabSelected="1" zoomScaleNormal="100" workbookViewId="0"/>
  </sheetViews>
  <sheetFormatPr defaultColWidth="9.33203125" defaultRowHeight="10.199999999999999" x14ac:dyDescent="0.35"/>
  <cols>
    <col min="1" max="1" width="9.33203125" style="291"/>
    <col min="2" max="3" width="5.796875" style="291" customWidth="1"/>
    <col min="4" max="4" width="12.796875" style="291" customWidth="1"/>
    <col min="5" max="5" width="9.33203125" style="291"/>
    <col min="6" max="13" width="10.796875" style="291" customWidth="1"/>
    <col min="14" max="16384" width="9.33203125" style="291"/>
  </cols>
  <sheetData>
    <row r="1" spans="2:7" ht="11.25" customHeight="1" x14ac:dyDescent="0.35"/>
    <row r="2" spans="2:7" ht="11.25" customHeight="1" x14ac:dyDescent="0.35"/>
    <row r="3" spans="2:7" ht="18.899999999999999" x14ac:dyDescent="0.35">
      <c r="B3" s="292" t="s">
        <v>481</v>
      </c>
    </row>
    <row r="4" spans="2:7" ht="11.25" customHeight="1" x14ac:dyDescent="0.35"/>
    <row r="5" spans="2:7" ht="11.25" customHeight="1" x14ac:dyDescent="0.35"/>
    <row r="6" spans="2:7" ht="11.25" customHeight="1" x14ac:dyDescent="0.35">
      <c r="C6" s="293"/>
      <c r="D6" s="293"/>
      <c r="E6" s="293"/>
      <c r="F6" s="293"/>
      <c r="G6" s="293"/>
    </row>
    <row r="7" spans="2:7" ht="11.25" customHeight="1" x14ac:dyDescent="0.35">
      <c r="C7" s="293"/>
      <c r="D7" s="293"/>
      <c r="E7" s="293"/>
      <c r="F7" s="293"/>
      <c r="G7" s="293"/>
    </row>
    <row r="8" spans="2:7" ht="11.25" customHeight="1" x14ac:dyDescent="0.35">
      <c r="C8" s="293"/>
      <c r="D8" s="293"/>
      <c r="E8" s="293"/>
      <c r="F8" s="293"/>
      <c r="G8" s="293"/>
    </row>
    <row r="9" spans="2:7" x14ac:dyDescent="0.35">
      <c r="C9" s="293"/>
      <c r="D9" s="293"/>
      <c r="E9" s="293"/>
      <c r="F9" s="293"/>
      <c r="G9" s="293"/>
    </row>
    <row r="11" spans="2:7" ht="12.3" x14ac:dyDescent="0.35">
      <c r="C11" s="294" t="s">
        <v>29</v>
      </c>
      <c r="F11" s="295" t="s">
        <v>478</v>
      </c>
    </row>
    <row r="13" spans="2:7" ht="12.3" x14ac:dyDescent="0.35">
      <c r="C13" s="296" t="s">
        <v>30</v>
      </c>
    </row>
    <row r="14" spans="2:7" ht="12.3" x14ac:dyDescent="0.35">
      <c r="C14" s="297" t="s">
        <v>450</v>
      </c>
    </row>
    <row r="16" spans="2:7" ht="12.3" x14ac:dyDescent="0.35">
      <c r="C16" s="296" t="s">
        <v>37</v>
      </c>
    </row>
    <row r="18" spans="3:13" x14ac:dyDescent="0.35">
      <c r="C18" s="298"/>
      <c r="D18" s="299"/>
      <c r="E18" s="299"/>
      <c r="F18" s="299"/>
      <c r="G18" s="299"/>
      <c r="H18" s="299"/>
      <c r="I18" s="299"/>
      <c r="J18" s="299"/>
      <c r="K18" s="299"/>
      <c r="L18" s="299"/>
      <c r="M18" s="300"/>
    </row>
    <row r="19" spans="3:13" ht="12.3" x14ac:dyDescent="0.35">
      <c r="C19" s="301"/>
      <c r="D19" s="302" t="s">
        <v>15</v>
      </c>
      <c r="E19" s="303"/>
      <c r="F19" s="304" t="s">
        <v>26</v>
      </c>
      <c r="G19" s="303"/>
      <c r="H19" s="303"/>
      <c r="I19" s="303"/>
      <c r="J19" s="303"/>
      <c r="K19" s="303"/>
      <c r="L19" s="303"/>
      <c r="M19" s="305"/>
    </row>
    <row r="20" spans="3:13" ht="12.3" x14ac:dyDescent="0.35">
      <c r="C20" s="301"/>
      <c r="D20" s="306" t="s">
        <v>44</v>
      </c>
      <c r="E20" s="303"/>
      <c r="F20" s="304" t="s">
        <v>39</v>
      </c>
      <c r="G20" s="303"/>
      <c r="H20" s="303"/>
      <c r="I20" s="303"/>
      <c r="J20" s="303"/>
      <c r="K20" s="303"/>
      <c r="L20" s="303"/>
      <c r="M20" s="305"/>
    </row>
    <row r="21" spans="3:13" ht="12.3" x14ac:dyDescent="0.35">
      <c r="C21" s="301"/>
      <c r="D21" s="307" t="s">
        <v>21</v>
      </c>
      <c r="E21" s="303"/>
      <c r="F21" s="304" t="s">
        <v>23</v>
      </c>
      <c r="G21" s="303"/>
      <c r="H21" s="303"/>
      <c r="I21" s="303"/>
      <c r="J21" s="303"/>
      <c r="K21" s="303"/>
      <c r="L21" s="303"/>
      <c r="M21" s="305"/>
    </row>
    <row r="22" spans="3:13" ht="12.3" x14ac:dyDescent="0.35">
      <c r="C22" s="301"/>
      <c r="D22" s="308" t="s">
        <v>22</v>
      </c>
      <c r="E22" s="303"/>
      <c r="F22" s="304" t="s">
        <v>24</v>
      </c>
      <c r="G22" s="303"/>
      <c r="H22" s="303"/>
      <c r="I22" s="303"/>
      <c r="J22" s="303"/>
      <c r="K22" s="303"/>
      <c r="L22" s="303"/>
      <c r="M22" s="305"/>
    </row>
    <row r="23" spans="3:13" ht="12.3" x14ac:dyDescent="0.35">
      <c r="C23" s="301"/>
      <c r="D23" s="309" t="s">
        <v>5</v>
      </c>
      <c r="E23" s="303"/>
      <c r="F23" s="304" t="s">
        <v>27</v>
      </c>
      <c r="G23" s="303"/>
      <c r="H23" s="303"/>
      <c r="I23" s="303"/>
      <c r="J23" s="303"/>
      <c r="K23" s="303"/>
      <c r="L23" s="303"/>
      <c r="M23" s="305"/>
    </row>
    <row r="24" spans="3:13" ht="12.3" x14ac:dyDescent="0.35">
      <c r="C24" s="301"/>
      <c r="D24" s="310" t="s">
        <v>25</v>
      </c>
      <c r="E24" s="303"/>
      <c r="F24" s="304" t="s">
        <v>28</v>
      </c>
      <c r="G24" s="303"/>
      <c r="H24" s="303"/>
      <c r="I24" s="303"/>
      <c r="J24" s="303"/>
      <c r="K24" s="303"/>
      <c r="L24" s="303"/>
      <c r="M24" s="305"/>
    </row>
    <row r="25" spans="3:13" ht="12.3" x14ac:dyDescent="0.35">
      <c r="C25" s="301"/>
      <c r="D25" s="311"/>
      <c r="E25" s="303"/>
      <c r="F25" s="304" t="s">
        <v>38</v>
      </c>
      <c r="G25" s="303"/>
      <c r="H25" s="303"/>
      <c r="I25" s="303"/>
      <c r="J25" s="303"/>
      <c r="K25" s="303"/>
      <c r="L25" s="303"/>
      <c r="M25" s="305"/>
    </row>
    <row r="26" spans="3:13" ht="12.3" x14ac:dyDescent="0.35">
      <c r="C26" s="301"/>
      <c r="D26" s="312" t="s">
        <v>45</v>
      </c>
      <c r="E26" s="303"/>
      <c r="F26" s="304" t="s">
        <v>40</v>
      </c>
      <c r="G26" s="303"/>
      <c r="H26" s="303"/>
      <c r="I26" s="303"/>
      <c r="J26" s="303"/>
      <c r="K26" s="303"/>
      <c r="L26" s="303"/>
      <c r="M26" s="305"/>
    </row>
    <row r="27" spans="3:13" ht="12.3" x14ac:dyDescent="0.4">
      <c r="C27" s="301"/>
      <c r="D27" s="313" t="s">
        <v>7</v>
      </c>
      <c r="E27" s="303"/>
      <c r="F27" s="304" t="s">
        <v>41</v>
      </c>
      <c r="G27" s="303"/>
      <c r="H27" s="303"/>
      <c r="I27" s="303"/>
      <c r="J27" s="303"/>
      <c r="K27" s="303"/>
      <c r="L27" s="303"/>
      <c r="M27" s="305"/>
    </row>
    <row r="28" spans="3:13" ht="12.3" x14ac:dyDescent="0.4">
      <c r="C28" s="301"/>
      <c r="D28" s="313" t="s">
        <v>6</v>
      </c>
      <c r="E28" s="303"/>
      <c r="F28" s="304" t="s">
        <v>42</v>
      </c>
      <c r="G28" s="303"/>
      <c r="H28" s="303"/>
      <c r="I28" s="303"/>
      <c r="J28" s="303"/>
      <c r="K28" s="303"/>
      <c r="L28" s="303"/>
      <c r="M28" s="305"/>
    </row>
    <row r="29" spans="3:13" ht="12.3" x14ac:dyDescent="0.35">
      <c r="C29" s="301"/>
      <c r="D29" s="314"/>
      <c r="E29" s="303"/>
      <c r="F29" s="304" t="s">
        <v>43</v>
      </c>
      <c r="G29" s="303"/>
      <c r="H29" s="303"/>
      <c r="I29" s="303"/>
      <c r="J29" s="303"/>
      <c r="K29" s="303"/>
      <c r="L29" s="303"/>
      <c r="M29" s="305"/>
    </row>
    <row r="30" spans="3:13" x14ac:dyDescent="0.35">
      <c r="C30" s="315"/>
      <c r="D30" s="316"/>
      <c r="E30" s="316"/>
      <c r="F30" s="316"/>
      <c r="G30" s="316"/>
      <c r="H30" s="316"/>
      <c r="I30" s="316"/>
      <c r="J30" s="316"/>
      <c r="K30" s="316"/>
      <c r="L30" s="316"/>
      <c r="M30" s="317"/>
    </row>
    <row r="32" spans="3:13" ht="12.3" x14ac:dyDescent="0.35">
      <c r="C32" s="296" t="s">
        <v>118</v>
      </c>
      <c r="D32" s="318"/>
    </row>
    <row r="33" spans="3:24" ht="84" customHeight="1" x14ac:dyDescent="0.35">
      <c r="C33" s="380" t="s">
        <v>119</v>
      </c>
      <c r="D33" s="380"/>
      <c r="E33" s="380"/>
      <c r="F33" s="380"/>
      <c r="G33" s="380"/>
      <c r="H33" s="380"/>
      <c r="I33" s="380"/>
      <c r="J33" s="380"/>
      <c r="K33" s="380"/>
      <c r="L33" s="380"/>
      <c r="M33" s="380"/>
      <c r="N33" s="380"/>
      <c r="O33" s="380"/>
      <c r="P33" s="380"/>
      <c r="Q33" s="380"/>
      <c r="R33" s="380"/>
      <c r="S33" s="380"/>
      <c r="T33" s="380"/>
      <c r="U33" s="380"/>
      <c r="V33" s="380"/>
      <c r="W33" s="380"/>
      <c r="X33" s="380"/>
    </row>
  </sheetData>
  <mergeCells count="1">
    <mergeCell ref="C33:X33"/>
  </mergeCells>
  <conditionalFormatting sqref="D28">
    <cfRule type="cellIs" dxfId="23" priority="2" operator="equal">
      <formula>"Ok"</formula>
    </cfRule>
  </conditionalFormatting>
  <conditionalFormatting sqref="D27">
    <cfRule type="cellIs" dxfId="22" priority="1" operator="equal">
      <formula>"Ok"</formula>
    </cfRule>
  </conditionalFormatting>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showGridLines="0" zoomScaleNormal="100" workbookViewId="0">
      <pane xSplit="1" ySplit="4" topLeftCell="B5" activePane="bottomRight" state="frozen"/>
      <selection pane="topRight" activeCell="B1" sqref="B1"/>
      <selection pane="bottomLeft" activeCell="A4" sqref="A4"/>
      <selection pane="bottomRight" activeCell="B5" sqref="B5"/>
    </sheetView>
  </sheetViews>
  <sheetFormatPr defaultColWidth="0" defaultRowHeight="10.199999999999999" x14ac:dyDescent="0.35"/>
  <cols>
    <col min="1" max="3" width="2.796875" style="7" customWidth="1"/>
    <col min="4" max="4" width="62" style="7" customWidth="1"/>
    <col min="5" max="6" width="10.796875" style="7" customWidth="1"/>
    <col min="7" max="15" width="10.796875" style="7" hidden="1" customWidth="1"/>
    <col min="16" max="16384" width="9.33203125" style="7" hidden="1"/>
  </cols>
  <sheetData>
    <row r="1" spans="2:5" ht="18.899999999999999" x14ac:dyDescent="0.35">
      <c r="B1" s="5" t="s">
        <v>50</v>
      </c>
    </row>
    <row r="2" spans="2:5" x14ac:dyDescent="0.35">
      <c r="B2" s="18" t="str">
        <f>Title_Msg</f>
        <v>No Errors Found</v>
      </c>
    </row>
    <row r="3" spans="2:5" ht="12.3" x14ac:dyDescent="0.35">
      <c r="B3" s="37" t="s">
        <v>54</v>
      </c>
      <c r="C3" s="37"/>
      <c r="D3" s="37"/>
      <c r="E3" s="16"/>
    </row>
    <row r="4" spans="2:5" ht="12.3" x14ac:dyDescent="0.35">
      <c r="B4" s="34" t="str">
        <f>Model_Name</f>
        <v>Power and Water Corporation (PWC) - RAB Allocation - EB RIN - DRAFT</v>
      </c>
    </row>
    <row r="6" spans="2:5" s="4" customFormat="1" ht="15" x14ac:dyDescent="0.35">
      <c r="B6" s="4" t="str">
        <f>B1</f>
        <v>Table of Contents</v>
      </c>
    </row>
    <row r="7" spans="2:5" s="6" customFormat="1" ht="4.5" customHeight="1" x14ac:dyDescent="0.35"/>
    <row r="8" spans="2:5" s="13" customFormat="1" ht="14.1" x14ac:dyDescent="0.35">
      <c r="C8" s="13" t="s">
        <v>51</v>
      </c>
    </row>
    <row r="9" spans="2:5" s="6" customFormat="1" ht="4.5" customHeight="1" x14ac:dyDescent="0.35"/>
    <row r="10" spans="2:5" s="6" customFormat="1" ht="11.25" customHeight="1" x14ac:dyDescent="0.35">
      <c r="D10" s="37" t="str">
        <f>Input_Inflation!$B$1</f>
        <v>CPI Assumptions and Associated Indexes</v>
      </c>
    </row>
    <row r="11" spans="2:5" s="6" customFormat="1" ht="11.25" customHeight="1" x14ac:dyDescent="0.35">
      <c r="D11" s="37" t="str">
        <f>Input_RAB_SCS!$B$1</f>
        <v>Input - SCS RAB by Asset Category</v>
      </c>
    </row>
    <row r="12" spans="2:5" s="6" customFormat="1" ht="11.25" customHeight="1" x14ac:dyDescent="0.35">
      <c r="D12" s="37" t="str">
        <f>Input_RAB_ACS!$B$1</f>
        <v>Input - ACS Metering RAB by Asset Category</v>
      </c>
    </row>
    <row r="13" spans="2:5" s="6" customFormat="1" ht="11.25" customHeight="1" x14ac:dyDescent="0.35">
      <c r="D13" s="37" t="str">
        <f>Input_Connections!$B$1</f>
        <v>Input - Proportion of Connection Gross Capex</v>
      </c>
    </row>
    <row r="14" spans="2:5" s="6" customFormat="1" ht="11.25" customHeight="1" x14ac:dyDescent="0.35">
      <c r="D14" s="37" t="str">
        <f>Input_AssetLives!B1</f>
        <v>Input - Standard Lives</v>
      </c>
    </row>
    <row r="15" spans="2:5" s="6" customFormat="1" ht="11.25" customHeight="1" x14ac:dyDescent="0.35">
      <c r="D15" s="37" t="str">
        <f>Input_DRC!$B$1</f>
        <v>Input - Estimated Depreciated Replacement Cost</v>
      </c>
    </row>
    <row r="16" spans="2:5" s="6" customFormat="1" ht="4.5" customHeight="1" x14ac:dyDescent="0.35"/>
    <row r="17" spans="3:4" s="13" customFormat="1" ht="14.1" x14ac:dyDescent="0.35">
      <c r="C17" s="13" t="s">
        <v>14</v>
      </c>
    </row>
    <row r="18" spans="3:4" s="6" customFormat="1" ht="4.5" customHeight="1" x14ac:dyDescent="0.35"/>
    <row r="19" spans="3:4" x14ac:dyDescent="0.35">
      <c r="D19" s="37" t="str">
        <f>Calc_Alloc!B1</f>
        <v>Calculation Outputs - Allocation from RAB asset classes to EB categories</v>
      </c>
    </row>
    <row r="20" spans="3:4" x14ac:dyDescent="0.35">
      <c r="D20" s="37" t="str">
        <f>Calc_RAB_Connection!$B$1</f>
        <v>Calculation - Estimated Connection RAB by Asset Category</v>
      </c>
    </row>
    <row r="21" spans="3:4" x14ac:dyDescent="0.35">
      <c r="D21" s="37" t="str">
        <f>Calc_RAB_NS!$B$1</f>
        <v>Calculation - Estimated Network Services RAB by Asset Category</v>
      </c>
    </row>
    <row r="22" spans="3:4" x14ac:dyDescent="0.35">
      <c r="D22" s="37" t="str">
        <f>Calc_EB_NS!$B$1</f>
        <v>Calculation - Network Services RAB by EB RIN Category</v>
      </c>
    </row>
    <row r="23" spans="3:4" x14ac:dyDescent="0.35">
      <c r="D23" s="37" t="str">
        <f>Calc_EB_SCS!$B$1</f>
        <v>Calculation - SCS RAB by EB RIN Category</v>
      </c>
    </row>
    <row r="24" spans="3:4" x14ac:dyDescent="0.35">
      <c r="D24" s="37" t="str">
        <f>Calc_EB_ACS!$B$1</f>
        <v>Calculation - ACS RAB by EB RIN Category</v>
      </c>
    </row>
    <row r="25" spans="3:4" s="6" customFormat="1" ht="4.5" customHeight="1" x14ac:dyDescent="0.35"/>
    <row r="26" spans="3:4" s="13" customFormat="1" ht="14.1" x14ac:dyDescent="0.35">
      <c r="C26" s="13" t="s">
        <v>52</v>
      </c>
    </row>
    <row r="27" spans="3:4" s="6" customFormat="1" ht="4.5" customHeight="1" x14ac:dyDescent="0.35"/>
    <row r="28" spans="3:4" x14ac:dyDescent="0.35">
      <c r="D28" s="37" t="str">
        <f>Output_EB_RIN_NS!$B$1</f>
        <v>Outputs - Network Services EB RIN</v>
      </c>
    </row>
    <row r="29" spans="3:4" x14ac:dyDescent="0.35">
      <c r="D29" s="37" t="str">
        <f>Output_EB_RIN_SCS!$B$1</f>
        <v>Outputs - SCS EB RIN</v>
      </c>
    </row>
    <row r="30" spans="3:4" x14ac:dyDescent="0.35">
      <c r="D30" s="37" t="str">
        <f>Output_EB_RIN_ACS!$B$1</f>
        <v>Outputs - ACS (Public Lighting and ACS Metering) EB RIN</v>
      </c>
    </row>
    <row r="31" spans="3:4" s="6" customFormat="1" ht="4.5" customHeight="1" x14ac:dyDescent="0.35"/>
    <row r="32" spans="3:4" s="13" customFormat="1" ht="14.1" x14ac:dyDescent="0.35">
      <c r="C32" s="13" t="s">
        <v>53</v>
      </c>
    </row>
    <row r="33" spans="2:4" s="6" customFormat="1" ht="4.5" customHeight="1" x14ac:dyDescent="0.35"/>
    <row r="34" spans="2:4" x14ac:dyDescent="0.35">
      <c r="D34" s="37" t="str">
        <f>Lookup!B1</f>
        <v>Model Lookups</v>
      </c>
    </row>
    <row r="35" spans="2:4" x14ac:dyDescent="0.35">
      <c r="D35" s="37" t="str">
        <f>Checks!B1</f>
        <v>Checks</v>
      </c>
    </row>
    <row r="36" spans="2:4" s="6" customFormat="1" ht="4.5" customHeight="1" x14ac:dyDescent="0.35"/>
    <row r="37" spans="2:4" s="4" customFormat="1" ht="15" x14ac:dyDescent="0.35">
      <c r="B37" s="4" t="s">
        <v>33</v>
      </c>
    </row>
  </sheetData>
  <conditionalFormatting sqref="B2">
    <cfRule type="cellIs" dxfId="21" priority="1" operator="notEqual">
      <formula>"No Errors Found"</formula>
    </cfRule>
  </conditionalFormatting>
  <hyperlinks>
    <hyperlink ref="D34" location="Lookup!A1" display="Lookup!A1" xr:uid="{00000000-0004-0000-0100-000000000000}"/>
    <hyperlink ref="D35" location="Checks!A1" display="Checks!A1" xr:uid="{00000000-0004-0000-0100-000001000000}"/>
    <hyperlink ref="B3:D3" location="Cover!A1" display="Go to Cover Sheet" xr:uid="{00000000-0004-0000-0100-000002000000}"/>
    <hyperlink ref="D11" location="Input_RAB_SCS!A1" display="Input_RAB_SCS!A1" xr:uid="{00000000-0004-0000-0100-000003000000}"/>
    <hyperlink ref="D19" location="Calc_Alloc!A1" display="Calc_Alloc!A1" xr:uid="{00000000-0004-0000-0100-000004000000}"/>
    <hyperlink ref="D23" location="Calc_EB_SCS!A1" display="Calc_EB_SCS!A1" xr:uid="{00000000-0004-0000-0100-000005000000}"/>
    <hyperlink ref="D29" location="Output_EB_RIN_SCS!A1" display="Output_EB_RIN_SCS!A1" xr:uid="{00000000-0004-0000-0100-000006000000}"/>
    <hyperlink ref="D12" location="Input_RAB_ACS!A1" display="Input_RAB_ACS!A1" xr:uid="{00000000-0004-0000-0100-000007000000}"/>
    <hyperlink ref="D24" location="Calc_EB_SCS!A1" display="Calc_EB_SCS!A1" xr:uid="{00000000-0004-0000-0100-000009000000}"/>
    <hyperlink ref="D24" location="Calc_EB_ACS!A1" display="Calc_EB_ACS!A1" xr:uid="{00000000-0004-0000-0100-00000A000000}"/>
    <hyperlink ref="D30" location="Output_EB_RIN_SCS!A1" display="Output_EB_RIN_SCS!A1" xr:uid="{00000000-0004-0000-0100-00000C000000}"/>
    <hyperlink ref="D30" location="Output_EB_RIN_ACS!A1" display="Output_EB_RIN_ACS!A1" xr:uid="{00000000-0004-0000-0100-00000D000000}"/>
    <hyperlink ref="D28" location="Output_EB_RIN_NS!A1" display="Output_EB_RIN_NS!A1" xr:uid="{00000000-0004-0000-0100-00000E000000}"/>
    <hyperlink ref="D13" location="Input_Connections!A1" display="Input_Connections!A1" xr:uid="{00000000-0004-0000-0100-00000F000000}"/>
    <hyperlink ref="D20" location="Calc_RAB_Connection!A1" display="Calc_RAB_Connection!A1" xr:uid="{00000000-0004-0000-0100-000010000000}"/>
    <hyperlink ref="D21" location="Calc_RAB_NS!A1" display="Calc_RAB_NS!A1" xr:uid="{00000000-0004-0000-0100-000011000000}"/>
    <hyperlink ref="D22" location="Calc_EB_NS!A1" display="Calc_EB_NS!A1" xr:uid="{00000000-0004-0000-0100-000012000000}"/>
    <hyperlink ref="D15" location="Input_DRC!A1" display="Input_DRC!A1" xr:uid="{5EE3C304-C5E1-42A4-8201-E5F43E17D105}"/>
    <hyperlink ref="D14" location="Input_AssetLives!A1" display="Input_AssetLives!A1" xr:uid="{0C276D48-AB78-4D5C-A83A-AECFE8CBCC3F}"/>
    <hyperlink ref="D10" location="Input_RAB_SCS!A1" display="Input_RAB_SCS!A1" xr:uid="{F7A99214-8E0B-4B73-97FF-7CCA9912CFF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64F64-158E-42BC-8E65-3BDAE25D0D03}">
  <sheetPr>
    <tabColor theme="4" tint="0.79998168889431442"/>
  </sheetPr>
  <dimension ref="A1:AI43"/>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33203125" defaultRowHeight="10.199999999999999" outlineLevelRow="1" x14ac:dyDescent="0.35"/>
  <cols>
    <col min="1" max="1" width="3.33203125" style="7" customWidth="1"/>
    <col min="2" max="3" width="2.796875" style="7" customWidth="1"/>
    <col min="4" max="4" width="37.46484375" style="7" customWidth="1"/>
    <col min="5" max="5" width="18" style="7" customWidth="1"/>
    <col min="6" max="6" width="9.1328125" style="7" customWidth="1"/>
    <col min="7" max="7" width="12" style="7" customWidth="1"/>
    <col min="8" max="8" width="10" style="7" customWidth="1"/>
    <col min="9" max="9" width="10.796875" style="7" customWidth="1"/>
    <col min="10" max="32" width="13.59765625" style="7" customWidth="1"/>
    <col min="33" max="16384" width="9.33203125" style="7"/>
  </cols>
  <sheetData>
    <row r="1" spans="1:35" ht="18.899999999999999" x14ac:dyDescent="0.35">
      <c r="A1" s="49">
        <f>IF(SUM($A11:$A43)&gt;0,1,0)</f>
        <v>0</v>
      </c>
      <c r="B1" s="5" t="s">
        <v>454</v>
      </c>
    </row>
    <row r="2" spans="1:35" x14ac:dyDescent="0.35">
      <c r="B2" s="18" t="str">
        <f>Title_Msg</f>
        <v>No Errors Found</v>
      </c>
    </row>
    <row r="3" spans="1:35" x14ac:dyDescent="0.35">
      <c r="B3" s="37" t="str">
        <f>TOC!B1</f>
        <v>Table of Contents</v>
      </c>
      <c r="C3" s="35"/>
      <c r="D3" s="35"/>
      <c r="E3" s="35"/>
    </row>
    <row r="4" spans="1:35" ht="12.3" x14ac:dyDescent="0.35">
      <c r="B4" s="34" t="str">
        <f>Model_Name</f>
        <v>Power and Water Corporation (PWC) - RAB Allocation - EB RIN - DRAFT</v>
      </c>
    </row>
    <row r="5" spans="1:35" ht="12.3" hidden="1" outlineLevel="1" x14ac:dyDescent="0.35">
      <c r="B5" s="15" t="str">
        <f>Lookup!B15</f>
        <v>Period Start Date</v>
      </c>
      <c r="N5" s="42">
        <f>Lookup!J15</f>
        <v>38534</v>
      </c>
      <c r="O5" s="42">
        <f>Lookup!K15</f>
        <v>38899</v>
      </c>
      <c r="P5" s="42">
        <f>Lookup!L15</f>
        <v>39264</v>
      </c>
      <c r="Q5" s="42">
        <f>Lookup!M15</f>
        <v>39630</v>
      </c>
      <c r="R5" s="42">
        <f>Lookup!N15</f>
        <v>39995</v>
      </c>
      <c r="S5" s="42">
        <f>Lookup!O15</f>
        <v>40360</v>
      </c>
      <c r="T5" s="42">
        <f>Lookup!P15</f>
        <v>40725</v>
      </c>
      <c r="U5" s="42">
        <f>Lookup!Q15</f>
        <v>41091</v>
      </c>
      <c r="V5" s="42">
        <f>Lookup!R15</f>
        <v>41456</v>
      </c>
      <c r="W5" s="42">
        <f>Lookup!S15</f>
        <v>41821</v>
      </c>
      <c r="X5" s="42">
        <f>Lookup!T15</f>
        <v>42186</v>
      </c>
      <c r="Y5" s="42">
        <f>Lookup!U15</f>
        <v>42552</v>
      </c>
    </row>
    <row r="6" spans="1:35" ht="12.3" hidden="1" outlineLevel="1" x14ac:dyDescent="0.35">
      <c r="B6" s="15" t="str">
        <f>Lookup!B16</f>
        <v>Period End Date</v>
      </c>
      <c r="N6" s="42">
        <f>Lookup!J16</f>
        <v>38898</v>
      </c>
      <c r="O6" s="42">
        <f>Lookup!K16</f>
        <v>39263</v>
      </c>
      <c r="P6" s="42">
        <f>Lookup!L16</f>
        <v>39629</v>
      </c>
      <c r="Q6" s="42">
        <f>Lookup!M16</f>
        <v>39994</v>
      </c>
      <c r="R6" s="42">
        <f>Lookup!N16</f>
        <v>40359</v>
      </c>
      <c r="S6" s="42">
        <f>Lookup!O16</f>
        <v>40724</v>
      </c>
      <c r="T6" s="42">
        <f>Lookup!P16</f>
        <v>41090</v>
      </c>
      <c r="U6" s="42">
        <f>Lookup!Q16</f>
        <v>41455</v>
      </c>
      <c r="V6" s="42">
        <f>Lookup!R16</f>
        <v>41820</v>
      </c>
      <c r="W6" s="42">
        <f>Lookup!S16</f>
        <v>42185</v>
      </c>
      <c r="X6" s="42">
        <f>Lookup!T16</f>
        <v>42551</v>
      </c>
      <c r="Y6" s="42">
        <f>Lookup!U16</f>
        <v>42916</v>
      </c>
    </row>
    <row r="7" spans="1:35" ht="12.3" hidden="1" outlineLevel="1" x14ac:dyDescent="0.35">
      <c r="B7" s="15" t="str">
        <f>Lookup!B17</f>
        <v>Period Counter</v>
      </c>
      <c r="N7" s="43">
        <f>Lookup!J17</f>
        <v>1</v>
      </c>
      <c r="O7" s="43">
        <f>Lookup!K17</f>
        <v>2</v>
      </c>
      <c r="P7" s="43">
        <f>Lookup!L17</f>
        <v>3</v>
      </c>
      <c r="Q7" s="43">
        <f>Lookup!M17</f>
        <v>4</v>
      </c>
      <c r="R7" s="43">
        <f>Lookup!N17</f>
        <v>5</v>
      </c>
      <c r="S7" s="43">
        <f>Lookup!O17</f>
        <v>6</v>
      </c>
      <c r="T7" s="43">
        <f>Lookup!P17</f>
        <v>7</v>
      </c>
      <c r="U7" s="43">
        <f>Lookup!Q17</f>
        <v>8</v>
      </c>
      <c r="V7" s="43">
        <f>Lookup!R17</f>
        <v>9</v>
      </c>
      <c r="W7" s="43">
        <f>Lookup!S17</f>
        <v>10</v>
      </c>
      <c r="X7" s="43">
        <f>Lookup!T17</f>
        <v>11</v>
      </c>
      <c r="Y7" s="43">
        <f>Lookup!U17</f>
        <v>12</v>
      </c>
    </row>
    <row r="8" spans="1:35" ht="12.3" hidden="1" outlineLevel="1" x14ac:dyDescent="0.35">
      <c r="B8" s="15" t="str">
        <f>Lookup!B18</f>
        <v>Year</v>
      </c>
      <c r="N8" s="44">
        <f>Lookup!J18</f>
        <v>2006</v>
      </c>
      <c r="O8" s="44">
        <f>Lookup!K18</f>
        <v>2007</v>
      </c>
      <c r="P8" s="44">
        <f>Lookup!L18</f>
        <v>2008</v>
      </c>
      <c r="Q8" s="44">
        <f>Lookup!M18</f>
        <v>2009</v>
      </c>
      <c r="R8" s="44">
        <f>Lookup!N18</f>
        <v>2010</v>
      </c>
      <c r="S8" s="44">
        <f>Lookup!O18</f>
        <v>2011</v>
      </c>
      <c r="T8" s="44">
        <f>Lookup!P18</f>
        <v>2012</v>
      </c>
      <c r="U8" s="44">
        <f>Lookup!Q18</f>
        <v>2013</v>
      </c>
      <c r="V8" s="44">
        <f>Lookup!R18</f>
        <v>2014</v>
      </c>
      <c r="W8" s="44">
        <f>Lookup!S18</f>
        <v>2015</v>
      </c>
      <c r="X8" s="44">
        <f>Lookup!T18</f>
        <v>2016</v>
      </c>
      <c r="Y8" s="44">
        <f>Lookup!U18</f>
        <v>2017</v>
      </c>
    </row>
    <row r="9" spans="1:35" ht="12.3" hidden="1" outlineLevel="1" x14ac:dyDescent="0.35">
      <c r="B9" s="15" t="str">
        <f>Lookup!B19</f>
        <v>Period Type</v>
      </c>
      <c r="N9" s="44" t="str">
        <f>Lookup!J19</f>
        <v>Actual</v>
      </c>
      <c r="O9" s="44" t="str">
        <f>Lookup!K19</f>
        <v>Actual</v>
      </c>
      <c r="P9" s="44" t="str">
        <f>Lookup!L19</f>
        <v>Actual</v>
      </c>
      <c r="Q9" s="44" t="str">
        <f>Lookup!M19</f>
        <v>Base Year</v>
      </c>
      <c r="R9" s="44" t="str">
        <f>Lookup!N19</f>
        <v>Forecast</v>
      </c>
      <c r="S9" s="44" t="str">
        <f>Lookup!O19</f>
        <v>Forecast</v>
      </c>
      <c r="T9" s="44" t="str">
        <f>Lookup!P19</f>
        <v>Forecast</v>
      </c>
      <c r="U9" s="44" t="str">
        <f>Lookup!Q19</f>
        <v>Forecast</v>
      </c>
      <c r="V9" s="44" t="str">
        <f>Lookup!R19</f>
        <v>Forecast</v>
      </c>
      <c r="W9" s="44" t="str">
        <f>Lookup!S19</f>
        <v>Forecast</v>
      </c>
      <c r="X9" s="44" t="str">
        <f>Lookup!T19</f>
        <v>Forecast</v>
      </c>
      <c r="Y9" s="44" t="str">
        <f>Lookup!U19</f>
        <v>Forecast</v>
      </c>
    </row>
    <row r="10" spans="1:35" ht="12.3" collapsed="1" x14ac:dyDescent="0.35">
      <c r="B10" s="10" t="str">
        <f>Lookup!B20</f>
        <v>Regulatory Year</v>
      </c>
      <c r="E10" s="41" t="str">
        <f>Lookup!E20</f>
        <v>Source</v>
      </c>
      <c r="F10" s="41" t="str">
        <f>Lookup!F20</f>
        <v>Unit</v>
      </c>
      <c r="G10" s="41" t="str">
        <f>Lookup!G20</f>
        <v>Basis</v>
      </c>
      <c r="H10" s="41" t="str">
        <f>Lookup!H20</f>
        <v>Timing</v>
      </c>
      <c r="I10" s="41"/>
      <c r="J10" s="41" t="s">
        <v>467</v>
      </c>
      <c r="K10" s="41" t="s">
        <v>466</v>
      </c>
      <c r="L10" s="41" t="s">
        <v>465</v>
      </c>
      <c r="M10" s="41" t="s">
        <v>464</v>
      </c>
      <c r="N10" s="41" t="str">
        <f>Lookup!J20</f>
        <v>RY06</v>
      </c>
      <c r="O10" s="41" t="str">
        <f>Lookup!K20</f>
        <v>RY07</v>
      </c>
      <c r="P10" s="41" t="str">
        <f>Lookup!L20</f>
        <v>RY08</v>
      </c>
      <c r="Q10" s="41" t="str">
        <f>Lookup!M20</f>
        <v>RY09</v>
      </c>
      <c r="R10" s="41" t="str">
        <f>Lookup!N20</f>
        <v>RY10</v>
      </c>
      <c r="S10" s="41" t="str">
        <f>Lookup!O20</f>
        <v>RY11</v>
      </c>
      <c r="T10" s="41" t="str">
        <f>Lookup!P20</f>
        <v>RY12</v>
      </c>
      <c r="U10" s="41" t="str">
        <f>Lookup!Q20</f>
        <v>RY13</v>
      </c>
      <c r="V10" s="41" t="str">
        <f>Lookup!R20</f>
        <v>RY14</v>
      </c>
      <c r="W10" s="41" t="str">
        <f>Lookup!S20</f>
        <v>RY15</v>
      </c>
      <c r="X10" s="41" t="str">
        <f>Lookup!T20</f>
        <v>RY16</v>
      </c>
      <c r="Y10" s="41" t="str">
        <f>Lookup!U20</f>
        <v>RY17</v>
      </c>
      <c r="Z10" s="41" t="str">
        <f>Lookup!V20</f>
        <v>RY18</v>
      </c>
      <c r="AA10" s="41" t="str">
        <f>Lookup!W20</f>
        <v>RY19</v>
      </c>
      <c r="AB10" s="41" t="str">
        <f>Lookup!X20</f>
        <v>RY20</v>
      </c>
      <c r="AC10" s="41" t="str">
        <f>Lookup!Y20</f>
        <v>RY21</v>
      </c>
      <c r="AD10" s="41" t="str">
        <f>Lookup!Z20</f>
        <v>RY22</v>
      </c>
      <c r="AE10" s="41" t="str">
        <f>Lookup!AA20</f>
        <v>RY23</v>
      </c>
      <c r="AF10" s="41" t="str">
        <f>Lookup!AB20</f>
        <v>RY24</v>
      </c>
      <c r="AG10" s="41"/>
      <c r="AH10" s="41"/>
      <c r="AI10" s="41"/>
    </row>
    <row r="12" spans="1:35" s="4" customFormat="1" ht="15" x14ac:dyDescent="0.35">
      <c r="B12" s="4" t="s">
        <v>455</v>
      </c>
    </row>
    <row r="13" spans="1:35" s="6" customFormat="1" ht="4.5" customHeight="1" x14ac:dyDescent="0.35"/>
    <row r="14" spans="1:35" s="13" customFormat="1" ht="14.1" x14ac:dyDescent="0.35">
      <c r="C14" s="13" t="s">
        <v>15</v>
      </c>
    </row>
    <row r="15" spans="1:35" s="6" customFormat="1" ht="11.25" customHeight="1" x14ac:dyDescent="0.35"/>
    <row r="16" spans="1:35" ht="12.3" x14ac:dyDescent="0.35">
      <c r="D16" s="50" t="s">
        <v>109</v>
      </c>
      <c r="E16" s="45" t="str">
        <f>Lookup!E$20</f>
        <v>Source</v>
      </c>
      <c r="F16" s="45" t="str">
        <f>Lookup!F$20</f>
        <v>Unit</v>
      </c>
      <c r="G16" s="45" t="str">
        <f>Lookup!G$20</f>
        <v>Basis</v>
      </c>
      <c r="H16" s="45" t="str">
        <f>Lookup!H$20</f>
        <v>Timing</v>
      </c>
      <c r="J16" s="45" t="str">
        <f>J$10</f>
        <v>RY02</v>
      </c>
      <c r="K16" s="45" t="str">
        <f>K$10</f>
        <v>RY03</v>
      </c>
      <c r="L16" s="45" t="str">
        <f>L$10</f>
        <v>RY04</v>
      </c>
      <c r="M16" s="45" t="str">
        <f>M$10</f>
        <v>RY05</v>
      </c>
      <c r="N16" s="45" t="str">
        <f>N$10</f>
        <v>RY06</v>
      </c>
      <c r="O16" s="45" t="str">
        <f t="shared" ref="O16:AF16" si="0">O$10</f>
        <v>RY07</v>
      </c>
      <c r="P16" s="45" t="str">
        <f t="shared" si="0"/>
        <v>RY08</v>
      </c>
      <c r="Q16" s="362" t="str">
        <f t="shared" si="0"/>
        <v>RY09</v>
      </c>
      <c r="R16" s="363" t="str">
        <f t="shared" si="0"/>
        <v>RY10</v>
      </c>
      <c r="S16" s="45" t="str">
        <f>S$10</f>
        <v>RY11</v>
      </c>
      <c r="T16" s="45" t="str">
        <f t="shared" si="0"/>
        <v>RY12</v>
      </c>
      <c r="U16" s="45" t="str">
        <f t="shared" si="0"/>
        <v>RY13</v>
      </c>
      <c r="V16" s="54" t="str">
        <f>V$10</f>
        <v>RY14</v>
      </c>
      <c r="W16" s="45" t="str">
        <f>W$10</f>
        <v>RY15</v>
      </c>
      <c r="X16" s="45" t="str">
        <f>X$10</f>
        <v>RY16</v>
      </c>
      <c r="Y16" s="45" t="str">
        <f t="shared" si="0"/>
        <v>RY17</v>
      </c>
      <c r="Z16" s="45" t="str">
        <f t="shared" si="0"/>
        <v>RY18</v>
      </c>
      <c r="AA16" s="55" t="str">
        <f t="shared" si="0"/>
        <v>RY19</v>
      </c>
      <c r="AB16" s="54" t="str">
        <f t="shared" si="0"/>
        <v>RY20</v>
      </c>
      <c r="AC16" s="45" t="str">
        <f t="shared" si="0"/>
        <v>RY21</v>
      </c>
      <c r="AD16" s="45" t="str">
        <f t="shared" si="0"/>
        <v>RY22</v>
      </c>
      <c r="AE16" s="45" t="str">
        <f t="shared" si="0"/>
        <v>RY23</v>
      </c>
      <c r="AF16" s="45" t="str">
        <f t="shared" si="0"/>
        <v>RY24</v>
      </c>
    </row>
    <row r="17" spans="3:32" x14ac:dyDescent="0.35">
      <c r="J17" s="57"/>
      <c r="K17" s="57"/>
      <c r="L17" s="57"/>
      <c r="M17" s="57"/>
      <c r="N17" s="57"/>
      <c r="O17" s="57"/>
      <c r="P17" s="57"/>
      <c r="Q17" s="364"/>
      <c r="R17" s="365"/>
      <c r="S17" s="57"/>
      <c r="T17" s="57"/>
      <c r="U17" s="57"/>
      <c r="V17" s="56"/>
      <c r="W17" s="57"/>
      <c r="X17" s="57"/>
      <c r="Y17" s="57"/>
      <c r="AA17" s="58"/>
      <c r="AB17" s="56"/>
    </row>
    <row r="18" spans="3:32" ht="12.3" x14ac:dyDescent="0.35">
      <c r="D18" s="12" t="s">
        <v>457</v>
      </c>
      <c r="E18" s="52" t="s">
        <v>458</v>
      </c>
      <c r="F18" s="44" t="str">
        <f>Percent</f>
        <v>Percent</v>
      </c>
      <c r="G18" s="44" t="str">
        <f>NA</f>
        <v>N/A</v>
      </c>
      <c r="H18" s="44" t="str">
        <f>NA</f>
        <v>N/A</v>
      </c>
      <c r="J18" s="328">
        <v>2.9769959404600588E-2</v>
      </c>
      <c r="K18" s="328">
        <v>3.2851511169513792E-2</v>
      </c>
      <c r="L18" s="328">
        <v>2.0356234096692294E-2</v>
      </c>
      <c r="M18" s="328">
        <v>2.3690773067331472E-2</v>
      </c>
      <c r="N18" s="328">
        <v>2.923264311814866E-2</v>
      </c>
      <c r="O18" s="328">
        <v>2.485207100591702E-2</v>
      </c>
      <c r="P18" s="328">
        <v>4.2725173210161671E-2</v>
      </c>
      <c r="Q18" s="366">
        <v>2.4363233665559259E-2</v>
      </c>
      <c r="R18" s="367">
        <v>2.9189189189189113E-2</v>
      </c>
      <c r="S18" s="328">
        <v>3.2563025210083918E-2</v>
      </c>
      <c r="T18" s="328">
        <v>1.6276703967446737E-2</v>
      </c>
      <c r="U18" s="360">
        <v>2.5025025025025016E-2</v>
      </c>
      <c r="V18" s="367">
        <f>'[2]RFM input'!G182</f>
        <v>2.4498886414253906E-2</v>
      </c>
      <c r="W18" s="367">
        <f>'[2]RFM input'!H182</f>
        <v>1.3282732447817747E-2</v>
      </c>
      <c r="X18" s="328">
        <f>'[2]RFM input'!I182</f>
        <v>1.3108614232209881E-2</v>
      </c>
      <c r="Y18" s="328">
        <f>'[2]RFM input'!J182</f>
        <v>2.1256931608133023E-2</v>
      </c>
      <c r="Z18" s="328">
        <f>'[2]RFM input'!K182</f>
        <v>2.4248746575396662E-2</v>
      </c>
      <c r="AA18" s="360">
        <f>'[2]RFM input'!L182</f>
        <v>2.4248746575396662E-2</v>
      </c>
      <c r="AB18" s="367">
        <f>[3]Output_PTRM!$O$18</f>
        <v>2.4248746575396662E-2</v>
      </c>
      <c r="AC18" s="328">
        <f t="shared" ref="AC18:AF18" si="1">AB18</f>
        <v>2.4248746575396662E-2</v>
      </c>
      <c r="AD18" s="328">
        <f t="shared" si="1"/>
        <v>2.4248746575396662E-2</v>
      </c>
      <c r="AE18" s="328">
        <f t="shared" si="1"/>
        <v>2.4248746575396662E-2</v>
      </c>
      <c r="AF18" s="360">
        <f t="shared" si="1"/>
        <v>2.4248746575396662E-2</v>
      </c>
    </row>
    <row r="20" spans="3:32" ht="12.3" x14ac:dyDescent="0.35">
      <c r="D20" s="329" t="s">
        <v>470</v>
      </c>
      <c r="E20" s="52"/>
      <c r="F20" s="52"/>
      <c r="G20" s="52"/>
      <c r="H20" s="52"/>
      <c r="I20" s="52"/>
      <c r="J20" s="52"/>
    </row>
    <row r="21" spans="3:32" ht="12.3" x14ac:dyDescent="0.35">
      <c r="D21" s="329" t="s">
        <v>469</v>
      </c>
      <c r="E21" s="52"/>
      <c r="F21" s="52"/>
      <c r="G21" s="52"/>
      <c r="H21" s="52"/>
      <c r="I21" s="52"/>
      <c r="J21" s="52"/>
    </row>
    <row r="22" spans="3:32" ht="12.3" x14ac:dyDescent="0.35">
      <c r="D22" s="329" t="s">
        <v>471</v>
      </c>
      <c r="E22" s="52"/>
      <c r="F22" s="52"/>
      <c r="G22" s="52"/>
      <c r="H22" s="52"/>
      <c r="I22" s="52"/>
      <c r="J22" s="52"/>
    </row>
    <row r="23" spans="3:32" s="6" customFormat="1" ht="11.25" customHeight="1" x14ac:dyDescent="0.35">
      <c r="P23" s="10"/>
      <c r="U23" s="10"/>
    </row>
    <row r="24" spans="3:32" s="13" customFormat="1" ht="14.1" x14ac:dyDescent="0.35">
      <c r="C24" s="13" t="s">
        <v>456</v>
      </c>
    </row>
    <row r="25" spans="3:32" s="6" customFormat="1" ht="11.25" customHeight="1" x14ac:dyDescent="0.35"/>
    <row r="26" spans="3:32" ht="12.3" x14ac:dyDescent="0.35">
      <c r="D26" s="50" t="s">
        <v>109</v>
      </c>
      <c r="E26" s="45" t="str">
        <f>Lookup!E$20</f>
        <v>Source</v>
      </c>
      <c r="F26" s="45" t="str">
        <f>Lookup!F$20</f>
        <v>Unit</v>
      </c>
      <c r="G26" s="45" t="str">
        <f>Lookup!G$20</f>
        <v>Basis</v>
      </c>
      <c r="H26" s="45" t="str">
        <f>Lookup!H$20</f>
        <v>Timing</v>
      </c>
      <c r="I26" s="57"/>
      <c r="J26" s="45" t="str">
        <f t="shared" ref="J26:M26" si="2">J$10</f>
        <v>RY02</v>
      </c>
      <c r="K26" s="45" t="str">
        <f t="shared" si="2"/>
        <v>RY03</v>
      </c>
      <c r="L26" s="45" t="str">
        <f t="shared" si="2"/>
        <v>RY04</v>
      </c>
      <c r="M26" s="45" t="str">
        <f t="shared" si="2"/>
        <v>RY05</v>
      </c>
      <c r="N26" s="45" t="str">
        <f>N$10</f>
        <v>RY06</v>
      </c>
      <c r="O26" s="45" t="str">
        <f t="shared" ref="O26:AF26" si="3">O$10</f>
        <v>RY07</v>
      </c>
      <c r="P26" s="45" t="str">
        <f t="shared" si="3"/>
        <v>RY08</v>
      </c>
      <c r="Q26" s="55" t="str">
        <f t="shared" si="3"/>
        <v>RY09</v>
      </c>
      <c r="R26" s="54" t="str">
        <f t="shared" si="3"/>
        <v>RY10</v>
      </c>
      <c r="S26" s="45" t="str">
        <f>S$10</f>
        <v>RY11</v>
      </c>
      <c r="T26" s="45" t="str">
        <f t="shared" si="3"/>
        <v>RY12</v>
      </c>
      <c r="U26" s="45" t="str">
        <f t="shared" si="3"/>
        <v>RY13</v>
      </c>
      <c r="V26" s="90" t="str">
        <f t="shared" si="3"/>
        <v>RY14</v>
      </c>
      <c r="W26" s="54" t="str">
        <f t="shared" si="3"/>
        <v>RY15</v>
      </c>
      <c r="X26" s="45" t="str">
        <f>X$10</f>
        <v>RY16</v>
      </c>
      <c r="Y26" s="45" t="str">
        <f t="shared" si="3"/>
        <v>RY17</v>
      </c>
      <c r="Z26" s="45" t="str">
        <f t="shared" si="3"/>
        <v>RY18</v>
      </c>
      <c r="AA26" s="55" t="str">
        <f t="shared" si="3"/>
        <v>RY19</v>
      </c>
      <c r="AB26" s="54" t="str">
        <f t="shared" si="3"/>
        <v>RY20</v>
      </c>
      <c r="AC26" s="45" t="str">
        <f t="shared" si="3"/>
        <v>RY21</v>
      </c>
      <c r="AD26" s="45" t="str">
        <f t="shared" si="3"/>
        <v>RY22</v>
      </c>
      <c r="AE26" s="45" t="str">
        <f t="shared" si="3"/>
        <v>RY23</v>
      </c>
      <c r="AF26" s="45" t="str">
        <f t="shared" si="3"/>
        <v>RY24</v>
      </c>
    </row>
    <row r="27" spans="3:32" x14ac:dyDescent="0.35">
      <c r="Q27" s="58"/>
      <c r="R27" s="56"/>
      <c r="S27" s="57"/>
      <c r="T27" s="57"/>
      <c r="U27" s="57"/>
      <c r="V27" s="91"/>
      <c r="W27" s="56"/>
      <c r="X27" s="57"/>
      <c r="Y27" s="57"/>
      <c r="AA27" s="58"/>
      <c r="AB27" s="56"/>
    </row>
    <row r="28" spans="3:32" s="6" customFormat="1" ht="11.25" customHeight="1" x14ac:dyDescent="0.35">
      <c r="D28" s="12" t="s">
        <v>468</v>
      </c>
      <c r="E28" s="52" t="s">
        <v>111</v>
      </c>
      <c r="F28" s="44" t="str">
        <f t="shared" ref="F28" si="4">Factor</f>
        <v>Factor</v>
      </c>
      <c r="G28" s="44" t="str">
        <f t="shared" ref="G28:H28" si="5">NA</f>
        <v>N/A</v>
      </c>
      <c r="H28" s="44" t="str">
        <f t="shared" si="5"/>
        <v>N/A</v>
      </c>
      <c r="J28" s="369">
        <v>1</v>
      </c>
      <c r="K28" s="330">
        <f>J28*(1+K$18)</f>
        <v>1.0328515111695138</v>
      </c>
      <c r="L28" s="330">
        <f t="shared" ref="L28:AF32" si="6">K28*(1+L$18)</f>
        <v>1.0538764783180028</v>
      </c>
      <c r="M28" s="330">
        <f t="shared" si="6"/>
        <v>1.0788436268068331</v>
      </c>
      <c r="N28" s="330">
        <f t="shared" si="6"/>
        <v>1.1103810775295664</v>
      </c>
      <c r="O28" s="330">
        <f t="shared" si="6"/>
        <v>1.1379763469119579</v>
      </c>
      <c r="P28" s="330">
        <f t="shared" si="6"/>
        <v>1.1865965834428382</v>
      </c>
      <c r="Q28" s="331">
        <f t="shared" si="6"/>
        <v>1.2155059132720103</v>
      </c>
      <c r="R28" s="333">
        <f t="shared" si="6"/>
        <v>1.2509855453350851</v>
      </c>
      <c r="S28" s="330">
        <f t="shared" si="6"/>
        <v>1.2917214191852822</v>
      </c>
      <c r="T28" s="330">
        <f t="shared" si="6"/>
        <v>1.3127463863337712</v>
      </c>
      <c r="U28" s="330">
        <f t="shared" si="6"/>
        <v>1.345597897503285</v>
      </c>
      <c r="V28" s="361">
        <f t="shared" si="6"/>
        <v>1.3785635475534768</v>
      </c>
      <c r="W28" s="333">
        <f t="shared" si="6"/>
        <v>1.396874638317944</v>
      </c>
      <c r="X28" s="330">
        <f t="shared" si="6"/>
        <v>1.4151857290824117</v>
      </c>
      <c r="Y28" s="330">
        <f t="shared" si="6"/>
        <v>1.4452682353383224</v>
      </c>
      <c r="Z28" s="330">
        <f t="shared" si="6"/>
        <v>1.4803141785105121</v>
      </c>
      <c r="AA28" s="331">
        <f t="shared" si="6"/>
        <v>1.5162099418771799</v>
      </c>
      <c r="AB28" s="332">
        <f t="shared" si="6"/>
        <v>1.5529761325128566</v>
      </c>
      <c r="AC28" s="330">
        <f t="shared" si="6"/>
        <v>1.5906338571878005</v>
      </c>
      <c r="AD28" s="330">
        <f t="shared" si="6"/>
        <v>1.6292047344849931</v>
      </c>
      <c r="AE28" s="330">
        <f t="shared" si="6"/>
        <v>1.6687109072109561</v>
      </c>
      <c r="AF28" s="330">
        <f t="shared" si="6"/>
        <v>1.7091750551075149</v>
      </c>
    </row>
    <row r="29" spans="3:32" s="6" customFormat="1" ht="11.25" customHeight="1" x14ac:dyDescent="0.35">
      <c r="D29" s="12" t="s">
        <v>459</v>
      </c>
      <c r="E29" s="52" t="s">
        <v>111</v>
      </c>
      <c r="F29" s="44" t="str">
        <f t="shared" ref="F29:F30" si="7">Factor</f>
        <v>Factor</v>
      </c>
      <c r="G29" s="44" t="str">
        <f t="shared" ref="G29:H30" si="8">NA</f>
        <v>N/A</v>
      </c>
      <c r="H29" s="44" t="str">
        <f t="shared" si="8"/>
        <v>N/A</v>
      </c>
      <c r="J29" s="368"/>
      <c r="K29" s="368"/>
      <c r="L29" s="368"/>
      <c r="M29" s="368"/>
      <c r="N29" s="368"/>
      <c r="O29" s="368"/>
      <c r="P29" s="368"/>
      <c r="Q29" s="369">
        <v>1</v>
      </c>
      <c r="R29" s="333">
        <f t="shared" si="6"/>
        <v>1.0291891891891891</v>
      </c>
      <c r="S29" s="330">
        <f t="shared" si="6"/>
        <v>1.0627027027027025</v>
      </c>
      <c r="T29" s="330">
        <f t="shared" si="6"/>
        <v>1.0799999999999998</v>
      </c>
      <c r="U29" s="330">
        <f t="shared" si="6"/>
        <v>1.1070270270270268</v>
      </c>
      <c r="V29" s="361">
        <f t="shared" si="6"/>
        <v>1.134147956419671</v>
      </c>
      <c r="W29" s="333">
        <f t="shared" si="6"/>
        <v>1.1492125402810327</v>
      </c>
      <c r="X29" s="330">
        <f t="shared" si="6"/>
        <v>1.1642771241423948</v>
      </c>
      <c r="Y29" s="330">
        <f t="shared" si="6"/>
        <v>1.1890260833432036</v>
      </c>
      <c r="Z29" s="330">
        <f t="shared" si="6"/>
        <v>1.2178584755097295</v>
      </c>
      <c r="AA29" s="331">
        <f t="shared" si="6"/>
        <v>1.2473900170470638</v>
      </c>
      <c r="AB29" s="332">
        <f t="shared" si="6"/>
        <v>1.2776376614511178</v>
      </c>
      <c r="AC29" s="330">
        <f t="shared" si="6"/>
        <v>1.3086187733188284</v>
      </c>
      <c r="AD29" s="330">
        <f t="shared" si="6"/>
        <v>1.3403511383168432</v>
      </c>
      <c r="AE29" s="330">
        <f t="shared" si="6"/>
        <v>1.3728529733919328</v>
      </c>
      <c r="AF29" s="330">
        <f t="shared" si="6"/>
        <v>1.4061429372289935</v>
      </c>
    </row>
    <row r="30" spans="3:32" s="6" customFormat="1" ht="11.25" customHeight="1" x14ac:dyDescent="0.35">
      <c r="D30" s="12" t="s">
        <v>460</v>
      </c>
      <c r="E30" s="52" t="s">
        <v>111</v>
      </c>
      <c r="F30" s="44" t="str">
        <f t="shared" si="7"/>
        <v>Factor</v>
      </c>
      <c r="G30" s="44" t="str">
        <f t="shared" si="8"/>
        <v>N/A</v>
      </c>
      <c r="H30" s="44" t="str">
        <f t="shared" si="8"/>
        <v>N/A</v>
      </c>
      <c r="J30" s="368"/>
      <c r="K30" s="368"/>
      <c r="L30" s="368"/>
      <c r="M30" s="368"/>
      <c r="N30" s="368"/>
      <c r="O30" s="368"/>
      <c r="P30" s="368"/>
      <c r="Q30" s="368"/>
      <c r="R30" s="368"/>
      <c r="S30" s="368"/>
      <c r="T30" s="368"/>
      <c r="U30" s="369">
        <v>1</v>
      </c>
      <c r="V30" s="361">
        <f t="shared" si="6"/>
        <v>1.0244988864142539</v>
      </c>
      <c r="W30" s="333">
        <f t="shared" si="6"/>
        <v>1.0381070310155818</v>
      </c>
      <c r="X30" s="330">
        <f t="shared" si="6"/>
        <v>1.0517151756169099</v>
      </c>
      <c r="Y30" s="330">
        <f t="shared" si="6"/>
        <v>1.0740714131762341</v>
      </c>
      <c r="Z30" s="330">
        <f t="shared" si="6"/>
        <v>1.1001162986782227</v>
      </c>
      <c r="AA30" s="331">
        <f t="shared" si="6"/>
        <v>1.1267927400083344</v>
      </c>
      <c r="AB30" s="332">
        <f t="shared" si="6"/>
        <v>1.1541160516037934</v>
      </c>
      <c r="AC30" s="330">
        <f t="shared" si="6"/>
        <v>1.1821019192577311</v>
      </c>
      <c r="AD30" s="330">
        <f t="shared" si="6"/>
        <v>1.2107664091241019</v>
      </c>
      <c r="AE30" s="330">
        <f t="shared" si="6"/>
        <v>1.2401259769409554</v>
      </c>
      <c r="AF30" s="330">
        <f t="shared" si="6"/>
        <v>1.2701974774773628</v>
      </c>
    </row>
    <row r="31" spans="3:32" s="6" customFormat="1" ht="11.25" customHeight="1" x14ac:dyDescent="0.35">
      <c r="D31" s="12" t="s">
        <v>476</v>
      </c>
      <c r="E31" s="52" t="s">
        <v>111</v>
      </c>
      <c r="F31" s="44" t="str">
        <f t="shared" ref="F31:F32" si="9">Factor</f>
        <v>Factor</v>
      </c>
      <c r="G31" s="44" t="str">
        <f t="shared" ref="G31:H32" si="10">NA</f>
        <v>N/A</v>
      </c>
      <c r="H31" s="44" t="str">
        <f t="shared" si="10"/>
        <v>N/A</v>
      </c>
      <c r="J31" s="368"/>
      <c r="K31" s="368"/>
      <c r="L31" s="368"/>
      <c r="M31" s="368"/>
      <c r="N31" s="368"/>
      <c r="O31" s="368"/>
      <c r="P31" s="368"/>
      <c r="Q31" s="368"/>
      <c r="R31" s="368"/>
      <c r="S31" s="368"/>
      <c r="T31" s="368"/>
      <c r="U31" s="368"/>
      <c r="V31" s="369">
        <v>1</v>
      </c>
      <c r="W31" s="333">
        <f>V31*(1+V$18)</f>
        <v>1.0244988864142539</v>
      </c>
      <c r="X31" s="330">
        <f t="shared" ref="X31:AF31" si="11">W31*(1+W$18)</f>
        <v>1.0381070310155818</v>
      </c>
      <c r="Y31" s="330">
        <f t="shared" si="11"/>
        <v>1.0517151756169099</v>
      </c>
      <c r="Z31" s="330">
        <f t="shared" si="11"/>
        <v>1.0740714131762341</v>
      </c>
      <c r="AA31" s="331">
        <f t="shared" si="11"/>
        <v>1.1001162986782227</v>
      </c>
      <c r="AB31" s="332">
        <f t="shared" si="11"/>
        <v>1.1267927400083344</v>
      </c>
      <c r="AC31" s="332">
        <f t="shared" si="11"/>
        <v>1.1541160516037934</v>
      </c>
      <c r="AD31" s="332">
        <f t="shared" si="11"/>
        <v>1.1821019192577311</v>
      </c>
      <c r="AE31" s="332">
        <f t="shared" si="11"/>
        <v>1.2107664091241019</v>
      </c>
      <c r="AF31" s="332">
        <f t="shared" si="11"/>
        <v>1.2401259769409554</v>
      </c>
    </row>
    <row r="32" spans="3:32" s="6" customFormat="1" ht="11.25" customHeight="1" x14ac:dyDescent="0.35">
      <c r="D32" s="12" t="s">
        <v>461</v>
      </c>
      <c r="E32" s="52" t="s">
        <v>111</v>
      </c>
      <c r="F32" s="44" t="str">
        <f t="shared" si="9"/>
        <v>Factor</v>
      </c>
      <c r="G32" s="44" t="str">
        <f t="shared" si="10"/>
        <v>N/A</v>
      </c>
      <c r="H32" s="44" t="str">
        <f t="shared" si="10"/>
        <v>N/A</v>
      </c>
      <c r="J32" s="368"/>
      <c r="K32" s="368"/>
      <c r="L32" s="368"/>
      <c r="M32" s="368"/>
      <c r="N32" s="368"/>
      <c r="O32" s="368"/>
      <c r="P32" s="368"/>
      <c r="Q32" s="368"/>
      <c r="R32" s="368"/>
      <c r="S32" s="368"/>
      <c r="T32" s="368"/>
      <c r="U32" s="368"/>
      <c r="V32" s="368"/>
      <c r="W32" s="368"/>
      <c r="X32" s="368"/>
      <c r="Y32" s="368"/>
      <c r="Z32" s="368"/>
      <c r="AA32" s="369">
        <v>1</v>
      </c>
      <c r="AB32" s="332">
        <f t="shared" si="6"/>
        <v>1.0242487465753967</v>
      </c>
      <c r="AC32" s="332">
        <f t="shared" si="6"/>
        <v>1.0490854948612711</v>
      </c>
      <c r="AD32" s="332">
        <f t="shared" si="6"/>
        <v>1.0745245031620867</v>
      </c>
      <c r="AE32" s="332">
        <f t="shared" si="6"/>
        <v>1.1005803755283181</v>
      </c>
      <c r="AF32" s="332">
        <f t="shared" si="6"/>
        <v>1.1272680701403592</v>
      </c>
    </row>
    <row r="34" spans="1:32" s="6" customFormat="1" ht="11.25" customHeight="1" x14ac:dyDescent="0.35">
      <c r="A34" s="49">
        <f>IF(SUM($N34:$AF34)&lt;&gt;0,1,0)</f>
        <v>0</v>
      </c>
      <c r="D34" s="15" t="s">
        <v>114</v>
      </c>
      <c r="J34" s="70">
        <f t="shared" ref="J34:AF34" si="12">IF(ISERROR(SUM(J28:J32)),1,0)</f>
        <v>0</v>
      </c>
      <c r="K34" s="70">
        <f t="shared" si="12"/>
        <v>0</v>
      </c>
      <c r="L34" s="70">
        <f t="shared" si="12"/>
        <v>0</v>
      </c>
      <c r="M34" s="70">
        <f t="shared" si="12"/>
        <v>0</v>
      </c>
      <c r="N34" s="70">
        <f t="shared" si="12"/>
        <v>0</v>
      </c>
      <c r="O34" s="70">
        <f t="shared" si="12"/>
        <v>0</v>
      </c>
      <c r="P34" s="70">
        <f t="shared" si="12"/>
        <v>0</v>
      </c>
      <c r="Q34" s="70">
        <f t="shared" si="12"/>
        <v>0</v>
      </c>
      <c r="R34" s="70">
        <f t="shared" si="12"/>
        <v>0</v>
      </c>
      <c r="S34" s="70">
        <f t="shared" si="12"/>
        <v>0</v>
      </c>
      <c r="T34" s="70">
        <f t="shared" si="12"/>
        <v>0</v>
      </c>
      <c r="U34" s="70">
        <f t="shared" si="12"/>
        <v>0</v>
      </c>
      <c r="V34" s="70">
        <f t="shared" si="12"/>
        <v>0</v>
      </c>
      <c r="W34" s="70">
        <f t="shared" si="12"/>
        <v>0</v>
      </c>
      <c r="X34" s="70">
        <f t="shared" si="12"/>
        <v>0</v>
      </c>
      <c r="Y34" s="70">
        <f t="shared" si="12"/>
        <v>0</v>
      </c>
      <c r="Z34" s="70">
        <f t="shared" si="12"/>
        <v>0</v>
      </c>
      <c r="AA34" s="70">
        <f t="shared" si="12"/>
        <v>0</v>
      </c>
      <c r="AB34" s="70">
        <f t="shared" si="12"/>
        <v>0</v>
      </c>
      <c r="AC34" s="70">
        <f t="shared" si="12"/>
        <v>0</v>
      </c>
      <c r="AD34" s="70">
        <f t="shared" si="12"/>
        <v>0</v>
      </c>
      <c r="AE34" s="70">
        <f t="shared" si="12"/>
        <v>0</v>
      </c>
      <c r="AF34" s="70">
        <f t="shared" si="12"/>
        <v>0</v>
      </c>
    </row>
    <row r="35" spans="1:32" s="6" customFormat="1" ht="11.25" customHeight="1" x14ac:dyDescent="0.35">
      <c r="P35" s="10"/>
      <c r="U35" s="10"/>
    </row>
    <row r="36" spans="1:32" s="13" customFormat="1" ht="14.1" x14ac:dyDescent="0.35">
      <c r="C36" s="13" t="s">
        <v>472</v>
      </c>
    </row>
    <row r="37" spans="1:32" s="6" customFormat="1" ht="11.25" customHeight="1" x14ac:dyDescent="0.35"/>
    <row r="38" spans="1:32" ht="12.3" x14ac:dyDescent="0.35">
      <c r="D38" s="50" t="s">
        <v>109</v>
      </c>
      <c r="E38" s="45" t="str">
        <f>Lookup!E$20</f>
        <v>Source</v>
      </c>
      <c r="F38" s="45" t="str">
        <f>Lookup!F$20</f>
        <v>Unit</v>
      </c>
      <c r="G38" s="45" t="str">
        <f>Lookup!G$20</f>
        <v>Basis</v>
      </c>
      <c r="H38" s="45" t="str">
        <f>Lookup!H$20</f>
        <v>Timing</v>
      </c>
      <c r="J38" s="45" t="str">
        <f>J$10</f>
        <v>RY02</v>
      </c>
      <c r="K38" s="45" t="str">
        <f>K$10</f>
        <v>RY03</v>
      </c>
      <c r="L38" s="45" t="str">
        <f>L$10</f>
        <v>RY04</v>
      </c>
      <c r="M38" s="45" t="str">
        <f>M$10</f>
        <v>RY05</v>
      </c>
      <c r="N38" s="45" t="str">
        <f>N$10</f>
        <v>RY06</v>
      </c>
      <c r="O38" s="45" t="str">
        <f t="shared" ref="O38:AF38" si="13">O$10</f>
        <v>RY07</v>
      </c>
      <c r="P38" s="45" t="str">
        <f t="shared" si="13"/>
        <v>RY08</v>
      </c>
      <c r="Q38" s="362" t="str">
        <f t="shared" si="13"/>
        <v>RY09</v>
      </c>
      <c r="R38" s="363" t="str">
        <f t="shared" si="13"/>
        <v>RY10</v>
      </c>
      <c r="S38" s="45" t="str">
        <f>S$10</f>
        <v>RY11</v>
      </c>
      <c r="T38" s="45" t="str">
        <f t="shared" si="13"/>
        <v>RY12</v>
      </c>
      <c r="U38" s="45" t="str">
        <f t="shared" si="13"/>
        <v>RY13</v>
      </c>
      <c r="V38" s="90" t="str">
        <f t="shared" si="13"/>
        <v>RY14</v>
      </c>
      <c r="W38" s="45" t="str">
        <f t="shared" si="13"/>
        <v>RY15</v>
      </c>
      <c r="X38" s="45" t="str">
        <f>X$10</f>
        <v>RY16</v>
      </c>
      <c r="Y38" s="45" t="str">
        <f t="shared" si="13"/>
        <v>RY17</v>
      </c>
      <c r="Z38" s="45" t="str">
        <f t="shared" si="13"/>
        <v>RY18</v>
      </c>
      <c r="AA38" s="55" t="str">
        <f t="shared" si="13"/>
        <v>RY19</v>
      </c>
      <c r="AB38" s="54" t="str">
        <f t="shared" si="13"/>
        <v>RY20</v>
      </c>
      <c r="AC38" s="45" t="str">
        <f t="shared" si="13"/>
        <v>RY21</v>
      </c>
      <c r="AD38" s="45" t="str">
        <f t="shared" si="13"/>
        <v>RY22</v>
      </c>
      <c r="AE38" s="45" t="str">
        <f t="shared" si="13"/>
        <v>RY23</v>
      </c>
      <c r="AF38" s="45" t="str">
        <f t="shared" si="13"/>
        <v>RY24</v>
      </c>
    </row>
    <row r="39" spans="1:32" x14ac:dyDescent="0.35">
      <c r="J39" s="57"/>
      <c r="K39" s="57"/>
      <c r="L39" s="57"/>
      <c r="M39" s="57"/>
      <c r="N39" s="57"/>
      <c r="O39" s="57"/>
      <c r="P39" s="57"/>
      <c r="Q39" s="364"/>
      <c r="R39" s="365"/>
      <c r="S39" s="57"/>
      <c r="T39" s="57"/>
      <c r="U39" s="57"/>
      <c r="V39" s="91"/>
      <c r="W39" s="57"/>
      <c r="X39" s="57"/>
      <c r="Y39" s="57"/>
      <c r="AA39" s="58"/>
      <c r="AB39" s="56"/>
    </row>
    <row r="40" spans="1:32" ht="12.3" x14ac:dyDescent="0.35">
      <c r="D40" s="12" t="s">
        <v>473</v>
      </c>
      <c r="E40" s="52" t="s">
        <v>458</v>
      </c>
      <c r="F40" s="44" t="str">
        <f>Percent</f>
        <v>Percent</v>
      </c>
      <c r="G40" s="44" t="str">
        <f>NA</f>
        <v>N/A</v>
      </c>
      <c r="H40" s="44" t="str">
        <f>NA</f>
        <v>N/A</v>
      </c>
      <c r="J40" s="368"/>
      <c r="K40" s="368"/>
      <c r="L40" s="368"/>
      <c r="M40" s="368"/>
      <c r="N40" s="368"/>
      <c r="O40" s="368"/>
      <c r="P40" s="368"/>
      <c r="Q40" s="368"/>
      <c r="R40" s="368"/>
      <c r="S40" s="368"/>
      <c r="T40" s="368"/>
      <c r="U40" s="360">
        <f>[4]Input!$G$252</f>
        <v>1.7600000000000001E-2</v>
      </c>
      <c r="V40" s="368"/>
      <c r="W40" s="368"/>
      <c r="X40" s="368"/>
      <c r="Y40" s="368"/>
      <c r="Z40" s="368"/>
      <c r="AA40" s="368"/>
      <c r="AB40" s="368"/>
      <c r="AC40" s="368"/>
      <c r="AD40" s="368"/>
      <c r="AE40" s="368"/>
      <c r="AF40" s="368"/>
    </row>
    <row r="41" spans="1:32" s="6" customFormat="1" ht="11.25" customHeight="1" x14ac:dyDescent="0.35">
      <c r="D41" s="12" t="s">
        <v>474</v>
      </c>
      <c r="J41" s="368"/>
      <c r="K41" s="368"/>
      <c r="L41" s="368"/>
      <c r="M41" s="368"/>
      <c r="N41" s="368"/>
      <c r="O41" s="368"/>
      <c r="P41" s="368"/>
      <c r="Q41" s="368"/>
      <c r="R41" s="368"/>
      <c r="S41" s="368"/>
      <c r="T41" s="368"/>
      <c r="U41" s="369">
        <v>1</v>
      </c>
      <c r="V41" s="333">
        <f>U41*(1+U$40)</f>
        <v>1.0176000000000001</v>
      </c>
      <c r="W41" s="368"/>
      <c r="X41" s="368"/>
      <c r="Y41" s="368"/>
      <c r="Z41" s="368"/>
      <c r="AA41" s="368"/>
      <c r="AB41" s="368"/>
      <c r="AC41" s="368"/>
      <c r="AD41" s="368"/>
      <c r="AE41" s="368"/>
      <c r="AF41" s="368"/>
    </row>
    <row r="42" spans="1:32" s="6" customFormat="1" ht="11.25" customHeight="1" x14ac:dyDescent="0.35">
      <c r="P42" s="10"/>
      <c r="U42" s="10"/>
    </row>
    <row r="43" spans="1:32" s="4" customFormat="1" ht="15" x14ac:dyDescent="0.35">
      <c r="B43" s="4" t="s">
        <v>33</v>
      </c>
    </row>
  </sheetData>
  <conditionalFormatting sqref="B2">
    <cfRule type="cellIs" dxfId="20" priority="1" operator="notEqual">
      <formula>"No Errors Found"</formula>
    </cfRule>
  </conditionalFormatting>
  <hyperlinks>
    <hyperlink ref="B3:E3" location="TOC!A1" display="TOC!A1" xr:uid="{08766B7E-C9B1-46B9-A306-016F64DA9DEA}"/>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AE241"/>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33203125" defaultRowHeight="10.199999999999999" outlineLevelRow="1" x14ac:dyDescent="0.35"/>
  <cols>
    <col min="1" max="1" width="3.33203125" style="96" customWidth="1"/>
    <col min="2" max="3" width="2.796875" style="96" customWidth="1"/>
    <col min="4" max="4" width="47.46484375" style="96" customWidth="1"/>
    <col min="5" max="5" width="11.796875" style="96" customWidth="1"/>
    <col min="6" max="6" width="9.1328125" style="96" customWidth="1"/>
    <col min="7" max="7" width="12" style="96" customWidth="1"/>
    <col min="8" max="8" width="10" style="7" customWidth="1"/>
    <col min="9" max="9" width="4.46484375" style="96" customWidth="1"/>
    <col min="10" max="28" width="12.796875" style="96" customWidth="1"/>
    <col min="29" max="29" width="4.33203125" style="96" customWidth="1"/>
    <col min="30" max="31" width="10.796875" style="96" customWidth="1"/>
    <col min="32" max="16384" width="9.33203125" style="96"/>
  </cols>
  <sheetData>
    <row r="1" spans="1:28" ht="18.899999999999999" x14ac:dyDescent="0.35">
      <c r="A1" s="95">
        <f>IF(SUM($A11:$A229)&gt;0,1,0)</f>
        <v>0</v>
      </c>
      <c r="B1" s="378" t="s">
        <v>159</v>
      </c>
    </row>
    <row r="2" spans="1:28" x14ac:dyDescent="0.35">
      <c r="B2" s="97" t="str">
        <f>Title_Msg</f>
        <v>No Errors Found</v>
      </c>
    </row>
    <row r="3" spans="1:28" x14ac:dyDescent="0.35">
      <c r="B3" s="98" t="str">
        <f>TOC!B1</f>
        <v>Table of Contents</v>
      </c>
      <c r="C3" s="99"/>
      <c r="D3" s="99"/>
      <c r="E3" s="99"/>
    </row>
    <row r="4" spans="1:28" ht="12.3" x14ac:dyDescent="0.35">
      <c r="B4" s="100" t="str">
        <f>Model_Name</f>
        <v>Power and Water Corporation (PWC) - RAB Allocation - EB RIN - DRAFT</v>
      </c>
    </row>
    <row r="5" spans="1:28" ht="12.3" hidden="1" outlineLevel="1" x14ac:dyDescent="0.35">
      <c r="B5" s="101" t="str">
        <f>Lookup!B15</f>
        <v>Period Start Date</v>
      </c>
      <c r="J5" s="102">
        <f>Lookup!J15</f>
        <v>38534</v>
      </c>
      <c r="K5" s="102">
        <f>Lookup!K15</f>
        <v>38899</v>
      </c>
      <c r="L5" s="102">
        <f>Lookup!L15</f>
        <v>39264</v>
      </c>
      <c r="M5" s="102">
        <f>Lookup!M15</f>
        <v>39630</v>
      </c>
      <c r="N5" s="102">
        <f>Lookup!N15</f>
        <v>39995</v>
      </c>
      <c r="O5" s="102">
        <f>Lookup!O15</f>
        <v>40360</v>
      </c>
      <c r="P5" s="102">
        <f>Lookup!P15</f>
        <v>40725</v>
      </c>
      <c r="Q5" s="102">
        <f>Lookup!Q15</f>
        <v>41091</v>
      </c>
      <c r="R5" s="102">
        <f>Lookup!R15</f>
        <v>41456</v>
      </c>
      <c r="S5" s="102">
        <f>Lookup!S15</f>
        <v>41821</v>
      </c>
      <c r="T5" s="102">
        <f>Lookup!T15</f>
        <v>42186</v>
      </c>
      <c r="U5" s="102">
        <f>Lookup!U15</f>
        <v>42552</v>
      </c>
      <c r="V5" s="102">
        <f>Lookup!V15</f>
        <v>42917</v>
      </c>
      <c r="W5" s="102">
        <f>Lookup!W15</f>
        <v>43282</v>
      </c>
      <c r="X5" s="102">
        <f>Lookup!X15</f>
        <v>43647</v>
      </c>
      <c r="Y5" s="102">
        <f>Lookup!Y15</f>
        <v>44013</v>
      </c>
      <c r="Z5" s="102">
        <f>Lookup!Z15</f>
        <v>44378</v>
      </c>
      <c r="AA5" s="102">
        <f>Lookup!AA15</f>
        <v>44743</v>
      </c>
      <c r="AB5" s="102">
        <f>Lookup!AB15</f>
        <v>45108</v>
      </c>
    </row>
    <row r="6" spans="1:28" ht="12.3" hidden="1" outlineLevel="1" x14ac:dyDescent="0.35">
      <c r="B6" s="101" t="str">
        <f>Lookup!B16</f>
        <v>Period End Date</v>
      </c>
      <c r="J6" s="102">
        <f>Lookup!J16</f>
        <v>38898</v>
      </c>
      <c r="K6" s="102">
        <f>Lookup!K16</f>
        <v>39263</v>
      </c>
      <c r="L6" s="102">
        <f>Lookup!L16</f>
        <v>39629</v>
      </c>
      <c r="M6" s="102">
        <f>Lookup!M16</f>
        <v>39994</v>
      </c>
      <c r="N6" s="102">
        <f>Lookup!N16</f>
        <v>40359</v>
      </c>
      <c r="O6" s="102">
        <f>Lookup!O16</f>
        <v>40724</v>
      </c>
      <c r="P6" s="102">
        <f>Lookup!P16</f>
        <v>41090</v>
      </c>
      <c r="Q6" s="102">
        <f>Lookup!Q16</f>
        <v>41455</v>
      </c>
      <c r="R6" s="102">
        <f>Lookup!R16</f>
        <v>41820</v>
      </c>
      <c r="S6" s="102">
        <f>Lookup!S16</f>
        <v>42185</v>
      </c>
      <c r="T6" s="102">
        <f>Lookup!T16</f>
        <v>42551</v>
      </c>
      <c r="U6" s="102">
        <f>Lookup!U16</f>
        <v>42916</v>
      </c>
      <c r="V6" s="102">
        <f>Lookup!V16</f>
        <v>43281</v>
      </c>
      <c r="W6" s="102">
        <f>Lookup!W16</f>
        <v>43646</v>
      </c>
      <c r="X6" s="102">
        <f>Lookup!X16</f>
        <v>44012</v>
      </c>
      <c r="Y6" s="102">
        <f>Lookup!Y16</f>
        <v>44377</v>
      </c>
      <c r="Z6" s="102">
        <f>Lookup!Z16</f>
        <v>44742</v>
      </c>
      <c r="AA6" s="102">
        <f>Lookup!AA16</f>
        <v>45107</v>
      </c>
      <c r="AB6" s="102">
        <f>Lookup!AB16</f>
        <v>45473</v>
      </c>
    </row>
    <row r="7" spans="1:28" ht="12.3" hidden="1" outlineLevel="1" x14ac:dyDescent="0.35">
      <c r="B7" s="101" t="str">
        <f>Lookup!B17</f>
        <v>Period Counter</v>
      </c>
      <c r="J7" s="103">
        <f>Lookup!J17</f>
        <v>1</v>
      </c>
      <c r="K7" s="103">
        <f>Lookup!K17</f>
        <v>2</v>
      </c>
      <c r="L7" s="103">
        <f>Lookup!L17</f>
        <v>3</v>
      </c>
      <c r="M7" s="103">
        <f>Lookup!M17</f>
        <v>4</v>
      </c>
      <c r="N7" s="103">
        <f>Lookup!N17</f>
        <v>5</v>
      </c>
      <c r="O7" s="103">
        <f>Lookup!O17</f>
        <v>6</v>
      </c>
      <c r="P7" s="103">
        <f>Lookup!P17</f>
        <v>7</v>
      </c>
      <c r="Q7" s="103">
        <f>Lookup!Q17</f>
        <v>8</v>
      </c>
      <c r="R7" s="103">
        <f>Lookup!R17</f>
        <v>9</v>
      </c>
      <c r="S7" s="103">
        <f>Lookup!S17</f>
        <v>10</v>
      </c>
      <c r="T7" s="103">
        <f>Lookup!T17</f>
        <v>11</v>
      </c>
      <c r="U7" s="103">
        <f>Lookup!U17</f>
        <v>12</v>
      </c>
      <c r="V7" s="103">
        <f>Lookup!V17</f>
        <v>13</v>
      </c>
      <c r="W7" s="103">
        <f>Lookup!W17</f>
        <v>14</v>
      </c>
      <c r="X7" s="103">
        <f>Lookup!X17</f>
        <v>15</v>
      </c>
      <c r="Y7" s="103">
        <f>Lookup!Y17</f>
        <v>16</v>
      </c>
      <c r="Z7" s="103">
        <f>Lookup!Z17</f>
        <v>17</v>
      </c>
      <c r="AA7" s="103">
        <f>Lookup!AA17</f>
        <v>18</v>
      </c>
      <c r="AB7" s="103">
        <f>Lookup!AB17</f>
        <v>19</v>
      </c>
    </row>
    <row r="8" spans="1:28" ht="12.3" hidden="1" outlineLevel="1" x14ac:dyDescent="0.35">
      <c r="B8" s="101" t="str">
        <f>Lookup!B18</f>
        <v>Year</v>
      </c>
      <c r="J8" s="104">
        <f>Lookup!J18</f>
        <v>2006</v>
      </c>
      <c r="K8" s="104">
        <f>Lookup!K18</f>
        <v>2007</v>
      </c>
      <c r="L8" s="104">
        <f>Lookup!L18</f>
        <v>2008</v>
      </c>
      <c r="M8" s="104">
        <f>Lookup!M18</f>
        <v>2009</v>
      </c>
      <c r="N8" s="104">
        <f>Lookup!N18</f>
        <v>2010</v>
      </c>
      <c r="O8" s="104">
        <f>Lookup!O18</f>
        <v>2011</v>
      </c>
      <c r="P8" s="104">
        <f>Lookup!P18</f>
        <v>2012</v>
      </c>
      <c r="Q8" s="104">
        <f>Lookup!Q18</f>
        <v>2013</v>
      </c>
      <c r="R8" s="104">
        <f>Lookup!R18</f>
        <v>2014</v>
      </c>
      <c r="S8" s="104">
        <f>Lookup!S18</f>
        <v>2015</v>
      </c>
      <c r="T8" s="104">
        <f>Lookup!T18</f>
        <v>2016</v>
      </c>
      <c r="U8" s="104">
        <f>Lookup!U18</f>
        <v>2017</v>
      </c>
      <c r="V8" s="104">
        <f>Lookup!V18</f>
        <v>2018</v>
      </c>
      <c r="W8" s="104">
        <f>Lookup!W18</f>
        <v>2019</v>
      </c>
      <c r="X8" s="104">
        <f>Lookup!X18</f>
        <v>2020</v>
      </c>
      <c r="Y8" s="104">
        <f>Lookup!Y18</f>
        <v>2021</v>
      </c>
      <c r="Z8" s="104">
        <f>Lookup!Z18</f>
        <v>2022</v>
      </c>
      <c r="AA8" s="104">
        <f>Lookup!AA18</f>
        <v>2023</v>
      </c>
      <c r="AB8" s="104">
        <f>Lookup!AB18</f>
        <v>2024</v>
      </c>
    </row>
    <row r="9" spans="1:28" ht="12.3" hidden="1" outlineLevel="1" x14ac:dyDescent="0.35">
      <c r="B9" s="101" t="str">
        <f>Lookup!B19</f>
        <v>Period Type</v>
      </c>
      <c r="J9" s="104" t="str">
        <f>Lookup!J19</f>
        <v>Actual</v>
      </c>
      <c r="K9" s="104" t="str">
        <f>Lookup!K19</f>
        <v>Actual</v>
      </c>
      <c r="L9" s="104" t="str">
        <f>Lookup!L19</f>
        <v>Actual</v>
      </c>
      <c r="M9" s="104" t="str">
        <f>Lookup!M19</f>
        <v>Base Year</v>
      </c>
      <c r="N9" s="104" t="str">
        <f>Lookup!N19</f>
        <v>Forecast</v>
      </c>
      <c r="O9" s="104" t="str">
        <f>Lookup!O19</f>
        <v>Forecast</v>
      </c>
      <c r="P9" s="104" t="str">
        <f>Lookup!P19</f>
        <v>Forecast</v>
      </c>
      <c r="Q9" s="104" t="str">
        <f>Lookup!Q19</f>
        <v>Forecast</v>
      </c>
      <c r="R9" s="104" t="str">
        <f>Lookup!R19</f>
        <v>Forecast</v>
      </c>
      <c r="S9" s="104" t="str">
        <f>Lookup!S19</f>
        <v>Forecast</v>
      </c>
      <c r="T9" s="104" t="str">
        <f>Lookup!T19</f>
        <v>Forecast</v>
      </c>
      <c r="U9" s="104" t="str">
        <f>Lookup!U19</f>
        <v>Forecast</v>
      </c>
      <c r="V9" s="104" t="str">
        <f>Lookup!V19</f>
        <v>Forecast</v>
      </c>
      <c r="W9" s="104" t="str">
        <f>Lookup!W19</f>
        <v>Forecast</v>
      </c>
      <c r="X9" s="104" t="str">
        <f>Lookup!X19</f>
        <v>Forecast</v>
      </c>
      <c r="Y9" s="104" t="str">
        <f>Lookup!Y19</f>
        <v>Forecast</v>
      </c>
      <c r="Z9" s="104" t="str">
        <f>Lookup!Z19</f>
        <v>Forecast</v>
      </c>
      <c r="AA9" s="104" t="str">
        <f>Lookup!AA19</f>
        <v>Forecast</v>
      </c>
      <c r="AB9" s="104" t="str">
        <f>Lookup!AB19</f>
        <v>Forecast</v>
      </c>
    </row>
    <row r="10" spans="1:28" ht="12.3" collapsed="1" x14ac:dyDescent="0.35">
      <c r="B10" s="105" t="str">
        <f>Lookup!B20</f>
        <v>Regulatory Year</v>
      </c>
      <c r="E10" s="106" t="str">
        <f>Lookup!E20</f>
        <v>Source</v>
      </c>
      <c r="F10" s="106" t="str">
        <f>Lookup!F20</f>
        <v>Unit</v>
      </c>
      <c r="G10" s="106" t="str">
        <f>Lookup!G20</f>
        <v>Basis</v>
      </c>
      <c r="H10" s="41" t="str">
        <f>Lookup!H20</f>
        <v>Timing</v>
      </c>
      <c r="I10" s="106"/>
      <c r="J10" s="106" t="str">
        <f>Lookup!J20</f>
        <v>RY06</v>
      </c>
      <c r="K10" s="106" t="str">
        <f>Lookup!K20</f>
        <v>RY07</v>
      </c>
      <c r="L10" s="106" t="str">
        <f>Lookup!L20</f>
        <v>RY08</v>
      </c>
      <c r="M10" s="106" t="str">
        <f>Lookup!M20</f>
        <v>RY09</v>
      </c>
      <c r="N10" s="106" t="str">
        <f>Lookup!N20</f>
        <v>RY10</v>
      </c>
      <c r="O10" s="106" t="str">
        <f>Lookup!O20</f>
        <v>RY11</v>
      </c>
      <c r="P10" s="106" t="str">
        <f>Lookup!P20</f>
        <v>RY12</v>
      </c>
      <c r="Q10" s="106" t="str">
        <f>Lookup!Q20</f>
        <v>RY13</v>
      </c>
      <c r="R10" s="106" t="str">
        <f>Lookup!R20</f>
        <v>RY14</v>
      </c>
      <c r="S10" s="106" t="str">
        <f>Lookup!S20</f>
        <v>RY15</v>
      </c>
      <c r="T10" s="106" t="str">
        <f>Lookup!T20</f>
        <v>RY16</v>
      </c>
      <c r="U10" s="106" t="str">
        <f>Lookup!U20</f>
        <v>RY17</v>
      </c>
      <c r="V10" s="106" t="str">
        <f>Lookup!V20</f>
        <v>RY18</v>
      </c>
      <c r="W10" s="106" t="str">
        <f>Lookup!W20</f>
        <v>RY19</v>
      </c>
      <c r="X10" s="106" t="str">
        <f>Lookup!X20</f>
        <v>RY20</v>
      </c>
      <c r="Y10" s="106" t="str">
        <f>Lookup!Y20</f>
        <v>RY21</v>
      </c>
      <c r="Z10" s="106" t="str">
        <f>Lookup!Z20</f>
        <v>RY22</v>
      </c>
      <c r="AA10" s="106" t="str">
        <f>Lookup!AA20</f>
        <v>RY23</v>
      </c>
      <c r="AB10" s="106" t="str">
        <f>Lookup!AB20</f>
        <v>RY24</v>
      </c>
    </row>
    <row r="12" spans="1:28" s="107" customFormat="1" ht="15" x14ac:dyDescent="0.35">
      <c r="B12" s="107" t="s">
        <v>146</v>
      </c>
      <c r="H12" s="4"/>
    </row>
    <row r="13" spans="1:28" s="108" customFormat="1" ht="4.5" customHeight="1" x14ac:dyDescent="0.35">
      <c r="H13" s="6"/>
    </row>
    <row r="14" spans="1:28" s="109" customFormat="1" ht="14.1" x14ac:dyDescent="0.35">
      <c r="C14" s="109" t="s">
        <v>147</v>
      </c>
      <c r="H14" s="13"/>
    </row>
    <row r="15" spans="1:28" s="108" customFormat="1" ht="11.25" customHeight="1" x14ac:dyDescent="0.35">
      <c r="H15" s="6"/>
    </row>
    <row r="16" spans="1:28" ht="12.3" x14ac:dyDescent="0.35">
      <c r="D16" s="110" t="s">
        <v>193</v>
      </c>
      <c r="E16" s="111" t="str">
        <f>Lookup!E$20</f>
        <v>Source</v>
      </c>
      <c r="F16" s="111" t="str">
        <f>Lookup!F$20</f>
        <v>Unit</v>
      </c>
      <c r="G16" s="111" t="str">
        <f>Lookup!G$20</f>
        <v>Basis</v>
      </c>
      <c r="H16" s="45" t="str">
        <f>Lookup!H$20</f>
        <v>Timing</v>
      </c>
      <c r="J16" s="112" t="str">
        <f>J$10</f>
        <v>RY06</v>
      </c>
      <c r="K16" s="111" t="str">
        <f t="shared" ref="K16:AB16" si="0">K$10</f>
        <v>RY07</v>
      </c>
      <c r="L16" s="111" t="str">
        <f t="shared" si="0"/>
        <v>RY08</v>
      </c>
      <c r="M16" s="111" t="str">
        <f t="shared" si="0"/>
        <v>RY09</v>
      </c>
      <c r="N16" s="112" t="str">
        <f t="shared" si="0"/>
        <v>RY10</v>
      </c>
      <c r="O16" s="111" t="str">
        <f>O$10</f>
        <v>RY11</v>
      </c>
      <c r="P16" s="111" t="str">
        <f t="shared" si="0"/>
        <v>RY12</v>
      </c>
      <c r="Q16" s="113" t="str">
        <f t="shared" si="0"/>
        <v>RY13</v>
      </c>
      <c r="R16" s="347" t="str">
        <f t="shared" si="0"/>
        <v>RY14</v>
      </c>
      <c r="S16" s="112" t="str">
        <f t="shared" si="0"/>
        <v>RY15</v>
      </c>
      <c r="T16" s="111" t="str">
        <f>T$10</f>
        <v>RY16</v>
      </c>
      <c r="U16" s="111" t="str">
        <f t="shared" si="0"/>
        <v>RY17</v>
      </c>
      <c r="V16" s="111" t="str">
        <f t="shared" si="0"/>
        <v>RY18</v>
      </c>
      <c r="W16" s="113" t="str">
        <f t="shared" si="0"/>
        <v>RY19</v>
      </c>
      <c r="X16" s="112" t="str">
        <f t="shared" si="0"/>
        <v>RY20</v>
      </c>
      <c r="Y16" s="111" t="str">
        <f>Y$10</f>
        <v>RY21</v>
      </c>
      <c r="Z16" s="111" t="str">
        <f t="shared" si="0"/>
        <v>RY22</v>
      </c>
      <c r="AA16" s="111" t="str">
        <f t="shared" si="0"/>
        <v>RY23</v>
      </c>
      <c r="AB16" s="113" t="str">
        <f t="shared" si="0"/>
        <v>RY24</v>
      </c>
    </row>
    <row r="17" spans="4:31" x14ac:dyDescent="0.35">
      <c r="J17" s="114"/>
      <c r="K17" s="115"/>
      <c r="L17" s="115"/>
      <c r="M17" s="115"/>
      <c r="N17" s="114"/>
      <c r="O17" s="115"/>
      <c r="P17" s="115"/>
      <c r="Q17" s="117"/>
      <c r="R17" s="116"/>
      <c r="S17" s="114"/>
      <c r="T17" s="115"/>
      <c r="U17" s="115"/>
      <c r="V17" s="115"/>
      <c r="W17" s="117"/>
      <c r="X17" s="114"/>
      <c r="Y17" s="115"/>
      <c r="Z17" s="115"/>
      <c r="AA17" s="115"/>
      <c r="AB17" s="117"/>
    </row>
    <row r="18" spans="4:31" ht="12.3" x14ac:dyDescent="0.35">
      <c r="D18" s="118" t="str">
        <f>Lookup!D71</f>
        <v>Substations</v>
      </c>
      <c r="E18" s="119" t="s">
        <v>244</v>
      </c>
      <c r="F18" s="119" t="str">
        <f t="shared" ref="F18:F34" si="1">Dollars</f>
        <v>Dollars</v>
      </c>
      <c r="G18" s="119" t="str">
        <f t="shared" ref="G18:G34" si="2">Nominal</f>
        <v>Nominal</v>
      </c>
      <c r="H18" s="52" t="str">
        <f t="shared" ref="H18:H34" si="3">Start_year</f>
        <v>Start year</v>
      </c>
      <c r="J18" s="122">
        <f t="shared" ref="J18:P18" si="4">(J205-J178-J125-J98-J71)/(1+J$233)</f>
        <v>25.800636047930681</v>
      </c>
      <c r="K18" s="121">
        <f t="shared" si="4"/>
        <v>27.145326835638013</v>
      </c>
      <c r="L18" s="121">
        <f t="shared" si="4"/>
        <v>28.789945965760523</v>
      </c>
      <c r="M18" s="121">
        <f t="shared" si="4"/>
        <v>47.542941186549477</v>
      </c>
      <c r="N18" s="122">
        <f t="shared" si="4"/>
        <v>78.157850057945751</v>
      </c>
      <c r="O18" s="121">
        <f t="shared" si="4"/>
        <v>110.70259983057763</v>
      </c>
      <c r="P18" s="121">
        <f t="shared" si="4"/>
        <v>156.85011317918401</v>
      </c>
      <c r="Q18" s="121">
        <f>(Q205-Q178-Q125-Q98-Q71)/(1+Q$233)</f>
        <v>197.46856323640631</v>
      </c>
      <c r="R18" s="94">
        <f>'[2]RFM input'!$J7</f>
        <v>247.15838494764884</v>
      </c>
      <c r="S18" s="121">
        <f t="shared" ref="S18:AB18" si="5">R205</f>
        <v>297.81718190620074</v>
      </c>
      <c r="T18" s="121">
        <f t="shared" si="5"/>
        <v>310.04735122802418</v>
      </c>
      <c r="U18" s="121">
        <f t="shared" si="5"/>
        <v>316.35383047585208</v>
      </c>
      <c r="V18" s="121">
        <f t="shared" si="5"/>
        <v>313.17388316351281</v>
      </c>
      <c r="W18" s="123">
        <f t="shared" si="5"/>
        <v>303.65088737748272</v>
      </c>
      <c r="X18" s="122">
        <f t="shared" si="5"/>
        <v>268.24601667949491</v>
      </c>
      <c r="Y18" s="121">
        <f t="shared" si="5"/>
        <v>271.74889501183947</v>
      </c>
      <c r="Z18" s="121">
        <f t="shared" si="5"/>
        <v>273.52264493040605</v>
      </c>
      <c r="AA18" s="121">
        <f t="shared" si="5"/>
        <v>279.82629165438993</v>
      </c>
      <c r="AB18" s="123">
        <f t="shared" si="5"/>
        <v>286.18454116556819</v>
      </c>
      <c r="AE18" s="342"/>
    </row>
    <row r="19" spans="4:31" ht="12.3" x14ac:dyDescent="0.35">
      <c r="D19" s="118" t="str">
        <f>Lookup!D72</f>
        <v>Distribution Lines</v>
      </c>
      <c r="E19" s="119" t="s">
        <v>244</v>
      </c>
      <c r="F19" s="119" t="str">
        <f t="shared" si="1"/>
        <v>Dollars</v>
      </c>
      <c r="G19" s="119" t="str">
        <f t="shared" si="2"/>
        <v>Nominal</v>
      </c>
      <c r="H19" s="52" t="str">
        <f t="shared" si="3"/>
        <v>Start year</v>
      </c>
      <c r="J19" s="122">
        <f t="shared" ref="J19:Q19" si="6">(J206-J179-J126-J99-J72)/(1+J$233)</f>
        <v>112.91433976135589</v>
      </c>
      <c r="K19" s="121">
        <f t="shared" si="6"/>
        <v>121.25854186545871</v>
      </c>
      <c r="L19" s="121">
        <f t="shared" si="6"/>
        <v>131.47959872632609</v>
      </c>
      <c r="M19" s="121">
        <f t="shared" si="6"/>
        <v>145.17808872874969</v>
      </c>
      <c r="N19" s="122">
        <f t="shared" si="6"/>
        <v>155.46003000642577</v>
      </c>
      <c r="O19" s="121">
        <f t="shared" si="6"/>
        <v>166.39768164550682</v>
      </c>
      <c r="P19" s="121">
        <f t="shared" si="6"/>
        <v>178.03361573547957</v>
      </c>
      <c r="Q19" s="121">
        <f t="shared" si="6"/>
        <v>188.81561890775592</v>
      </c>
      <c r="R19" s="94">
        <f>'[2]RFM input'!$J8</f>
        <v>211.58708026101553</v>
      </c>
      <c r="S19" s="121">
        <f t="shared" ref="S19:AB19" si="7">R206</f>
        <v>226.62198523555949</v>
      </c>
      <c r="T19" s="121">
        <f t="shared" si="7"/>
        <v>234.87411965886551</v>
      </c>
      <c r="U19" s="121">
        <f t="shared" si="7"/>
        <v>238.09973722349167</v>
      </c>
      <c r="V19" s="121">
        <f t="shared" si="7"/>
        <v>242.46565905032085</v>
      </c>
      <c r="W19" s="123">
        <f t="shared" si="7"/>
        <v>243.8529102817588</v>
      </c>
      <c r="X19" s="122">
        <f t="shared" si="7"/>
        <v>243.79090173519486</v>
      </c>
      <c r="Y19" s="121">
        <f t="shared" si="7"/>
        <v>260.16144272780991</v>
      </c>
      <c r="Z19" s="121">
        <f t="shared" si="7"/>
        <v>280.5428798733256</v>
      </c>
      <c r="AA19" s="121">
        <f t="shared" si="7"/>
        <v>295.38214826314004</v>
      </c>
      <c r="AB19" s="123">
        <f t="shared" si="7"/>
        <v>308.30221633033659</v>
      </c>
      <c r="AE19" s="342"/>
    </row>
    <row r="20" spans="4:31" ht="12.3" x14ac:dyDescent="0.35">
      <c r="D20" s="118" t="str">
        <f>Lookup!D73</f>
        <v>Transmission Lines</v>
      </c>
      <c r="E20" s="119" t="s">
        <v>244</v>
      </c>
      <c r="F20" s="119" t="str">
        <f t="shared" si="1"/>
        <v>Dollars</v>
      </c>
      <c r="G20" s="119" t="str">
        <f t="shared" si="2"/>
        <v>Nominal</v>
      </c>
      <c r="H20" s="52" t="str">
        <f t="shared" si="3"/>
        <v>Start year</v>
      </c>
      <c r="J20" s="122">
        <f t="shared" ref="J20:Q20" si="8">(J207-J180-J127-J100-J73)/(1+J$233)</f>
        <v>100.2273760460877</v>
      </c>
      <c r="K20" s="121">
        <f t="shared" si="8"/>
        <v>106.13760142143478</v>
      </c>
      <c r="L20" s="121">
        <f t="shared" si="8"/>
        <v>113.44814996851447</v>
      </c>
      <c r="M20" s="121">
        <f t="shared" si="8"/>
        <v>115.37610379075579</v>
      </c>
      <c r="N20" s="122">
        <f t="shared" si="8"/>
        <v>114.39247831145167</v>
      </c>
      <c r="O20" s="121">
        <f t="shared" si="8"/>
        <v>130.51722905939732</v>
      </c>
      <c r="P20" s="121">
        <f t="shared" si="8"/>
        <v>146.36905449477163</v>
      </c>
      <c r="Q20" s="121">
        <f t="shared" si="8"/>
        <v>152.96368047708927</v>
      </c>
      <c r="R20" s="94">
        <f>'[2]RFM input'!$J9</f>
        <v>167.02589930043948</v>
      </c>
      <c r="S20" s="121">
        <f t="shared" ref="S20:AB20" si="9">R207</f>
        <v>169.08021074388435</v>
      </c>
      <c r="T20" s="121">
        <f t="shared" si="9"/>
        <v>169.00938493811498</v>
      </c>
      <c r="U20" s="121">
        <f t="shared" si="9"/>
        <v>171.24815118737087</v>
      </c>
      <c r="V20" s="121">
        <f t="shared" si="9"/>
        <v>174.63818986801323</v>
      </c>
      <c r="W20" s="123">
        <f t="shared" si="9"/>
        <v>181.05596639188562</v>
      </c>
      <c r="X20" s="122">
        <f t="shared" si="9"/>
        <v>180.53440799429359</v>
      </c>
      <c r="Y20" s="121">
        <f t="shared" si="9"/>
        <v>181.41832683720614</v>
      </c>
      <c r="Z20" s="121">
        <f t="shared" si="9"/>
        <v>182.07937593696875</v>
      </c>
      <c r="AA20" s="121">
        <f t="shared" si="9"/>
        <v>182.52864385137025</v>
      </c>
      <c r="AB20" s="123">
        <f t="shared" si="9"/>
        <v>183.07405059001402</v>
      </c>
      <c r="AE20" s="342"/>
    </row>
    <row r="21" spans="4:31" ht="12.3" x14ac:dyDescent="0.35">
      <c r="D21" s="118" t="str">
        <f>Lookup!D74</f>
        <v>LV Services</v>
      </c>
      <c r="E21" s="119" t="s">
        <v>244</v>
      </c>
      <c r="F21" s="119" t="str">
        <f t="shared" si="1"/>
        <v>Dollars</v>
      </c>
      <c r="G21" s="119" t="str">
        <f t="shared" si="2"/>
        <v>Nominal</v>
      </c>
      <c r="H21" s="52" t="str">
        <f t="shared" si="3"/>
        <v>Start year</v>
      </c>
      <c r="J21" s="122">
        <f t="shared" ref="J21:Q21" si="10">(J208-J181-J128-J101-J74)/(1+J$233)</f>
        <v>0.15308844094401738</v>
      </c>
      <c r="K21" s="121">
        <f t="shared" si="10"/>
        <v>0.15756362070364763</v>
      </c>
      <c r="L21" s="121">
        <f t="shared" si="10"/>
        <v>0.16147940299332406</v>
      </c>
      <c r="M21" s="121">
        <f t="shared" si="10"/>
        <v>0.16837863845608733</v>
      </c>
      <c r="N21" s="122">
        <f t="shared" si="10"/>
        <v>0.1724808865690817</v>
      </c>
      <c r="O21" s="121">
        <f t="shared" si="10"/>
        <v>0.1775154637986657</v>
      </c>
      <c r="P21" s="121">
        <f t="shared" si="10"/>
        <v>0.1832959043215214</v>
      </c>
      <c r="Q21" s="121">
        <f t="shared" si="10"/>
        <v>0.18627935749460825</v>
      </c>
      <c r="R21" s="94">
        <f>'[2]RFM input'!$J10</f>
        <v>0.1909410030775564</v>
      </c>
      <c r="S21" s="121">
        <f t="shared" ref="S21:AB21" si="11">R208</f>
        <v>0.19939876662384715</v>
      </c>
      <c r="T21" s="121">
        <f t="shared" si="11"/>
        <v>2.04153733549186</v>
      </c>
      <c r="U21" s="121">
        <f t="shared" si="11"/>
        <v>3.9418080798457527</v>
      </c>
      <c r="V21" s="121">
        <f t="shared" si="11"/>
        <v>5.7400958053236257</v>
      </c>
      <c r="W21" s="123">
        <f t="shared" si="11"/>
        <v>5.8946491130406997</v>
      </c>
      <c r="X21" s="122">
        <f t="shared" si="11"/>
        <v>7.660089973967585</v>
      </c>
      <c r="Y21" s="121">
        <f t="shared" si="11"/>
        <v>7.8506325488170825</v>
      </c>
      <c r="Z21" s="121">
        <f t="shared" si="11"/>
        <v>8.1527755491161642</v>
      </c>
      <c r="AA21" s="121">
        <f t="shared" si="11"/>
        <v>8.393910999180644</v>
      </c>
      <c r="AB21" s="123">
        <f t="shared" si="11"/>
        <v>8.5846361401763502</v>
      </c>
      <c r="AE21" s="342"/>
    </row>
    <row r="22" spans="4:31" ht="12.3" x14ac:dyDescent="0.35">
      <c r="D22" s="118" t="str">
        <f>Lookup!D75</f>
        <v>Distribution Substations</v>
      </c>
      <c r="E22" s="119" t="s">
        <v>244</v>
      </c>
      <c r="F22" s="119" t="str">
        <f t="shared" si="1"/>
        <v>Dollars</v>
      </c>
      <c r="G22" s="119" t="str">
        <f t="shared" si="2"/>
        <v>Nominal</v>
      </c>
      <c r="H22" s="52" t="str">
        <f t="shared" si="3"/>
        <v>Start year</v>
      </c>
      <c r="J22" s="122">
        <f t="shared" ref="J22:Q22" si="12">(J209-J182-J129-J102-J75)/(1+J$233)</f>
        <v>48.158364906970981</v>
      </c>
      <c r="K22" s="121">
        <f t="shared" si="12"/>
        <v>46.553880075834783</v>
      </c>
      <c r="L22" s="121">
        <f t="shared" si="12"/>
        <v>44.863190216310961</v>
      </c>
      <c r="M22" s="121">
        <f t="shared" si="12"/>
        <v>50.316318068944682</v>
      </c>
      <c r="N22" s="122">
        <f t="shared" si="12"/>
        <v>53.456910059461528</v>
      </c>
      <c r="O22" s="121">
        <f t="shared" si="12"/>
        <v>64.865067140818724</v>
      </c>
      <c r="P22" s="121">
        <f t="shared" si="12"/>
        <v>75.672242965949053</v>
      </c>
      <c r="Q22" s="121">
        <f t="shared" si="12"/>
        <v>77.82365462948556</v>
      </c>
      <c r="R22" s="94">
        <f>'[2]RFM input'!$J11</f>
        <v>80.297330765413648</v>
      </c>
      <c r="S22" s="121">
        <f t="shared" ref="S22:AB22" si="13">R209</f>
        <v>82.765066852139796</v>
      </c>
      <c r="T22" s="121">
        <f t="shared" si="13"/>
        <v>88.662173739427232</v>
      </c>
      <c r="U22" s="121">
        <f t="shared" si="13"/>
        <v>91.847111581050314</v>
      </c>
      <c r="V22" s="121">
        <f t="shared" si="13"/>
        <v>93.338143739600696</v>
      </c>
      <c r="W22" s="123">
        <f t="shared" si="13"/>
        <v>93.434557101102598</v>
      </c>
      <c r="X22" s="122">
        <f t="shared" si="13"/>
        <v>99.608956662973952</v>
      </c>
      <c r="Y22" s="121">
        <f t="shared" si="13"/>
        <v>101.02489676368357</v>
      </c>
      <c r="Z22" s="121">
        <f t="shared" si="13"/>
        <v>102.96032058187403</v>
      </c>
      <c r="AA22" s="121">
        <f t="shared" si="13"/>
        <v>104.88561327486646</v>
      </c>
      <c r="AB22" s="123">
        <f t="shared" si="13"/>
        <v>107.57910438614597</v>
      </c>
      <c r="AE22" s="342"/>
    </row>
    <row r="23" spans="4:31" ht="12.3" x14ac:dyDescent="0.35">
      <c r="D23" s="118" t="str">
        <f>Lookup!D76</f>
        <v>Distribution Switchgear</v>
      </c>
      <c r="E23" s="119" t="s">
        <v>244</v>
      </c>
      <c r="F23" s="119" t="str">
        <f t="shared" si="1"/>
        <v>Dollars</v>
      </c>
      <c r="G23" s="119" t="str">
        <f t="shared" si="2"/>
        <v>Nominal</v>
      </c>
      <c r="H23" s="52" t="str">
        <f t="shared" si="3"/>
        <v>Start year</v>
      </c>
      <c r="J23" s="122">
        <f t="shared" ref="J23:Q23" si="14">(J210-J183-J130-J103-J76)/(1+J$233)</f>
        <v>6.88613801444464</v>
      </c>
      <c r="K23" s="121">
        <f t="shared" si="14"/>
        <v>7.0874380294832173</v>
      </c>
      <c r="L23" s="121">
        <f t="shared" si="14"/>
        <v>7.2635755426419708</v>
      </c>
      <c r="M23" s="121">
        <f t="shared" si="14"/>
        <v>7.9327584388611081</v>
      </c>
      <c r="N23" s="122">
        <f t="shared" si="14"/>
        <v>13.057188603480252</v>
      </c>
      <c r="O23" s="121">
        <f t="shared" si="14"/>
        <v>13.438317351906161</v>
      </c>
      <c r="P23" s="121">
        <f t="shared" si="14"/>
        <v>13.875909618617388</v>
      </c>
      <c r="Q23" s="121">
        <f t="shared" si="14"/>
        <v>14.10176369175867</v>
      </c>
      <c r="R23" s="94">
        <f>'[2]RFM input'!$J12</f>
        <v>14.45466068104192</v>
      </c>
      <c r="S23" s="121">
        <f t="shared" ref="S23:AB23" si="15">R210</f>
        <v>15.108502064534624</v>
      </c>
      <c r="T23" s="121">
        <f t="shared" si="15"/>
        <v>19.752877365264066</v>
      </c>
      <c r="U23" s="121">
        <f t="shared" si="15"/>
        <v>25.288673785033275</v>
      </c>
      <c r="V23" s="121">
        <f t="shared" si="15"/>
        <v>30.441514770211619</v>
      </c>
      <c r="W23" s="123">
        <f t="shared" si="15"/>
        <v>35.106734757413861</v>
      </c>
      <c r="X23" s="122">
        <f t="shared" si="15"/>
        <v>43.812806131127658</v>
      </c>
      <c r="Y23" s="121">
        <f t="shared" si="15"/>
        <v>48.34857419586902</v>
      </c>
      <c r="Z23" s="121">
        <f t="shared" si="15"/>
        <v>53.299817795055695</v>
      </c>
      <c r="AA23" s="121">
        <f t="shared" si="15"/>
        <v>58.021779499237013</v>
      </c>
      <c r="AB23" s="123">
        <f t="shared" si="15"/>
        <v>63.350673510379963</v>
      </c>
      <c r="AE23" s="342"/>
    </row>
    <row r="24" spans="4:31" ht="12.3" x14ac:dyDescent="0.35">
      <c r="D24" s="118" t="str">
        <f>Lookup!D77</f>
        <v>Protection</v>
      </c>
      <c r="E24" s="119" t="s">
        <v>244</v>
      </c>
      <c r="F24" s="119" t="str">
        <f t="shared" si="1"/>
        <v>Dollars</v>
      </c>
      <c r="G24" s="119" t="str">
        <f t="shared" si="2"/>
        <v>Nominal</v>
      </c>
      <c r="H24" s="52" t="str">
        <f t="shared" si="3"/>
        <v>Start year</v>
      </c>
      <c r="J24" s="122">
        <f t="shared" ref="J24:Q24" si="16">(J211-J184-J131-J104-J77)/(1+J$233)</f>
        <v>1.7040232407929565</v>
      </c>
      <c r="K24" s="121">
        <f t="shared" si="16"/>
        <v>1.7538363440560882</v>
      </c>
      <c r="L24" s="121">
        <f t="shared" si="16"/>
        <v>1.797422809411328</v>
      </c>
      <c r="M24" s="121">
        <f t="shared" si="16"/>
        <v>1.8742180102753225</v>
      </c>
      <c r="N24" s="122">
        <f t="shared" si="16"/>
        <v>1.9198800215998597</v>
      </c>
      <c r="O24" s="121">
        <f t="shared" si="16"/>
        <v>3.2186359938067923</v>
      </c>
      <c r="P24" s="121">
        <f t="shared" si="16"/>
        <v>4.1717675504927412</v>
      </c>
      <c r="Q24" s="121">
        <f t="shared" si="16"/>
        <v>5.1516017133570458</v>
      </c>
      <c r="R24" s="94">
        <f>'[2]RFM input'!$J13</f>
        <v>8.3903020321881421</v>
      </c>
      <c r="S24" s="121">
        <f t="shared" ref="S24:AB24" si="17">R211</f>
        <v>9.6502261835778302</v>
      </c>
      <c r="T24" s="121">
        <f t="shared" si="17"/>
        <v>14.811037038025589</v>
      </c>
      <c r="U24" s="121">
        <f t="shared" si="17"/>
        <v>19.107025507893773</v>
      </c>
      <c r="V24" s="121">
        <f t="shared" si="17"/>
        <v>21.769855654442626</v>
      </c>
      <c r="W24" s="123">
        <f t="shared" si="17"/>
        <v>22.50409349187488</v>
      </c>
      <c r="X24" s="122">
        <f t="shared" si="17"/>
        <v>33.116638375029282</v>
      </c>
      <c r="Y24" s="121">
        <f t="shared" si="17"/>
        <v>35.792860357060931</v>
      </c>
      <c r="Z24" s="121">
        <f t="shared" si="17"/>
        <v>38.903977471155997</v>
      </c>
      <c r="AA24" s="121">
        <f t="shared" si="17"/>
        <v>40.252836715271322</v>
      </c>
      <c r="AB24" s="123">
        <f t="shared" si="17"/>
        <v>41.656435673611028</v>
      </c>
      <c r="AE24" s="342"/>
    </row>
    <row r="25" spans="4:31" ht="12.3" x14ac:dyDescent="0.35">
      <c r="D25" s="118" t="str">
        <f>Lookup!D78</f>
        <v>SCADA</v>
      </c>
      <c r="E25" s="119" t="s">
        <v>244</v>
      </c>
      <c r="F25" s="119" t="str">
        <f t="shared" si="1"/>
        <v>Dollars</v>
      </c>
      <c r="G25" s="119" t="str">
        <f t="shared" si="2"/>
        <v>Nominal</v>
      </c>
      <c r="H25" s="52" t="str">
        <f t="shared" si="3"/>
        <v>Start year</v>
      </c>
      <c r="J25" s="122">
        <f t="shared" ref="J25:Q25" si="18">(J212-J185-J132-J105-J78)/(1+J$233)</f>
        <v>0.22478663720436626</v>
      </c>
      <c r="K25" s="121">
        <f t="shared" si="18"/>
        <v>0.11068117609120807</v>
      </c>
      <c r="L25" s="121">
        <f t="shared" si="18"/>
        <v>0</v>
      </c>
      <c r="M25" s="121">
        <f t="shared" si="18"/>
        <v>2.4515833721207874</v>
      </c>
      <c r="N25" s="122">
        <f t="shared" si="18"/>
        <v>1.9205108033528893</v>
      </c>
      <c r="O25" s="121">
        <f t="shared" si="18"/>
        <v>1.9765689565318383</v>
      </c>
      <c r="P25" s="121">
        <f t="shared" si="18"/>
        <v>2.0409320212928539</v>
      </c>
      <c r="Q25" s="121">
        <f t="shared" si="18"/>
        <v>2.0741516676211202</v>
      </c>
      <c r="R25" s="94">
        <f>'[2]RFM input'!$J14</f>
        <v>2.1260573650090362</v>
      </c>
      <c r="S25" s="121">
        <f t="shared" ref="S25:AB25" si="19">R212</f>
        <v>1.4640594788423973</v>
      </c>
      <c r="T25" s="121">
        <f t="shared" si="19"/>
        <v>2.9852461490300075</v>
      </c>
      <c r="U25" s="121">
        <f t="shared" si="19"/>
        <v>3.2501274436275143</v>
      </c>
      <c r="V25" s="121">
        <f t="shared" si="19"/>
        <v>3.8257123433304967</v>
      </c>
      <c r="W25" s="123">
        <f t="shared" si="19"/>
        <v>4.2828678057780003</v>
      </c>
      <c r="X25" s="122">
        <f t="shared" si="19"/>
        <v>9.4940274448363766</v>
      </c>
      <c r="Y25" s="121">
        <f t="shared" si="19"/>
        <v>9.4550611257701309</v>
      </c>
      <c r="Z25" s="121">
        <f t="shared" si="19"/>
        <v>9.6042520000721527</v>
      </c>
      <c r="AA25" s="121">
        <f t="shared" si="19"/>
        <v>9.4938480139789334</v>
      </c>
      <c r="AB25" s="123">
        <f t="shared" si="19"/>
        <v>9.7456022070275541</v>
      </c>
      <c r="AE25" s="342"/>
    </row>
    <row r="26" spans="4:31" ht="12.3" x14ac:dyDescent="0.35">
      <c r="D26" s="118" t="str">
        <f>Lookup!D79</f>
        <v>Communications</v>
      </c>
      <c r="E26" s="119" t="s">
        <v>244</v>
      </c>
      <c r="F26" s="119" t="str">
        <f t="shared" si="1"/>
        <v>Dollars</v>
      </c>
      <c r="G26" s="119" t="str">
        <f t="shared" si="2"/>
        <v>Nominal</v>
      </c>
      <c r="H26" s="52" t="str">
        <f t="shared" si="3"/>
        <v>Start year</v>
      </c>
      <c r="J26" s="122">
        <f t="shared" ref="J26:Q26" si="20">(J213-J186-J133-J106-J79)/(1+J$233)</f>
        <v>19.342280185569852</v>
      </c>
      <c r="K26" s="121">
        <f t="shared" si="20"/>
        <v>20.247703799177007</v>
      </c>
      <c r="L26" s="121">
        <f t="shared" si="20"/>
        <v>21.345706820760164</v>
      </c>
      <c r="M26" s="121">
        <f t="shared" si="20"/>
        <v>21.6977766750413</v>
      </c>
      <c r="N26" s="122">
        <f t="shared" si="20"/>
        <v>23.488991579219736</v>
      </c>
      <c r="O26" s="121">
        <f t="shared" si="20"/>
        <v>18.359645441125384</v>
      </c>
      <c r="P26" s="121">
        <f t="shared" si="20"/>
        <v>12.884905335816704</v>
      </c>
      <c r="Q26" s="121">
        <f t="shared" si="20"/>
        <v>6.8054745027587886</v>
      </c>
      <c r="R26" s="94">
        <f>'[2]RFM input'!$J15</f>
        <v>7.2356595534338553</v>
      </c>
      <c r="S26" s="121">
        <f t="shared" ref="S26:AB26" si="21">R213</f>
        <v>6.0561408822847227</v>
      </c>
      <c r="T26" s="121">
        <f t="shared" si="21"/>
        <v>6.464181611686433</v>
      </c>
      <c r="U26" s="121">
        <f t="shared" si="21"/>
        <v>5.4923569665291234</v>
      </c>
      <c r="V26" s="121">
        <f t="shared" si="21"/>
        <v>6.1697443120380369</v>
      </c>
      <c r="W26" s="123">
        <f t="shared" si="21"/>
        <v>11.212991107576503</v>
      </c>
      <c r="X26" s="122">
        <f t="shared" si="21"/>
        <v>15.044125562886432</v>
      </c>
      <c r="Y26" s="121">
        <f t="shared" si="21"/>
        <v>15.556632094611242</v>
      </c>
      <c r="Z26" s="121">
        <f t="shared" si="21"/>
        <v>16.800833390528286</v>
      </c>
      <c r="AA26" s="121">
        <f t="shared" si="21"/>
        <v>18.809278135350731</v>
      </c>
      <c r="AB26" s="123">
        <f t="shared" si="21"/>
        <v>20.366630084721326</v>
      </c>
      <c r="AE26" s="342"/>
    </row>
    <row r="27" spans="4:31" ht="12.3" x14ac:dyDescent="0.35">
      <c r="D27" s="118" t="str">
        <f>Lookup!D80</f>
        <v>Land and Easements</v>
      </c>
      <c r="E27" s="119" t="s">
        <v>244</v>
      </c>
      <c r="F27" s="119" t="str">
        <f t="shared" si="1"/>
        <v>Dollars</v>
      </c>
      <c r="G27" s="119" t="str">
        <f t="shared" si="2"/>
        <v>Nominal</v>
      </c>
      <c r="H27" s="52" t="str">
        <f t="shared" si="3"/>
        <v>Start year</v>
      </c>
      <c r="J27" s="122">
        <f t="shared" ref="J27:Q27" si="22">(J214-J187-J134-J107-J80)/(1+J$233)</f>
        <v>28.03394700308905</v>
      </c>
      <c r="K27" s="121">
        <f t="shared" si="22"/>
        <v>29.444843897374323</v>
      </c>
      <c r="L27" s="121">
        <f t="shared" si="22"/>
        <v>30.922463155114897</v>
      </c>
      <c r="M27" s="121">
        <f t="shared" si="22"/>
        <v>32.243630749502024</v>
      </c>
      <c r="N27" s="122">
        <f t="shared" si="22"/>
        <v>33.029189859678155</v>
      </c>
      <c r="O27" s="121">
        <f t="shared" si="22"/>
        <v>33.993285131257949</v>
      </c>
      <c r="P27" s="121">
        <f t="shared" si="22"/>
        <v>35.10020933196067</v>
      </c>
      <c r="Q27" s="121">
        <f t="shared" si="22"/>
        <v>35.671525048452402</v>
      </c>
      <c r="R27" s="94">
        <f>'[2]RFM input'!$J16</f>
        <v>33.024999999999999</v>
      </c>
      <c r="S27" s="121">
        <f t="shared" ref="S27:AB27" si="23">R214</f>
        <v>34.47125290902666</v>
      </c>
      <c r="T27" s="121">
        <f t="shared" si="23"/>
        <v>34.929125338558322</v>
      </c>
      <c r="U27" s="121">
        <f t="shared" si="23"/>
        <v>35.386997768089991</v>
      </c>
      <c r="V27" s="121">
        <f t="shared" si="23"/>
        <v>36.128882714951189</v>
      </c>
      <c r="W27" s="123">
        <f t="shared" si="23"/>
        <v>37.004962835958267</v>
      </c>
      <c r="X27" s="122">
        <f t="shared" si="23"/>
        <v>46.354917721396681</v>
      </c>
      <c r="Y27" s="121">
        <f t="shared" si="23"/>
        <v>47.478966373746196</v>
      </c>
      <c r="Z27" s="121">
        <f t="shared" si="23"/>
        <v>48.630271797004951</v>
      </c>
      <c r="AA27" s="121">
        <f t="shared" si="23"/>
        <v>49.809494933703185</v>
      </c>
      <c r="AB27" s="123">
        <f t="shared" si="23"/>
        <v>51.017312753399054</v>
      </c>
      <c r="AE27" s="342"/>
    </row>
    <row r="28" spans="4:31" ht="12.3" x14ac:dyDescent="0.35">
      <c r="D28" s="118" t="str">
        <f>Lookup!D81</f>
        <v>Property</v>
      </c>
      <c r="E28" s="119" t="s">
        <v>244</v>
      </c>
      <c r="F28" s="119" t="str">
        <f t="shared" si="1"/>
        <v>Dollars</v>
      </c>
      <c r="G28" s="119" t="str">
        <f t="shared" si="2"/>
        <v>Nominal</v>
      </c>
      <c r="H28" s="52" t="str">
        <f t="shared" si="3"/>
        <v>Start year</v>
      </c>
      <c r="J28" s="122">
        <f t="shared" ref="J28:Q28" si="24">(J215-J188-J135-J108-J81)/(1+J$233)</f>
        <v>0</v>
      </c>
      <c r="K28" s="121">
        <f t="shared" si="24"/>
        <v>0</v>
      </c>
      <c r="L28" s="121">
        <f t="shared" si="24"/>
        <v>0</v>
      </c>
      <c r="M28" s="121">
        <f t="shared" si="24"/>
        <v>0.53702885927328603</v>
      </c>
      <c r="N28" s="122">
        <f t="shared" si="24"/>
        <v>0.81580004436070019</v>
      </c>
      <c r="O28" s="121">
        <f t="shared" si="24"/>
        <v>0.83961258619609358</v>
      </c>
      <c r="P28" s="121">
        <f t="shared" si="24"/>
        <v>0.86695291200710078</v>
      </c>
      <c r="Q28" s="121">
        <f t="shared" si="24"/>
        <v>0.88106404790955628</v>
      </c>
      <c r="R28" s="94">
        <f>'[2]RFM input'!$J17</f>
        <v>0.90311269775714276</v>
      </c>
      <c r="S28" s="121">
        <f t="shared" ref="S28:AB28" si="25">R215</f>
        <v>1.1039263282242051</v>
      </c>
      <c r="T28" s="121">
        <f t="shared" si="25"/>
        <v>0.9320672553775825</v>
      </c>
      <c r="U28" s="121">
        <f t="shared" si="25"/>
        <v>0.75552593549132607</v>
      </c>
      <c r="V28" s="121">
        <f t="shared" si="25"/>
        <v>0.56013957998809161</v>
      </c>
      <c r="W28" s="123">
        <f t="shared" si="25"/>
        <v>0.35914667603444572</v>
      </c>
      <c r="X28" s="122">
        <f t="shared" si="25"/>
        <v>10.359004210140208</v>
      </c>
      <c r="Y28" s="121">
        <f t="shared" si="25"/>
        <v>18.238715073331456</v>
      </c>
      <c r="Z28" s="121">
        <f t="shared" si="25"/>
        <v>17.845341580978435</v>
      </c>
      <c r="AA28" s="121">
        <f t="shared" si="25"/>
        <v>17.352851813820539</v>
      </c>
      <c r="AB28" s="123">
        <f t="shared" si="25"/>
        <v>16.657702120249979</v>
      </c>
      <c r="AE28" s="342"/>
    </row>
    <row r="29" spans="4:31" ht="12.3" x14ac:dyDescent="0.35">
      <c r="D29" s="118" t="str">
        <f>Lookup!D82</f>
        <v>IT and Communications</v>
      </c>
      <c r="E29" s="119" t="s">
        <v>244</v>
      </c>
      <c r="F29" s="119" t="str">
        <f t="shared" si="1"/>
        <v>Dollars</v>
      </c>
      <c r="G29" s="119" t="str">
        <f t="shared" si="2"/>
        <v>Nominal</v>
      </c>
      <c r="H29" s="52" t="str">
        <f t="shared" si="3"/>
        <v>Start year</v>
      </c>
      <c r="J29" s="122">
        <f t="shared" ref="J29:Q29" si="26">(J216-J189-J136-J109-J82)/(1+J$233)</f>
        <v>0.56427078965620114</v>
      </c>
      <c r="K29" s="121">
        <f t="shared" si="26"/>
        <v>0.58076591627221685</v>
      </c>
      <c r="L29" s="121">
        <f t="shared" si="26"/>
        <v>0.59519915206123042</v>
      </c>
      <c r="M29" s="121">
        <f t="shared" si="26"/>
        <v>0.62062913892758786</v>
      </c>
      <c r="N29" s="122">
        <f t="shared" si="26"/>
        <v>0.63574967165893548</v>
      </c>
      <c r="O29" s="121">
        <f t="shared" si="26"/>
        <v>0.654306689101953</v>
      </c>
      <c r="P29" s="121">
        <f t="shared" si="26"/>
        <v>0.67561289431430649</v>
      </c>
      <c r="Q29" s="121">
        <f t="shared" si="26"/>
        <v>0.68660964539165037</v>
      </c>
      <c r="R29" s="94">
        <f>'[2]RFM input'!$J18</f>
        <v>0.70379206895000002</v>
      </c>
      <c r="S29" s="121">
        <f t="shared" ref="S29:AB29" si="27">R216</f>
        <v>0.63274905481995813</v>
      </c>
      <c r="T29" s="121">
        <f t="shared" si="27"/>
        <v>0.97299897474781272</v>
      </c>
      <c r="U29" s="121">
        <f t="shared" si="27"/>
        <v>1.6969518734413653</v>
      </c>
      <c r="V29" s="121">
        <f t="shared" si="27"/>
        <v>4.3149683990062879</v>
      </c>
      <c r="W29" s="123">
        <f t="shared" si="27"/>
        <v>8.7741730490967491</v>
      </c>
      <c r="X29" s="122">
        <f t="shared" si="27"/>
        <v>14.722412528496612</v>
      </c>
      <c r="Y29" s="121">
        <f t="shared" si="27"/>
        <v>25.000738998015706</v>
      </c>
      <c r="Z29" s="121">
        <f t="shared" si="27"/>
        <v>35.059740484846159</v>
      </c>
      <c r="AA29" s="121">
        <f t="shared" si="27"/>
        <v>48.881118520751485</v>
      </c>
      <c r="AB29" s="123">
        <f t="shared" si="27"/>
        <v>52.386027378882595</v>
      </c>
      <c r="AE29" s="342"/>
    </row>
    <row r="30" spans="4:31" ht="12.3" x14ac:dyDescent="0.35">
      <c r="D30" s="118" t="str">
        <f>Lookup!D83</f>
        <v>Motor Vehicles</v>
      </c>
      <c r="E30" s="119" t="s">
        <v>244</v>
      </c>
      <c r="F30" s="119" t="str">
        <f t="shared" si="1"/>
        <v>Dollars</v>
      </c>
      <c r="G30" s="119" t="str">
        <f t="shared" si="2"/>
        <v>Nominal</v>
      </c>
      <c r="H30" s="52" t="str">
        <f t="shared" si="3"/>
        <v>Start year</v>
      </c>
      <c r="J30" s="122">
        <f t="shared" ref="J30:Q30" si="28">(J217-J190-J137-J110-J83)/(1+J$233)</f>
        <v>3.503243880859376E-2</v>
      </c>
      <c r="K30" s="121">
        <f t="shared" si="28"/>
        <v>3.6056529589843761E-2</v>
      </c>
      <c r="L30" s="121">
        <f t="shared" si="28"/>
        <v>3.6952609023437506E-2</v>
      </c>
      <c r="M30" s="121">
        <f t="shared" si="28"/>
        <v>3.8531415644531254E-2</v>
      </c>
      <c r="N30" s="122">
        <f t="shared" si="28"/>
        <v>3.9470165527343753E-2</v>
      </c>
      <c r="O30" s="121">
        <f t="shared" si="28"/>
        <v>4.0622267656250002E-2</v>
      </c>
      <c r="P30" s="121">
        <f t="shared" si="28"/>
        <v>4.1945051582031247E-2</v>
      </c>
      <c r="Q30" s="121">
        <f t="shared" si="28"/>
        <v>4.2627778769531249E-2</v>
      </c>
      <c r="R30" s="94">
        <f>'[2]RFM input'!$J19</f>
        <v>4.3694539999999997E-2</v>
      </c>
      <c r="S30" s="121">
        <f t="shared" ref="S30:AB30" si="29">R217</f>
        <v>5.3410336523268272E-2</v>
      </c>
      <c r="T30" s="121">
        <f t="shared" si="29"/>
        <v>0.11854412273821796</v>
      </c>
      <c r="U30" s="121">
        <f t="shared" si="29"/>
        <v>0.11906284005719892</v>
      </c>
      <c r="V30" s="121">
        <f t="shared" si="29"/>
        <v>0.10468900852007203</v>
      </c>
      <c r="W30" s="123">
        <f t="shared" si="29"/>
        <v>9.684595611277938E-2</v>
      </c>
      <c r="X30" s="122">
        <f t="shared" si="29"/>
        <v>0.31276830796123112</v>
      </c>
      <c r="Y30" s="121">
        <f t="shared" si="29"/>
        <v>0.28272681265523691</v>
      </c>
      <c r="Z30" s="121">
        <f t="shared" si="29"/>
        <v>0.25104447183633627</v>
      </c>
      <c r="AA30" s="121">
        <f t="shared" si="29"/>
        <v>0.21765937306113065</v>
      </c>
      <c r="AB30" s="123">
        <f t="shared" si="29"/>
        <v>0.18250756610789015</v>
      </c>
      <c r="AE30" s="342"/>
    </row>
    <row r="31" spans="4:31" ht="12.3" x14ac:dyDescent="0.35">
      <c r="D31" s="118" t="str">
        <f>Lookup!D84</f>
        <v>Plant and Equipment</v>
      </c>
      <c r="E31" s="119" t="s">
        <v>244</v>
      </c>
      <c r="F31" s="119" t="str">
        <f t="shared" si="1"/>
        <v>Dollars</v>
      </c>
      <c r="G31" s="119" t="str">
        <f t="shared" si="2"/>
        <v>Nominal</v>
      </c>
      <c r="H31" s="52" t="str">
        <f t="shared" si="3"/>
        <v>Start year</v>
      </c>
      <c r="J31" s="122">
        <f t="shared" ref="J31:Q31" si="30">(J218-J191-J138-J111-J84)/(1+J$233)</f>
        <v>2.0534822288012564</v>
      </c>
      <c r="K31" s="121">
        <f t="shared" si="30"/>
        <v>0.78486056098329571</v>
      </c>
      <c r="L31" s="121">
        <f t="shared" si="30"/>
        <v>0.56349216897117804</v>
      </c>
      <c r="M31" s="121">
        <f t="shared" si="30"/>
        <v>0.25393041120266613</v>
      </c>
      <c r="N31" s="122">
        <f t="shared" si="30"/>
        <v>0</v>
      </c>
      <c r="O31" s="121">
        <f t="shared" si="30"/>
        <v>0</v>
      </c>
      <c r="P31" s="121">
        <f t="shared" si="30"/>
        <v>0.27398178843669374</v>
      </c>
      <c r="Q31" s="121">
        <f t="shared" si="30"/>
        <v>2.7754829172530551</v>
      </c>
      <c r="R31" s="94">
        <f>'[2]RFM input'!$J20</f>
        <v>7.2053953999153562</v>
      </c>
      <c r="S31" s="121">
        <f t="shared" ref="S31:AB31" si="31">R218</f>
        <v>8.1172821226019565</v>
      </c>
      <c r="T31" s="121">
        <f t="shared" si="31"/>
        <v>7.4220508880892089</v>
      </c>
      <c r="U31" s="121">
        <f t="shared" si="31"/>
        <v>5.9401022550155727</v>
      </c>
      <c r="V31" s="121">
        <f t="shared" si="31"/>
        <v>4.3784346055016856</v>
      </c>
      <c r="W31" s="123">
        <f t="shared" si="31"/>
        <v>3.0635351349286006</v>
      </c>
      <c r="X31" s="122">
        <f t="shared" si="31"/>
        <v>0.44612408791802638</v>
      </c>
      <c r="Y31" s="121">
        <f t="shared" si="31"/>
        <v>1.651462668280232</v>
      </c>
      <c r="Z31" s="121">
        <f t="shared" si="31"/>
        <v>2.8762988539584056</v>
      </c>
      <c r="AA31" s="121">
        <f t="shared" si="31"/>
        <v>4.0210028130319504</v>
      </c>
      <c r="AB31" s="123">
        <f t="shared" si="31"/>
        <v>5.2243795102552442</v>
      </c>
      <c r="AE31" s="342"/>
    </row>
    <row r="32" spans="4:31" ht="12.3" x14ac:dyDescent="0.35">
      <c r="D32" s="118" t="str">
        <f>Lookup!D85</f>
        <v>Property Leases</v>
      </c>
      <c r="E32" s="119" t="s">
        <v>244</v>
      </c>
      <c r="F32" s="119" t="str">
        <f t="shared" si="1"/>
        <v>Dollars</v>
      </c>
      <c r="G32" s="119" t="str">
        <f t="shared" si="2"/>
        <v>Nominal</v>
      </c>
      <c r="H32" s="52" t="str">
        <f t="shared" si="3"/>
        <v>Start year</v>
      </c>
      <c r="J32" s="122">
        <f t="shared" ref="J32:Q32" si="32">(J219-J192-J139-J112-J85)/(1+J$233)</f>
        <v>0</v>
      </c>
      <c r="K32" s="121">
        <f t="shared" si="32"/>
        <v>0</v>
      </c>
      <c r="L32" s="121">
        <f t="shared" si="32"/>
        <v>0</v>
      </c>
      <c r="M32" s="121">
        <f t="shared" si="32"/>
        <v>0</v>
      </c>
      <c r="N32" s="122">
        <f t="shared" si="32"/>
        <v>0</v>
      </c>
      <c r="O32" s="121">
        <f t="shared" si="32"/>
        <v>0</v>
      </c>
      <c r="P32" s="121">
        <f t="shared" si="32"/>
        <v>0</v>
      </c>
      <c r="Q32" s="121">
        <f t="shared" si="32"/>
        <v>0</v>
      </c>
      <c r="R32" s="94">
        <v>0</v>
      </c>
      <c r="S32" s="121">
        <f t="shared" ref="S32:S33" si="33">R219</f>
        <v>0</v>
      </c>
      <c r="T32" s="121">
        <f t="shared" ref="T32:T33" si="34">S219</f>
        <v>0</v>
      </c>
      <c r="U32" s="121">
        <f t="shared" ref="U32:U33" si="35">T219</f>
        <v>0</v>
      </c>
      <c r="V32" s="121">
        <f t="shared" ref="V32:V33" si="36">U219</f>
        <v>0</v>
      </c>
      <c r="W32" s="123">
        <f t="shared" ref="W32:W33" si="37">V219</f>
        <v>0</v>
      </c>
      <c r="X32" s="122">
        <f t="shared" ref="X32:X33" si="38">W219</f>
        <v>0</v>
      </c>
      <c r="Y32" s="121">
        <f t="shared" ref="Y32:Y33" si="39">X219</f>
        <v>5.6545321858324371</v>
      </c>
      <c r="Z32" s="121">
        <f t="shared" ref="Z32:Z33" si="40">Y219</f>
        <v>5.425065426331364</v>
      </c>
      <c r="AA32" s="121">
        <f t="shared" ref="AA32:AA33" si="41">Z219</f>
        <v>29.871448739199082</v>
      </c>
      <c r="AB32" s="123">
        <f t="shared" ref="AB32:AB33" si="42">AA219</f>
        <v>28.610551045279017</v>
      </c>
      <c r="AE32" s="342"/>
    </row>
    <row r="33" spans="1:31" ht="12.3" x14ac:dyDescent="0.35">
      <c r="D33" s="118" t="str">
        <f>Lookup!D86</f>
        <v>Fleet Leases</v>
      </c>
      <c r="E33" s="119" t="s">
        <v>244</v>
      </c>
      <c r="F33" s="119" t="str">
        <f t="shared" si="1"/>
        <v>Dollars</v>
      </c>
      <c r="G33" s="119" t="str">
        <f t="shared" si="2"/>
        <v>Nominal</v>
      </c>
      <c r="H33" s="52" t="str">
        <f t="shared" si="3"/>
        <v>Start year</v>
      </c>
      <c r="J33" s="122">
        <f t="shared" ref="J33:Q33" si="43">(J220-J193-J140-J113-J86)/(1+J$233)</f>
        <v>0</v>
      </c>
      <c r="K33" s="121">
        <f t="shared" si="43"/>
        <v>0</v>
      </c>
      <c r="L33" s="121">
        <f t="shared" si="43"/>
        <v>0</v>
      </c>
      <c r="M33" s="121">
        <f t="shared" si="43"/>
        <v>0</v>
      </c>
      <c r="N33" s="122">
        <f t="shared" si="43"/>
        <v>0</v>
      </c>
      <c r="O33" s="121">
        <f t="shared" si="43"/>
        <v>0</v>
      </c>
      <c r="P33" s="121">
        <f t="shared" si="43"/>
        <v>0</v>
      </c>
      <c r="Q33" s="121">
        <f t="shared" si="43"/>
        <v>0</v>
      </c>
      <c r="R33" s="94">
        <v>0</v>
      </c>
      <c r="S33" s="121">
        <f t="shared" si="33"/>
        <v>0</v>
      </c>
      <c r="T33" s="121">
        <f t="shared" si="34"/>
        <v>0</v>
      </c>
      <c r="U33" s="121">
        <f t="shared" si="35"/>
        <v>0</v>
      </c>
      <c r="V33" s="121">
        <f t="shared" si="36"/>
        <v>0</v>
      </c>
      <c r="W33" s="123">
        <f t="shared" si="37"/>
        <v>0</v>
      </c>
      <c r="X33" s="122">
        <f t="shared" si="38"/>
        <v>0</v>
      </c>
      <c r="Y33" s="121">
        <f t="shared" si="39"/>
        <v>17.442098565293531</v>
      </c>
      <c r="Z33" s="121">
        <f t="shared" si="40"/>
        <v>19.515612909606673</v>
      </c>
      <c r="AA33" s="121">
        <f t="shared" si="41"/>
        <v>20.205255562567572</v>
      </c>
      <c r="AB33" s="123">
        <f t="shared" si="42"/>
        <v>21.013124643323572</v>
      </c>
      <c r="AE33" s="342"/>
    </row>
    <row r="34" spans="1:31" ht="12.3" x14ac:dyDescent="0.35">
      <c r="D34" s="118" t="str">
        <f>Lookup!D87</f>
        <v>Equity Raising Costs</v>
      </c>
      <c r="E34" s="119" t="s">
        <v>244</v>
      </c>
      <c r="F34" s="119" t="str">
        <f t="shared" si="1"/>
        <v>Dollars</v>
      </c>
      <c r="G34" s="119" t="str">
        <f t="shared" si="2"/>
        <v>Nominal</v>
      </c>
      <c r="H34" s="52" t="str">
        <f t="shared" si="3"/>
        <v>Start year</v>
      </c>
      <c r="J34" s="122">
        <f t="shared" ref="J34:Q34" si="44">(J221-J194-J141-J114-J87)/(1+J$233)</f>
        <v>0</v>
      </c>
      <c r="K34" s="121">
        <f t="shared" si="44"/>
        <v>0</v>
      </c>
      <c r="L34" s="121">
        <f t="shared" si="44"/>
        <v>0</v>
      </c>
      <c r="M34" s="121">
        <f t="shared" si="44"/>
        <v>0</v>
      </c>
      <c r="N34" s="122">
        <f t="shared" si="44"/>
        <v>0</v>
      </c>
      <c r="O34" s="121">
        <f t="shared" si="44"/>
        <v>0</v>
      </c>
      <c r="P34" s="121">
        <f t="shared" si="44"/>
        <v>0</v>
      </c>
      <c r="Q34" s="121">
        <f t="shared" si="44"/>
        <v>0</v>
      </c>
      <c r="R34" s="94">
        <v>0</v>
      </c>
      <c r="S34" s="121">
        <f t="shared" ref="S34:AB34" si="45">R221</f>
        <v>0</v>
      </c>
      <c r="T34" s="121">
        <f t="shared" si="45"/>
        <v>0</v>
      </c>
      <c r="U34" s="121">
        <f t="shared" si="45"/>
        <v>0</v>
      </c>
      <c r="V34" s="121">
        <f t="shared" si="45"/>
        <v>0</v>
      </c>
      <c r="W34" s="123">
        <f t="shared" si="45"/>
        <v>0</v>
      </c>
      <c r="X34" s="122">
        <f t="shared" si="45"/>
        <v>0</v>
      </c>
      <c r="Y34" s="121">
        <f t="shared" si="45"/>
        <v>1.2872020192307105</v>
      </c>
      <c r="Z34" s="121">
        <f t="shared" si="45"/>
        <v>1.0547320438290999</v>
      </c>
      <c r="AA34" s="121">
        <f t="shared" si="45"/>
        <v>0.81023098039864649</v>
      </c>
      <c r="AB34" s="123">
        <f t="shared" si="45"/>
        <v>0.55325204407324569</v>
      </c>
      <c r="AE34" s="342"/>
    </row>
    <row r="35" spans="1:31" x14ac:dyDescent="0.35">
      <c r="J35" s="114"/>
      <c r="K35" s="115"/>
      <c r="L35" s="115"/>
      <c r="M35" s="115"/>
      <c r="N35" s="114"/>
      <c r="O35" s="115"/>
      <c r="P35" s="115"/>
      <c r="Q35" s="117"/>
      <c r="R35" s="116"/>
      <c r="S35" s="114"/>
      <c r="T35" s="115"/>
      <c r="U35" s="115"/>
      <c r="V35" s="115"/>
      <c r="W35" s="117"/>
      <c r="X35" s="114"/>
      <c r="Y35" s="115"/>
      <c r="Z35" s="115"/>
      <c r="AA35" s="115"/>
      <c r="AB35" s="117"/>
    </row>
    <row r="36" spans="1:31" ht="12.3" x14ac:dyDescent="0.35">
      <c r="D36" s="124" t="str">
        <f>"Total "&amp;D16</f>
        <v>Total RAB Asset Class</v>
      </c>
      <c r="E36" s="125" t="s">
        <v>111</v>
      </c>
      <c r="F36" s="125" t="str">
        <f>F18</f>
        <v>Dollars</v>
      </c>
      <c r="G36" s="125" t="str">
        <f>G18</f>
        <v>Nominal</v>
      </c>
      <c r="H36" s="47" t="str">
        <f>H18</f>
        <v>Start year</v>
      </c>
      <c r="J36" s="126">
        <f t="shared" ref="J36:AB36" si="46">SUM(J18:J34)</f>
        <v>346.09776574165608</v>
      </c>
      <c r="K36" s="127">
        <f t="shared" si="46"/>
        <v>361.29910007209719</v>
      </c>
      <c r="L36" s="127">
        <f t="shared" si="46"/>
        <v>381.2671765378895</v>
      </c>
      <c r="M36" s="127">
        <f t="shared" si="46"/>
        <v>426.23191748430435</v>
      </c>
      <c r="N36" s="126">
        <f t="shared" si="46"/>
        <v>476.54653007073165</v>
      </c>
      <c r="O36" s="127">
        <f t="shared" si="46"/>
        <v>545.18108755768151</v>
      </c>
      <c r="P36" s="127">
        <f t="shared" si="46"/>
        <v>627.04053878422633</v>
      </c>
      <c r="Q36" s="129">
        <f t="shared" si="46"/>
        <v>685.44809762150351</v>
      </c>
      <c r="R36" s="128">
        <f t="shared" si="46"/>
        <v>780.34731061589048</v>
      </c>
      <c r="S36" s="126">
        <f t="shared" si="46"/>
        <v>853.14139286484397</v>
      </c>
      <c r="T36" s="127">
        <f t="shared" si="46"/>
        <v>893.0226956434409</v>
      </c>
      <c r="U36" s="127">
        <f t="shared" si="46"/>
        <v>918.5274629227896</v>
      </c>
      <c r="V36" s="127">
        <f t="shared" si="46"/>
        <v>937.04991301476116</v>
      </c>
      <c r="W36" s="129">
        <f t="shared" si="46"/>
        <v>950.2943210800446</v>
      </c>
      <c r="X36" s="126">
        <f t="shared" si="46"/>
        <v>973.50319741571764</v>
      </c>
      <c r="Y36" s="127">
        <f t="shared" si="46"/>
        <v>1048.393764359053</v>
      </c>
      <c r="Z36" s="127">
        <f t="shared" si="46"/>
        <v>1096.5249850968944</v>
      </c>
      <c r="AA36" s="127">
        <f t="shared" si="46"/>
        <v>1168.7634131433192</v>
      </c>
      <c r="AB36" s="129">
        <f t="shared" si="46"/>
        <v>1204.4887471495513</v>
      </c>
    </row>
    <row r="37" spans="1:31" s="108" customFormat="1" ht="11.25" customHeight="1" x14ac:dyDescent="0.35">
      <c r="H37" s="6"/>
      <c r="S37" s="370"/>
    </row>
    <row r="38" spans="1:31" s="108" customFormat="1" ht="11.25" customHeight="1" x14ac:dyDescent="0.35">
      <c r="A38" s="95">
        <f>IF(SUM($J38:$AB38)&lt;&gt;0,1,0)</f>
        <v>0</v>
      </c>
      <c r="D38" s="101" t="s">
        <v>114</v>
      </c>
      <c r="H38" s="6"/>
      <c r="J38" s="130">
        <f>IF(ISERROR(J36),1,0)</f>
        <v>0</v>
      </c>
      <c r="K38" s="130">
        <f t="shared" ref="K38:N38" si="47">IF(ISERROR(K36),1,0)</f>
        <v>0</v>
      </c>
      <c r="L38" s="130">
        <f t="shared" si="47"/>
        <v>0</v>
      </c>
      <c r="M38" s="130">
        <f t="shared" si="47"/>
        <v>0</v>
      </c>
      <c r="N38" s="130">
        <f t="shared" si="47"/>
        <v>0</v>
      </c>
      <c r="O38" s="130">
        <f>IF(ISERROR(O36),1,0)</f>
        <v>0</v>
      </c>
      <c r="P38" s="130">
        <f t="shared" ref="P38:S38" si="48">IF(ISERROR(P36),1,0)</f>
        <v>0</v>
      </c>
      <c r="Q38" s="130">
        <f t="shared" si="48"/>
        <v>0</v>
      </c>
      <c r="R38" s="130">
        <f t="shared" si="48"/>
        <v>0</v>
      </c>
      <c r="S38" s="130">
        <f t="shared" si="48"/>
        <v>0</v>
      </c>
      <c r="T38" s="130">
        <f>IF(ISERROR(T36),1,0)</f>
        <v>0</v>
      </c>
      <c r="U38" s="130">
        <f t="shared" ref="U38:X38" si="49">IF(ISERROR(U36),1,0)</f>
        <v>0</v>
      </c>
      <c r="V38" s="130">
        <f t="shared" si="49"/>
        <v>0</v>
      </c>
      <c r="W38" s="130">
        <f t="shared" si="49"/>
        <v>0</v>
      </c>
      <c r="X38" s="130">
        <f t="shared" si="49"/>
        <v>0</v>
      </c>
      <c r="Y38" s="130">
        <f>IF(ISERROR(Y36),1,0)</f>
        <v>0</v>
      </c>
      <c r="Z38" s="130">
        <f t="shared" ref="Z38:AB38" si="50">IF(ISERROR(Z36),1,0)</f>
        <v>0</v>
      </c>
      <c r="AA38" s="130">
        <f t="shared" si="50"/>
        <v>0</v>
      </c>
      <c r="AB38" s="130">
        <f t="shared" si="50"/>
        <v>0</v>
      </c>
    </row>
    <row r="39" spans="1:31" s="108" customFormat="1" ht="11.25" customHeight="1" x14ac:dyDescent="0.35">
      <c r="H39" s="6"/>
      <c r="L39" s="105"/>
      <c r="Q39" s="105"/>
      <c r="V39" s="105"/>
      <c r="AA39" s="105"/>
    </row>
    <row r="40" spans="1:31" s="109" customFormat="1" ht="14.1" x14ac:dyDescent="0.35">
      <c r="C40" s="109" t="s">
        <v>148</v>
      </c>
      <c r="H40" s="13"/>
    </row>
    <row r="41" spans="1:31" s="108" customFormat="1" ht="11.25" customHeight="1" x14ac:dyDescent="0.35">
      <c r="H41" s="6"/>
    </row>
    <row r="42" spans="1:31" ht="12.3" x14ac:dyDescent="0.35">
      <c r="D42" s="110" t="str">
        <f>D$16</f>
        <v>RAB Asset Class</v>
      </c>
      <c r="E42" s="111" t="str">
        <f>Lookup!E$20</f>
        <v>Source</v>
      </c>
      <c r="F42" s="111" t="str">
        <f>Lookup!F$20</f>
        <v>Unit</v>
      </c>
      <c r="G42" s="111" t="str">
        <f>Lookup!G$20</f>
        <v>Basis</v>
      </c>
      <c r="H42" s="45" t="str">
        <f>Lookup!H$20</f>
        <v>Timing</v>
      </c>
      <c r="J42" s="112" t="str">
        <f>J$10</f>
        <v>RY06</v>
      </c>
      <c r="K42" s="111" t="str">
        <f t="shared" ref="K42:AB42" si="51">K$10</f>
        <v>RY07</v>
      </c>
      <c r="L42" s="111" t="str">
        <f t="shared" si="51"/>
        <v>RY08</v>
      </c>
      <c r="M42" s="111" t="str">
        <f t="shared" si="51"/>
        <v>RY09</v>
      </c>
      <c r="N42" s="112" t="str">
        <f t="shared" si="51"/>
        <v>RY10</v>
      </c>
      <c r="O42" s="111" t="str">
        <f>O$10</f>
        <v>RY11</v>
      </c>
      <c r="P42" s="111" t="str">
        <f t="shared" si="51"/>
        <v>RY12</v>
      </c>
      <c r="Q42" s="113" t="str">
        <f t="shared" si="51"/>
        <v>RY13</v>
      </c>
      <c r="R42" s="112" t="str">
        <f t="shared" si="51"/>
        <v>RY14</v>
      </c>
      <c r="S42" s="111" t="str">
        <f t="shared" si="51"/>
        <v>RY15</v>
      </c>
      <c r="T42" s="111" t="str">
        <f>T$10</f>
        <v>RY16</v>
      </c>
      <c r="U42" s="111" t="str">
        <f t="shared" si="51"/>
        <v>RY17</v>
      </c>
      <c r="V42" s="111" t="str">
        <f t="shared" si="51"/>
        <v>RY18</v>
      </c>
      <c r="W42" s="113" t="str">
        <f t="shared" si="51"/>
        <v>RY19</v>
      </c>
      <c r="X42" s="112" t="str">
        <f t="shared" si="51"/>
        <v>RY20</v>
      </c>
      <c r="Y42" s="111" t="str">
        <f>Y$10</f>
        <v>RY21</v>
      </c>
      <c r="Z42" s="111" t="str">
        <f t="shared" si="51"/>
        <v>RY22</v>
      </c>
      <c r="AA42" s="111" t="str">
        <f t="shared" si="51"/>
        <v>RY23</v>
      </c>
      <c r="AB42" s="113" t="str">
        <f t="shared" si="51"/>
        <v>RY24</v>
      </c>
    </row>
    <row r="43" spans="1:31" x14ac:dyDescent="0.35">
      <c r="J43" s="114"/>
      <c r="K43" s="115"/>
      <c r="L43" s="115"/>
      <c r="M43" s="115"/>
      <c r="N43" s="114"/>
      <c r="O43" s="115"/>
      <c r="P43" s="115"/>
      <c r="Q43" s="117"/>
      <c r="R43" s="337"/>
      <c r="S43" s="115"/>
      <c r="T43" s="115"/>
      <c r="U43" s="115"/>
      <c r="V43" s="115"/>
      <c r="W43" s="117"/>
      <c r="X43" s="114"/>
      <c r="Y43" s="115"/>
      <c r="Z43" s="115"/>
      <c r="AA43" s="115"/>
      <c r="AB43" s="117"/>
    </row>
    <row r="44" spans="1:31" ht="12.3" x14ac:dyDescent="0.35">
      <c r="D44" s="101" t="str">
        <f t="shared" ref="D44:D57" si="52">D18</f>
        <v>Substations</v>
      </c>
      <c r="E44" s="119" t="s">
        <v>210</v>
      </c>
      <c r="F44" s="119" t="str">
        <f t="shared" ref="F44:F60" si="53">Dollars</f>
        <v>Dollars</v>
      </c>
      <c r="G44" s="119" t="str">
        <f t="shared" ref="G44:G60" si="54">Nominal</f>
        <v>Nominal</v>
      </c>
      <c r="H44" s="52" t="str">
        <f t="shared" ref="H44:H60" si="55">End_year</f>
        <v>End_year</v>
      </c>
      <c r="J44" s="122">
        <f>J18*J$233</f>
        <v>0.75422078581039909</v>
      </c>
      <c r="K44" s="121">
        <f t="shared" ref="K44:AB44" si="56">K18*K$233</f>
        <v>0.67461758999810062</v>
      </c>
      <c r="L44" s="121">
        <f t="shared" si="56"/>
        <v>1.2300554280983136</v>
      </c>
      <c r="M44" s="121">
        <f t="shared" si="56"/>
        <v>1.1582997852758461</v>
      </c>
      <c r="N44" s="122">
        <f t="shared" si="56"/>
        <v>2.281364271961654</v>
      </c>
      <c r="O44" s="121">
        <f t="shared" si="56"/>
        <v>3.6048115491049311</v>
      </c>
      <c r="P44" s="121">
        <f t="shared" si="56"/>
        <v>2.5530028594780942</v>
      </c>
      <c r="Q44" s="123">
        <f t="shared" si="56"/>
        <v>4.941655736646803</v>
      </c>
      <c r="R44" s="122">
        <f t="shared" si="56"/>
        <v>6.0551051991628917</v>
      </c>
      <c r="S44" s="121">
        <f t="shared" si="56"/>
        <v>3.9558259456231331</v>
      </c>
      <c r="T44" s="121">
        <f t="shared" si="56"/>
        <v>4.0642911209666535</v>
      </c>
      <c r="U44" s="121">
        <f t="shared" si="56"/>
        <v>6.7247117383960964</v>
      </c>
      <c r="V44" s="121">
        <f t="shared" si="56"/>
        <v>7.5940741268649061</v>
      </c>
      <c r="W44" s="123">
        <f t="shared" si="56"/>
        <v>7.363153415410892</v>
      </c>
      <c r="X44" s="122">
        <f t="shared" si="56"/>
        <v>6.5046296783206987</v>
      </c>
      <c r="Y44" s="121">
        <f t="shared" si="56"/>
        <v>6.5895700872861696</v>
      </c>
      <c r="Z44" s="121">
        <f t="shared" si="56"/>
        <v>6.6325812995496207</v>
      </c>
      <c r="AA44" s="121">
        <f t="shared" si="56"/>
        <v>6.7854368314603359</v>
      </c>
      <c r="AB44" s="123">
        <f t="shared" si="56"/>
        <v>6.9396164125200368</v>
      </c>
    </row>
    <row r="45" spans="1:31" ht="12.3" x14ac:dyDescent="0.35">
      <c r="D45" s="101" t="str">
        <f t="shared" si="52"/>
        <v>Distribution Lines</v>
      </c>
      <c r="E45" s="119" t="s">
        <v>210</v>
      </c>
      <c r="F45" s="119" t="str">
        <f t="shared" si="53"/>
        <v>Dollars</v>
      </c>
      <c r="G45" s="119" t="str">
        <f t="shared" si="54"/>
        <v>Nominal</v>
      </c>
      <c r="H45" s="52" t="str">
        <f t="shared" si="55"/>
        <v>End_year</v>
      </c>
      <c r="J45" s="122">
        <f t="shared" ref="J45:AB45" si="57">J19*J$233</f>
        <v>3.3007845971650998</v>
      </c>
      <c r="K45" s="121">
        <f t="shared" si="57"/>
        <v>3.0135258925143416</v>
      </c>
      <c r="L45" s="121">
        <f t="shared" si="57"/>
        <v>5.6174886291848338</v>
      </c>
      <c r="M45" s="121">
        <f t="shared" si="57"/>
        <v>3.5370076988178236</v>
      </c>
      <c r="N45" s="122">
        <f t="shared" si="57"/>
        <v>4.537752227214578</v>
      </c>
      <c r="O45" s="121">
        <f t="shared" si="57"/>
        <v>5.4184119023221564</v>
      </c>
      <c r="P45" s="121">
        <f t="shared" si="57"/>
        <v>2.8978004595805684</v>
      </c>
      <c r="Q45" s="123">
        <f t="shared" si="57"/>
        <v>4.7251155882821783</v>
      </c>
      <c r="R45" s="122">
        <f t="shared" si="57"/>
        <v>5.1836478460382445</v>
      </c>
      <c r="S45" s="121">
        <f t="shared" si="57"/>
        <v>3.0101591966772405</v>
      </c>
      <c r="T45" s="121">
        <f t="shared" si="57"/>
        <v>3.078874227737971</v>
      </c>
      <c r="U45" s="121">
        <f t="shared" si="57"/>
        <v>5.0612698300742069</v>
      </c>
      <c r="V45" s="121">
        <f t="shared" si="57"/>
        <v>5.8794883195477627</v>
      </c>
      <c r="W45" s="123">
        <f t="shared" si="57"/>
        <v>5.9131274230953084</v>
      </c>
      <c r="X45" s="122">
        <f t="shared" si="57"/>
        <v>5.9116237935641704</v>
      </c>
      <c r="Y45" s="121">
        <f t="shared" si="57"/>
        <v>6.3085888933962355</v>
      </c>
      <c r="Z45" s="121">
        <f t="shared" si="57"/>
        <v>6.8028131975802211</v>
      </c>
      <c r="AA45" s="121">
        <f t="shared" si="57"/>
        <v>7.1626468561291263</v>
      </c>
      <c r="AB45" s="123">
        <f t="shared" si="57"/>
        <v>7.47594231242745</v>
      </c>
    </row>
    <row r="46" spans="1:31" ht="12.3" x14ac:dyDescent="0.35">
      <c r="D46" s="101" t="str">
        <f t="shared" si="52"/>
        <v>Transmission Lines</v>
      </c>
      <c r="E46" s="119" t="s">
        <v>210</v>
      </c>
      <c r="F46" s="119" t="str">
        <f t="shared" si="53"/>
        <v>Dollars</v>
      </c>
      <c r="G46" s="119" t="str">
        <f t="shared" si="54"/>
        <v>Nominal</v>
      </c>
      <c r="H46" s="52" t="str">
        <f t="shared" si="55"/>
        <v>End_year</v>
      </c>
      <c r="J46" s="122">
        <f t="shared" ref="J46:AB46" si="58">J20*J$233</f>
        <v>2.9299111146237635</v>
      </c>
      <c r="K46" s="121">
        <f t="shared" si="58"/>
        <v>2.6377392069232166</v>
      </c>
      <c r="L46" s="121">
        <f t="shared" si="58"/>
        <v>4.847091857777178</v>
      </c>
      <c r="M46" s="121">
        <f t="shared" si="58"/>
        <v>2.8109349760760005</v>
      </c>
      <c r="N46" s="122">
        <f t="shared" si="58"/>
        <v>3.3390236912531752</v>
      </c>
      <c r="O46" s="121">
        <f t="shared" si="58"/>
        <v>4.2500358202114521</v>
      </c>
      <c r="P46" s="121">
        <f t="shared" si="58"/>
        <v>2.3824057700064771</v>
      </c>
      <c r="Q46" s="123">
        <f t="shared" si="58"/>
        <v>3.8279199318590895</v>
      </c>
      <c r="R46" s="122">
        <f t="shared" si="58"/>
        <v>4.0919485352000775</v>
      </c>
      <c r="S46" s="121">
        <f t="shared" si="58"/>
        <v>2.2458472015316553</v>
      </c>
      <c r="T46" s="121">
        <f t="shared" si="58"/>
        <v>2.2154788287768121</v>
      </c>
      <c r="U46" s="121">
        <f t="shared" si="58"/>
        <v>3.6402102378091663</v>
      </c>
      <c r="V46" s="121">
        <f t="shared" si="58"/>
        <v>4.2347572084954574</v>
      </c>
      <c r="W46" s="123">
        <f t="shared" si="58"/>
        <v>4.3903802450003697</v>
      </c>
      <c r="X46" s="122">
        <f t="shared" si="58"/>
        <v>4.3777331075928902</v>
      </c>
      <c r="Y46" s="121">
        <f t="shared" si="58"/>
        <v>4.3991670316078944</v>
      </c>
      <c r="Z46" s="121">
        <f t="shared" si="58"/>
        <v>4.4151966437019325</v>
      </c>
      <c r="AA46" s="121">
        <f t="shared" si="58"/>
        <v>4.4260908275027111</v>
      </c>
      <c r="AB46" s="123">
        <f t="shared" si="58"/>
        <v>4.4393162572885982</v>
      </c>
    </row>
    <row r="47" spans="1:31" ht="12.3" x14ac:dyDescent="0.35">
      <c r="D47" s="101" t="str">
        <f t="shared" si="52"/>
        <v>LV Services</v>
      </c>
      <c r="E47" s="119" t="s">
        <v>210</v>
      </c>
      <c r="F47" s="119" t="str">
        <f t="shared" si="53"/>
        <v>Dollars</v>
      </c>
      <c r="G47" s="119" t="str">
        <f t="shared" si="54"/>
        <v>Nominal</v>
      </c>
      <c r="H47" s="52" t="str">
        <f t="shared" si="55"/>
        <v>End_year</v>
      </c>
      <c r="J47" s="122">
        <f t="shared" ref="J47:AB47" si="59">J21*J$233</f>
        <v>4.4751797596302373E-3</v>
      </c>
      <c r="K47" s="121">
        <f t="shared" si="59"/>
        <v>3.9157822896764283E-3</v>
      </c>
      <c r="L47" s="121">
        <f t="shared" si="59"/>
        <v>6.8992354627632696E-3</v>
      </c>
      <c r="M47" s="121">
        <f t="shared" si="59"/>
        <v>4.1022481129943779E-3</v>
      </c>
      <c r="N47" s="122">
        <f t="shared" si="59"/>
        <v>5.0345772295839935E-3</v>
      </c>
      <c r="O47" s="121">
        <f t="shared" si="59"/>
        <v>5.7804405228556906E-3</v>
      </c>
      <c r="P47" s="121">
        <f t="shared" si="59"/>
        <v>2.9834531730868448E-3</v>
      </c>
      <c r="Q47" s="123">
        <f t="shared" si="59"/>
        <v>4.6616455829481531E-3</v>
      </c>
      <c r="R47" s="122">
        <f t="shared" si="59"/>
        <v>4.67784194622076E-3</v>
      </c>
      <c r="S47" s="121">
        <f t="shared" si="59"/>
        <v>2.648560467489413E-3</v>
      </c>
      <c r="T47" s="121">
        <f t="shared" si="59"/>
        <v>2.6761725371616436E-2</v>
      </c>
      <c r="U47" s="121">
        <f t="shared" si="59"/>
        <v>8.3790744765667322E-2</v>
      </c>
      <c r="V47" s="121">
        <f t="shared" si="59"/>
        <v>0.13919012850179002</v>
      </c>
      <c r="W47" s="123">
        <f t="shared" si="59"/>
        <v>0.14293785249301064</v>
      </c>
      <c r="X47" s="122">
        <f t="shared" si="59"/>
        <v>0.18574758052347679</v>
      </c>
      <c r="Y47" s="121">
        <f t="shared" si="59"/>
        <v>0.19036799913282579</v>
      </c>
      <c r="Z47" s="121">
        <f t="shared" si="59"/>
        <v>0.19769458817660823</v>
      </c>
      <c r="AA47" s="121">
        <f t="shared" si="59"/>
        <v>0.20354182059556603</v>
      </c>
      <c r="AB47" s="123">
        <f t="shared" si="59"/>
        <v>0.20816666620512769</v>
      </c>
    </row>
    <row r="48" spans="1:31" ht="12.3" x14ac:dyDescent="0.35">
      <c r="D48" s="101" t="str">
        <f t="shared" si="52"/>
        <v>Distribution Substations</v>
      </c>
      <c r="E48" s="119" t="s">
        <v>210</v>
      </c>
      <c r="F48" s="119" t="str">
        <f t="shared" si="53"/>
        <v>Dollars</v>
      </c>
      <c r="G48" s="119" t="str">
        <f t="shared" si="54"/>
        <v>Nominal</v>
      </c>
      <c r="H48" s="52" t="str">
        <f t="shared" si="55"/>
        <v>End_year</v>
      </c>
      <c r="J48" s="122">
        <f t="shared" ref="J48:AB48" si="60">J22*J$233</f>
        <v>1.4077962944790572</v>
      </c>
      <c r="K48" s="121">
        <f t="shared" si="60"/>
        <v>1.1569603332455918</v>
      </c>
      <c r="L48" s="121">
        <f t="shared" si="60"/>
        <v>1.9167875727523163</v>
      </c>
      <c r="M48" s="121">
        <f t="shared" si="60"/>
        <v>1.2258682143043007</v>
      </c>
      <c r="N48" s="122">
        <f t="shared" si="60"/>
        <v>1.5603638611950892</v>
      </c>
      <c r="O48" s="121">
        <f t="shared" si="60"/>
        <v>2.112202816560266</v>
      </c>
      <c r="P48" s="121">
        <f t="shared" si="60"/>
        <v>1.2316946973094565</v>
      </c>
      <c r="Q48" s="123">
        <f t="shared" si="60"/>
        <v>1.9475389046417801</v>
      </c>
      <c r="R48" s="122">
        <f t="shared" si="60"/>
        <v>1.9671951857896446</v>
      </c>
      <c r="S48" s="121">
        <f t="shared" si="60"/>
        <v>1.0993462390227222</v>
      </c>
      <c r="T48" s="121">
        <f t="shared" si="60"/>
        <v>1.162238232539321</v>
      </c>
      <c r="U48" s="121">
        <f t="shared" si="60"/>
        <v>1.952387769282949</v>
      </c>
      <c r="V48" s="121">
        <f t="shared" si="60"/>
        <v>2.2633329933595236</v>
      </c>
      <c r="W48" s="123">
        <f t="shared" si="60"/>
        <v>2.2656708965290657</v>
      </c>
      <c r="X48" s="122">
        <f t="shared" si="60"/>
        <v>2.4153923467601244</v>
      </c>
      <c r="Y48" s="121">
        <f t="shared" si="60"/>
        <v>2.4497271194281733</v>
      </c>
      <c r="Z48" s="121">
        <f t="shared" si="60"/>
        <v>2.4966587211114604</v>
      </c>
      <c r="AA48" s="121">
        <f t="shared" si="60"/>
        <v>2.5433446557072967</v>
      </c>
      <c r="AB48" s="123">
        <f t="shared" si="60"/>
        <v>2.6086584390677974</v>
      </c>
    </row>
    <row r="49" spans="1:28" ht="12.3" x14ac:dyDescent="0.35">
      <c r="D49" s="101" t="str">
        <f t="shared" si="52"/>
        <v>Distribution Switchgear</v>
      </c>
      <c r="E49" s="119" t="s">
        <v>210</v>
      </c>
      <c r="F49" s="119" t="str">
        <f t="shared" si="53"/>
        <v>Dollars</v>
      </c>
      <c r="G49" s="119" t="str">
        <f t="shared" si="54"/>
        <v>Nominal</v>
      </c>
      <c r="H49" s="52" t="str">
        <f t="shared" si="55"/>
        <v>End_year</v>
      </c>
      <c r="J49" s="122">
        <f t="shared" ref="J49:AB49" si="61">J23*J$233</f>
        <v>0.20130001503857697</v>
      </c>
      <c r="K49" s="121">
        <f t="shared" si="61"/>
        <v>0.17613751315875353</v>
      </c>
      <c r="L49" s="121">
        <f t="shared" si="61"/>
        <v>0.31033752318447227</v>
      </c>
      <c r="M49" s="121">
        <f t="shared" si="61"/>
        <v>0.19326764745841027</v>
      </c>
      <c r="N49" s="122">
        <f t="shared" si="61"/>
        <v>0.3811287484259091</v>
      </c>
      <c r="O49" s="121">
        <f t="shared" si="61"/>
        <v>0.43759226671122847</v>
      </c>
      <c r="P49" s="121">
        <f t="shared" si="61"/>
        <v>0.225854073141282</v>
      </c>
      <c r="Q49" s="123">
        <f t="shared" si="61"/>
        <v>0.35289698928324986</v>
      </c>
      <c r="R49" s="122">
        <f t="shared" si="61"/>
        <v>0.35412309018142801</v>
      </c>
      <c r="S49" s="121">
        <f t="shared" si="61"/>
        <v>0.20068219061051548</v>
      </c>
      <c r="T49" s="121">
        <f t="shared" si="61"/>
        <v>0.25893284935739697</v>
      </c>
      <c r="U49" s="121">
        <f t="shared" si="61"/>
        <v>0.53755960910883882</v>
      </c>
      <c r="V49" s="121">
        <f t="shared" si="61"/>
        <v>0.73816857703405592</v>
      </c>
      <c r="W49" s="123">
        <f t="shared" si="61"/>
        <v>0.85129431422219837</v>
      </c>
      <c r="X49" s="122">
        <f t="shared" si="61"/>
        <v>1.0624056326306996</v>
      </c>
      <c r="Y49" s="121">
        <f t="shared" si="61"/>
        <v>1.1723923229573903</v>
      </c>
      <c r="Z49" s="121">
        <f t="shared" si="61"/>
        <v>1.2924537742271229</v>
      </c>
      <c r="AA49" s="121">
        <f t="shared" si="61"/>
        <v>1.4069554269305438</v>
      </c>
      <c r="AB49" s="123">
        <f t="shared" si="61"/>
        <v>1.5361744273338982</v>
      </c>
    </row>
    <row r="50" spans="1:28" ht="12.3" x14ac:dyDescent="0.35">
      <c r="D50" s="101" t="str">
        <f t="shared" si="52"/>
        <v>Protection</v>
      </c>
      <c r="E50" s="119" t="s">
        <v>210</v>
      </c>
      <c r="F50" s="119" t="str">
        <f t="shared" si="53"/>
        <v>Dollars</v>
      </c>
      <c r="G50" s="119" t="str">
        <f t="shared" si="54"/>
        <v>Nominal</v>
      </c>
      <c r="H50" s="52" t="str">
        <f t="shared" si="55"/>
        <v>End_year</v>
      </c>
      <c r="J50" s="122">
        <f t="shared" ref="J50:AB50" si="62">J24*J$233</f>
        <v>4.9813103263131597E-2</v>
      </c>
      <c r="K50" s="121">
        <f t="shared" si="62"/>
        <v>4.3586465355239815E-2</v>
      </c>
      <c r="L50" s="121">
        <f t="shared" si="62"/>
        <v>7.6795200863994398E-2</v>
      </c>
      <c r="M50" s="121">
        <f t="shared" si="62"/>
        <v>4.5662011324537226E-2</v>
      </c>
      <c r="N50" s="122">
        <f t="shared" si="62"/>
        <v>5.6039741171022783E-2</v>
      </c>
      <c r="O50" s="121">
        <f t="shared" si="62"/>
        <v>0.10480852500841409</v>
      </c>
      <c r="P50" s="121">
        <f t="shared" si="62"/>
        <v>6.7902625440370762E-2</v>
      </c>
      <c r="Q50" s="123">
        <f t="shared" si="62"/>
        <v>0.12891896179572182</v>
      </c>
      <c r="R50" s="122">
        <f t="shared" si="62"/>
        <v>0.20555305646786101</v>
      </c>
      <c r="S50" s="121">
        <f t="shared" si="62"/>
        <v>0.12818137245738967</v>
      </c>
      <c r="T50" s="121">
        <f t="shared" si="62"/>
        <v>0.19415217091044992</v>
      </c>
      <c r="U50" s="121">
        <f t="shared" si="62"/>
        <v>0.40615673445615108</v>
      </c>
      <c r="V50" s="121">
        <f t="shared" si="62"/>
        <v>0.52789171274754532</v>
      </c>
      <c r="W50" s="123">
        <f t="shared" si="62"/>
        <v>0.54569605999350734</v>
      </c>
      <c r="X50" s="122">
        <f t="shared" si="62"/>
        <v>0.80303697138514096</v>
      </c>
      <c r="Y50" s="121">
        <f t="shared" si="62"/>
        <v>0.86793200000693227</v>
      </c>
      <c r="Z50" s="121">
        <f t="shared" si="62"/>
        <v>0.94337269047300287</v>
      </c>
      <c r="AA50" s="121">
        <f t="shared" si="62"/>
        <v>0.97608083644943655</v>
      </c>
      <c r="AB50" s="123">
        <f t="shared" si="62"/>
        <v>1.0101163518837069</v>
      </c>
    </row>
    <row r="51" spans="1:28" ht="12.3" x14ac:dyDescent="0.35">
      <c r="D51" s="101" t="str">
        <f t="shared" si="52"/>
        <v>SCADA</v>
      </c>
      <c r="E51" s="119" t="s">
        <v>210</v>
      </c>
      <c r="F51" s="119" t="str">
        <f t="shared" si="53"/>
        <v>Dollars</v>
      </c>
      <c r="G51" s="119" t="str">
        <f t="shared" si="54"/>
        <v>Nominal</v>
      </c>
      <c r="H51" s="52" t="str">
        <f t="shared" si="55"/>
        <v>End_year</v>
      </c>
      <c r="J51" s="122">
        <f t="shared" ref="J51:AB51" si="63">J25*J$233</f>
        <v>6.5711075431239968E-3</v>
      </c>
      <c r="K51" s="121">
        <f t="shared" si="63"/>
        <v>2.7506564472371082E-3</v>
      </c>
      <c r="L51" s="121">
        <f t="shared" si="63"/>
        <v>0</v>
      </c>
      <c r="M51" s="121">
        <f t="shared" si="63"/>
        <v>5.9728498545578455E-2</v>
      </c>
      <c r="N51" s="122">
        <f t="shared" si="63"/>
        <v>5.6058153178949056E-2</v>
      </c>
      <c r="O51" s="121">
        <f t="shared" si="63"/>
        <v>6.4363064761015512E-2</v>
      </c>
      <c r="P51" s="121">
        <f t="shared" si="63"/>
        <v>3.3219646328266482E-2</v>
      </c>
      <c r="Q51" s="123">
        <f t="shared" si="63"/>
        <v>5.1905697387915901E-2</v>
      </c>
      <c r="R51" s="122">
        <f t="shared" si="63"/>
        <v>5.2086037895544335E-2</v>
      </c>
      <c r="S51" s="121">
        <f t="shared" si="63"/>
        <v>1.9446710345155049E-2</v>
      </c>
      <c r="T51" s="121">
        <f t="shared" si="63"/>
        <v>3.9132440155824497E-2</v>
      </c>
      <c r="U51" s="121">
        <f t="shared" si="63"/>
        <v>6.9087736786906287E-2</v>
      </c>
      <c r="V51" s="121">
        <f t="shared" si="63"/>
        <v>9.2768729083788123E-2</v>
      </c>
      <c r="W51" s="123">
        <f t="shared" si="63"/>
        <v>0.10385417603823591</v>
      </c>
      <c r="X51" s="122">
        <f t="shared" si="63"/>
        <v>0.23021826548969801</v>
      </c>
      <c r="Y51" s="121">
        <f t="shared" si="63"/>
        <v>0.22927338109368459</v>
      </c>
      <c r="Z51" s="121">
        <f t="shared" si="63"/>
        <v>0.23289107279599616</v>
      </c>
      <c r="AA51" s="121">
        <f t="shared" si="63"/>
        <v>0.23021391451630807</v>
      </c>
      <c r="AB51" s="123">
        <f t="shared" si="63"/>
        <v>0.23631863814283754</v>
      </c>
    </row>
    <row r="52" spans="1:28" ht="12.3" x14ac:dyDescent="0.35">
      <c r="D52" s="101" t="str">
        <f t="shared" si="52"/>
        <v>Communications</v>
      </c>
      <c r="E52" s="119" t="s">
        <v>210</v>
      </c>
      <c r="F52" s="119" t="str">
        <f t="shared" si="53"/>
        <v>Dollars</v>
      </c>
      <c r="G52" s="119" t="str">
        <f t="shared" si="54"/>
        <v>Nominal</v>
      </c>
      <c r="H52" s="52" t="str">
        <f t="shared" si="55"/>
        <v>End_year</v>
      </c>
      <c r="J52" s="122">
        <f t="shared" ref="J52:AB52" si="64">J26*J$233</f>
        <v>0.56542597375600168</v>
      </c>
      <c r="K52" s="121">
        <f t="shared" si="64"/>
        <v>0.50319737252392283</v>
      </c>
      <c r="L52" s="121">
        <f t="shared" si="64"/>
        <v>0.9119990212103074</v>
      </c>
      <c r="M52" s="121">
        <f t="shared" si="64"/>
        <v>0.52862800315715264</v>
      </c>
      <c r="N52" s="122">
        <f t="shared" si="64"/>
        <v>0.68562461906911487</v>
      </c>
      <c r="O52" s="121">
        <f t="shared" si="64"/>
        <v>0.59784559734756815</v>
      </c>
      <c r="P52" s="121">
        <f t="shared" si="64"/>
        <v>0.20972378979966338</v>
      </c>
      <c r="Q52" s="123">
        <f t="shared" si="64"/>
        <v>0.17030716973870835</v>
      </c>
      <c r="R52" s="122">
        <f t="shared" si="64"/>
        <v>0.17726560153178716</v>
      </c>
      <c r="S52" s="121">
        <f t="shared" si="64"/>
        <v>8.0442099005678877E-2</v>
      </c>
      <c r="T52" s="121">
        <f t="shared" si="64"/>
        <v>8.4736463074542176E-2</v>
      </c>
      <c r="U52" s="121">
        <f t="shared" si="64"/>
        <v>0.11675065640496253</v>
      </c>
      <c r="V52" s="121">
        <f t="shared" si="64"/>
        <v>0.14960856625760538</v>
      </c>
      <c r="W52" s="123">
        <f t="shared" si="64"/>
        <v>0.27190097971979893</v>
      </c>
      <c r="X52" s="122">
        <f t="shared" si="64"/>
        <v>0.36480118822287977</v>
      </c>
      <c r="Y52" s="121">
        <f t="shared" si="64"/>
        <v>0.37722882922891016</v>
      </c>
      <c r="Z52" s="121">
        <f t="shared" si="64"/>
        <v>0.40739915114238268</v>
      </c>
      <c r="AA52" s="121">
        <f t="shared" si="64"/>
        <v>0.45610141877026933</v>
      </c>
      <c r="AB52" s="123">
        <f t="shared" si="64"/>
        <v>0.49386525151925686</v>
      </c>
    </row>
    <row r="53" spans="1:28" ht="12.3" x14ac:dyDescent="0.35">
      <c r="D53" s="101" t="str">
        <f t="shared" si="52"/>
        <v>Land and Easements</v>
      </c>
      <c r="E53" s="119" t="s">
        <v>210</v>
      </c>
      <c r="F53" s="119" t="str">
        <f t="shared" si="53"/>
        <v>Dollars</v>
      </c>
      <c r="G53" s="119" t="str">
        <f t="shared" si="54"/>
        <v>Nominal</v>
      </c>
      <c r="H53" s="52" t="str">
        <f t="shared" si="55"/>
        <v>End_year</v>
      </c>
      <c r="J53" s="122">
        <f t="shared" ref="J53:AB53" si="65">J27*J$233</f>
        <v>0.81950636793439535</v>
      </c>
      <c r="K53" s="121">
        <f t="shared" si="65"/>
        <v>0.73176535129568909</v>
      </c>
      <c r="L53" s="121">
        <f t="shared" si="65"/>
        <v>1.3211675943871264</v>
      </c>
      <c r="M53" s="121">
        <f t="shared" si="65"/>
        <v>0.78555911017612945</v>
      </c>
      <c r="N53" s="122">
        <f t="shared" si="65"/>
        <v>0.96409527157979225</v>
      </c>
      <c r="O53" s="121">
        <f t="shared" si="65"/>
        <v>1.1069242007027233</v>
      </c>
      <c r="P53" s="121">
        <f t="shared" si="65"/>
        <v>0.57131571649173518</v>
      </c>
      <c r="Q53" s="123">
        <f t="shared" si="65"/>
        <v>0.89268080701832808</v>
      </c>
      <c r="R53" s="122">
        <f t="shared" si="65"/>
        <v>0.80907572383073523</v>
      </c>
      <c r="S53" s="121">
        <f t="shared" si="65"/>
        <v>0.4578724295316603</v>
      </c>
      <c r="T53" s="121">
        <f t="shared" si="65"/>
        <v>0.4578724295316684</v>
      </c>
      <c r="U53" s="121">
        <f t="shared" si="65"/>
        <v>0.75221899137344483</v>
      </c>
      <c r="V53" s="121">
        <f t="shared" si="65"/>
        <v>0.87608012100708033</v>
      </c>
      <c r="W53" s="123">
        <f t="shared" si="65"/>
        <v>0.89732396584112384</v>
      </c>
      <c r="X53" s="122">
        <f t="shared" si="65"/>
        <v>1.1240486523495119</v>
      </c>
      <c r="Y53" s="121">
        <f t="shared" si="65"/>
        <v>1.1513054232587514</v>
      </c>
      <c r="Z53" s="121">
        <f t="shared" si="65"/>
        <v>1.1792231366982326</v>
      </c>
      <c r="AA53" s="121">
        <f t="shared" si="65"/>
        <v>1.2078178196958724</v>
      </c>
      <c r="AB53" s="123">
        <f t="shared" si="65"/>
        <v>1.2371058879149257</v>
      </c>
    </row>
    <row r="54" spans="1:28" ht="12.3" x14ac:dyDescent="0.35">
      <c r="D54" s="101" t="str">
        <f t="shared" si="52"/>
        <v>Property</v>
      </c>
      <c r="E54" s="119" t="s">
        <v>210</v>
      </c>
      <c r="F54" s="119" t="str">
        <f t="shared" si="53"/>
        <v>Dollars</v>
      </c>
      <c r="G54" s="119" t="str">
        <f t="shared" si="54"/>
        <v>Nominal</v>
      </c>
      <c r="H54" s="52" t="str">
        <f t="shared" si="55"/>
        <v>End_year</v>
      </c>
      <c r="J54" s="122">
        <f t="shared" ref="J54:AB54" si="66">J28*J$233</f>
        <v>0</v>
      </c>
      <c r="K54" s="121">
        <f t="shared" si="66"/>
        <v>0</v>
      </c>
      <c r="L54" s="121">
        <f t="shared" si="66"/>
        <v>0</v>
      </c>
      <c r="M54" s="121">
        <f t="shared" si="66"/>
        <v>1.3083759583623808E-2</v>
      </c>
      <c r="N54" s="122">
        <f t="shared" si="66"/>
        <v>2.3812541835393348E-2</v>
      </c>
      <c r="O54" s="121">
        <f t="shared" si="66"/>
        <v>2.7340325811007152E-2</v>
      </c>
      <c r="P54" s="121">
        <f t="shared" si="66"/>
        <v>1.4111135902455479E-2</v>
      </c>
      <c r="Q54" s="123">
        <f t="shared" si="66"/>
        <v>2.2048649847586487E-2</v>
      </c>
      <c r="R54" s="122">
        <f t="shared" si="66"/>
        <v>2.2125255401622659E-2</v>
      </c>
      <c r="S54" s="121">
        <f t="shared" si="66"/>
        <v>1.4663158059903952E-2</v>
      </c>
      <c r="T54" s="121">
        <f t="shared" si="66"/>
        <v>1.2218110089219379E-2</v>
      </c>
      <c r="U54" s="121">
        <f t="shared" si="66"/>
        <v>1.6060163138909841E-2</v>
      </c>
      <c r="V54" s="121">
        <f t="shared" si="66"/>
        <v>1.3582682721980361E-2</v>
      </c>
      <c r="W54" s="123">
        <f t="shared" si="66"/>
        <v>8.7088567305553602E-3</v>
      </c>
      <c r="X54" s="122">
        <f t="shared" si="66"/>
        <v>0.25119286786515699</v>
      </c>
      <c r="Y54" s="121">
        <f t="shared" si="66"/>
        <v>0.4422659796740816</v>
      </c>
      <c r="Z54" s="121">
        <f t="shared" si="66"/>
        <v>0.43272716554853446</v>
      </c>
      <c r="AA54" s="121">
        <f t="shared" si="66"/>
        <v>0.42078490599374657</v>
      </c>
      <c r="AB54" s="123">
        <f t="shared" si="66"/>
        <v>0.40392839724238944</v>
      </c>
    </row>
    <row r="55" spans="1:28" ht="12.3" x14ac:dyDescent="0.35">
      <c r="D55" s="101" t="str">
        <f t="shared" si="52"/>
        <v>IT and Communications</v>
      </c>
      <c r="E55" s="119" t="s">
        <v>210</v>
      </c>
      <c r="F55" s="119" t="str">
        <f t="shared" si="53"/>
        <v>Dollars</v>
      </c>
      <c r="G55" s="119" t="str">
        <f t="shared" si="54"/>
        <v>Nominal</v>
      </c>
      <c r="H55" s="52" t="str">
        <f t="shared" si="55"/>
        <v>End_year</v>
      </c>
      <c r="J55" s="122">
        <f t="shared" ref="J55:AB55" si="67">J29*J$233</f>
        <v>1.6495126616015657E-2</v>
      </c>
      <c r="K55" s="121">
        <f t="shared" si="67"/>
        <v>1.4433235789013591E-2</v>
      </c>
      <c r="L55" s="121">
        <f t="shared" si="67"/>
        <v>2.5429986866357425E-2</v>
      </c>
      <c r="M55" s="121">
        <f t="shared" si="67"/>
        <v>1.5120532731347662E-2</v>
      </c>
      <c r="N55" s="122">
        <f t="shared" si="67"/>
        <v>1.8557017443017527E-2</v>
      </c>
      <c r="O55" s="121">
        <f t="shared" si="67"/>
        <v>2.1306205212353435E-2</v>
      </c>
      <c r="P55" s="121">
        <f t="shared" si="67"/>
        <v>1.0996751077343846E-2</v>
      </c>
      <c r="Q55" s="123">
        <f t="shared" si="67"/>
        <v>1.7182423558349601E-2</v>
      </c>
      <c r="R55" s="122">
        <f t="shared" si="67"/>
        <v>1.7242121956458804E-2</v>
      </c>
      <c r="S55" s="121">
        <f t="shared" si="67"/>
        <v>8.4046364017830687E-3</v>
      </c>
      <c r="T55" s="121">
        <f t="shared" si="67"/>
        <v>1.2754668208304801E-2</v>
      </c>
      <c r="U55" s="121">
        <f t="shared" si="67"/>
        <v>3.6071989916036308E-2</v>
      </c>
      <c r="V55" s="121">
        <f t="shared" si="67"/>
        <v>0.10463257518834855</v>
      </c>
      <c r="W55" s="123">
        <f t="shared" si="67"/>
        <v>0.21276269867622249</v>
      </c>
      <c r="X55" s="122">
        <f t="shared" si="67"/>
        <v>0.35700005038195914</v>
      </c>
      <c r="Y55" s="121">
        <f t="shared" si="67"/>
        <v>0.60623658416051918</v>
      </c>
      <c r="Z55" s="121">
        <f t="shared" si="67"/>
        <v>0.85015476201620899</v>
      </c>
      <c r="AA55" s="121">
        <f t="shared" si="67"/>
        <v>1.1853058553316309</v>
      </c>
      <c r="AB55" s="123">
        <f t="shared" si="67"/>
        <v>1.2702955020023152</v>
      </c>
    </row>
    <row r="56" spans="1:28" ht="12.3" x14ac:dyDescent="0.35">
      <c r="D56" s="101" t="str">
        <f t="shared" si="52"/>
        <v>Motor Vehicles</v>
      </c>
      <c r="E56" s="119" t="s">
        <v>210</v>
      </c>
      <c r="F56" s="119" t="str">
        <f t="shared" si="53"/>
        <v>Dollars</v>
      </c>
      <c r="G56" s="119" t="str">
        <f t="shared" si="54"/>
        <v>Nominal</v>
      </c>
      <c r="H56" s="52" t="str">
        <f t="shared" si="55"/>
        <v>End_year</v>
      </c>
      <c r="J56" s="122">
        <f t="shared" ref="J56:AB56" si="68">J30*J$233</f>
        <v>1.0240907812500025E-3</v>
      </c>
      <c r="K56" s="121">
        <f t="shared" si="68"/>
        <v>8.9607943359374526E-4</v>
      </c>
      <c r="L56" s="121">
        <f t="shared" si="68"/>
        <v>1.5788066210937505E-3</v>
      </c>
      <c r="M56" s="121">
        <f t="shared" si="68"/>
        <v>9.3874988281250052E-4</v>
      </c>
      <c r="N56" s="122">
        <f t="shared" si="68"/>
        <v>1.1521021289062471E-3</v>
      </c>
      <c r="O56" s="121">
        <f t="shared" si="68"/>
        <v>1.3227839257812454E-3</v>
      </c>
      <c r="P56" s="121">
        <f t="shared" si="68"/>
        <v>6.8272718750000602E-4</v>
      </c>
      <c r="Q56" s="123">
        <f t="shared" si="68"/>
        <v>1.0667612304687496E-3</v>
      </c>
      <c r="R56" s="122">
        <f t="shared" si="68"/>
        <v>1.0704675723830737E-3</v>
      </c>
      <c r="S56" s="121">
        <f t="shared" si="68"/>
        <v>7.094352099864808E-4</v>
      </c>
      <c r="T56" s="121">
        <f t="shared" si="68"/>
        <v>1.553949174471039E-3</v>
      </c>
      <c r="U56" s="121">
        <f t="shared" si="68"/>
        <v>2.5309106481659583E-3</v>
      </c>
      <c r="V56" s="121">
        <f t="shared" si="68"/>
        <v>2.5385772368327684E-3</v>
      </c>
      <c r="W56" s="123">
        <f t="shared" si="68"/>
        <v>2.3483930466307746E-3</v>
      </c>
      <c r="X56" s="122">
        <f t="shared" si="68"/>
        <v>7.5842394365675117E-3</v>
      </c>
      <c r="Y56" s="121">
        <f t="shared" si="68"/>
        <v>6.8557708301464895E-3</v>
      </c>
      <c r="Z56" s="121">
        <f t="shared" si="68"/>
        <v>6.0875137767136232E-3</v>
      </c>
      <c r="AA56" s="121">
        <f t="shared" si="68"/>
        <v>5.277966977119076E-3</v>
      </c>
      <c r="AB56" s="123">
        <f t="shared" si="68"/>
        <v>4.4255797186426816E-3</v>
      </c>
    </row>
    <row r="57" spans="1:28" ht="12.3" x14ac:dyDescent="0.35">
      <c r="D57" s="101" t="str">
        <f t="shared" si="52"/>
        <v>Plant and Equipment</v>
      </c>
      <c r="E57" s="119" t="s">
        <v>210</v>
      </c>
      <c r="F57" s="119" t="str">
        <f t="shared" si="53"/>
        <v>Dollars</v>
      </c>
      <c r="G57" s="119" t="str">
        <f t="shared" si="54"/>
        <v>Nominal</v>
      </c>
      <c r="H57" s="52" t="str">
        <f t="shared" si="55"/>
        <v>End_year</v>
      </c>
      <c r="J57" s="122">
        <f t="shared" ref="J57:AB57" si="69">J31*J$233</f>
        <v>6.0028713144007623E-2</v>
      </c>
      <c r="K57" s="121">
        <f t="shared" si="69"/>
        <v>1.9505410391300732E-2</v>
      </c>
      <c r="L57" s="121">
        <f t="shared" si="69"/>
        <v>2.4075300521863269E-2</v>
      </c>
      <c r="M57" s="121">
        <f t="shared" si="69"/>
        <v>6.1865659429221013E-3</v>
      </c>
      <c r="N57" s="122">
        <f t="shared" si="69"/>
        <v>0</v>
      </c>
      <c r="O57" s="121">
        <f t="shared" si="69"/>
        <v>0</v>
      </c>
      <c r="P57" s="121">
        <f t="shared" si="69"/>
        <v>4.4595204628556859E-3</v>
      </c>
      <c r="Q57" s="123">
        <f t="shared" si="69"/>
        <v>6.9456529460787134E-2</v>
      </c>
      <c r="R57" s="122">
        <f t="shared" si="69"/>
        <v>0.17652416347231392</v>
      </c>
      <c r="S57" s="121">
        <f t="shared" si="69"/>
        <v>0.10781968663797592</v>
      </c>
      <c r="T57" s="121">
        <f t="shared" si="69"/>
        <v>9.7292801903792192E-2</v>
      </c>
      <c r="U57" s="121">
        <f t="shared" si="69"/>
        <v>0.12626834738018278</v>
      </c>
      <c r="V57" s="121">
        <f t="shared" si="69"/>
        <v>0.10617155114575724</v>
      </c>
      <c r="W57" s="123">
        <f t="shared" si="69"/>
        <v>7.428688711170725E-2</v>
      </c>
      <c r="X57" s="122">
        <f t="shared" si="69"/>
        <v>1.0817949949104202E-2</v>
      </c>
      <c r="Y57" s="121">
        <f t="shared" si="69"/>
        <v>4.004589972185571E-2</v>
      </c>
      <c r="Z57" s="121">
        <f t="shared" si="69"/>
        <v>6.9746641984741231E-2</v>
      </c>
      <c r="AA57" s="121">
        <f t="shared" si="69"/>
        <v>9.750427819216885E-2</v>
      </c>
      <c r="AB57" s="123">
        <f t="shared" si="69"/>
        <v>0.12668465475787435</v>
      </c>
    </row>
    <row r="58" spans="1:28" ht="12.3" x14ac:dyDescent="0.35">
      <c r="D58" s="101" t="str">
        <f t="shared" ref="D58:D59" si="70">D32</f>
        <v>Property Leases</v>
      </c>
      <c r="E58" s="119" t="s">
        <v>210</v>
      </c>
      <c r="F58" s="119" t="str">
        <f t="shared" si="53"/>
        <v>Dollars</v>
      </c>
      <c r="G58" s="119" t="str">
        <f t="shared" si="54"/>
        <v>Nominal</v>
      </c>
      <c r="H58" s="52" t="str">
        <f t="shared" si="55"/>
        <v>End_year</v>
      </c>
      <c r="J58" s="122">
        <f t="shared" ref="J58:AB58" si="71">J32*J$233</f>
        <v>0</v>
      </c>
      <c r="K58" s="121">
        <f t="shared" si="71"/>
        <v>0</v>
      </c>
      <c r="L58" s="121">
        <f t="shared" si="71"/>
        <v>0</v>
      </c>
      <c r="M58" s="121">
        <f t="shared" si="71"/>
        <v>0</v>
      </c>
      <c r="N58" s="122">
        <f t="shared" si="71"/>
        <v>0</v>
      </c>
      <c r="O58" s="121">
        <f t="shared" si="71"/>
        <v>0</v>
      </c>
      <c r="P58" s="121">
        <f t="shared" si="71"/>
        <v>0</v>
      </c>
      <c r="Q58" s="123">
        <f t="shared" si="71"/>
        <v>0</v>
      </c>
      <c r="R58" s="122">
        <f t="shared" si="71"/>
        <v>0</v>
      </c>
      <c r="S58" s="121">
        <f t="shared" si="71"/>
        <v>0</v>
      </c>
      <c r="T58" s="121">
        <f t="shared" si="71"/>
        <v>0</v>
      </c>
      <c r="U58" s="121">
        <f t="shared" si="71"/>
        <v>0</v>
      </c>
      <c r="V58" s="121">
        <f t="shared" si="71"/>
        <v>0</v>
      </c>
      <c r="W58" s="123">
        <f t="shared" si="71"/>
        <v>0</v>
      </c>
      <c r="X58" s="122">
        <f t="shared" si="71"/>
        <v>0</v>
      </c>
      <c r="Y58" s="121">
        <f t="shared" si="71"/>
        <v>0.13711531797667451</v>
      </c>
      <c r="Z58" s="121">
        <f t="shared" si="71"/>
        <v>0.13155103667805551</v>
      </c>
      <c r="AA58" s="121">
        <f t="shared" si="71"/>
        <v>0.72434519031679068</v>
      </c>
      <c r="AB58" s="123">
        <f t="shared" si="71"/>
        <v>0.69377000167942093</v>
      </c>
    </row>
    <row r="59" spans="1:28" ht="12.3" x14ac:dyDescent="0.35">
      <c r="D59" s="101" t="str">
        <f t="shared" si="70"/>
        <v>Fleet Leases</v>
      </c>
      <c r="E59" s="119" t="s">
        <v>210</v>
      </c>
      <c r="F59" s="119" t="str">
        <f t="shared" si="53"/>
        <v>Dollars</v>
      </c>
      <c r="G59" s="119" t="str">
        <f t="shared" si="54"/>
        <v>Nominal</v>
      </c>
      <c r="H59" s="52" t="str">
        <f t="shared" si="55"/>
        <v>End_year</v>
      </c>
      <c r="J59" s="122">
        <f t="shared" ref="J59:AB59" si="72">J33*J$233</f>
        <v>0</v>
      </c>
      <c r="K59" s="121">
        <f t="shared" si="72"/>
        <v>0</v>
      </c>
      <c r="L59" s="121">
        <f t="shared" si="72"/>
        <v>0</v>
      </c>
      <c r="M59" s="121">
        <f t="shared" si="72"/>
        <v>0</v>
      </c>
      <c r="N59" s="122">
        <f t="shared" si="72"/>
        <v>0</v>
      </c>
      <c r="O59" s="121">
        <f t="shared" si="72"/>
        <v>0</v>
      </c>
      <c r="P59" s="121">
        <f t="shared" si="72"/>
        <v>0</v>
      </c>
      <c r="Q59" s="123">
        <f t="shared" si="72"/>
        <v>0</v>
      </c>
      <c r="R59" s="122">
        <f t="shared" si="72"/>
        <v>0</v>
      </c>
      <c r="S59" s="121">
        <f t="shared" si="72"/>
        <v>0</v>
      </c>
      <c r="T59" s="121">
        <f t="shared" si="72"/>
        <v>0</v>
      </c>
      <c r="U59" s="121">
        <f t="shared" si="72"/>
        <v>0</v>
      </c>
      <c r="V59" s="121">
        <f t="shared" si="72"/>
        <v>0</v>
      </c>
      <c r="W59" s="123">
        <f t="shared" si="72"/>
        <v>0</v>
      </c>
      <c r="X59" s="122">
        <f t="shared" si="72"/>
        <v>0</v>
      </c>
      <c r="Y59" s="121">
        <f t="shared" si="72"/>
        <v>0.42294902785289257</v>
      </c>
      <c r="Z59" s="121">
        <f t="shared" si="72"/>
        <v>0.4732291517085917</v>
      </c>
      <c r="AA59" s="121">
        <f t="shared" si="72"/>
        <v>0.48995212162782475</v>
      </c>
      <c r="AB59" s="123">
        <f t="shared" si="72"/>
        <v>0.50954193423317562</v>
      </c>
    </row>
    <row r="60" spans="1:28" ht="12.3" x14ac:dyDescent="0.35">
      <c r="D60" s="101" t="str">
        <f t="shared" ref="D60" si="73">D34</f>
        <v>Equity Raising Costs</v>
      </c>
      <c r="E60" s="119" t="s">
        <v>210</v>
      </c>
      <c r="F60" s="119" t="str">
        <f t="shared" si="53"/>
        <v>Dollars</v>
      </c>
      <c r="G60" s="119" t="str">
        <f t="shared" si="54"/>
        <v>Nominal</v>
      </c>
      <c r="H60" s="52" t="str">
        <f t="shared" si="55"/>
        <v>End_year</v>
      </c>
      <c r="J60" s="122">
        <f t="shared" ref="J60:AB60" si="74">J34*J$233</f>
        <v>0</v>
      </c>
      <c r="K60" s="121">
        <f t="shared" si="74"/>
        <v>0</v>
      </c>
      <c r="L60" s="121">
        <f t="shared" si="74"/>
        <v>0</v>
      </c>
      <c r="M60" s="121">
        <f t="shared" si="74"/>
        <v>0</v>
      </c>
      <c r="N60" s="122">
        <f t="shared" si="74"/>
        <v>0</v>
      </c>
      <c r="O60" s="121">
        <f t="shared" si="74"/>
        <v>0</v>
      </c>
      <c r="P60" s="121">
        <f t="shared" si="74"/>
        <v>0</v>
      </c>
      <c r="Q60" s="123">
        <f t="shared" si="74"/>
        <v>0</v>
      </c>
      <c r="R60" s="122">
        <f t="shared" si="74"/>
        <v>0</v>
      </c>
      <c r="S60" s="121">
        <f t="shared" si="74"/>
        <v>0</v>
      </c>
      <c r="T60" s="121">
        <f t="shared" si="74"/>
        <v>0</v>
      </c>
      <c r="U60" s="121">
        <f t="shared" si="74"/>
        <v>0</v>
      </c>
      <c r="V60" s="121">
        <f t="shared" si="74"/>
        <v>0</v>
      </c>
      <c r="W60" s="123">
        <f t="shared" si="74"/>
        <v>0</v>
      </c>
      <c r="X60" s="122">
        <f t="shared" si="74"/>
        <v>0</v>
      </c>
      <c r="Y60" s="121">
        <f t="shared" si="74"/>
        <v>3.1213035555664362E-2</v>
      </c>
      <c r="Z60" s="121">
        <f t="shared" si="74"/>
        <v>2.5575930035762008E-2</v>
      </c>
      <c r="AA60" s="121">
        <f t="shared" si="74"/>
        <v>1.9647085711221958E-2</v>
      </c>
      <c r="AB60" s="123">
        <f t="shared" si="74"/>
        <v>1.3415668609052319E-2</v>
      </c>
    </row>
    <row r="61" spans="1:28" x14ac:dyDescent="0.35">
      <c r="J61" s="114"/>
      <c r="K61" s="115"/>
      <c r="L61" s="115"/>
      <c r="M61" s="115"/>
      <c r="N61" s="114"/>
      <c r="O61" s="115"/>
      <c r="P61" s="115"/>
      <c r="Q61" s="117"/>
      <c r="R61" s="114"/>
      <c r="S61" s="115"/>
      <c r="T61" s="115"/>
      <c r="U61" s="115"/>
      <c r="V61" s="115"/>
      <c r="W61" s="117"/>
      <c r="X61" s="114"/>
      <c r="Y61" s="115"/>
      <c r="Z61" s="115"/>
      <c r="AA61" s="115"/>
      <c r="AB61" s="117"/>
    </row>
    <row r="62" spans="1:28" ht="12.3" x14ac:dyDescent="0.35">
      <c r="D62" s="124" t="str">
        <f>"Total "&amp;D42</f>
        <v>Total RAB Asset Class</v>
      </c>
      <c r="E62" s="125" t="s">
        <v>111</v>
      </c>
      <c r="F62" s="125" t="str">
        <f>F44</f>
        <v>Dollars</v>
      </c>
      <c r="G62" s="125" t="str">
        <f>G44</f>
        <v>Nominal</v>
      </c>
      <c r="H62" s="47" t="str">
        <f>H44</f>
        <v>End_year</v>
      </c>
      <c r="J62" s="126">
        <f t="shared" ref="J62:AB62" si="75">SUM(J44:J60)</f>
        <v>10.117352469914451</v>
      </c>
      <c r="K62" s="127">
        <f t="shared" si="75"/>
        <v>8.9790308893656761</v>
      </c>
      <c r="L62" s="127">
        <f t="shared" si="75"/>
        <v>16.28970615693062</v>
      </c>
      <c r="M62" s="127">
        <f t="shared" si="75"/>
        <v>10.384387801389481</v>
      </c>
      <c r="N62" s="126">
        <f t="shared" si="75"/>
        <v>13.910006823686183</v>
      </c>
      <c r="O62" s="127">
        <f t="shared" si="75"/>
        <v>17.752745498201758</v>
      </c>
      <c r="P62" s="127">
        <f t="shared" si="75"/>
        <v>10.206153225379158</v>
      </c>
      <c r="Q62" s="129">
        <f t="shared" si="75"/>
        <v>17.153355796333912</v>
      </c>
      <c r="R62" s="126">
        <f t="shared" si="75"/>
        <v>19.117640126447213</v>
      </c>
      <c r="S62" s="127">
        <f t="shared" si="75"/>
        <v>11.332048861582289</v>
      </c>
      <c r="T62" s="127">
        <f t="shared" si="75"/>
        <v>11.706290017798043</v>
      </c>
      <c r="U62" s="127">
        <f t="shared" si="75"/>
        <v>19.525075459541682</v>
      </c>
      <c r="V62" s="127">
        <f t="shared" si="75"/>
        <v>22.722285869192433</v>
      </c>
      <c r="W62" s="129">
        <f t="shared" si="75"/>
        <v>23.043446163908627</v>
      </c>
      <c r="X62" s="126">
        <f t="shared" si="75"/>
        <v>23.606232324472078</v>
      </c>
      <c r="Y62" s="127">
        <f t="shared" si="75"/>
        <v>25.422234703168808</v>
      </c>
      <c r="Z62" s="127">
        <f t="shared" si="75"/>
        <v>26.589356477205186</v>
      </c>
      <c r="AA62" s="127">
        <f t="shared" si="75"/>
        <v>28.341047811907966</v>
      </c>
      <c r="AB62" s="129">
        <f t="shared" si="75"/>
        <v>29.207342382546504</v>
      </c>
    </row>
    <row r="63" spans="1:28" s="108" customFormat="1" ht="11.25" customHeight="1" x14ac:dyDescent="0.35">
      <c r="H63" s="6"/>
    </row>
    <row r="64" spans="1:28" s="108" customFormat="1" ht="11.25" customHeight="1" x14ac:dyDescent="0.35">
      <c r="A64" s="95">
        <f>IF(SUM($J64:$AB64)&lt;&gt;0,1,0)</f>
        <v>0</v>
      </c>
      <c r="D64" s="101" t="s">
        <v>206</v>
      </c>
      <c r="H64" s="6"/>
      <c r="J64" s="130">
        <f>IF(ISERROR(J62),1,0)</f>
        <v>0</v>
      </c>
      <c r="K64" s="130">
        <f t="shared" ref="K64:N64" si="76">IF(ISERROR(K62),1,0)</f>
        <v>0</v>
      </c>
      <c r="L64" s="130">
        <f t="shared" si="76"/>
        <v>0</v>
      </c>
      <c r="M64" s="130">
        <f t="shared" si="76"/>
        <v>0</v>
      </c>
      <c r="N64" s="130">
        <f t="shared" si="76"/>
        <v>0</v>
      </c>
      <c r="O64" s="130">
        <f>IF(ISERROR(O62),1,0)</f>
        <v>0</v>
      </c>
      <c r="P64" s="130">
        <f t="shared" ref="P64:S64" si="77">IF(ISERROR(P62),1,0)</f>
        <v>0</v>
      </c>
      <c r="Q64" s="130">
        <f t="shared" si="77"/>
        <v>0</v>
      </c>
      <c r="R64" s="130">
        <f t="shared" si="77"/>
        <v>0</v>
      </c>
      <c r="S64" s="130">
        <f t="shared" si="77"/>
        <v>0</v>
      </c>
      <c r="T64" s="130">
        <f>IF(ISERROR(T62),1,0)</f>
        <v>0</v>
      </c>
      <c r="U64" s="130">
        <f t="shared" ref="U64:X64" si="78">IF(ISERROR(U62),1,0)</f>
        <v>0</v>
      </c>
      <c r="V64" s="130">
        <f t="shared" si="78"/>
        <v>0</v>
      </c>
      <c r="W64" s="130">
        <f t="shared" si="78"/>
        <v>0</v>
      </c>
      <c r="X64" s="130">
        <f t="shared" si="78"/>
        <v>0</v>
      </c>
      <c r="Y64" s="130">
        <f>IF(ISERROR(Y62),1,0)</f>
        <v>0</v>
      </c>
      <c r="Z64" s="130">
        <f t="shared" ref="Z64:AB64" si="79">IF(ISERROR(Z62),1,0)</f>
        <v>0</v>
      </c>
      <c r="AA64" s="130">
        <f t="shared" si="79"/>
        <v>0</v>
      </c>
      <c r="AB64" s="130">
        <f t="shared" si="79"/>
        <v>0</v>
      </c>
    </row>
    <row r="65" spans="1:28" s="108" customFormat="1" ht="11.25" customHeight="1" x14ac:dyDescent="0.35">
      <c r="A65" s="95">
        <f>IF(SUM($J65:$AB65)&lt;&gt;0,1,0)</f>
        <v>0</v>
      </c>
      <c r="D65" s="101" t="s">
        <v>207</v>
      </c>
      <c r="H65" s="6"/>
      <c r="J65" s="137">
        <f>IF(ROUND(J36*J$233-J62,2)&lt;&gt;0,1,0)</f>
        <v>0</v>
      </c>
      <c r="K65" s="130">
        <f t="shared" ref="K65:Q65" si="80">IF(ROUND(K36*K$233-K62,2)&lt;&gt;0,1,0)</f>
        <v>0</v>
      </c>
      <c r="L65" s="130">
        <f t="shared" si="80"/>
        <v>0</v>
      </c>
      <c r="M65" s="138">
        <f t="shared" si="80"/>
        <v>0</v>
      </c>
      <c r="N65" s="137">
        <f t="shared" si="80"/>
        <v>0</v>
      </c>
      <c r="O65" s="130">
        <f t="shared" si="80"/>
        <v>0</v>
      </c>
      <c r="P65" s="130">
        <f t="shared" si="80"/>
        <v>0</v>
      </c>
      <c r="Q65" s="138">
        <f t="shared" si="80"/>
        <v>0</v>
      </c>
      <c r="R65" s="137">
        <f>IF(ROUND(SUM('[2]RAB roll forward'!G$664:G$677)-R62,2)&lt;&gt;0,1,0)</f>
        <v>0</v>
      </c>
      <c r="S65" s="130">
        <f>IF(ROUND(SUM('[2]RAB roll forward'!H$664:H$677)-S62,2)&lt;&gt;0,1,0)</f>
        <v>0</v>
      </c>
      <c r="T65" s="130">
        <f>IF(ROUND(SUM('[2]RAB roll forward'!I$664:I$677)-T62,2)&lt;&gt;0,1,0)</f>
        <v>0</v>
      </c>
      <c r="U65" s="130">
        <f>IF(ROUND(SUM('[2]RAB roll forward'!J$664:J$677)-U62,2)&lt;&gt;0,1,0)</f>
        <v>0</v>
      </c>
      <c r="V65" s="130">
        <f>IF(ROUND(SUM('[2]RAB roll forward'!K$664:K$677)-V62,2)&lt;&gt;0,1,0)</f>
        <v>0</v>
      </c>
      <c r="W65" s="138">
        <f>IF(ROUND(SUM('[2]RAB roll forward'!L$664:L$677)-W62,2)&lt;&gt;0,1,0)</f>
        <v>0</v>
      </c>
      <c r="X65" s="137">
        <f>IF(ROUND([5]Assets!G877-X62,1)&lt;&gt;0,1,0)</f>
        <v>0</v>
      </c>
      <c r="Y65" s="130">
        <f>IF(ROUND([5]Assets!H877-Y62,1)&lt;&gt;0,1,0)</f>
        <v>0</v>
      </c>
      <c r="Z65" s="130">
        <f>IF(ROUND([5]Assets!I877-Z62,1)&lt;&gt;0,1,0)</f>
        <v>0</v>
      </c>
      <c r="AA65" s="130">
        <f>IF(ROUND([5]Assets!J877-AA62,1)&lt;&gt;0,1,0)</f>
        <v>0</v>
      </c>
      <c r="AB65" s="138">
        <f>IF(ROUND([5]Assets!K877-AB62,1)&lt;&gt;0,1,0)</f>
        <v>0</v>
      </c>
    </row>
    <row r="66" spans="1:28" s="108" customFormat="1" ht="11.25" customHeight="1" x14ac:dyDescent="0.35">
      <c r="H66" s="6"/>
      <c r="L66" s="105"/>
      <c r="Q66" s="105"/>
      <c r="V66" s="105"/>
      <c r="AA66" s="105"/>
    </row>
    <row r="67" spans="1:28" s="109" customFormat="1" ht="14.1" x14ac:dyDescent="0.35">
      <c r="C67" s="109" t="s">
        <v>149</v>
      </c>
      <c r="H67" s="13"/>
    </row>
    <row r="68" spans="1:28" s="108" customFormat="1" ht="11.25" customHeight="1" x14ac:dyDescent="0.35">
      <c r="H68" s="6"/>
    </row>
    <row r="69" spans="1:28" ht="12.3" x14ac:dyDescent="0.35">
      <c r="D69" s="110" t="str">
        <f>D$16</f>
        <v>RAB Asset Class</v>
      </c>
      <c r="E69" s="111" t="str">
        <f>Lookup!E$20</f>
        <v>Source</v>
      </c>
      <c r="F69" s="111" t="str">
        <f>Lookup!F$20</f>
        <v>Unit</v>
      </c>
      <c r="G69" s="111" t="str">
        <f>Lookup!G$20</f>
        <v>Basis</v>
      </c>
      <c r="H69" s="45" t="str">
        <f>Lookup!H$20</f>
        <v>Timing</v>
      </c>
      <c r="J69" s="338" t="str">
        <f>J$10</f>
        <v>RY06</v>
      </c>
      <c r="K69" s="339" t="str">
        <f t="shared" ref="K69:AB69" si="81">K$10</f>
        <v>RY07</v>
      </c>
      <c r="L69" s="339" t="str">
        <f t="shared" si="81"/>
        <v>RY08</v>
      </c>
      <c r="M69" s="339" t="str">
        <f t="shared" si="81"/>
        <v>RY09</v>
      </c>
      <c r="N69" s="338" t="str">
        <f t="shared" si="81"/>
        <v>RY10</v>
      </c>
      <c r="O69" s="339" t="str">
        <f>O$10</f>
        <v>RY11</v>
      </c>
      <c r="P69" s="339" t="str">
        <f t="shared" si="81"/>
        <v>RY12</v>
      </c>
      <c r="Q69" s="340" t="str">
        <f t="shared" si="81"/>
        <v>RY13</v>
      </c>
      <c r="R69" s="338" t="str">
        <f t="shared" si="81"/>
        <v>RY14</v>
      </c>
      <c r="S69" s="111" t="str">
        <f t="shared" si="81"/>
        <v>RY15</v>
      </c>
      <c r="T69" s="111" t="str">
        <f>T$10</f>
        <v>RY16</v>
      </c>
      <c r="U69" s="111" t="str">
        <f t="shared" si="81"/>
        <v>RY17</v>
      </c>
      <c r="V69" s="111" t="str">
        <f t="shared" si="81"/>
        <v>RY18</v>
      </c>
      <c r="W69" s="113" t="str">
        <f t="shared" si="81"/>
        <v>RY19</v>
      </c>
      <c r="X69" s="338" t="str">
        <f t="shared" si="81"/>
        <v>RY20</v>
      </c>
      <c r="Y69" s="339" t="str">
        <f>Y$10</f>
        <v>RY21</v>
      </c>
      <c r="Z69" s="339" t="str">
        <f t="shared" si="81"/>
        <v>RY22</v>
      </c>
      <c r="AA69" s="339" t="str">
        <f t="shared" si="81"/>
        <v>RY23</v>
      </c>
      <c r="AB69" s="340" t="str">
        <f t="shared" si="81"/>
        <v>RY24</v>
      </c>
    </row>
    <row r="70" spans="1:28" x14ac:dyDescent="0.35">
      <c r="J70" s="114"/>
      <c r="K70" s="115"/>
      <c r="L70" s="115"/>
      <c r="M70" s="115"/>
      <c r="N70" s="114"/>
      <c r="O70" s="115"/>
      <c r="P70" s="115"/>
      <c r="Q70" s="117"/>
      <c r="R70" s="114"/>
      <c r="S70" s="115"/>
      <c r="T70" s="115"/>
      <c r="U70" s="115"/>
      <c r="V70" s="115"/>
      <c r="W70" s="117"/>
      <c r="X70" s="114"/>
      <c r="Y70" s="115"/>
      <c r="Z70" s="115"/>
      <c r="AA70" s="115"/>
      <c r="AB70" s="117"/>
    </row>
    <row r="71" spans="1:28" ht="12.3" x14ac:dyDescent="0.35">
      <c r="D71" s="101" t="str">
        <f t="shared" ref="D71:D84" si="82">D18</f>
        <v>Substations</v>
      </c>
      <c r="E71" s="119" t="s">
        <v>210</v>
      </c>
      <c r="F71" s="119" t="str">
        <f t="shared" ref="F71:F87" si="83">Dollars</f>
        <v>Dollars</v>
      </c>
      <c r="G71" s="119" t="str">
        <f t="shared" ref="G71:G87" si="84">Nominal</f>
        <v>Nominal</v>
      </c>
      <c r="H71" s="52" t="str">
        <f t="shared" ref="H71:H87" si="85">End_year</f>
        <v>End_year</v>
      </c>
      <c r="J71" s="120">
        <v>-1.1392496117099304</v>
      </c>
      <c r="K71" s="131">
        <v>-1.2114979485866719</v>
      </c>
      <c r="L71" s="131">
        <v>-1.499813778117886</v>
      </c>
      <c r="M71" s="132">
        <v>-2.103448737939225</v>
      </c>
      <c r="N71" s="134">
        <v>-2.5524493387208453</v>
      </c>
      <c r="O71" s="131">
        <v>-3.3561744249789585</v>
      </c>
      <c r="P71" s="131">
        <v>-4.4028073099309673</v>
      </c>
      <c r="Q71" s="135">
        <v>-5.4387487242396189</v>
      </c>
      <c r="R71" s="120">
        <f>'[2]RAB roll forward'!G632</f>
        <v>-16.256574526659879</v>
      </c>
      <c r="S71" s="373">
        <f>'[2]RAB roll forward'!H632</f>
        <v>-24.74229958880742</v>
      </c>
      <c r="T71" s="131">
        <f>'[2]RAB roll forward'!I632</f>
        <v>-26.062766539954062</v>
      </c>
      <c r="U71" s="131">
        <f>'[2]RAB roll forward'!J632</f>
        <v>-24.279286748736411</v>
      </c>
      <c r="V71" s="131">
        <f>'[2]RAB roll forward'!K632</f>
        <v>-25.236564538756291</v>
      </c>
      <c r="W71" s="135">
        <f>'[2]RAB roll forward'!L632</f>
        <v>-26.324513351096982</v>
      </c>
      <c r="X71" s="134">
        <f>-[5]Assets!G$88*X$239</f>
        <v>-15.595432809739373</v>
      </c>
      <c r="Y71" s="131">
        <f>-[5]Assets!H$88*Y$239</f>
        <v>-16.286400002349641</v>
      </c>
      <c r="Z71" s="131">
        <f>-[5]Assets!I$88*Z$239</f>
        <v>-16.966227074332586</v>
      </c>
      <c r="AA71" s="131">
        <f>-[5]Assets!J$88*AA$239</f>
        <v>-17.790868118866044</v>
      </c>
      <c r="AB71" s="135">
        <f>-[5]Assets!K$88*AB$239</f>
        <v>-18.653547455896803</v>
      </c>
    </row>
    <row r="72" spans="1:28" ht="12.3" x14ac:dyDescent="0.35">
      <c r="D72" s="101" t="str">
        <f t="shared" si="82"/>
        <v>Distribution Lines</v>
      </c>
      <c r="E72" s="119" t="s">
        <v>210</v>
      </c>
      <c r="F72" s="119" t="str">
        <f t="shared" si="83"/>
        <v>Dollars</v>
      </c>
      <c r="G72" s="119" t="str">
        <f t="shared" si="84"/>
        <v>Nominal</v>
      </c>
      <c r="H72" s="52" t="str">
        <f t="shared" si="85"/>
        <v>End_year</v>
      </c>
      <c r="J72" s="120">
        <v>-4.3740759399076907</v>
      </c>
      <c r="K72" s="131">
        <v>-4.669687152793017</v>
      </c>
      <c r="L72" s="131">
        <v>-5.0893441417456975</v>
      </c>
      <c r="M72" s="132">
        <v>-5.4364167407086743</v>
      </c>
      <c r="N72" s="134">
        <v>-6.0067758608422075</v>
      </c>
      <c r="O72" s="131">
        <v>-6.4241055030725596</v>
      </c>
      <c r="P72" s="131">
        <v>-6.7510351333498333</v>
      </c>
      <c r="Q72" s="135">
        <v>-7.1796299925714235</v>
      </c>
      <c r="R72" s="120">
        <f>'[2]RAB roll forward'!G633</f>
        <v>-6.4959685823221136</v>
      </c>
      <c r="S72" s="373">
        <f>'[2]RAB roll forward'!H633</f>
        <v>-9.7613513936589129</v>
      </c>
      <c r="T72" s="131">
        <f>'[2]RAB roll forward'!I633</f>
        <v>-9.9741260641553371</v>
      </c>
      <c r="U72" s="131">
        <f>'[2]RAB roll forward'!J633</f>
        <v>-10.199192780525113</v>
      </c>
      <c r="V72" s="131">
        <f>'[2]RAB roll forward'!K633</f>
        <v>-10.462202865904764</v>
      </c>
      <c r="W72" s="135">
        <f>'[2]RAB roll forward'!L633</f>
        <v>-10.774270227499702</v>
      </c>
      <c r="X72" s="134">
        <f>-[5]Assets!G$101*X$239</f>
        <v>-8.4620368414561487</v>
      </c>
      <c r="Y72" s="131">
        <f>-[5]Assets!H$101*Y$239</f>
        <v>-9.0134923054493168</v>
      </c>
      <c r="Z72" s="131">
        <f>-[5]Assets!I$101*Z$239</f>
        <v>-9.6545482557024958</v>
      </c>
      <c r="AA72" s="131">
        <f>-[5]Assets!J$101*AA$239</f>
        <v>-10.212411996704315</v>
      </c>
      <c r="AB72" s="135">
        <f>-[5]Assets!K$101*AB$239</f>
        <v>-10.752305071213137</v>
      </c>
    </row>
    <row r="73" spans="1:28" ht="12.3" x14ac:dyDescent="0.35">
      <c r="D73" s="101" t="str">
        <f t="shared" si="82"/>
        <v>Transmission Lines</v>
      </c>
      <c r="E73" s="119" t="s">
        <v>210</v>
      </c>
      <c r="F73" s="119" t="str">
        <f t="shared" si="83"/>
        <v>Dollars</v>
      </c>
      <c r="G73" s="119" t="str">
        <f t="shared" si="84"/>
        <v>Nominal</v>
      </c>
      <c r="H73" s="52" t="str">
        <f t="shared" si="85"/>
        <v>End_year</v>
      </c>
      <c r="J73" s="120">
        <v>-4.6057232559132997</v>
      </c>
      <c r="K73" s="131">
        <v>-4.8946007959739317</v>
      </c>
      <c r="L73" s="131">
        <v>-5.227899474858531</v>
      </c>
      <c r="M73" s="132">
        <v>-5.3960039707601206</v>
      </c>
      <c r="N73" s="134">
        <v>-3.2140973455719322</v>
      </c>
      <c r="O73" s="131">
        <v>-3.6426958644954595</v>
      </c>
      <c r="P73" s="131">
        <v>-4.0057637203909167</v>
      </c>
      <c r="Q73" s="135">
        <v>-4.271177453547315</v>
      </c>
      <c r="R73" s="120">
        <f>'[2]RAB roll forward'!G634</f>
        <v>-5.289107288404109</v>
      </c>
      <c r="S73" s="373">
        <f>'[2]RAB roll forward'!H634</f>
        <v>-5.739817160462958</v>
      </c>
      <c r="T73" s="131">
        <f>'[2]RAB roll forward'!I634</f>
        <v>-6.0426783090670906</v>
      </c>
      <c r="U73" s="131">
        <f>'[2]RAB roll forward'!J634</f>
        <v>-6.2297458028896111</v>
      </c>
      <c r="V73" s="131">
        <f>'[2]RAB roll forward'!K634</f>
        <v>-6.3942765477553412</v>
      </c>
      <c r="W73" s="135">
        <f>'[2]RAB roll forward'!L634</f>
        <v>-6.6969122541972039</v>
      </c>
      <c r="X73" s="134">
        <f>-[5]Assets!G$114*X$239</f>
        <v>-6.5113711924279887</v>
      </c>
      <c r="Y73" s="131">
        <f>-[5]Assets!H$114*Y$239</f>
        <v>-6.7239178931299071</v>
      </c>
      <c r="Z73" s="131">
        <f>-[5]Assets!I$114*Z$239</f>
        <v>-6.9410434014760316</v>
      </c>
      <c r="AA73" s="131">
        <f>-[5]Assets!J$114*AA$239</f>
        <v>-7.1632403988688083</v>
      </c>
      <c r="AB73" s="135">
        <f>-[5]Assets!K$114*AB$239</f>
        <v>-7.3963937900835264</v>
      </c>
    </row>
    <row r="74" spans="1:28" ht="12.3" x14ac:dyDescent="0.35">
      <c r="D74" s="101" t="str">
        <f t="shared" si="82"/>
        <v>LV Services</v>
      </c>
      <c r="E74" s="119" t="s">
        <v>210</v>
      </c>
      <c r="F74" s="119" t="str">
        <f t="shared" si="83"/>
        <v>Dollars</v>
      </c>
      <c r="G74" s="119" t="str">
        <f t="shared" si="84"/>
        <v>Nominal</v>
      </c>
      <c r="H74" s="52" t="str">
        <f t="shared" si="85"/>
        <v>End_year</v>
      </c>
      <c r="J74" s="120">
        <v>0</v>
      </c>
      <c r="K74" s="131">
        <v>0</v>
      </c>
      <c r="L74" s="131">
        <v>0</v>
      </c>
      <c r="M74" s="132">
        <v>0</v>
      </c>
      <c r="N74" s="134">
        <v>0</v>
      </c>
      <c r="O74" s="131">
        <v>0</v>
      </c>
      <c r="P74" s="131">
        <v>0</v>
      </c>
      <c r="Q74" s="135">
        <v>0</v>
      </c>
      <c r="R74" s="120">
        <f>'[2]RAB roll forward'!G635</f>
        <v>-5.8604374659147161E-3</v>
      </c>
      <c r="S74" s="373">
        <f>'[2]RAB roll forward'!H635</f>
        <v>-5.7529325790817015E-3</v>
      </c>
      <c r="T74" s="131">
        <f>'[2]RAB roll forward'!I635</f>
        <v>-5.8765099658908788E-3</v>
      </c>
      <c r="U74" s="131">
        <f>'[2]RAB roll forward'!J635</f>
        <v>-6.0073012730056949E-3</v>
      </c>
      <c r="V74" s="131">
        <f>'[2]RAB roll forward'!K635</f>
        <v>-6.1657081238775946E-3</v>
      </c>
      <c r="W74" s="135">
        <f>'[2]RAB roll forward'!L635</f>
        <v>-6.3476380341376823E-3</v>
      </c>
      <c r="X74" s="134">
        <f>-[5]Assets!G$127*X$239</f>
        <v>-0.27543899840695357</v>
      </c>
      <c r="Y74" s="131">
        <f>-[5]Assets!H$127*Y$239</f>
        <v>-0.28724468804624814</v>
      </c>
      <c r="Z74" s="131">
        <f>-[5]Assets!I$127*Z$239</f>
        <v>-0.30150973271546455</v>
      </c>
      <c r="AA74" s="131">
        <f>-[5]Assets!J$127*AA$239</f>
        <v>-0.31513153939134997</v>
      </c>
      <c r="AB74" s="135">
        <f>-[5]Assets!K$127*AB$239</f>
        <v>-0.32830367381400388</v>
      </c>
    </row>
    <row r="75" spans="1:28" ht="12.3" x14ac:dyDescent="0.35">
      <c r="D75" s="101" t="str">
        <f t="shared" si="82"/>
        <v>Distribution Substations</v>
      </c>
      <c r="E75" s="119" t="s">
        <v>210</v>
      </c>
      <c r="F75" s="119" t="str">
        <f t="shared" si="83"/>
        <v>Dollars</v>
      </c>
      <c r="G75" s="119" t="str">
        <f t="shared" si="84"/>
        <v>Nominal</v>
      </c>
      <c r="H75" s="52" t="str">
        <f t="shared" si="85"/>
        <v>End_year</v>
      </c>
      <c r="J75" s="120">
        <v>-4.1881250270570378</v>
      </c>
      <c r="K75" s="131">
        <v>-4.3306089622837822</v>
      </c>
      <c r="L75" s="131">
        <v>-0.20809214893998898</v>
      </c>
      <c r="M75" s="132">
        <v>-0.29954457939933454</v>
      </c>
      <c r="N75" s="134">
        <v>-2.7825022381599682</v>
      </c>
      <c r="O75" s="131">
        <v>-3.1853435277694628</v>
      </c>
      <c r="P75" s="131">
        <v>-3.5122309342234006</v>
      </c>
      <c r="Q75" s="135">
        <v>-3.7166732243992118</v>
      </c>
      <c r="R75" s="120">
        <f>'[2]RAB roll forward'!G636</f>
        <v>-3.4531191684174471</v>
      </c>
      <c r="S75" s="373">
        <f>'[2]RAB roll forward'!H636</f>
        <v>-3.7311670136415422</v>
      </c>
      <c r="T75" s="131">
        <f>'[2]RAB roll forward'!I636</f>
        <v>-3.8243155920757852</v>
      </c>
      <c r="U75" s="131">
        <f>'[2]RAB roll forward'!J636</f>
        <v>-3.9085321850689461</v>
      </c>
      <c r="V75" s="131">
        <f>'[2]RAB roll forward'!K636</f>
        <v>-4.0312886477898964</v>
      </c>
      <c r="W75" s="135">
        <f>'[2]RAB roll forward'!L636</f>
        <v>-4.1997665982332517</v>
      </c>
      <c r="X75" s="134">
        <f>-[5]Assets!G$140*X$239</f>
        <v>-5.3102475853717763</v>
      </c>
      <c r="Y75" s="131">
        <f>-[5]Assets!H$140*Y$239</f>
        <v>-5.5371391308608375</v>
      </c>
      <c r="Z75" s="131">
        <f>-[5]Assets!I$140*Z$239</f>
        <v>-5.7857403697090986</v>
      </c>
      <c r="AA75" s="131">
        <f>-[5]Assets!J$140*AA$239</f>
        <v>-6.0447297820892869</v>
      </c>
      <c r="AB75" s="135">
        <f>-[5]Assets!K$140*AB$239</f>
        <v>-6.3323180872327205</v>
      </c>
    </row>
    <row r="76" spans="1:28" ht="12.3" x14ac:dyDescent="0.35">
      <c r="D76" s="101" t="str">
        <f t="shared" si="82"/>
        <v>Distribution Switchgear</v>
      </c>
      <c r="E76" s="119" t="s">
        <v>210</v>
      </c>
      <c r="F76" s="119" t="str">
        <f t="shared" si="83"/>
        <v>Dollars</v>
      </c>
      <c r="G76" s="119" t="str">
        <f t="shared" si="84"/>
        <v>Nominal</v>
      </c>
      <c r="H76" s="52" t="str">
        <f t="shared" si="85"/>
        <v>End_year</v>
      </c>
      <c r="J76" s="120">
        <v>0</v>
      </c>
      <c r="K76" s="131">
        <v>0</v>
      </c>
      <c r="L76" s="131">
        <v>-4.0319704835355668E-3</v>
      </c>
      <c r="M76" s="132">
        <v>-6.3759538597991924E-2</v>
      </c>
      <c r="N76" s="134">
        <v>0</v>
      </c>
      <c r="O76" s="131">
        <v>0</v>
      </c>
      <c r="P76" s="131">
        <v>0</v>
      </c>
      <c r="Q76" s="135">
        <v>0</v>
      </c>
      <c r="R76" s="120">
        <f>'[2]RAB roll forward'!G637</f>
        <v>-0.46174460997385325</v>
      </c>
      <c r="S76" s="373">
        <f>'[2]RAB roll forward'!H637</f>
        <v>-0.54940241377787369</v>
      </c>
      <c r="T76" s="131">
        <f>'[2]RAB roll forward'!I637</f>
        <v>-0.56042522033758135</v>
      </c>
      <c r="U76" s="131">
        <f>'[2]RAB roll forward'!J637</f>
        <v>-0.57201783271701023</v>
      </c>
      <c r="V76" s="131">
        <f>'[2]RAB roll forward'!K637</f>
        <v>-0.58660287162092151</v>
      </c>
      <c r="W76" s="135">
        <f>'[2]RAB roll forward'!L637</f>
        <v>-0.60338795218449259</v>
      </c>
      <c r="X76" s="134">
        <f>-[5]Assets!G$153*X$239</f>
        <v>-1.6505180520984692</v>
      </c>
      <c r="Y76" s="131">
        <f>-[5]Assets!H$153*Y$239</f>
        <v>-1.7865199743973446</v>
      </c>
      <c r="Z76" s="131">
        <f>-[5]Assets!I$153*Z$239</f>
        <v>-1.9340896399418686</v>
      </c>
      <c r="AA76" s="131">
        <f>-[5]Assets!J$153*AA$239</f>
        <v>-2.0814581233627107</v>
      </c>
      <c r="AB76" s="135">
        <f>-[5]Assets!K$153*AB$239</f>
        <v>-2.2443846253406901</v>
      </c>
    </row>
    <row r="77" spans="1:28" ht="12.3" x14ac:dyDescent="0.35">
      <c r="D77" s="101" t="str">
        <f t="shared" si="82"/>
        <v>Protection</v>
      </c>
      <c r="E77" s="119" t="s">
        <v>210</v>
      </c>
      <c r="F77" s="119" t="str">
        <f t="shared" si="83"/>
        <v>Dollars</v>
      </c>
      <c r="G77" s="119" t="str">
        <f t="shared" si="84"/>
        <v>Nominal</v>
      </c>
      <c r="H77" s="52" t="str">
        <f t="shared" si="85"/>
        <v>End_year</v>
      </c>
      <c r="J77" s="120">
        <v>0</v>
      </c>
      <c r="K77" s="131">
        <v>0</v>
      </c>
      <c r="L77" s="131">
        <v>0</v>
      </c>
      <c r="M77" s="132">
        <v>0</v>
      </c>
      <c r="N77" s="134">
        <v>-0.8856812022805578</v>
      </c>
      <c r="O77" s="131">
        <v>-1.13429211085798</v>
      </c>
      <c r="P77" s="131">
        <v>-1.3542432059882197</v>
      </c>
      <c r="Q77" s="135">
        <v>-1.620421758415757</v>
      </c>
      <c r="R77" s="120">
        <f>'[2]RAB roll forward'!G638</f>
        <v>-0.52762032497120848</v>
      </c>
      <c r="S77" s="373">
        <f>'[2]RAB roll forward'!H638</f>
        <v>-0.77478645479446406</v>
      </c>
      <c r="T77" s="131">
        <f>'[2]RAB roll forward'!I638</f>
        <v>-0.80872840921616751</v>
      </c>
      <c r="U77" s="131">
        <f>'[2]RAB roll forward'!J638</f>
        <v>-0.77132811206003848</v>
      </c>
      <c r="V77" s="131">
        <f>'[2]RAB roll forward'!K638</f>
        <v>-0.7989985312950888</v>
      </c>
      <c r="W77" s="135">
        <f>'[2]RAB roll forward'!L638</f>
        <v>-0.83059288338821047</v>
      </c>
      <c r="X77" s="134">
        <f>-[5]Assets!G$166*X$239</f>
        <v>-2.0631872102030786</v>
      </c>
      <c r="Y77" s="131">
        <f>-[5]Assets!H$166*Y$239</f>
        <v>-2.2105015124664962</v>
      </c>
      <c r="Z77" s="131">
        <f>-[5]Assets!I$166*Z$239</f>
        <v>-2.3741730540914205</v>
      </c>
      <c r="AA77" s="131">
        <f>-[5]Assets!J$166*AA$239</f>
        <v>-2.5004410558654446</v>
      </c>
      <c r="AB77" s="135">
        <f>-[5]Assets!K$166*AB$239</f>
        <v>-2.6334360152568639</v>
      </c>
    </row>
    <row r="78" spans="1:28" ht="12.3" x14ac:dyDescent="0.35">
      <c r="D78" s="101" t="str">
        <f t="shared" si="82"/>
        <v>SCADA</v>
      </c>
      <c r="E78" s="119" t="s">
        <v>210</v>
      </c>
      <c r="F78" s="119" t="str">
        <f t="shared" si="83"/>
        <v>Dollars</v>
      </c>
      <c r="G78" s="119" t="str">
        <f t="shared" si="84"/>
        <v>Nominal</v>
      </c>
      <c r="H78" s="52" t="str">
        <f t="shared" si="85"/>
        <v>End_year</v>
      </c>
      <c r="J78" s="120">
        <v>-0.20461959511593386</v>
      </c>
      <c r="K78" s="131">
        <v>-0.21929966675970392</v>
      </c>
      <c r="L78" s="131">
        <v>-0.97402409461455219</v>
      </c>
      <c r="M78" s="132">
        <v>-0.59080106731347659</v>
      </c>
      <c r="N78" s="134">
        <v>0</v>
      </c>
      <c r="O78" s="131">
        <v>0</v>
      </c>
      <c r="P78" s="131">
        <v>0</v>
      </c>
      <c r="Q78" s="135">
        <v>0</v>
      </c>
      <c r="R78" s="120">
        <f>'[2]RAB roll forward'!G639</f>
        <v>-1.4259437724275821</v>
      </c>
      <c r="S78" s="373">
        <f>'[2]RAB roll forward'!H639</f>
        <v>-0.80203151733871292</v>
      </c>
      <c r="T78" s="131">
        <f>'[2]RAB roll forward'!I639</f>
        <v>-0.86685514554906928</v>
      </c>
      <c r="U78" s="131">
        <f>'[2]RAB roll forward'!J639</f>
        <v>-8.6822896997050966E-2</v>
      </c>
      <c r="V78" s="131">
        <f>'[2]RAB roll forward'!K639</f>
        <v>-0.11485269172440669</v>
      </c>
      <c r="W78" s="135">
        <f>'[2]RAB roll forward'!L639</f>
        <v>-0.14065610555553587</v>
      </c>
      <c r="X78" s="134">
        <f>-[5]Assets!G$179*X$239</f>
        <v>-1.3542734226562225</v>
      </c>
      <c r="Y78" s="131">
        <f>-[5]Assets!H$179*Y$239</f>
        <v>-1.4663467745309533</v>
      </c>
      <c r="Z78" s="131">
        <f>-[5]Assets!I$179*Z$239</f>
        <v>-1.5907968460316366</v>
      </c>
      <c r="AA78" s="131">
        <f>-[5]Assets!J$179*AA$239</f>
        <v>-0.96120034514348351</v>
      </c>
      <c r="AB78" s="135">
        <f>-[5]Assets!K$179*AB$239</f>
        <v>-1.0562686319244312</v>
      </c>
    </row>
    <row r="79" spans="1:28" ht="12.3" x14ac:dyDescent="0.35">
      <c r="D79" s="101" t="str">
        <f t="shared" si="82"/>
        <v>Communications</v>
      </c>
      <c r="E79" s="119" t="s">
        <v>210</v>
      </c>
      <c r="F79" s="119" t="str">
        <f t="shared" si="83"/>
        <v>Dollars</v>
      </c>
      <c r="G79" s="119" t="str">
        <f t="shared" si="84"/>
        <v>Nominal</v>
      </c>
      <c r="H79" s="52" t="str">
        <f t="shared" si="85"/>
        <v>End_year</v>
      </c>
      <c r="J79" s="120">
        <v>-0.86359904057745362</v>
      </c>
      <c r="K79" s="131">
        <v>-0.92315455808340385</v>
      </c>
      <c r="L79" s="131">
        <v>-1.0005019638841322</v>
      </c>
      <c r="M79" s="132">
        <v>-1.0800502205507598</v>
      </c>
      <c r="N79" s="134">
        <v>-6.2104675907381663</v>
      </c>
      <c r="O79" s="131">
        <v>-6.4943742848491626</v>
      </c>
      <c r="P79" s="131">
        <v>-6.6858120745538736</v>
      </c>
      <c r="Q79" s="135">
        <v>-0.25427463161267816</v>
      </c>
      <c r="R79" s="120">
        <f>'[2]RAB roll forward'!G640</f>
        <v>-3.7027991039471182</v>
      </c>
      <c r="S79" s="373">
        <f>'[2]RAB roll forward'!H640</f>
        <v>-2.6763103441691802</v>
      </c>
      <c r="T79" s="131">
        <f>'[2]RAB roll forward'!I640</f>
        <v>-2.891733867054314</v>
      </c>
      <c r="U79" s="131">
        <f>'[2]RAB roll forward'!J640</f>
        <v>-0.29763346863436707</v>
      </c>
      <c r="V79" s="131">
        <f>'[2]RAB roll forward'!K640</f>
        <v>-0.3909079706139989</v>
      </c>
      <c r="W79" s="135">
        <f>'[2]RAB roll forward'!L640</f>
        <v>-0.47679001507698199</v>
      </c>
      <c r="X79" s="134">
        <f>-[5]Assets!G$192*X$239</f>
        <v>-2.7602342101357049</v>
      </c>
      <c r="Y79" s="131">
        <f>-[5]Assets!H$192*Y$239</f>
        <v>-2.3847585317126727</v>
      </c>
      <c r="Z79" s="131">
        <f>-[5]Assets!I$192*Z$239</f>
        <v>-1.4776996160184286</v>
      </c>
      <c r="AA79" s="131">
        <f>-[5]Assets!J$192*AA$239</f>
        <v>-1.7282898512644442</v>
      </c>
      <c r="AB79" s="135">
        <f>-[5]Assets!K$192*AB$239</f>
        <v>-1.9675733028827997</v>
      </c>
    </row>
    <row r="80" spans="1:28" ht="12.3" x14ac:dyDescent="0.35">
      <c r="D80" s="101" t="str">
        <f t="shared" si="82"/>
        <v>Land and Easements</v>
      </c>
      <c r="E80" s="119" t="s">
        <v>210</v>
      </c>
      <c r="F80" s="119" t="str">
        <f t="shared" si="83"/>
        <v>Dollars</v>
      </c>
      <c r="G80" s="119" t="str">
        <f t="shared" si="84"/>
        <v>Nominal</v>
      </c>
      <c r="H80" s="52" t="str">
        <f t="shared" si="85"/>
        <v>End_year</v>
      </c>
      <c r="J80" s="120">
        <v>0</v>
      </c>
      <c r="K80" s="131">
        <v>0</v>
      </c>
      <c r="L80" s="131">
        <v>0</v>
      </c>
      <c r="M80" s="132">
        <v>0</v>
      </c>
      <c r="N80" s="134">
        <v>0</v>
      </c>
      <c r="O80" s="131">
        <v>0</v>
      </c>
      <c r="P80" s="131">
        <v>0</v>
      </c>
      <c r="Q80" s="135">
        <v>0</v>
      </c>
      <c r="R80" s="120">
        <f>'[2]RAB roll forward'!G641</f>
        <v>-9.0828959042256185E-2</v>
      </c>
      <c r="S80" s="373">
        <f>'[2]RAB roll forward'!H641</f>
        <v>0</v>
      </c>
      <c r="T80" s="131">
        <f>'[2]RAB roll forward'!I641</f>
        <v>0</v>
      </c>
      <c r="U80" s="131">
        <f>'[2]RAB roll forward'!J641</f>
        <v>0</v>
      </c>
      <c r="V80" s="131">
        <f>'[2]RAB roll forward'!K641</f>
        <v>0</v>
      </c>
      <c r="W80" s="135">
        <f>'[2]RAB roll forward'!L641</f>
        <v>0</v>
      </c>
      <c r="X80" s="134">
        <f>-[5]Assets!G$205*X$239</f>
        <v>0</v>
      </c>
      <c r="Y80" s="131">
        <f>-[5]Assets!H$205*Y$239</f>
        <v>0</v>
      </c>
      <c r="Z80" s="131">
        <f>-[5]Assets!I$205*Z$239</f>
        <v>0</v>
      </c>
      <c r="AA80" s="131">
        <f>-[5]Assets!J$205*AA$239</f>
        <v>0</v>
      </c>
      <c r="AB80" s="135">
        <f>-[5]Assets!K$205*AB$239</f>
        <v>0</v>
      </c>
    </row>
    <row r="81" spans="1:28" ht="12.3" x14ac:dyDescent="0.35">
      <c r="D81" s="101" t="str">
        <f t="shared" si="82"/>
        <v>Property</v>
      </c>
      <c r="E81" s="119" t="s">
        <v>210</v>
      </c>
      <c r="F81" s="119" t="str">
        <f t="shared" si="83"/>
        <v>Dollars</v>
      </c>
      <c r="G81" s="119" t="str">
        <f t="shared" si="84"/>
        <v>Nominal</v>
      </c>
      <c r="H81" s="52" t="str">
        <f t="shared" si="85"/>
        <v>End_year</v>
      </c>
      <c r="J81" s="120">
        <v>-9.1570493467389755E-2</v>
      </c>
      <c r="K81" s="131">
        <v>-0.11548749468336357</v>
      </c>
      <c r="L81" s="131">
        <v>-1.2503114474974337</v>
      </c>
      <c r="M81" s="132">
        <v>-8.3950888300187862E-2</v>
      </c>
      <c r="N81" s="134">
        <v>0</v>
      </c>
      <c r="O81" s="131">
        <v>0</v>
      </c>
      <c r="P81" s="131">
        <v>0</v>
      </c>
      <c r="Q81" s="135">
        <v>0</v>
      </c>
      <c r="R81" s="120">
        <f>'[2]RAB roll forward'!G642</f>
        <v>-8.0782779591869705E-2</v>
      </c>
      <c r="S81" s="373">
        <f>'[2]RAB roll forward'!H642</f>
        <v>-0.1971496871843002</v>
      </c>
      <c r="T81" s="131">
        <f>'[2]RAB roll forward'!I642</f>
        <v>-0.22297259831527302</v>
      </c>
      <c r="U81" s="131">
        <f>'[2]RAB roll forward'!J642</f>
        <v>-0.2494038599035025</v>
      </c>
      <c r="V81" s="131">
        <f>'[2]RAB roll forward'!K642</f>
        <v>-0.21457558667562623</v>
      </c>
      <c r="W81" s="135">
        <f>'[2]RAB roll forward'!L642</f>
        <v>-0.24436905868471545</v>
      </c>
      <c r="X81" s="134">
        <f>-[5]Assets!G$218*X$239</f>
        <v>-1.2461785119742006</v>
      </c>
      <c r="Y81" s="131">
        <f>-[5]Assets!H$218*Y$239</f>
        <v>-1.9107512614376407</v>
      </c>
      <c r="Z81" s="131">
        <f>-[5]Assets!I$218*Z$239</f>
        <v>-2.0339325063055607</v>
      </c>
      <c r="AA81" s="131">
        <f>-[5]Assets!J$218*AA$239</f>
        <v>-2.1625027070458485</v>
      </c>
      <c r="AB81" s="135">
        <f>-[5]Assets!K$218*AB$239</f>
        <v>-2.2897483349140204</v>
      </c>
    </row>
    <row r="82" spans="1:28" ht="12.3" x14ac:dyDescent="0.35">
      <c r="D82" s="101" t="str">
        <f t="shared" si="82"/>
        <v>IT and Communications</v>
      </c>
      <c r="E82" s="119" t="s">
        <v>210</v>
      </c>
      <c r="F82" s="119" t="str">
        <f t="shared" si="83"/>
        <v>Dollars</v>
      </c>
      <c r="G82" s="119" t="str">
        <f t="shared" si="84"/>
        <v>Nominal</v>
      </c>
      <c r="H82" s="52" t="str">
        <f t="shared" si="85"/>
        <v>End_year</v>
      </c>
      <c r="J82" s="120">
        <v>0</v>
      </c>
      <c r="K82" s="131">
        <v>0</v>
      </c>
      <c r="L82" s="131">
        <v>0</v>
      </c>
      <c r="M82" s="132">
        <v>0</v>
      </c>
      <c r="N82" s="134">
        <v>0</v>
      </c>
      <c r="O82" s="131">
        <v>0</v>
      </c>
      <c r="P82" s="131">
        <v>0</v>
      </c>
      <c r="Q82" s="135">
        <v>0</v>
      </c>
      <c r="R82" s="120">
        <f>'[2]RAB roll forward'!G643</f>
        <v>-8.8285136086500626E-2</v>
      </c>
      <c r="S82" s="373">
        <f>'[2]RAB roll forward'!H643</f>
        <v>-0.10378054754609714</v>
      </c>
      <c r="T82" s="131">
        <f>'[2]RAB roll forward'!I643</f>
        <v>-0.21227575779623456</v>
      </c>
      <c r="U82" s="131">
        <f>'[2]RAB roll forward'!J643</f>
        <v>-0.24804175929783751</v>
      </c>
      <c r="V82" s="131">
        <f>'[2]RAB roll forward'!K643</f>
        <v>-0.25331436601119262</v>
      </c>
      <c r="W82" s="135">
        <f>'[2]RAB roll forward'!L643</f>
        <v>-0.25945692187650532</v>
      </c>
      <c r="X82" s="134">
        <f>-[5]Assets!G$231*X$239</f>
        <v>-2.8878948251794307</v>
      </c>
      <c r="Y82" s="131">
        <f>-[5]Assets!H$231*Y$239</f>
        <v>-3.264531228727555</v>
      </c>
      <c r="Z82" s="131">
        <f>-[5]Assets!I$231*Z$239</f>
        <v>-3.976960837446406</v>
      </c>
      <c r="AA82" s="131">
        <f>-[5]Assets!J$231*AA$239</f>
        <v>-5.5394273161395029</v>
      </c>
      <c r="AB82" s="135">
        <f>-[5]Assets!K$231*AB$239</f>
        <v>-6.3535632825667898</v>
      </c>
    </row>
    <row r="83" spans="1:28" ht="12.3" x14ac:dyDescent="0.35">
      <c r="D83" s="101" t="str">
        <f t="shared" si="82"/>
        <v>Motor Vehicles</v>
      </c>
      <c r="E83" s="119" t="s">
        <v>210</v>
      </c>
      <c r="F83" s="119" t="str">
        <f t="shared" si="83"/>
        <v>Dollars</v>
      </c>
      <c r="G83" s="119" t="str">
        <f t="shared" si="84"/>
        <v>Nominal</v>
      </c>
      <c r="H83" s="52" t="str">
        <f t="shared" si="85"/>
        <v>End_year</v>
      </c>
      <c r="J83" s="120">
        <v>0</v>
      </c>
      <c r="K83" s="131">
        <v>0</v>
      </c>
      <c r="L83" s="131">
        <v>0</v>
      </c>
      <c r="M83" s="132">
        <v>0</v>
      </c>
      <c r="N83" s="134">
        <v>0</v>
      </c>
      <c r="O83" s="131">
        <v>0</v>
      </c>
      <c r="P83" s="131">
        <v>0</v>
      </c>
      <c r="Q83" s="135">
        <v>0</v>
      </c>
      <c r="R83" s="120">
        <f>'[2]RAB roll forward'!G644</f>
        <v>-3.9084450954506769E-3</v>
      </c>
      <c r="S83" s="373">
        <f>'[2]RAB roll forward'!H644</f>
        <v>-9.5385270454678012E-3</v>
      </c>
      <c r="T83" s="131">
        <f>'[2]RAB roll forward'!I644</f>
        <v>-1.0787895176522641E-2</v>
      </c>
      <c r="U83" s="131">
        <f>'[2]RAB roll forward'!J644</f>
        <v>-1.2066696614688137E-2</v>
      </c>
      <c r="V83" s="131">
        <f>'[2]RAB roll forward'!K644</f>
        <v>-1.0381629644125402E-2</v>
      </c>
      <c r="W83" s="135">
        <f>'[2]RAB roll forward'!L644</f>
        <v>-1.1823102073505527E-2</v>
      </c>
      <c r="X83" s="134">
        <f>-[5]Assets!G$244*X$239</f>
        <v>-3.7625734742561687E-2</v>
      </c>
      <c r="Y83" s="131">
        <f>-[5]Assets!H$244*Y$239</f>
        <v>-3.8538111649047163E-2</v>
      </c>
      <c r="Z83" s="131">
        <f>-[5]Assets!I$244*Z$239</f>
        <v>-3.9472612551919251E-2</v>
      </c>
      <c r="AA83" s="131">
        <f>-[5]Assets!J$244*AA$239</f>
        <v>-4.0429773930359562E-2</v>
      </c>
      <c r="AB83" s="135">
        <f>-[5]Assets!K$244*AB$239</f>
        <v>-4.141014527249743E-2</v>
      </c>
    </row>
    <row r="84" spans="1:28" ht="12.3" x14ac:dyDescent="0.35">
      <c r="D84" s="101" t="str">
        <f t="shared" si="82"/>
        <v>Plant and Equipment</v>
      </c>
      <c r="E84" s="119" t="s">
        <v>210</v>
      </c>
      <c r="F84" s="119" t="str">
        <f t="shared" si="83"/>
        <v>Dollars</v>
      </c>
      <c r="G84" s="119" t="str">
        <f t="shared" si="84"/>
        <v>Nominal</v>
      </c>
      <c r="H84" s="52" t="str">
        <f t="shared" si="85"/>
        <v>End_year</v>
      </c>
      <c r="J84" s="120">
        <v>-1.6866154201882169</v>
      </c>
      <c r="K84" s="131">
        <v>-0.69233457321594694</v>
      </c>
      <c r="L84" s="131">
        <v>-0.33882921743439359</v>
      </c>
      <c r="M84" s="132">
        <v>-0.27596460609987622</v>
      </c>
      <c r="N84" s="134">
        <v>-2.7903342389835935</v>
      </c>
      <c r="O84" s="131">
        <v>-1.9341440812118655</v>
      </c>
      <c r="P84" s="131">
        <v>-0.66186864003919288</v>
      </c>
      <c r="Q84" s="135">
        <v>-0.77404867680624723</v>
      </c>
      <c r="R84" s="120">
        <f>'[2]RAB roll forward'!G645</f>
        <v>-0.70566350338596595</v>
      </c>
      <c r="S84" s="373">
        <f>'[2]RAB roll forward'!H645</f>
        <v>-1.4178132529328729</v>
      </c>
      <c r="T84" s="131">
        <f>'[2]RAB roll forward'!I645</f>
        <v>-1.898797430199922</v>
      </c>
      <c r="U84" s="131">
        <f>'[2]RAB roll forward'!J645</f>
        <v>-2.1568709695770636</v>
      </c>
      <c r="V84" s="131">
        <f>'[2]RAB roll forward'!K645</f>
        <v>-1.9798501972401825</v>
      </c>
      <c r="W84" s="135">
        <f>'[2]RAB roll forward'!L645</f>
        <v>-2.1644262428410053</v>
      </c>
      <c r="X84" s="134">
        <f>-[5]Assets!G$257*X$239</f>
        <v>-6.0536720352146252E-2</v>
      </c>
      <c r="Y84" s="131">
        <f>-[5]Assets!H$257*Y$239</f>
        <v>-0.15671331216935971</v>
      </c>
      <c r="Z84" s="131">
        <f>-[5]Assets!I$257*Z$239</f>
        <v>-0.26174543906064718</v>
      </c>
      <c r="AA84" s="131">
        <f>-[5]Assets!J$257*AA$239</f>
        <v>-0.36896218409941239</v>
      </c>
      <c r="AB84" s="135">
        <f>-[5]Assets!K$257*AB$239</f>
        <v>-0.4690663164051283</v>
      </c>
    </row>
    <row r="85" spans="1:28" ht="12.3" x14ac:dyDescent="0.35">
      <c r="D85" s="101" t="str">
        <f t="shared" ref="D85:D86" si="86">D32</f>
        <v>Property Leases</v>
      </c>
      <c r="E85" s="119" t="s">
        <v>210</v>
      </c>
      <c r="F85" s="119" t="str">
        <f t="shared" si="83"/>
        <v>Dollars</v>
      </c>
      <c r="G85" s="119" t="str">
        <f t="shared" si="84"/>
        <v>Nominal</v>
      </c>
      <c r="H85" s="52" t="str">
        <f t="shared" si="85"/>
        <v>End_year</v>
      </c>
      <c r="J85" s="120">
        <v>0</v>
      </c>
      <c r="K85" s="131">
        <v>0</v>
      </c>
      <c r="L85" s="131">
        <v>0</v>
      </c>
      <c r="M85" s="132">
        <v>0</v>
      </c>
      <c r="N85" s="134">
        <v>0</v>
      </c>
      <c r="O85" s="131">
        <v>0</v>
      </c>
      <c r="P85" s="131">
        <v>0</v>
      </c>
      <c r="Q85" s="135">
        <v>0</v>
      </c>
      <c r="R85" s="120">
        <v>0</v>
      </c>
      <c r="S85" s="373">
        <v>0</v>
      </c>
      <c r="T85" s="131">
        <v>0</v>
      </c>
      <c r="U85" s="131">
        <v>0</v>
      </c>
      <c r="V85" s="131">
        <v>0</v>
      </c>
      <c r="W85" s="135">
        <v>0</v>
      </c>
      <c r="X85" s="134">
        <f>-[5]Assets!G$270*X$239</f>
        <v>0</v>
      </c>
      <c r="Y85" s="131">
        <f>-[5]Assets!H$270*Y$239</f>
        <v>-0.36658207747774829</v>
      </c>
      <c r="Z85" s="131">
        <f>-[5]Assets!I$270*Z$239</f>
        <v>-0.37547123337358862</v>
      </c>
      <c r="AA85" s="131">
        <f>-[5]Assets!J$270*AA$239</f>
        <v>-1.9852428842368537</v>
      </c>
      <c r="AB85" s="135">
        <f>-[5]Assets!K$270*AB$239</f>
        <v>-2.033382535827323</v>
      </c>
    </row>
    <row r="86" spans="1:28" ht="12.3" x14ac:dyDescent="0.35">
      <c r="D86" s="101" t="str">
        <f t="shared" si="86"/>
        <v>Fleet Leases</v>
      </c>
      <c r="E86" s="119" t="s">
        <v>210</v>
      </c>
      <c r="F86" s="119" t="str">
        <f t="shared" si="83"/>
        <v>Dollars</v>
      </c>
      <c r="G86" s="119" t="str">
        <f t="shared" si="84"/>
        <v>Nominal</v>
      </c>
      <c r="H86" s="52" t="str">
        <f t="shared" si="85"/>
        <v>End_year</v>
      </c>
      <c r="J86" s="120">
        <v>0</v>
      </c>
      <c r="K86" s="131">
        <v>0</v>
      </c>
      <c r="L86" s="131">
        <v>0</v>
      </c>
      <c r="M86" s="132">
        <v>0</v>
      </c>
      <c r="N86" s="134">
        <v>0</v>
      </c>
      <c r="O86" s="131">
        <v>0</v>
      </c>
      <c r="P86" s="131">
        <v>0</v>
      </c>
      <c r="Q86" s="135">
        <v>0</v>
      </c>
      <c r="R86" s="120">
        <v>0</v>
      </c>
      <c r="S86" s="373">
        <v>0</v>
      </c>
      <c r="T86" s="131">
        <v>0</v>
      </c>
      <c r="U86" s="131">
        <v>0</v>
      </c>
      <c r="V86" s="131">
        <v>0</v>
      </c>
      <c r="W86" s="135">
        <v>0</v>
      </c>
      <c r="X86" s="134">
        <f>-[5]Assets!G$283*X$239</f>
        <v>0</v>
      </c>
      <c r="Y86" s="131">
        <f>-[5]Assets!H$283*Y$239</f>
        <v>-3.1519477908446887</v>
      </c>
      <c r="Z86" s="131">
        <f>-[5]Assets!I$283*Z$239</f>
        <v>-4.0962369067098079</v>
      </c>
      <c r="AA86" s="131">
        <f>-[5]Assets!J$283*AA$239</f>
        <v>-4.9749011503636664</v>
      </c>
      <c r="AB86" s="135">
        <f>-[5]Assets!K$283*AB$239</f>
        <v>-6.0519972281342813</v>
      </c>
    </row>
    <row r="87" spans="1:28" ht="12.3" x14ac:dyDescent="0.35">
      <c r="D87" s="101" t="str">
        <f t="shared" ref="D87" si="87">D34</f>
        <v>Equity Raising Costs</v>
      </c>
      <c r="E87" s="119" t="s">
        <v>210</v>
      </c>
      <c r="F87" s="119" t="str">
        <f t="shared" si="83"/>
        <v>Dollars</v>
      </c>
      <c r="G87" s="119" t="str">
        <f t="shared" si="84"/>
        <v>Nominal</v>
      </c>
      <c r="H87" s="52" t="str">
        <f t="shared" si="85"/>
        <v>End_year</v>
      </c>
      <c r="J87" s="120">
        <v>0</v>
      </c>
      <c r="K87" s="131">
        <v>0</v>
      </c>
      <c r="L87" s="131">
        <v>0</v>
      </c>
      <c r="M87" s="132">
        <v>0</v>
      </c>
      <c r="N87" s="134">
        <v>0</v>
      </c>
      <c r="O87" s="131">
        <v>0</v>
      </c>
      <c r="P87" s="131">
        <v>0</v>
      </c>
      <c r="Q87" s="135">
        <v>0</v>
      </c>
      <c r="R87" s="120">
        <v>0</v>
      </c>
      <c r="S87" s="373">
        <v>0</v>
      </c>
      <c r="T87" s="131">
        <v>0</v>
      </c>
      <c r="U87" s="131">
        <v>0</v>
      </c>
      <c r="V87" s="131">
        <v>0</v>
      </c>
      <c r="W87" s="135">
        <v>0</v>
      </c>
      <c r="X87" s="134">
        <f>-[5]Assets!G$465*X$239</f>
        <v>0</v>
      </c>
      <c r="Y87" s="131">
        <f>-[5]Assets!H$465*Y$239</f>
        <v>-0.26368301095727498</v>
      </c>
      <c r="Z87" s="131">
        <f>-[5]Assets!I$465*Z$239</f>
        <v>-0.2700769934662155</v>
      </c>
      <c r="AA87" s="131">
        <f>-[5]Assets!J$465*AA$239</f>
        <v>-0.27662602203662279</v>
      </c>
      <c r="AB87" s="135">
        <f>-[5]Assets!K$465*AB$239</f>
        <v>-0.28333385634114899</v>
      </c>
    </row>
    <row r="88" spans="1:28" x14ac:dyDescent="0.35">
      <c r="J88" s="114"/>
      <c r="K88" s="115"/>
      <c r="L88" s="115"/>
      <c r="M88" s="115"/>
      <c r="N88" s="114"/>
      <c r="O88" s="115"/>
      <c r="P88" s="115"/>
      <c r="Q88" s="117"/>
      <c r="R88" s="114"/>
      <c r="S88" s="115"/>
      <c r="T88" s="115"/>
      <c r="U88" s="115"/>
      <c r="V88" s="115"/>
      <c r="W88" s="117"/>
      <c r="X88" s="114"/>
      <c r="Y88" s="115"/>
      <c r="Z88" s="115"/>
      <c r="AA88" s="115"/>
      <c r="AB88" s="117"/>
    </row>
    <row r="89" spans="1:28" ht="12.3" x14ac:dyDescent="0.35">
      <c r="D89" s="124" t="str">
        <f>"Total "&amp;D69</f>
        <v>Total RAB Asset Class</v>
      </c>
      <c r="E89" s="125" t="s">
        <v>111</v>
      </c>
      <c r="F89" s="125" t="str">
        <f>F71</f>
        <v>Dollars</v>
      </c>
      <c r="G89" s="125" t="str">
        <f>G71</f>
        <v>Nominal</v>
      </c>
      <c r="H89" s="47" t="str">
        <f>H71</f>
        <v>End_year</v>
      </c>
      <c r="J89" s="126">
        <f t="shared" ref="J89:AB89" si="88">SUM(J71:J87)</f>
        <v>-17.153578383936953</v>
      </c>
      <c r="K89" s="127">
        <f t="shared" si="88"/>
        <v>-17.056671152379828</v>
      </c>
      <c r="L89" s="127">
        <f t="shared" si="88"/>
        <v>-15.592848237576151</v>
      </c>
      <c r="M89" s="127">
        <f t="shared" si="88"/>
        <v>-15.329940349669648</v>
      </c>
      <c r="N89" s="126">
        <f t="shared" si="88"/>
        <v>-24.442307815297269</v>
      </c>
      <c r="O89" s="127">
        <f t="shared" si="88"/>
        <v>-26.171129797235448</v>
      </c>
      <c r="P89" s="127">
        <f t="shared" si="88"/>
        <v>-27.373761018476401</v>
      </c>
      <c r="Q89" s="129">
        <f t="shared" si="88"/>
        <v>-23.254974461592251</v>
      </c>
      <c r="R89" s="126">
        <f>SUM(R71:R87)</f>
        <v>-38.588206637791259</v>
      </c>
      <c r="S89" s="127">
        <f t="shared" si="88"/>
        <v>-50.511200833938886</v>
      </c>
      <c r="T89" s="127">
        <f t="shared" si="88"/>
        <v>-53.38233933886324</v>
      </c>
      <c r="U89" s="127">
        <f t="shared" si="88"/>
        <v>-49.016950414294634</v>
      </c>
      <c r="V89" s="127">
        <f t="shared" si="88"/>
        <v>-50.479982153155724</v>
      </c>
      <c r="W89" s="129">
        <f t="shared" si="88"/>
        <v>-52.733312350742224</v>
      </c>
      <c r="X89" s="126">
        <f t="shared" si="88"/>
        <v>-48.214976114744054</v>
      </c>
      <c r="Y89" s="127">
        <f t="shared" si="88"/>
        <v>-54.849067606206724</v>
      </c>
      <c r="Z89" s="127">
        <f t="shared" si="88"/>
        <v>-58.079724518933162</v>
      </c>
      <c r="AA89" s="127">
        <f t="shared" si="88"/>
        <v>-64.145863249408137</v>
      </c>
      <c r="AB89" s="129">
        <f t="shared" si="88"/>
        <v>-68.887032353106164</v>
      </c>
    </row>
    <row r="90" spans="1:28" s="108" customFormat="1" ht="11.25" customHeight="1" x14ac:dyDescent="0.35">
      <c r="H90" s="6"/>
    </row>
    <row r="91" spans="1:28" s="108" customFormat="1" ht="11.25" customHeight="1" x14ac:dyDescent="0.35">
      <c r="A91" s="95">
        <f>IF(SUM($J91:$AB91)&lt;&gt;0,1,0)</f>
        <v>0</v>
      </c>
      <c r="D91" s="101" t="s">
        <v>206</v>
      </c>
      <c r="H91" s="6"/>
      <c r="J91" s="130">
        <f>IF(ISERROR(J89),1,0)</f>
        <v>0</v>
      </c>
      <c r="K91" s="130">
        <f t="shared" ref="K91:N91" si="89">IF(ISERROR(K89),1,0)</f>
        <v>0</v>
      </c>
      <c r="L91" s="130">
        <f t="shared" si="89"/>
        <v>0</v>
      </c>
      <c r="M91" s="130">
        <f t="shared" si="89"/>
        <v>0</v>
      </c>
      <c r="N91" s="130">
        <f t="shared" si="89"/>
        <v>0</v>
      </c>
      <c r="O91" s="130">
        <f>IF(ISERROR(O89),1,0)</f>
        <v>0</v>
      </c>
      <c r="P91" s="130">
        <f t="shared" ref="P91:S91" si="90">IF(ISERROR(P89),1,0)</f>
        <v>0</v>
      </c>
      <c r="Q91" s="130">
        <f t="shared" si="90"/>
        <v>0</v>
      </c>
      <c r="R91" s="130">
        <f t="shared" si="90"/>
        <v>0</v>
      </c>
      <c r="S91" s="130">
        <f t="shared" si="90"/>
        <v>0</v>
      </c>
      <c r="T91" s="130">
        <f>IF(ISERROR(T89),1,0)</f>
        <v>0</v>
      </c>
      <c r="U91" s="130">
        <f t="shared" ref="U91:X91" si="91">IF(ISERROR(U89),1,0)</f>
        <v>0</v>
      </c>
      <c r="V91" s="130">
        <f t="shared" si="91"/>
        <v>0</v>
      </c>
      <c r="W91" s="130">
        <f t="shared" si="91"/>
        <v>0</v>
      </c>
      <c r="X91" s="130">
        <f t="shared" si="91"/>
        <v>0</v>
      </c>
      <c r="Y91" s="130">
        <f>IF(ISERROR(Y89),1,0)</f>
        <v>0</v>
      </c>
      <c r="Z91" s="130">
        <f t="shared" ref="Z91:AB91" si="92">IF(ISERROR(Z89),1,0)</f>
        <v>0</v>
      </c>
      <c r="AA91" s="130">
        <f t="shared" si="92"/>
        <v>0</v>
      </c>
      <c r="AB91" s="130">
        <f t="shared" si="92"/>
        <v>0</v>
      </c>
    </row>
    <row r="92" spans="1:28" s="108" customFormat="1" ht="11.25" customHeight="1" x14ac:dyDescent="0.35">
      <c r="A92" s="95">
        <f>IF(SUM($J92:$AB92)&lt;&gt;0,1,0)</f>
        <v>0</v>
      </c>
      <c r="D92" s="101" t="s">
        <v>207</v>
      </c>
      <c r="H92" s="6"/>
      <c r="J92" s="137" t="str">
        <f t="shared" ref="J92:Q92" si="93">NA</f>
        <v>N/A</v>
      </c>
      <c r="K92" s="130" t="str">
        <f t="shared" si="93"/>
        <v>N/A</v>
      </c>
      <c r="L92" s="130" t="str">
        <f t="shared" si="93"/>
        <v>N/A</v>
      </c>
      <c r="M92" s="138" t="str">
        <f t="shared" si="93"/>
        <v>N/A</v>
      </c>
      <c r="N92" s="137" t="str">
        <f t="shared" si="93"/>
        <v>N/A</v>
      </c>
      <c r="O92" s="130" t="str">
        <f t="shared" si="93"/>
        <v>N/A</v>
      </c>
      <c r="P92" s="130" t="str">
        <f t="shared" si="93"/>
        <v>N/A</v>
      </c>
      <c r="Q92" s="138" t="str">
        <f t="shared" si="93"/>
        <v>N/A</v>
      </c>
      <c r="R92" s="130">
        <f>IF(ROUND('[2]RAB roll forward'!G$631-R89-Input_RAB_ACS!R65,2)=0,0,1)</f>
        <v>0</v>
      </c>
      <c r="S92" s="130">
        <f>IF(ROUND('[2]RAB roll forward'!H$631-S89-Input_RAB_ACS!S65,2)=0,0,1)</f>
        <v>0</v>
      </c>
      <c r="T92" s="130">
        <f>IF(ROUND('[2]RAB roll forward'!I$631-T89-Input_RAB_ACS!T65,2)=0,0,1)</f>
        <v>0</v>
      </c>
      <c r="U92" s="130">
        <f>IF(ROUND('[2]RAB roll forward'!J$631-U89-Input_RAB_ACS!U65,2)=0,0,1)</f>
        <v>0</v>
      </c>
      <c r="V92" s="130">
        <f>IF(ROUND('[2]RAB roll forward'!K$631-V89-Input_RAB_ACS!V65,2)=0,0,1)</f>
        <v>0</v>
      </c>
      <c r="W92" s="138">
        <f>IF(ROUND('[2]RAB roll forward'!L$631-W89-Input_RAB_ACS!W65,2)=0,0,1)</f>
        <v>0</v>
      </c>
      <c r="X92" s="137">
        <f>IF(ROUND([5]Assets!G$876-X89,2)=0,0,1)</f>
        <v>0</v>
      </c>
      <c r="Y92" s="130">
        <f>IF(ROUND([5]Assets!H$876-Y89,2)=0,0,1)</f>
        <v>0</v>
      </c>
      <c r="Z92" s="130">
        <f>IF(ROUND([5]Assets!I$876-Z89,2)=0,0,1)</f>
        <v>0</v>
      </c>
      <c r="AA92" s="130">
        <f>IF(ROUND([5]Assets!J$876-AA89,2)=0,0,1)</f>
        <v>0</v>
      </c>
      <c r="AB92" s="138">
        <f>IF(ROUND([5]Assets!K$876-AB89,2)=0,0,1)</f>
        <v>0</v>
      </c>
    </row>
    <row r="93" spans="1:28" s="108" customFormat="1" ht="11.25" customHeight="1" x14ac:dyDescent="0.35">
      <c r="H93" s="6"/>
      <c r="L93" s="105"/>
      <c r="Q93" s="105"/>
      <c r="V93" s="105"/>
      <c r="AA93" s="105"/>
    </row>
    <row r="94" spans="1:28" s="109" customFormat="1" ht="14.1" x14ac:dyDescent="0.35">
      <c r="C94" s="109" t="s">
        <v>410</v>
      </c>
      <c r="H94" s="13"/>
    </row>
    <row r="95" spans="1:28" s="108" customFormat="1" ht="11.25" customHeight="1" x14ac:dyDescent="0.35">
      <c r="H95" s="6"/>
    </row>
    <row r="96" spans="1:28" ht="12.3" x14ac:dyDescent="0.35">
      <c r="D96" s="110" t="str">
        <f>D$16</f>
        <v>RAB Asset Class</v>
      </c>
      <c r="E96" s="111" t="str">
        <f>Lookup!E$20</f>
        <v>Source</v>
      </c>
      <c r="F96" s="111" t="str">
        <f>Lookup!F$20</f>
        <v>Unit</v>
      </c>
      <c r="G96" s="111" t="str">
        <f>Lookup!G$20</f>
        <v>Basis</v>
      </c>
      <c r="H96" s="45" t="str">
        <f>Lookup!H$20</f>
        <v>Timing</v>
      </c>
      <c r="J96" s="338" t="str">
        <f>J$10</f>
        <v>RY06</v>
      </c>
      <c r="K96" s="339" t="str">
        <f t="shared" ref="K96:AB96" si="94">K$10</f>
        <v>RY07</v>
      </c>
      <c r="L96" s="339" t="str">
        <f t="shared" si="94"/>
        <v>RY08</v>
      </c>
      <c r="M96" s="339" t="str">
        <f t="shared" si="94"/>
        <v>RY09</v>
      </c>
      <c r="N96" s="338" t="str">
        <f t="shared" si="94"/>
        <v>RY10</v>
      </c>
      <c r="O96" s="339" t="str">
        <f>O$10</f>
        <v>RY11</v>
      </c>
      <c r="P96" s="339" t="str">
        <f t="shared" si="94"/>
        <v>RY12</v>
      </c>
      <c r="Q96" s="340" t="str">
        <f t="shared" si="94"/>
        <v>RY13</v>
      </c>
      <c r="R96" s="347" t="str">
        <f t="shared" si="94"/>
        <v>RY14</v>
      </c>
      <c r="S96" s="112" t="str">
        <f t="shared" si="94"/>
        <v>RY15</v>
      </c>
      <c r="T96" s="111" t="str">
        <f>T$10</f>
        <v>RY16</v>
      </c>
      <c r="U96" s="111" t="str">
        <f t="shared" si="94"/>
        <v>RY17</v>
      </c>
      <c r="V96" s="111" t="str">
        <f t="shared" si="94"/>
        <v>RY18</v>
      </c>
      <c r="W96" s="113" t="str">
        <f t="shared" si="94"/>
        <v>RY19</v>
      </c>
      <c r="X96" s="338" t="str">
        <f t="shared" si="94"/>
        <v>RY20</v>
      </c>
      <c r="Y96" s="339" t="str">
        <f>Y$10</f>
        <v>RY21</v>
      </c>
      <c r="Z96" s="339" t="str">
        <f t="shared" si="94"/>
        <v>RY22</v>
      </c>
      <c r="AA96" s="339" t="str">
        <f t="shared" si="94"/>
        <v>RY23</v>
      </c>
      <c r="AB96" s="340" t="str">
        <f t="shared" si="94"/>
        <v>RY24</v>
      </c>
    </row>
    <row r="97" spans="4:28" x14ac:dyDescent="0.35">
      <c r="J97" s="114"/>
      <c r="K97" s="115"/>
      <c r="L97" s="115"/>
      <c r="M97" s="117"/>
      <c r="N97" s="114"/>
      <c r="O97" s="115"/>
      <c r="P97" s="115"/>
      <c r="Q97" s="117"/>
      <c r="R97" s="116"/>
      <c r="S97" s="337"/>
      <c r="T97" s="115"/>
      <c r="U97" s="115"/>
      <c r="V97" s="115"/>
      <c r="W97" s="117"/>
      <c r="X97" s="114"/>
      <c r="Y97" s="115"/>
      <c r="Z97" s="115"/>
      <c r="AA97" s="115"/>
      <c r="AB97" s="117"/>
    </row>
    <row r="98" spans="4:28" ht="12.3" x14ac:dyDescent="0.35">
      <c r="D98" s="101" t="str">
        <f t="shared" ref="D98:D111" si="95">D18</f>
        <v>Substations</v>
      </c>
      <c r="E98" s="119" t="s">
        <v>210</v>
      </c>
      <c r="F98" s="119" t="str">
        <f t="shared" ref="F98:F114" si="96">Dollars</f>
        <v>Dollars</v>
      </c>
      <c r="G98" s="119" t="str">
        <f t="shared" ref="G98:G114" si="97">Nominal</f>
        <v>Nominal</v>
      </c>
      <c r="H98" s="52" t="str">
        <f t="shared" ref="H98:H114" si="98">End_year</f>
        <v>End_year</v>
      </c>
      <c r="J98" s="120">
        <v>1.7297196136068642</v>
      </c>
      <c r="K98" s="131">
        <v>2.1814994887110837</v>
      </c>
      <c r="L98" s="131">
        <v>19.022753570808526</v>
      </c>
      <c r="M98" s="132">
        <v>31.560057824059658</v>
      </c>
      <c r="N98" s="134">
        <v>32.998431793890191</v>
      </c>
      <c r="O98" s="131">
        <v>46.08523705020761</v>
      </c>
      <c r="P98" s="131">
        <v>42.575795653792696</v>
      </c>
      <c r="Q98" s="135">
        <v>50.205419839945108</v>
      </c>
      <c r="R98" s="133">
        <f>'[6]Actual RAB roll forward'!H12*R$237-R125</f>
        <v>60.991620807906195</v>
      </c>
      <c r="S98" s="134">
        <f>'[2]RAB roll forward'!H12*S$238-S125</f>
        <v>33.048882340693943</v>
      </c>
      <c r="T98" s="131">
        <f>'[2]RAB roll forward'!I12*T$238-T125</f>
        <v>28.338276198485278</v>
      </c>
      <c r="U98" s="131">
        <f>'[2]RAB roll forward'!J12*U$238-U125</f>
        <v>14.51412420790942</v>
      </c>
      <c r="V98" s="131">
        <f>'[2]RAB roll forward'!K12*V$238-V125</f>
        <v>8.1194946258613196</v>
      </c>
      <c r="W98" s="135">
        <f>'[2]RAB roll forward'!L12*W$238-W125</f>
        <v>13.548615742032716</v>
      </c>
      <c r="X98" s="134">
        <f>[5]Assets!G11*X$239-X125</f>
        <v>12.59368146376316</v>
      </c>
      <c r="Y98" s="131">
        <f>[5]Assets!H11*Y$239-Y125</f>
        <v>11.470579833630053</v>
      </c>
      <c r="Z98" s="131">
        <f>[5]Assets!I11*Z$239-Z125</f>
        <v>16.637292498766907</v>
      </c>
      <c r="AA98" s="131">
        <f>[5]Assets!J11*AA$239-AA125</f>
        <v>17.363680798583964</v>
      </c>
      <c r="AB98" s="135">
        <f>[5]Assets!K11*AB$239-AB125</f>
        <v>11.288381760269168</v>
      </c>
    </row>
    <row r="99" spans="4:28" ht="12.3" x14ac:dyDescent="0.35">
      <c r="D99" s="101" t="str">
        <f t="shared" si="95"/>
        <v>Distribution Lines</v>
      </c>
      <c r="E99" s="119" t="s">
        <v>210</v>
      </c>
      <c r="F99" s="119" t="str">
        <f t="shared" si="96"/>
        <v>Dollars</v>
      </c>
      <c r="G99" s="119" t="str">
        <f t="shared" si="97"/>
        <v>Nominal</v>
      </c>
      <c r="H99" s="52" t="str">
        <f t="shared" si="98"/>
        <v>End_year</v>
      </c>
      <c r="J99" s="120">
        <v>9.4174934468453984</v>
      </c>
      <c r="K99" s="131">
        <v>11.877218121146065</v>
      </c>
      <c r="L99" s="131">
        <v>13.170345514984467</v>
      </c>
      <c r="M99" s="132">
        <v>12.181350319566928</v>
      </c>
      <c r="N99" s="134">
        <v>12.406675272708666</v>
      </c>
      <c r="O99" s="131">
        <v>12.890129907698144</v>
      </c>
      <c r="P99" s="131">
        <v>14.655414350523726</v>
      </c>
      <c r="Q99" s="135">
        <v>25.982364711597128</v>
      </c>
      <c r="R99" s="133">
        <f>'[6]Actual RAB roll forward'!H13*R$237-R126</f>
        <v>16.600578960978812</v>
      </c>
      <c r="S99" s="134">
        <f>'[2]RAB roll forward'!H13*S$238-S126</f>
        <v>15.067805371660075</v>
      </c>
      <c r="T99" s="131">
        <f>'[2]RAB roll forward'!I13*T$238-T126</f>
        <v>10.185156410091212</v>
      </c>
      <c r="U99" s="131">
        <f>'[2]RAB roll forward'!J13*U$238-U126</f>
        <v>9.6264506030752521</v>
      </c>
      <c r="V99" s="131">
        <f>'[2]RAB roll forward'!K13*V$238-V126</f>
        <v>5.9699657777949477</v>
      </c>
      <c r="W99" s="135">
        <f>'[2]RAB roll forward'!L13*W$238-W126</f>
        <v>9.0454806688983496</v>
      </c>
      <c r="X99" s="134">
        <f>[5]Assets!G12*X$239-X126</f>
        <v>18.920954040507048</v>
      </c>
      <c r="Y99" s="131">
        <f>[5]Assets!H12*Y$239-Y126</f>
        <v>23.086340557568761</v>
      </c>
      <c r="Z99" s="131">
        <f>[5]Assets!I12*Z$239-Z126</f>
        <v>17.691003447936708</v>
      </c>
      <c r="AA99" s="131">
        <f>[5]Assets!J12*AA$239-AA126</f>
        <v>15.969833207771742</v>
      </c>
      <c r="AB99" s="135">
        <f>[5]Assets!K12*AB$239-AB126</f>
        <v>18.378449440881745</v>
      </c>
    </row>
    <row r="100" spans="4:28" ht="12.3" x14ac:dyDescent="0.35">
      <c r="D100" s="101" t="str">
        <f t="shared" si="95"/>
        <v>Transmission Lines</v>
      </c>
      <c r="E100" s="119" t="s">
        <v>210</v>
      </c>
      <c r="F100" s="119" t="str">
        <f t="shared" si="96"/>
        <v>Dollars</v>
      </c>
      <c r="G100" s="119" t="str">
        <f t="shared" si="97"/>
        <v>Nominal</v>
      </c>
      <c r="H100" s="52" t="str">
        <f t="shared" si="98"/>
        <v>End_year</v>
      </c>
      <c r="J100" s="120">
        <v>7.586037516636619</v>
      </c>
      <c r="K100" s="131">
        <v>9.5674101361304071</v>
      </c>
      <c r="L100" s="131">
        <v>2.3087614393226743</v>
      </c>
      <c r="M100" s="132">
        <v>1.6014435153799942</v>
      </c>
      <c r="N100" s="134">
        <v>15.999824402264412</v>
      </c>
      <c r="O100" s="131">
        <v>15.244485479658326</v>
      </c>
      <c r="P100" s="131">
        <v>8.2179839327020812</v>
      </c>
      <c r="Q100" s="135">
        <v>14.50547634503843</v>
      </c>
      <c r="R100" s="133">
        <f>'[6]Actual RAB roll forward'!H14*R$237-R127</f>
        <v>3.2551895210875088</v>
      </c>
      <c r="S100" s="134">
        <f>'[2]RAB roll forward'!H14*S$238-S127</f>
        <v>3.4338906117240073</v>
      </c>
      <c r="T100" s="131">
        <f>'[2]RAB roll forward'!I14*T$238-T127</f>
        <v>6.0766802310541319</v>
      </c>
      <c r="U100" s="131">
        <f>'[2]RAB roll forward'!J14*U$238-U127</f>
        <v>6.0000085500220193</v>
      </c>
      <c r="V100" s="131">
        <f>'[2]RAB roll forward'!K14*V$238-V127</f>
        <v>8.5772958631322709</v>
      </c>
      <c r="W100" s="135">
        <f>'[2]RAB roll forward'!L14*W$238-W127</f>
        <v>0.24227691108625349</v>
      </c>
      <c r="X100" s="134">
        <f>[5]Assets!G13*X$239-X127</f>
        <v>3.0175569277476519</v>
      </c>
      <c r="Y100" s="131">
        <f>[5]Assets!H13*Y$239-Y127</f>
        <v>2.9857999612846271</v>
      </c>
      <c r="Z100" s="131">
        <f>[5]Assets!I13*Z$239-Z127</f>
        <v>2.9751146721756165</v>
      </c>
      <c r="AA100" s="131">
        <f>[5]Assets!J13*AA$239-AA127</f>
        <v>3.2825563100098716</v>
      </c>
      <c r="AB100" s="135">
        <f>[5]Assets!K13*AB$239-AB127</f>
        <v>3.4076697804021387</v>
      </c>
    </row>
    <row r="101" spans="4:28" ht="12.3" x14ac:dyDescent="0.35">
      <c r="D101" s="101" t="str">
        <f t="shared" si="95"/>
        <v>LV Services</v>
      </c>
      <c r="E101" s="119" t="s">
        <v>210</v>
      </c>
      <c r="F101" s="119" t="str">
        <f t="shared" si="96"/>
        <v>Dollars</v>
      </c>
      <c r="G101" s="119" t="str">
        <f t="shared" si="97"/>
        <v>Nominal</v>
      </c>
      <c r="H101" s="52" t="str">
        <f t="shared" si="98"/>
        <v>End_year</v>
      </c>
      <c r="J101" s="120">
        <v>0</v>
      </c>
      <c r="K101" s="131">
        <v>0</v>
      </c>
      <c r="L101" s="131">
        <v>0</v>
      </c>
      <c r="M101" s="132">
        <v>0</v>
      </c>
      <c r="N101" s="134">
        <v>0</v>
      </c>
      <c r="O101" s="131">
        <v>0</v>
      </c>
      <c r="P101" s="131">
        <v>0</v>
      </c>
      <c r="Q101" s="135">
        <v>0</v>
      </c>
      <c r="R101" s="133">
        <f>'[6]Actual RAB roll forward'!H15*R$237-R128</f>
        <v>9.7901082675392586E-3</v>
      </c>
      <c r="S101" s="134">
        <f>'[2]RAB roll forward'!H15*S$238-S128</f>
        <v>1.845242940979605</v>
      </c>
      <c r="T101" s="131">
        <f>'[2]RAB roll forward'!I15*T$238-T128</f>
        <v>1.8793855289481671</v>
      </c>
      <c r="U101" s="131">
        <f>'[2]RAB roll forward'!J15*U$238-U128</f>
        <v>1.7205042819852123</v>
      </c>
      <c r="V101" s="131">
        <f>'[2]RAB roll forward'!K15*V$238-V128</f>
        <v>2.1528887339161706E-2</v>
      </c>
      <c r="W101" s="135">
        <f>'[2]RAB roll forward'!L15*W$238-W128</f>
        <v>6.1934007196222676E-2</v>
      </c>
      <c r="X101" s="134">
        <f>[5]Assets!G14*X$239-X128</f>
        <v>0.28023399273297461</v>
      </c>
      <c r="Y101" s="131">
        <f>[5]Assets!H14*Y$239-Y128</f>
        <v>0.39901968921250386</v>
      </c>
      <c r="Z101" s="131">
        <f>[5]Assets!I14*Z$239-Z128</f>
        <v>0.34495059460333605</v>
      </c>
      <c r="AA101" s="131">
        <f>[5]Assets!J14*AA$239-AA128</f>
        <v>0.30231485979149092</v>
      </c>
      <c r="AB101" s="135">
        <f>[5]Assets!K14*AB$239-AB128</f>
        <v>0.33817719915317718</v>
      </c>
    </row>
    <row r="102" spans="4:28" ht="12.3" x14ac:dyDescent="0.35">
      <c r="D102" s="101" t="str">
        <f t="shared" si="95"/>
        <v>Distribution Substations</v>
      </c>
      <c r="E102" s="119" t="s">
        <v>210</v>
      </c>
      <c r="F102" s="119" t="str">
        <f t="shared" si="96"/>
        <v>Dollars</v>
      </c>
      <c r="G102" s="119" t="str">
        <f t="shared" si="97"/>
        <v>Nominal</v>
      </c>
      <c r="H102" s="52" t="str">
        <f t="shared" si="98"/>
        <v>End_year</v>
      </c>
      <c r="J102" s="120">
        <v>1.1758439014417859</v>
      </c>
      <c r="K102" s="131">
        <v>1.4829587695143671</v>
      </c>
      <c r="L102" s="131">
        <v>3.7444324288213884</v>
      </c>
      <c r="M102" s="132">
        <v>2.2142683556118805</v>
      </c>
      <c r="N102" s="134">
        <v>12.630295458322083</v>
      </c>
      <c r="O102" s="131">
        <v>12.284275029227013</v>
      </c>
      <c r="P102" s="131">
        <v>4.9790162049504652</v>
      </c>
      <c r="Q102" s="135">
        <v>4.9195138669814025</v>
      </c>
      <c r="R102" s="133">
        <f>'[6]Actual RAB roll forward'!H16*R$237-R129</f>
        <v>4.3922376868375999</v>
      </c>
      <c r="S102" s="134">
        <f>'[2]RAB roll forward'!H16*S$238-S129</f>
        <v>8.536768905097718</v>
      </c>
      <c r="T102" s="131">
        <f>'[2]RAB roll forward'!I16*T$238-T129</f>
        <v>5.8470152011595493</v>
      </c>
      <c r="U102" s="131">
        <f>'[2]RAB roll forward'!J16*U$238-U129</f>
        <v>3.4471765743363849</v>
      </c>
      <c r="V102" s="131">
        <f>'[2]RAB roll forward'!K16*V$238-V129</f>
        <v>1.8643690159322748</v>
      </c>
      <c r="W102" s="135">
        <f>'[2]RAB roll forward'!L16*W$238-W129</f>
        <v>3.8106459756528444</v>
      </c>
      <c r="X102" s="134">
        <f>[5]Assets!G15*X$239-X129</f>
        <v>4.3107953393212677</v>
      </c>
      <c r="Y102" s="131">
        <f>[5]Assets!H15*Y$239-Y129</f>
        <v>5.0228358296231228</v>
      </c>
      <c r="Z102" s="131">
        <f>[5]Assets!I15*Z$239-Z129</f>
        <v>5.214374341590073</v>
      </c>
      <c r="AA102" s="131">
        <f>[5]Assets!J15*AA$239-AA129</f>
        <v>6.1948762376614983</v>
      </c>
      <c r="AB102" s="135">
        <f>[5]Assets!K15*AB$239-AB129</f>
        <v>6.6857891563487417</v>
      </c>
    </row>
    <row r="103" spans="4:28" ht="12.3" x14ac:dyDescent="0.35">
      <c r="D103" s="101" t="str">
        <f t="shared" si="95"/>
        <v>Distribution Switchgear</v>
      </c>
      <c r="E103" s="119" t="s">
        <v>210</v>
      </c>
      <c r="F103" s="119" t="str">
        <f t="shared" si="96"/>
        <v>Dollars</v>
      </c>
      <c r="G103" s="119" t="str">
        <f t="shared" si="97"/>
        <v>Nominal</v>
      </c>
      <c r="H103" s="52" t="str">
        <f t="shared" si="98"/>
        <v>End_year</v>
      </c>
      <c r="J103" s="120">
        <v>0</v>
      </c>
      <c r="K103" s="131">
        <v>0</v>
      </c>
      <c r="L103" s="131">
        <v>0.362877343518201</v>
      </c>
      <c r="M103" s="132">
        <v>4.9949220557587264</v>
      </c>
      <c r="N103" s="134">
        <v>0</v>
      </c>
      <c r="O103" s="131">
        <v>0</v>
      </c>
      <c r="P103" s="131">
        <v>0</v>
      </c>
      <c r="Q103" s="135">
        <v>0</v>
      </c>
      <c r="R103" s="133">
        <f>'[6]Actual RAB roll forward'!H17*R$237-R130</f>
        <v>0.77329114132065246</v>
      </c>
      <c r="S103" s="134">
        <f>'[2]RAB roll forward'!H17*S$238-S130</f>
        <v>4.9930955238967991</v>
      </c>
      <c r="T103" s="131">
        <f>'[2]RAB roll forward'!I17*T$238-T130</f>
        <v>5.8372887907493949</v>
      </c>
      <c r="U103" s="131">
        <f>'[2]RAB roll forward'!J17*U$238-U130</f>
        <v>5.1872992087865128</v>
      </c>
      <c r="V103" s="131">
        <f>'[2]RAB roll forward'!K17*V$238-V130</f>
        <v>4.513654281789111</v>
      </c>
      <c r="W103" s="135">
        <f>'[2]RAB roll forward'!L17*W$238-W130</f>
        <v>3.5058821823107986</v>
      </c>
      <c r="X103" s="134">
        <f>[5]Assets!G16*X$239-X130</f>
        <v>5.1238804842091303</v>
      </c>
      <c r="Y103" s="131">
        <f>[5]Assets!H16*Y$239-Y130</f>
        <v>5.5653712506266269</v>
      </c>
      <c r="Z103" s="131">
        <f>[5]Assets!I16*Z$239-Z130</f>
        <v>5.3635975698960623</v>
      </c>
      <c r="AA103" s="131">
        <f>[5]Assets!J16*AA$239-AA130</f>
        <v>6.0033967075751127</v>
      </c>
      <c r="AB103" s="135">
        <f>[5]Assets!K16*AB$239-AB130</f>
        <v>6.3893018436512587</v>
      </c>
    </row>
    <row r="104" spans="4:28" ht="12.3" x14ac:dyDescent="0.35">
      <c r="D104" s="101" t="str">
        <f t="shared" si="95"/>
        <v>Protection</v>
      </c>
      <c r="E104" s="119" t="s">
        <v>210</v>
      </c>
      <c r="F104" s="119" t="str">
        <f t="shared" si="96"/>
        <v>Dollars</v>
      </c>
      <c r="G104" s="119" t="str">
        <f t="shared" si="97"/>
        <v>Nominal</v>
      </c>
      <c r="H104" s="52" t="str">
        <f t="shared" si="98"/>
        <v>End_year</v>
      </c>
      <c r="J104" s="120">
        <v>0</v>
      </c>
      <c r="K104" s="131">
        <v>0</v>
      </c>
      <c r="L104" s="131">
        <v>0</v>
      </c>
      <c r="M104" s="132">
        <v>0</v>
      </c>
      <c r="N104" s="134">
        <v>2.1283974333164677</v>
      </c>
      <c r="O104" s="131">
        <v>1.9826151425355152</v>
      </c>
      <c r="P104" s="131">
        <v>2.2661747434121531</v>
      </c>
      <c r="Q104" s="135">
        <v>4.7302031154511317</v>
      </c>
      <c r="R104" s="133">
        <f>'[6]Actual RAB roll forward'!H18*R$237-R131</f>
        <v>1.5853315412159839</v>
      </c>
      <c r="S104" s="134">
        <f>'[2]RAB roll forward'!H18*S$238-S131</f>
        <v>5.8074159367848326</v>
      </c>
      <c r="T104" s="131">
        <f>'[2]RAB roll forward'!I18*T$238-T131</f>
        <v>4.9105647081739008</v>
      </c>
      <c r="U104" s="131">
        <f>'[2]RAB roll forward'!J18*U$238-U131</f>
        <v>3.0280015241527409</v>
      </c>
      <c r="V104" s="131">
        <f>'[2]RAB roll forward'!K18*V$238-V131</f>
        <v>1.0053446559797936</v>
      </c>
      <c r="W104" s="135">
        <f>'[2]RAB roll forward'!L18*W$238-W131</f>
        <v>2.5801616727050334</v>
      </c>
      <c r="X104" s="134">
        <f>[5]Assets!G17*X$239-X131</f>
        <v>3.9363722208495893</v>
      </c>
      <c r="Y104" s="131">
        <f>[5]Assets!H17*Y$239-Y131</f>
        <v>4.4536866265546262</v>
      </c>
      <c r="Z104" s="131">
        <f>[5]Assets!I17*Z$239-Z131</f>
        <v>2.7796596077337443</v>
      </c>
      <c r="AA104" s="131">
        <f>[5]Assets!J17*AA$239-AA131</f>
        <v>2.9279591777557186</v>
      </c>
      <c r="AB104" s="135">
        <f>[5]Assets!K17*AB$239-AB131</f>
        <v>2.4168734306737818</v>
      </c>
    </row>
    <row r="105" spans="4:28" ht="12.3" x14ac:dyDescent="0.35">
      <c r="D105" s="101" t="str">
        <f t="shared" si="95"/>
        <v>SCADA</v>
      </c>
      <c r="E105" s="119" t="s">
        <v>210</v>
      </c>
      <c r="F105" s="119" t="str">
        <f t="shared" si="96"/>
        <v>Dollars</v>
      </c>
      <c r="G105" s="119" t="str">
        <f t="shared" si="97"/>
        <v>Nominal</v>
      </c>
      <c r="H105" s="52" t="str">
        <f t="shared" si="98"/>
        <v>End_year</v>
      </c>
      <c r="J105" s="120">
        <v>8.3943026459651696E-2</v>
      </c>
      <c r="K105" s="131">
        <v>0.10586783422125873</v>
      </c>
      <c r="L105" s="131">
        <v>3.4256074667353396</v>
      </c>
      <c r="M105" s="132">
        <v>0</v>
      </c>
      <c r="N105" s="134">
        <v>0</v>
      </c>
      <c r="O105" s="131">
        <v>0</v>
      </c>
      <c r="P105" s="131">
        <v>0</v>
      </c>
      <c r="Q105" s="135">
        <v>0</v>
      </c>
      <c r="R105" s="133">
        <f>'[6]Actual RAB roll forward'!H19*R$237-R132</f>
        <v>0.71187385993712382</v>
      </c>
      <c r="S105" s="134">
        <f>'[2]RAB roll forward'!H19*S$238-S132</f>
        <v>2.3037714771811681</v>
      </c>
      <c r="T105" s="131">
        <f>'[2]RAB roll forward'!I19*T$238-T132</f>
        <v>1.0926039999907513</v>
      </c>
      <c r="U105" s="131">
        <f>'[2]RAB roll forward'!J19*U$238-U132</f>
        <v>0.59332005991312708</v>
      </c>
      <c r="V105" s="131">
        <f>'[2]RAB roll forward'!K19*V$238-V132</f>
        <v>0.47923942508812239</v>
      </c>
      <c r="W105" s="135">
        <f>'[2]RAB roll forward'!L19*W$238-W132</f>
        <v>1.2188129762007469</v>
      </c>
      <c r="X105" s="134">
        <f>[5]Assets!G18*X$239-X132</f>
        <v>1.0850888381002781</v>
      </c>
      <c r="Y105" s="131">
        <f>[5]Assets!H18*Y$239-Y132</f>
        <v>1.3862642677392913</v>
      </c>
      <c r="Z105" s="131">
        <f>[5]Assets!I18*Z$239-Z132</f>
        <v>1.2475017871424214</v>
      </c>
      <c r="AA105" s="131">
        <f>[5]Assets!J18*AA$239-AA132</f>
        <v>0.98274062367579496</v>
      </c>
      <c r="AB105" s="135">
        <f>[5]Assets!K18*AB$239-AB132</f>
        <v>0.78076578711312961</v>
      </c>
    </row>
    <row r="106" spans="4:28" ht="12.3" x14ac:dyDescent="0.35">
      <c r="D106" s="101" t="str">
        <f t="shared" si="95"/>
        <v>Communications</v>
      </c>
      <c r="E106" s="119" t="s">
        <v>210</v>
      </c>
      <c r="F106" s="119" t="str">
        <f t="shared" si="96"/>
        <v>Dollars</v>
      </c>
      <c r="G106" s="119" t="str">
        <f t="shared" si="97"/>
        <v>Nominal</v>
      </c>
      <c r="H106" s="52" t="str">
        <f t="shared" si="98"/>
        <v>End_year</v>
      </c>
      <c r="J106" s="120">
        <v>1.2035966804286071</v>
      </c>
      <c r="K106" s="131">
        <v>1.5179602071426408</v>
      </c>
      <c r="L106" s="131">
        <v>0.44057279695496276</v>
      </c>
      <c r="M106" s="132">
        <v>2.3426371215720421</v>
      </c>
      <c r="N106" s="134">
        <v>0.39549683357469811</v>
      </c>
      <c r="O106" s="131">
        <v>0.42178858219291632</v>
      </c>
      <c r="P106" s="131">
        <v>0.39665745169629274</v>
      </c>
      <c r="Q106" s="135">
        <v>0.51415251254903616</v>
      </c>
      <c r="R106" s="133">
        <f>'[6]Actual RAB roll forward'!H20*R$237-R133</f>
        <v>2.3460148312661988</v>
      </c>
      <c r="S106" s="134">
        <f>'[2]RAB roll forward'!H20*S$238-S133</f>
        <v>3.0039089745652112</v>
      </c>
      <c r="T106" s="131">
        <f>'[2]RAB roll forward'!I20*T$238-T133</f>
        <v>1.8351727588224627</v>
      </c>
      <c r="U106" s="131">
        <f>'[2]RAB roll forward'!J20*U$238-U133</f>
        <v>0.85827015773831794</v>
      </c>
      <c r="V106" s="131">
        <f>'[2]RAB roll forward'!K20*V$238-V133</f>
        <v>5.2845461998948595</v>
      </c>
      <c r="W106" s="135">
        <f>'[2]RAB roll forward'!L20*W$238-W133</f>
        <v>1.8810137099825635</v>
      </c>
      <c r="X106" s="134">
        <f>[5]Assets!G19*X$239-X133</f>
        <v>2.907939553637636</v>
      </c>
      <c r="Y106" s="131">
        <f>[5]Assets!H19*Y$239-Y133</f>
        <v>3.2517309984008063</v>
      </c>
      <c r="Z106" s="131">
        <f>[5]Assets!I19*Z$239-Z133</f>
        <v>3.0787452096984897</v>
      </c>
      <c r="AA106" s="131">
        <f>[5]Assets!J19*AA$239-AA133</f>
        <v>2.8295403818647706</v>
      </c>
      <c r="AB106" s="135">
        <f>[5]Assets!K19*AB$239-AB133</f>
        <v>2.3453412825367113</v>
      </c>
    </row>
    <row r="107" spans="4:28" ht="12.3" x14ac:dyDescent="0.35">
      <c r="D107" s="101" t="str">
        <f t="shared" si="95"/>
        <v>Land and Easements</v>
      </c>
      <c r="E107" s="119" t="s">
        <v>210</v>
      </c>
      <c r="F107" s="119" t="str">
        <f t="shared" si="96"/>
        <v>Dollars</v>
      </c>
      <c r="G107" s="119" t="str">
        <f t="shared" si="97"/>
        <v>Nominal</v>
      </c>
      <c r="H107" s="52" t="str">
        <f t="shared" si="98"/>
        <v>End_year</v>
      </c>
      <c r="J107" s="120">
        <v>0.59139052635087741</v>
      </c>
      <c r="K107" s="131">
        <v>0.74585390644488558</v>
      </c>
      <c r="L107" s="131">
        <v>0</v>
      </c>
      <c r="M107" s="132">
        <v>0</v>
      </c>
      <c r="N107" s="134">
        <v>0</v>
      </c>
      <c r="O107" s="131">
        <v>0</v>
      </c>
      <c r="P107" s="131">
        <v>0</v>
      </c>
      <c r="Q107" s="135">
        <v>-4.4607753397497785E-2</v>
      </c>
      <c r="R107" s="133">
        <f>'[6]Actual RAB roll forward'!H21*R$237-R134</f>
        <v>0.72800614423817966</v>
      </c>
      <c r="S107" s="134">
        <f>'[2]RAB roll forward'!H21*S$238-S134</f>
        <v>0</v>
      </c>
      <c r="T107" s="131">
        <f>'[2]RAB roll forward'!I21*T$238-T134</f>
        <v>0</v>
      </c>
      <c r="U107" s="131">
        <f>'[2]RAB roll forward'!J21*U$238-U134</f>
        <v>-1.081144242647495E-4</v>
      </c>
      <c r="V107" s="131">
        <f>'[2]RAB roll forward'!K21*V$238-V134</f>
        <v>0</v>
      </c>
      <c r="W107" s="135">
        <f>'[2]RAB roll forward'!L21*W$238-W134</f>
        <v>9.4537731622486891</v>
      </c>
      <c r="X107" s="134">
        <f>[5]Assets!G20*X$239-X134</f>
        <v>0</v>
      </c>
      <c r="Y107" s="131">
        <f>[5]Assets!H20*Y$239-Y134</f>
        <v>0</v>
      </c>
      <c r="Z107" s="131">
        <f>[5]Assets!I20*Z$239-Z134</f>
        <v>0</v>
      </c>
      <c r="AA107" s="131">
        <f>[5]Assets!J20*AA$239-AA134</f>
        <v>0</v>
      </c>
      <c r="AB107" s="135">
        <f>[5]Assets!K20*AB$239-AB134</f>
        <v>0</v>
      </c>
    </row>
    <row r="108" spans="4:28" ht="12.3" x14ac:dyDescent="0.35">
      <c r="D108" s="101" t="str">
        <f t="shared" si="95"/>
        <v>Property</v>
      </c>
      <c r="E108" s="119" t="s">
        <v>210</v>
      </c>
      <c r="F108" s="119" t="str">
        <f t="shared" si="96"/>
        <v>Dollars</v>
      </c>
      <c r="G108" s="119" t="str">
        <f t="shared" si="97"/>
        <v>Nominal</v>
      </c>
      <c r="H108" s="52" t="str">
        <f t="shared" si="98"/>
        <v>End_year</v>
      </c>
      <c r="J108" s="120">
        <v>9.1570493467389755E-2</v>
      </c>
      <c r="K108" s="131">
        <v>0.11548749468336357</v>
      </c>
      <c r="L108" s="131">
        <v>1.7873403067707199</v>
      </c>
      <c r="M108" s="132">
        <v>0.3496383138039782</v>
      </c>
      <c r="N108" s="134">
        <v>0</v>
      </c>
      <c r="O108" s="131">
        <v>0</v>
      </c>
      <c r="P108" s="131">
        <v>0</v>
      </c>
      <c r="Q108" s="135">
        <v>0</v>
      </c>
      <c r="R108" s="133">
        <f>'[6]Actual RAB roll forward'!H22*R$237-R135</f>
        <v>0.25947115465730947</v>
      </c>
      <c r="S108" s="134">
        <f>'[2]RAB roll forward'!H22*S$238-S135</f>
        <v>1.0627456277773667E-2</v>
      </c>
      <c r="T108" s="131">
        <f>'[2]RAB roll forward'!I22*T$238-T135</f>
        <v>4.3281891275304935E-2</v>
      </c>
      <c r="U108" s="131">
        <f>'[2]RAB roll forward'!J22*U$238-U135</f>
        <v>3.7957341261358149E-2</v>
      </c>
      <c r="V108" s="131">
        <f>'[2]RAB roll forward'!K22*V$238-V135</f>
        <v>0</v>
      </c>
      <c r="W108" s="135">
        <f>'[2]RAB roll forward'!L22*W$238-W135</f>
        <v>10.581564316316422</v>
      </c>
      <c r="X108" s="134">
        <f>[5]Assets!G21*X$239-X135</f>
        <v>8.874696507300289</v>
      </c>
      <c r="Y108" s="131">
        <f>[5]Assets!H21*Y$239-Y135</f>
        <v>1.075111789410534</v>
      </c>
      <c r="Z108" s="131">
        <f>[5]Assets!I21*Z$239-Z135</f>
        <v>1.1087155735991321</v>
      </c>
      <c r="AA108" s="131">
        <f>[5]Assets!J21*AA$239-AA135</f>
        <v>1.0465681074815427</v>
      </c>
      <c r="AB108" s="135">
        <f>[5]Assets!K21*AB$239-AB135</f>
        <v>1.0759500452234445</v>
      </c>
    </row>
    <row r="109" spans="4:28" ht="12.3" x14ac:dyDescent="0.35">
      <c r="D109" s="101" t="str">
        <f t="shared" si="95"/>
        <v>IT and Communications</v>
      </c>
      <c r="E109" s="119" t="s">
        <v>210</v>
      </c>
      <c r="F109" s="119" t="str">
        <f t="shared" si="96"/>
        <v>Dollars</v>
      </c>
      <c r="G109" s="119" t="str">
        <f t="shared" si="97"/>
        <v>Nominal</v>
      </c>
      <c r="H109" s="52" t="str">
        <f t="shared" si="98"/>
        <v>End_year</v>
      </c>
      <c r="J109" s="120">
        <v>0</v>
      </c>
      <c r="K109" s="131">
        <v>0</v>
      </c>
      <c r="L109" s="131">
        <v>0</v>
      </c>
      <c r="M109" s="132">
        <v>0</v>
      </c>
      <c r="N109" s="134">
        <v>0</v>
      </c>
      <c r="O109" s="131">
        <v>0</v>
      </c>
      <c r="P109" s="131">
        <v>0</v>
      </c>
      <c r="Q109" s="135">
        <v>0</v>
      </c>
      <c r="R109" s="133">
        <f>'[6]Actual RAB roll forward'!H23*R$237-R136</f>
        <v>0</v>
      </c>
      <c r="S109" s="134">
        <f>'[2]RAB roll forward'!H23*S$238-S136</f>
        <v>0.43562583107216868</v>
      </c>
      <c r="T109" s="131">
        <f>'[2]RAB roll forward'!I23*T$238-T136</f>
        <v>0.92347398828148231</v>
      </c>
      <c r="U109" s="131">
        <f>'[2]RAB roll forward'!J23*U$238-U136</f>
        <v>2.8299862949467238</v>
      </c>
      <c r="V109" s="131">
        <f>'[2]RAB roll forward'!K23*V$238-V136</f>
        <v>4.6078864409133056</v>
      </c>
      <c r="W109" s="135">
        <f>'[2]RAB roll forward'!L23*W$238-W136</f>
        <v>5.0931793882574237</v>
      </c>
      <c r="X109" s="134">
        <f>[5]Assets!G22*X$239-X136</f>
        <v>12.809221244316564</v>
      </c>
      <c r="Y109" s="131">
        <f>[5]Assets!H22*Y$239-Y136</f>
        <v>12.717296131397488</v>
      </c>
      <c r="Z109" s="131">
        <f>[5]Assets!I22*Z$239-Z136</f>
        <v>16.948184111335525</v>
      </c>
      <c r="AA109" s="131">
        <f>[5]Assets!J22*AA$239-AA136</f>
        <v>7.859030318938979</v>
      </c>
      <c r="AB109" s="135">
        <f>[5]Assets!K22*AB$239-AB136</f>
        <v>7.2293128436400895</v>
      </c>
    </row>
    <row r="110" spans="4:28" ht="12.3" x14ac:dyDescent="0.35">
      <c r="D110" s="101" t="str">
        <f t="shared" si="95"/>
        <v>Motor Vehicles</v>
      </c>
      <c r="E110" s="119" t="s">
        <v>210</v>
      </c>
      <c r="F110" s="119" t="str">
        <f t="shared" si="96"/>
        <v>Dollars</v>
      </c>
      <c r="G110" s="119" t="str">
        <f t="shared" si="97"/>
        <v>Nominal</v>
      </c>
      <c r="H110" s="52" t="str">
        <f t="shared" si="98"/>
        <v>End_year</v>
      </c>
      <c r="J110" s="120">
        <v>0</v>
      </c>
      <c r="K110" s="131">
        <v>0</v>
      </c>
      <c r="L110" s="131">
        <v>0</v>
      </c>
      <c r="M110" s="132">
        <v>0</v>
      </c>
      <c r="N110" s="134">
        <v>0</v>
      </c>
      <c r="O110" s="131">
        <v>0</v>
      </c>
      <c r="P110" s="131">
        <v>0</v>
      </c>
      <c r="Q110" s="135">
        <v>0</v>
      </c>
      <c r="R110" s="133">
        <f>'[6]Actual RAB roll forward'!H24*R$237-R137</f>
        <v>1.2553774046335875E-2</v>
      </c>
      <c r="S110" s="134">
        <f>'[2]RAB roll forward'!H24*S$238-S137</f>
        <v>7.3962878050431016E-2</v>
      </c>
      <c r="T110" s="131">
        <f>'[2]RAB roll forward'!I24*T$238-T137</f>
        <v>9.7526633210325512E-3</v>
      </c>
      <c r="U110" s="131">
        <f>'[2]RAB roll forward'!J24*U$238-U137</f>
        <v>4.7822017993493296E-5</v>
      </c>
      <c r="V110" s="131">
        <f>'[2]RAB roll forward'!K24*V$238-V137</f>
        <v>0</v>
      </c>
      <c r="W110" s="135">
        <f>'[2]RAB roll forward'!L24*W$238-W137</f>
        <v>0</v>
      </c>
      <c r="X110" s="134">
        <f>[5]Assets!G23*X$239-X137</f>
        <v>0</v>
      </c>
      <c r="Y110" s="131">
        <f>[5]Assets!H23*Y$239-Y137</f>
        <v>0</v>
      </c>
      <c r="Z110" s="131">
        <f>[5]Assets!I23*Z$239-Z137</f>
        <v>0</v>
      </c>
      <c r="AA110" s="131">
        <f>[5]Assets!J23*AA$239-AA137</f>
        <v>0</v>
      </c>
      <c r="AB110" s="135">
        <f>[5]Assets!K23*AB$239-AB137</f>
        <v>0</v>
      </c>
    </row>
    <row r="111" spans="4:28" ht="12.3" x14ac:dyDescent="0.35">
      <c r="D111" s="101" t="str">
        <f t="shared" si="95"/>
        <v>Plant and Equipment</v>
      </c>
      <c r="E111" s="119" t="s">
        <v>210</v>
      </c>
      <c r="F111" s="119" t="str">
        <f t="shared" si="96"/>
        <v>Dollars</v>
      </c>
      <c r="G111" s="119" t="str">
        <f t="shared" si="97"/>
        <v>Nominal</v>
      </c>
      <c r="H111" s="52" t="str">
        <f t="shared" si="98"/>
        <v>End_year</v>
      </c>
      <c r="J111" s="120">
        <v>0.35796503922624839</v>
      </c>
      <c r="K111" s="131">
        <v>0.45146077081252856</v>
      </c>
      <c r="L111" s="131">
        <v>5.1921591440183806E-3</v>
      </c>
      <c r="M111" s="132">
        <v>1.5847628954287967E-2</v>
      </c>
      <c r="N111" s="134">
        <v>2.7903342389835935</v>
      </c>
      <c r="O111" s="131">
        <v>2.2081258696485593</v>
      </c>
      <c r="P111" s="131">
        <v>3.1589102483926985</v>
      </c>
      <c r="Q111" s="135">
        <v>5.1414366399532092</v>
      </c>
      <c r="R111" s="133">
        <f>'[6]Actual RAB roll forward'!H25*R$237-R138</f>
        <v>1.4410260626002531</v>
      </c>
      <c r="S111" s="134">
        <f>'[2]RAB roll forward'!H25*S$238-S138</f>
        <v>0.61754889773112565</v>
      </c>
      <c r="T111" s="131">
        <f>'[2]RAB roll forward'!I25*T$238-T138</f>
        <v>0.32178710910095115</v>
      </c>
      <c r="U111" s="131">
        <f>'[2]RAB roll forward'!J25*U$238-U138</f>
        <v>0.46893497268299356</v>
      </c>
      <c r="V111" s="131">
        <f>'[2]RAB roll forward'!K25*V$238-V138</f>
        <v>0.55877917552134027</v>
      </c>
      <c r="W111" s="135">
        <f>'[2]RAB roll forward'!L25*W$238-W138</f>
        <v>0.60740988661772466</v>
      </c>
      <c r="X111" s="134">
        <f>[5]Assets!G24*X$239-X138</f>
        <v>1.2550573507652478</v>
      </c>
      <c r="Y111" s="131">
        <f>[5]Assets!H24*Y$239-Y138</f>
        <v>1.3415035981256773</v>
      </c>
      <c r="Z111" s="131">
        <f>[5]Assets!I24*Z$239-Z138</f>
        <v>1.3367027561494504</v>
      </c>
      <c r="AA111" s="131">
        <f>[5]Assets!J24*AA$239-AA138</f>
        <v>1.4748346031305375</v>
      </c>
      <c r="AB111" s="135">
        <f>[5]Assets!K24*AB$239-AB138</f>
        <v>1.5508778500356317</v>
      </c>
    </row>
    <row r="112" spans="4:28" ht="12.3" x14ac:dyDescent="0.35">
      <c r="D112" s="101" t="str">
        <f t="shared" ref="D112:D113" si="99">D32</f>
        <v>Property Leases</v>
      </c>
      <c r="E112" s="119" t="s">
        <v>210</v>
      </c>
      <c r="F112" s="119" t="str">
        <f t="shared" si="96"/>
        <v>Dollars</v>
      </c>
      <c r="G112" s="119" t="str">
        <f t="shared" si="97"/>
        <v>Nominal</v>
      </c>
      <c r="H112" s="52" t="str">
        <f t="shared" si="98"/>
        <v>End_year</v>
      </c>
      <c r="J112" s="120">
        <v>0</v>
      </c>
      <c r="K112" s="131">
        <v>0</v>
      </c>
      <c r="L112" s="131">
        <v>0</v>
      </c>
      <c r="M112" s="132">
        <v>0</v>
      </c>
      <c r="N112" s="134">
        <v>0</v>
      </c>
      <c r="O112" s="131">
        <v>0</v>
      </c>
      <c r="P112" s="131">
        <v>0</v>
      </c>
      <c r="Q112" s="135">
        <v>0</v>
      </c>
      <c r="R112" s="133">
        <v>0</v>
      </c>
      <c r="S112" s="134">
        <v>0</v>
      </c>
      <c r="T112" s="131">
        <v>0</v>
      </c>
      <c r="U112" s="131">
        <v>0</v>
      </c>
      <c r="V112" s="131">
        <v>0</v>
      </c>
      <c r="W112" s="135">
        <v>0</v>
      </c>
      <c r="X112" s="134">
        <f>[5]Assets!G25*X$239-X139</f>
        <v>5.6545321858324371</v>
      </c>
      <c r="Y112" s="131">
        <f>[5]Assets!H25*Y$239-Y139</f>
        <v>0</v>
      </c>
      <c r="Z112" s="131">
        <f>[5]Assets!I25*Z$239-Z139</f>
        <v>24.69030350956325</v>
      </c>
      <c r="AA112" s="131">
        <f>[5]Assets!J25*AA$239-AA139</f>
        <v>0</v>
      </c>
      <c r="AB112" s="135">
        <f>[5]Assets!K25*AB$239-AB139</f>
        <v>0.65444305742426057</v>
      </c>
    </row>
    <row r="113" spans="1:28" ht="12.3" x14ac:dyDescent="0.35">
      <c r="D113" s="101" t="str">
        <f t="shared" si="99"/>
        <v>Fleet Leases</v>
      </c>
      <c r="E113" s="119" t="s">
        <v>210</v>
      </c>
      <c r="F113" s="119" t="str">
        <f t="shared" si="96"/>
        <v>Dollars</v>
      </c>
      <c r="G113" s="119" t="str">
        <f t="shared" si="97"/>
        <v>Nominal</v>
      </c>
      <c r="H113" s="52" t="str">
        <f t="shared" si="98"/>
        <v>End_year</v>
      </c>
      <c r="J113" s="120">
        <v>0</v>
      </c>
      <c r="K113" s="131">
        <v>0</v>
      </c>
      <c r="L113" s="131">
        <v>0</v>
      </c>
      <c r="M113" s="132">
        <v>0</v>
      </c>
      <c r="N113" s="134">
        <v>0</v>
      </c>
      <c r="O113" s="131">
        <v>0</v>
      </c>
      <c r="P113" s="131">
        <v>0</v>
      </c>
      <c r="Q113" s="135">
        <v>0</v>
      </c>
      <c r="R113" s="133">
        <v>0</v>
      </c>
      <c r="S113" s="134">
        <v>0</v>
      </c>
      <c r="T113" s="131">
        <v>0</v>
      </c>
      <c r="U113" s="131">
        <v>0</v>
      </c>
      <c r="V113" s="131">
        <v>0</v>
      </c>
      <c r="W113" s="135">
        <v>0</v>
      </c>
      <c r="X113" s="134">
        <f>[5]Assets!G26*X$239-X140</f>
        <v>17.442098565293531</v>
      </c>
      <c r="Y113" s="131">
        <f>[5]Assets!H26*Y$239-Y140</f>
        <v>4.8025131073049385</v>
      </c>
      <c r="Z113" s="131">
        <f>[5]Assets!I26*Z$239-Z140</f>
        <v>4.312650407962118</v>
      </c>
      <c r="AA113" s="131">
        <f>[5]Assets!J26*AA$239-AA140</f>
        <v>5.2928181094918427</v>
      </c>
      <c r="AB113" s="135">
        <f>[5]Assets!K26*AB$239-AB140</f>
        <v>4.4134985349634714</v>
      </c>
    </row>
    <row r="114" spans="1:28" ht="12.3" x14ac:dyDescent="0.35">
      <c r="D114" s="101" t="str">
        <f t="shared" ref="D114" si="100">D34</f>
        <v>Equity Raising Costs</v>
      </c>
      <c r="E114" s="119" t="s">
        <v>210</v>
      </c>
      <c r="F114" s="119" t="str">
        <f t="shared" si="96"/>
        <v>Dollars</v>
      </c>
      <c r="G114" s="119" t="str">
        <f t="shared" si="97"/>
        <v>Nominal</v>
      </c>
      <c r="H114" s="52" t="str">
        <f t="shared" si="98"/>
        <v>End_year</v>
      </c>
      <c r="J114" s="120">
        <v>0</v>
      </c>
      <c r="K114" s="131">
        <v>0</v>
      </c>
      <c r="L114" s="131">
        <v>0</v>
      </c>
      <c r="M114" s="132">
        <v>0</v>
      </c>
      <c r="N114" s="134">
        <v>0</v>
      </c>
      <c r="O114" s="131">
        <v>0</v>
      </c>
      <c r="P114" s="131">
        <v>0</v>
      </c>
      <c r="Q114" s="135">
        <v>0</v>
      </c>
      <c r="R114" s="133">
        <v>0</v>
      </c>
      <c r="S114" s="134">
        <v>0</v>
      </c>
      <c r="T114" s="131">
        <v>0</v>
      </c>
      <c r="U114" s="131">
        <v>0</v>
      </c>
      <c r="V114" s="131">
        <v>0</v>
      </c>
      <c r="W114" s="135">
        <v>0</v>
      </c>
      <c r="X114" s="134">
        <f>[5]Assets!G40*X$239-X141</f>
        <v>1.2872020192307105</v>
      </c>
      <c r="Y114" s="131">
        <f>[5]Assets!H40*Y$239-Y141</f>
        <v>0</v>
      </c>
      <c r="Z114" s="131">
        <f>[5]Assets!I40*Z$239-Z141</f>
        <v>0</v>
      </c>
      <c r="AA114" s="131">
        <f>[5]Assets!J40*AA$239-AA141</f>
        <v>0</v>
      </c>
      <c r="AB114" s="135">
        <f>[5]Assets!K40*AB$239-AB141</f>
        <v>0</v>
      </c>
    </row>
    <row r="115" spans="1:28" x14ac:dyDescent="0.35">
      <c r="J115" s="114"/>
      <c r="K115" s="115"/>
      <c r="L115" s="115"/>
      <c r="M115" s="115"/>
      <c r="N115" s="114"/>
      <c r="O115" s="115"/>
      <c r="P115" s="115"/>
      <c r="Q115" s="117"/>
      <c r="R115" s="116"/>
      <c r="S115" s="114"/>
      <c r="T115" s="115"/>
      <c r="U115" s="115"/>
      <c r="V115" s="115"/>
      <c r="W115" s="117"/>
      <c r="X115" s="114"/>
      <c r="Y115" s="115"/>
      <c r="Z115" s="115"/>
      <c r="AA115" s="115"/>
      <c r="AB115" s="117"/>
    </row>
    <row r="116" spans="1:28" ht="12.3" x14ac:dyDescent="0.35">
      <c r="D116" s="124" t="str">
        <f>"Total "&amp;D96</f>
        <v>Total RAB Asset Class</v>
      </c>
      <c r="E116" s="125" t="s">
        <v>111</v>
      </c>
      <c r="F116" s="125" t="str">
        <f>F98</f>
        <v>Dollars</v>
      </c>
      <c r="G116" s="125" t="str">
        <f>G98</f>
        <v>Nominal</v>
      </c>
      <c r="H116" s="47" t="str">
        <f>H98</f>
        <v>End_year</v>
      </c>
      <c r="J116" s="126">
        <f t="shared" ref="J116:AB116" si="101">SUM(J98:J114)</f>
        <v>22.237560244463442</v>
      </c>
      <c r="K116" s="127">
        <f t="shared" si="101"/>
        <v>28.045716728806596</v>
      </c>
      <c r="L116" s="127">
        <f t="shared" si="101"/>
        <v>44.267883027060293</v>
      </c>
      <c r="M116" s="127">
        <f t="shared" si="101"/>
        <v>55.260165134707492</v>
      </c>
      <c r="N116" s="126">
        <f t="shared" si="101"/>
        <v>79.349455433060101</v>
      </c>
      <c r="O116" s="127">
        <f t="shared" si="101"/>
        <v>91.116657061168098</v>
      </c>
      <c r="P116" s="127">
        <f t="shared" si="101"/>
        <v>76.249952585470126</v>
      </c>
      <c r="Q116" s="129">
        <f t="shared" si="101"/>
        <v>105.95395927811795</v>
      </c>
      <c r="R116" s="128">
        <f t="shared" si="101"/>
        <v>93.106985594359699</v>
      </c>
      <c r="S116" s="126">
        <f t="shared" si="101"/>
        <v>79.178547145714873</v>
      </c>
      <c r="T116" s="127">
        <f t="shared" si="101"/>
        <v>67.300439479453644</v>
      </c>
      <c r="U116" s="127">
        <f t="shared" si="101"/>
        <v>48.311973484403794</v>
      </c>
      <c r="V116" s="127">
        <f t="shared" si="101"/>
        <v>41.002104349246508</v>
      </c>
      <c r="W116" s="129">
        <f t="shared" si="101"/>
        <v>61.630750599505781</v>
      </c>
      <c r="X116" s="126">
        <f t="shared" si="101"/>
        <v>99.499310733607501</v>
      </c>
      <c r="Y116" s="127">
        <f t="shared" si="101"/>
        <v>77.558053640879066</v>
      </c>
      <c r="Z116" s="127">
        <f t="shared" si="101"/>
        <v>103.72879608815283</v>
      </c>
      <c r="AA116" s="127">
        <f t="shared" si="101"/>
        <v>71.530149443732867</v>
      </c>
      <c r="AB116" s="129">
        <f t="shared" si="101"/>
        <v>66.954832012316743</v>
      </c>
    </row>
    <row r="117" spans="1:28" s="108" customFormat="1" ht="11.25" customHeight="1" x14ac:dyDescent="0.35">
      <c r="H117" s="6"/>
    </row>
    <row r="118" spans="1:28" s="108" customFormat="1" ht="11.25" customHeight="1" x14ac:dyDescent="0.35">
      <c r="A118" s="95">
        <f>IF(SUM($J118:$AB118)&lt;&gt;0,1,0)</f>
        <v>0</v>
      </c>
      <c r="D118" s="101" t="s">
        <v>206</v>
      </c>
      <c r="H118" s="6"/>
      <c r="J118" s="130">
        <f>IF(ISERROR(J116),1,0)</f>
        <v>0</v>
      </c>
      <c r="K118" s="130">
        <f t="shared" ref="K118:N118" si="102">IF(ISERROR(K116),1,0)</f>
        <v>0</v>
      </c>
      <c r="L118" s="130">
        <f t="shared" si="102"/>
        <v>0</v>
      </c>
      <c r="M118" s="130">
        <f t="shared" si="102"/>
        <v>0</v>
      </c>
      <c r="N118" s="130">
        <f t="shared" si="102"/>
        <v>0</v>
      </c>
      <c r="O118" s="130">
        <f>IF(ISERROR(O116),1,0)</f>
        <v>0</v>
      </c>
      <c r="P118" s="130">
        <f t="shared" ref="P118:S118" si="103">IF(ISERROR(P116),1,0)</f>
        <v>0</v>
      </c>
      <c r="Q118" s="130">
        <f t="shared" si="103"/>
        <v>0</v>
      </c>
      <c r="R118" s="130">
        <f t="shared" si="103"/>
        <v>0</v>
      </c>
      <c r="S118" s="130">
        <f t="shared" si="103"/>
        <v>0</v>
      </c>
      <c r="T118" s="130">
        <f>IF(ISERROR(T116),1,0)</f>
        <v>0</v>
      </c>
      <c r="U118" s="130">
        <f t="shared" ref="U118:X118" si="104">IF(ISERROR(U116),1,0)</f>
        <v>0</v>
      </c>
      <c r="V118" s="130">
        <f t="shared" si="104"/>
        <v>0</v>
      </c>
      <c r="W118" s="130">
        <f t="shared" si="104"/>
        <v>0</v>
      </c>
      <c r="X118" s="130">
        <f t="shared" si="104"/>
        <v>0</v>
      </c>
      <c r="Y118" s="130">
        <f>IF(ISERROR(Y116),1,0)</f>
        <v>0</v>
      </c>
      <c r="Z118" s="130">
        <f t="shared" ref="Z118:AB118" si="105">IF(ISERROR(Z116),1,0)</f>
        <v>0</v>
      </c>
      <c r="AA118" s="130">
        <f t="shared" si="105"/>
        <v>0</v>
      </c>
      <c r="AB118" s="130">
        <f t="shared" si="105"/>
        <v>0</v>
      </c>
    </row>
    <row r="119" spans="1:28" s="108" customFormat="1" ht="11.25" customHeight="1" x14ac:dyDescent="0.35">
      <c r="A119" s="95">
        <f>IF(SUM($J119:$AB119)&lt;&gt;0,1,0)</f>
        <v>0</v>
      </c>
      <c r="D119" s="101" t="s">
        <v>207</v>
      </c>
      <c r="H119" s="6"/>
      <c r="J119" s="137">
        <v>0</v>
      </c>
      <c r="K119" s="130">
        <v>0</v>
      </c>
      <c r="L119" s="130">
        <v>0</v>
      </c>
      <c r="M119" s="138">
        <v>0</v>
      </c>
      <c r="N119" s="137">
        <v>0</v>
      </c>
      <c r="O119" s="130">
        <v>0</v>
      </c>
      <c r="P119" s="130">
        <v>0</v>
      </c>
      <c r="Q119" s="138">
        <v>0</v>
      </c>
      <c r="R119" s="136">
        <f>IF(ROUND(SUM('[6]Actual RAB roll forward'!$H$695:$H$708)-R143-R116,3)=0,0,1)</f>
        <v>0</v>
      </c>
      <c r="S119" s="137">
        <f>IF(ROUND('[2]Total RAB roll forward'!H$39-S143-S116-Input_RAB_ACS!S84,2)=0,0,1)</f>
        <v>0</v>
      </c>
      <c r="T119" s="130">
        <f>IF(ROUND('[2]Total RAB roll forward'!I$39-T143-T116-Input_RAB_ACS!T84,2)=0,0,1)</f>
        <v>0</v>
      </c>
      <c r="U119" s="130">
        <f>IF(ROUND('[2]Total RAB roll forward'!J$39-U143-U116-Input_RAB_ACS!U84,2)=0,0,1)</f>
        <v>0</v>
      </c>
      <c r="V119" s="130">
        <f>IF(ROUND('[2]Total RAB roll forward'!K$39-V143-V116-Input_RAB_ACS!V84,2)=0,0,1)</f>
        <v>0</v>
      </c>
      <c r="W119" s="138">
        <f>IF(ROUND('[2]Total RAB roll forward'!L$39-W143-W116-Input_RAB_ACS!W84,2)=0,0,1)</f>
        <v>0</v>
      </c>
      <c r="X119" s="137">
        <f>IF(ROUND([5]Assets!G$875-X143-X116,2)=0,0,1)</f>
        <v>0</v>
      </c>
      <c r="Y119" s="130">
        <f>IF(ROUND([5]Assets!H$875-Y143-Y116,2)=0,0,1)</f>
        <v>0</v>
      </c>
      <c r="Z119" s="130">
        <f>IF(ROUND([5]Assets!I$875-Z143-Z116,2)=0,0,1)</f>
        <v>0</v>
      </c>
      <c r="AA119" s="130">
        <f>IF(ROUND([5]Assets!J$875-AA143-AA116,2)=0,0,1)</f>
        <v>0</v>
      </c>
      <c r="AB119" s="138">
        <f>IF(ROUND([5]Assets!K$875-AB143-AB116,2)=0,0,1)</f>
        <v>0</v>
      </c>
    </row>
    <row r="121" spans="1:28" s="109" customFormat="1" ht="14.1" x14ac:dyDescent="0.35">
      <c r="C121" s="109" t="s">
        <v>270</v>
      </c>
      <c r="H121" s="13"/>
    </row>
    <row r="122" spans="1:28" s="108" customFormat="1" ht="11.25" customHeight="1" x14ac:dyDescent="0.35">
      <c r="H122" s="6"/>
    </row>
    <row r="123" spans="1:28" ht="12.3" x14ac:dyDescent="0.35">
      <c r="D123" s="110" t="str">
        <f>D$16</f>
        <v>RAB Asset Class</v>
      </c>
      <c r="E123" s="111" t="str">
        <f>Lookup!E$20</f>
        <v>Source</v>
      </c>
      <c r="F123" s="111" t="str">
        <f>Lookup!F$20</f>
        <v>Unit</v>
      </c>
      <c r="G123" s="111" t="str">
        <f>Lookup!G$20</f>
        <v>Basis</v>
      </c>
      <c r="H123" s="45" t="str">
        <f>Lookup!H$20</f>
        <v>Timing</v>
      </c>
      <c r="J123" s="338" t="str">
        <f>J$10</f>
        <v>RY06</v>
      </c>
      <c r="K123" s="339" t="str">
        <f t="shared" ref="K123:AB123" si="106">K$10</f>
        <v>RY07</v>
      </c>
      <c r="L123" s="339" t="str">
        <f t="shared" si="106"/>
        <v>RY08</v>
      </c>
      <c r="M123" s="339" t="str">
        <f t="shared" si="106"/>
        <v>RY09</v>
      </c>
      <c r="N123" s="338" t="str">
        <f t="shared" si="106"/>
        <v>RY10</v>
      </c>
      <c r="O123" s="339" t="str">
        <f>O$10</f>
        <v>RY11</v>
      </c>
      <c r="P123" s="339" t="str">
        <f t="shared" si="106"/>
        <v>RY12</v>
      </c>
      <c r="Q123" s="340" t="str">
        <f t="shared" si="106"/>
        <v>RY13</v>
      </c>
      <c r="R123" s="347" t="str">
        <f t="shared" si="106"/>
        <v>RY14</v>
      </c>
      <c r="S123" s="338" t="str">
        <f t="shared" si="106"/>
        <v>RY15</v>
      </c>
      <c r="T123" s="339" t="str">
        <f>T$10</f>
        <v>RY16</v>
      </c>
      <c r="U123" s="339" t="str">
        <f t="shared" si="106"/>
        <v>RY17</v>
      </c>
      <c r="V123" s="339" t="str">
        <f t="shared" si="106"/>
        <v>RY18</v>
      </c>
      <c r="W123" s="340" t="str">
        <f t="shared" si="106"/>
        <v>RY19</v>
      </c>
      <c r="X123" s="338" t="str">
        <f t="shared" si="106"/>
        <v>RY20</v>
      </c>
      <c r="Y123" s="339" t="str">
        <f>Y$10</f>
        <v>RY21</v>
      </c>
      <c r="Z123" s="339" t="str">
        <f t="shared" si="106"/>
        <v>RY22</v>
      </c>
      <c r="AA123" s="339" t="str">
        <f t="shared" si="106"/>
        <v>RY23</v>
      </c>
      <c r="AB123" s="340" t="str">
        <f t="shared" si="106"/>
        <v>RY24</v>
      </c>
    </row>
    <row r="124" spans="1:28" x14ac:dyDescent="0.35">
      <c r="J124" s="114"/>
      <c r="K124" s="115"/>
      <c r="L124" s="115"/>
      <c r="M124" s="115"/>
      <c r="N124" s="114"/>
      <c r="O124" s="115"/>
      <c r="P124" s="115"/>
      <c r="Q124" s="117"/>
      <c r="R124" s="116"/>
      <c r="S124" s="114"/>
      <c r="T124" s="115"/>
      <c r="U124" s="115"/>
      <c r="V124" s="115"/>
      <c r="W124" s="117"/>
      <c r="X124" s="114"/>
      <c r="Y124" s="115"/>
      <c r="Z124" s="115"/>
      <c r="AA124" s="115"/>
      <c r="AB124" s="117"/>
    </row>
    <row r="125" spans="1:28" ht="12.3" x14ac:dyDescent="0.35">
      <c r="D125" s="101" t="str">
        <f t="shared" ref="D125:D138" si="107">D18</f>
        <v>Substations</v>
      </c>
      <c r="E125" s="119" t="s">
        <v>210</v>
      </c>
      <c r="F125" s="119" t="str">
        <f t="shared" ref="F125:F141" si="108">Dollars</f>
        <v>Dollars</v>
      </c>
      <c r="G125" s="119" t="str">
        <f t="shared" ref="G125:G141" si="109">Nominal</f>
        <v>Nominal</v>
      </c>
      <c r="H125" s="52" t="str">
        <f t="shared" ref="H125:H141" si="110">End_year</f>
        <v>End_year</v>
      </c>
      <c r="J125" s="120">
        <v>0</v>
      </c>
      <c r="K125" s="131">
        <v>0</v>
      </c>
      <c r="L125" s="131">
        <v>0</v>
      </c>
      <c r="M125" s="132">
        <v>0</v>
      </c>
      <c r="N125" s="134">
        <v>-0.18259695449911931</v>
      </c>
      <c r="O125" s="131">
        <v>-0.18636082572719792</v>
      </c>
      <c r="P125" s="131">
        <v>-0.10754114611750819</v>
      </c>
      <c r="Q125" s="135">
        <v>-1.8505141109755419E-2</v>
      </c>
      <c r="R125" s="133">
        <f>-[6]Input!H105*(1+[6]Input!$H$258)^0.5/'[6]Actual RAB roll forward'!$H$7*R$237</f>
        <v>-0.13135452185733243</v>
      </c>
      <c r="S125" s="134">
        <f>-'[2]RFM input'!H75*(1+'[2]RFM input'!H$188)^0.5/'[2]RAB roll forward'!H$7*S$238</f>
        <v>-3.2239375686200979E-2</v>
      </c>
      <c r="T125" s="131">
        <f>-'[2]RFM input'!I75*(1+'[2]RFM input'!I$188)^0.5/'[2]RAB roll forward'!I$7*T$238</f>
        <v>-3.3321531669982897E-2</v>
      </c>
      <c r="U125" s="131">
        <f>-'[2]RFM input'!J75*(1+'[2]RFM input'!J$188)^0.5/'[2]RAB roll forward'!J$7*U$238</f>
        <v>-0.13949650990836202</v>
      </c>
      <c r="V125" s="131">
        <f>-'[2]RFM input'!K75*(1+'[2]RFM input'!K$188)^0.5/'[2]RAB roll forward'!K$7*V$238</f>
        <v>0</v>
      </c>
      <c r="W125" s="135">
        <f>-'[2]RFM input'!L75*(1+'[2]RFM input'!L$188)^0.5/'[2]RAB roll forward'!L$7*W$238</f>
        <v>0</v>
      </c>
      <c r="X125" s="134">
        <f>-'[5]PTRM input'!G75*((1+[5]WACC!G$19)^0.5)*X$239</f>
        <v>0</v>
      </c>
      <c r="Y125" s="131">
        <f>-'[5]PTRM input'!H75*((1+[5]WACC!H$19)^0.5)*Y$239</f>
        <v>0</v>
      </c>
      <c r="Z125" s="131">
        <f>-'[5]PTRM input'!I75*((1+[5]WACC!I$19)^0.5)*Z$239</f>
        <v>0</v>
      </c>
      <c r="AA125" s="131">
        <f>-'[5]PTRM input'!J75*((1+[5]WACC!J$19)^0.5)*AA$239</f>
        <v>0</v>
      </c>
      <c r="AB125" s="135">
        <f>-'[5]PTRM input'!K75*((1+[5]WACC!K$19)^0.5)*AB$239</f>
        <v>0</v>
      </c>
    </row>
    <row r="126" spans="1:28" ht="12.3" x14ac:dyDescent="0.35">
      <c r="D126" s="101" t="str">
        <f t="shared" si="107"/>
        <v>Distribution Lines</v>
      </c>
      <c r="E126" s="119" t="s">
        <v>210</v>
      </c>
      <c r="F126" s="119" t="str">
        <f t="shared" si="108"/>
        <v>Dollars</v>
      </c>
      <c r="G126" s="119" t="str">
        <f t="shared" si="109"/>
        <v>Nominal</v>
      </c>
      <c r="H126" s="52" t="str">
        <f t="shared" si="110"/>
        <v>End_year</v>
      </c>
      <c r="J126" s="120">
        <v>0</v>
      </c>
      <c r="K126" s="131">
        <v>0</v>
      </c>
      <c r="L126" s="131">
        <v>0</v>
      </c>
      <c r="M126" s="132">
        <v>0</v>
      </c>
      <c r="N126" s="134">
        <v>0</v>
      </c>
      <c r="O126" s="131">
        <v>-0.24850221697498687</v>
      </c>
      <c r="P126" s="131">
        <v>-2.0176504478105484E-2</v>
      </c>
      <c r="Q126" s="135">
        <v>-0.75638895404824524</v>
      </c>
      <c r="R126" s="133">
        <f>-[6]Input!H106*(1+[6]Input!$H$258)^0.5/'[6]Actual RAB roll forward'!$H$7*R$237</f>
        <v>-0.25335325015097154</v>
      </c>
      <c r="S126" s="134">
        <f>-'[2]RFM input'!H76*(1+'[2]RFM input'!H$188)^0.5/'[2]RAB roll forward'!H$7*S$238</f>
        <v>-6.4478751372401957E-2</v>
      </c>
      <c r="T126" s="131">
        <f>-'[2]RFM input'!I76*(1+'[2]RFM input'!I$188)^0.5/'[2]RAB roll forward'!I$7*T$238</f>
        <v>-6.4287009047694202E-2</v>
      </c>
      <c r="U126" s="131">
        <f>-'[2]RFM input'!J76*(1+'[2]RFM input'!J$188)^0.5/'[2]RAB roll forward'!J$7*U$238</f>
        <v>-0.12260582579516181</v>
      </c>
      <c r="V126" s="131">
        <f>-'[2]RFM input'!K76*(1+'[2]RFM input'!K$188)^0.5/'[2]RAB roll forward'!K$7*V$238</f>
        <v>0</v>
      </c>
      <c r="W126" s="135">
        <f>-'[2]RFM input'!L76*(1+'[2]RFM input'!L$188)^0.5/'[2]RAB roll forward'!L$7*W$238</f>
        <v>0</v>
      </c>
      <c r="X126" s="134">
        <f>-'[5]PTRM input'!G76*((1+[5]WACC!G$19)^0.5)*X$239</f>
        <v>0</v>
      </c>
      <c r="Y126" s="131">
        <f>-'[5]PTRM input'!H76*((1+[5]WACC!H$19)^0.5)*Y$239</f>
        <v>0</v>
      </c>
      <c r="Z126" s="131">
        <f>-'[5]PTRM input'!I76*((1+[5]WACC!I$19)^0.5)*Z$239</f>
        <v>0</v>
      </c>
      <c r="AA126" s="131">
        <f>-'[5]PTRM input'!J76*((1+[5]WACC!J$19)^0.5)*AA$239</f>
        <v>0</v>
      </c>
      <c r="AB126" s="135">
        <f>-'[5]PTRM input'!K76*((1+[5]WACC!K$19)^0.5)*AB$239</f>
        <v>0</v>
      </c>
    </row>
    <row r="127" spans="1:28" ht="12.3" x14ac:dyDescent="0.35">
      <c r="D127" s="101" t="str">
        <f t="shared" si="107"/>
        <v>Transmission Lines</v>
      </c>
      <c r="E127" s="119" t="s">
        <v>210</v>
      </c>
      <c r="F127" s="119" t="str">
        <f t="shared" si="108"/>
        <v>Dollars</v>
      </c>
      <c r="G127" s="119" t="str">
        <f t="shared" si="109"/>
        <v>Nominal</v>
      </c>
      <c r="H127" s="52" t="str">
        <f t="shared" si="110"/>
        <v>End_year</v>
      </c>
      <c r="J127" s="120">
        <v>0</v>
      </c>
      <c r="K127" s="131">
        <v>0</v>
      </c>
      <c r="L127" s="131">
        <v>0</v>
      </c>
      <c r="M127" s="132">
        <v>0</v>
      </c>
      <c r="N127" s="134">
        <v>0</v>
      </c>
      <c r="O127" s="131">
        <v>0</v>
      </c>
      <c r="P127" s="131">
        <v>0</v>
      </c>
      <c r="Q127" s="135">
        <v>0</v>
      </c>
      <c r="R127" s="133">
        <f>-[6]Input!H107*(1+[6]Input!$H$258)^0.5/'[6]Actual RAB roll forward'!$H$7*R$237</f>
        <v>-3.7193244386247203E-3</v>
      </c>
      <c r="S127" s="134">
        <f>-'[2]RFM input'!H77*(1+'[2]RFM input'!H$188)^0.5/'[2]RAB roll forward'!H$7*S$238</f>
        <v>-1.0746458562066994E-2</v>
      </c>
      <c r="T127" s="131">
        <f>-'[2]RFM input'!I77*(1+'[2]RFM input'!I$188)^0.5/'[2]RAB roll forward'!I$7*T$238</f>
        <v>-1.0714501507949037E-2</v>
      </c>
      <c r="U127" s="131">
        <f>-'[2]RFM input'!J77*(1+'[2]RFM input'!J$188)^0.5/'[2]RAB roll forward'!J$7*U$238</f>
        <v>-2.0434304299193639E-2</v>
      </c>
      <c r="V127" s="131">
        <f>-'[2]RFM input'!K77*(1+'[2]RFM input'!K$188)^0.5/'[2]RAB roll forward'!K$7*V$238</f>
        <v>0</v>
      </c>
      <c r="W127" s="135">
        <f>-'[2]RFM input'!L77*(1+'[2]RFM input'!L$188)^0.5/'[2]RAB roll forward'!L$7*W$238</f>
        <v>0</v>
      </c>
      <c r="X127" s="134">
        <f>-'[5]PTRM input'!G77*((1+[5]WACC!G$19)^0.5)*X$239</f>
        <v>0</v>
      </c>
      <c r="Y127" s="131">
        <f>-'[5]PTRM input'!H77*((1+[5]WACC!H$19)^0.5)*Y$239</f>
        <v>0</v>
      </c>
      <c r="Z127" s="131">
        <f>-'[5]PTRM input'!I77*((1+[5]WACC!I$19)^0.5)*Z$239</f>
        <v>0</v>
      </c>
      <c r="AA127" s="131">
        <f>-'[5]PTRM input'!J77*((1+[5]WACC!J$19)^0.5)*AA$239</f>
        <v>0</v>
      </c>
      <c r="AB127" s="135">
        <f>-'[5]PTRM input'!K77*((1+[5]WACC!K$19)^0.5)*AB$239</f>
        <v>0</v>
      </c>
    </row>
    <row r="128" spans="1:28" ht="12.3" x14ac:dyDescent="0.35">
      <c r="D128" s="101" t="str">
        <f t="shared" si="107"/>
        <v>LV Services</v>
      </c>
      <c r="E128" s="119" t="s">
        <v>210</v>
      </c>
      <c r="F128" s="119" t="str">
        <f t="shared" si="108"/>
        <v>Dollars</v>
      </c>
      <c r="G128" s="119" t="str">
        <f t="shared" si="109"/>
        <v>Nominal</v>
      </c>
      <c r="H128" s="52" t="str">
        <f t="shared" si="110"/>
        <v>End_year</v>
      </c>
      <c r="J128" s="120">
        <v>0</v>
      </c>
      <c r="K128" s="131">
        <v>0</v>
      </c>
      <c r="L128" s="131">
        <v>0</v>
      </c>
      <c r="M128" s="132">
        <v>0</v>
      </c>
      <c r="N128" s="134">
        <v>0</v>
      </c>
      <c r="O128" s="131">
        <v>0</v>
      </c>
      <c r="P128" s="131">
        <v>0</v>
      </c>
      <c r="Q128" s="135">
        <v>0</v>
      </c>
      <c r="R128" s="133">
        <f>-[6]Input!H108*(1+[6]Input!$H$258)^0.5/'[6]Actual RAB roll forward'!$H$7*R$237</f>
        <v>-1.4974920155455258E-4</v>
      </c>
      <c r="S128" s="134">
        <f>-'[2]RFM input'!H78*(1+'[2]RFM input'!H$188)^0.5/'[2]RAB roll forward'!H$7*S$238</f>
        <v>0</v>
      </c>
      <c r="T128" s="131">
        <f>-'[2]RFM input'!I78*(1+'[2]RFM input'!I$188)^0.5/'[2]RAB roll forward'!I$7*T$238</f>
        <v>0</v>
      </c>
      <c r="U128" s="131">
        <f>-'[2]RFM input'!J78*(1+'[2]RFM input'!J$188)^0.5/'[2]RAB roll forward'!J$7*U$238</f>
        <v>0</v>
      </c>
      <c r="V128" s="131">
        <f>-'[2]RFM input'!K78*(1+'[2]RFM input'!K$188)^0.5/'[2]RAB roll forward'!K$7*V$238</f>
        <v>0</v>
      </c>
      <c r="W128" s="135">
        <f>-'[2]RFM input'!L78*(1+'[2]RFM input'!L$188)^0.5/'[2]RAB roll forward'!L$7*W$238</f>
        <v>0</v>
      </c>
      <c r="X128" s="134">
        <f>-'[5]PTRM input'!G78*((1+[5]WACC!G$19)^0.5)*X$239</f>
        <v>0</v>
      </c>
      <c r="Y128" s="131">
        <f>-'[5]PTRM input'!H78*((1+[5]WACC!H$19)^0.5)*Y$239</f>
        <v>0</v>
      </c>
      <c r="Z128" s="131">
        <f>-'[5]PTRM input'!I78*((1+[5]WACC!I$19)^0.5)*Z$239</f>
        <v>0</v>
      </c>
      <c r="AA128" s="131">
        <f>-'[5]PTRM input'!J78*((1+[5]WACC!J$19)^0.5)*AA$239</f>
        <v>0</v>
      </c>
      <c r="AB128" s="135">
        <f>-'[5]PTRM input'!K78*((1+[5]WACC!K$19)^0.5)*AB$239</f>
        <v>0</v>
      </c>
    </row>
    <row r="129" spans="4:28" ht="12.3" x14ac:dyDescent="0.35">
      <c r="D129" s="101" t="str">
        <f t="shared" si="107"/>
        <v>Distribution Substations</v>
      </c>
      <c r="E129" s="119" t="s">
        <v>210</v>
      </c>
      <c r="F129" s="119" t="str">
        <f t="shared" si="108"/>
        <v>Dollars</v>
      </c>
      <c r="G129" s="119" t="str">
        <f t="shared" si="109"/>
        <v>Nominal</v>
      </c>
      <c r="H129" s="52" t="str">
        <f t="shared" si="110"/>
        <v>End_year</v>
      </c>
      <c r="J129" s="120">
        <v>0</v>
      </c>
      <c r="K129" s="131">
        <v>0</v>
      </c>
      <c r="L129" s="131">
        <v>0</v>
      </c>
      <c r="M129" s="132">
        <v>0</v>
      </c>
      <c r="N129" s="134">
        <v>0</v>
      </c>
      <c r="O129" s="131">
        <v>-0.40395849288747782</v>
      </c>
      <c r="P129" s="131">
        <v>-0.54706830450001331</v>
      </c>
      <c r="Q129" s="135">
        <v>-0.67670341129587697</v>
      </c>
      <c r="R129" s="133">
        <f>-[6]Input!H109*(1+[6]Input!$H$258)^0.5/'[6]Actual RAB roll forward'!$H$7*R$237</f>
        <v>-0.43857761748365526</v>
      </c>
      <c r="S129" s="134">
        <f>-'[2]RFM input'!H79*(1+'[2]RFM input'!H$188)^0.5/'[2]RAB roll forward'!H$7*S$238</f>
        <v>-7.841243191466396E-3</v>
      </c>
      <c r="T129" s="131">
        <f>-'[2]RFM input'!I79*(1+'[2]RFM input'!I$188)^0.5/'[2]RAB roll forward'!I$7*T$238</f>
        <v>0</v>
      </c>
      <c r="U129" s="131">
        <f>-'[2]RFM input'!J79*(1+'[2]RFM input'!J$188)^0.5/'[2]RAB roll forward'!J$7*U$238</f>
        <v>0</v>
      </c>
      <c r="V129" s="131">
        <f>-'[2]RFM input'!K79*(1+'[2]RFM input'!K$188)^0.5/'[2]RAB roll forward'!K$7*V$238</f>
        <v>0</v>
      </c>
      <c r="W129" s="135">
        <f>-'[2]RFM input'!L79*(1+'[2]RFM input'!L$188)^0.5/'[2]RAB roll forward'!L$7*W$238</f>
        <v>0</v>
      </c>
      <c r="X129" s="134">
        <f>-'[5]PTRM input'!G79*((1+[5]WACC!G$19)^0.5)*X$239</f>
        <v>0</v>
      </c>
      <c r="Y129" s="131">
        <f>-'[5]PTRM input'!H79*((1+[5]WACC!H$19)^0.5)*Y$239</f>
        <v>0</v>
      </c>
      <c r="Z129" s="131">
        <f>-'[5]PTRM input'!I79*((1+[5]WACC!I$19)^0.5)*Z$239</f>
        <v>0</v>
      </c>
      <c r="AA129" s="131">
        <f>-'[5]PTRM input'!J79*((1+[5]WACC!J$19)^0.5)*AA$239</f>
        <v>0</v>
      </c>
      <c r="AB129" s="135">
        <f>-'[5]PTRM input'!K79*((1+[5]WACC!K$19)^0.5)*AB$239</f>
        <v>0</v>
      </c>
    </row>
    <row r="130" spans="4:28" ht="12.3" x14ac:dyDescent="0.35">
      <c r="D130" s="101" t="str">
        <f t="shared" si="107"/>
        <v>Distribution Switchgear</v>
      </c>
      <c r="E130" s="119" t="s">
        <v>210</v>
      </c>
      <c r="F130" s="119" t="str">
        <f t="shared" si="108"/>
        <v>Dollars</v>
      </c>
      <c r="G130" s="119" t="str">
        <f t="shared" si="109"/>
        <v>Nominal</v>
      </c>
      <c r="H130" s="52" t="str">
        <f t="shared" si="110"/>
        <v>End_year</v>
      </c>
      <c r="J130" s="120">
        <v>0</v>
      </c>
      <c r="K130" s="131">
        <v>0</v>
      </c>
      <c r="L130" s="131">
        <v>0</v>
      </c>
      <c r="M130" s="132">
        <v>0</v>
      </c>
      <c r="N130" s="134">
        <v>0</v>
      </c>
      <c r="O130" s="131">
        <v>0</v>
      </c>
      <c r="P130" s="131">
        <v>0</v>
      </c>
      <c r="Q130" s="135">
        <v>0</v>
      </c>
      <c r="R130" s="133">
        <f>-[6]Input!H110*(1+[6]Input!$H$258)^0.5/'[6]Actual RAB roll forward'!$H$7*R$237</f>
        <v>-1.182823803552099E-2</v>
      </c>
      <c r="S130" s="134">
        <f>-'[2]RFM input'!H80*(1+'[2]RFM input'!H$188)^0.5/'[2]RAB roll forward'!H$7*S$238</f>
        <v>0</v>
      </c>
      <c r="T130" s="131">
        <f>-'[2]RFM input'!I80*(1+'[2]RFM input'!I$188)^0.5/'[2]RAB roll forward'!I$7*T$238</f>
        <v>0</v>
      </c>
      <c r="U130" s="131">
        <f>-'[2]RFM input'!J80*(1+'[2]RFM input'!J$188)^0.5/'[2]RAB roll forward'!J$7*U$238</f>
        <v>0</v>
      </c>
      <c r="V130" s="131">
        <f>-'[2]RFM input'!K80*(1+'[2]RFM input'!K$188)^0.5/'[2]RAB roll forward'!K$7*V$238</f>
        <v>0</v>
      </c>
      <c r="W130" s="135">
        <f>-'[2]RFM input'!L80*(1+'[2]RFM input'!L$188)^0.5/'[2]RAB roll forward'!L$7*W$238</f>
        <v>0</v>
      </c>
      <c r="X130" s="134">
        <f>-'[5]PTRM input'!G80*((1+[5]WACC!G$19)^0.5)*X$239</f>
        <v>0</v>
      </c>
      <c r="Y130" s="131">
        <f>-'[5]PTRM input'!H80*((1+[5]WACC!H$19)^0.5)*Y$239</f>
        <v>0</v>
      </c>
      <c r="Z130" s="131">
        <f>-'[5]PTRM input'!I80*((1+[5]WACC!I$19)^0.5)*Z$239</f>
        <v>0</v>
      </c>
      <c r="AA130" s="131">
        <f>-'[5]PTRM input'!J80*((1+[5]WACC!J$19)^0.5)*AA$239</f>
        <v>0</v>
      </c>
      <c r="AB130" s="135">
        <f>-'[5]PTRM input'!K80*((1+[5]WACC!K$19)^0.5)*AB$239</f>
        <v>0</v>
      </c>
    </row>
    <row r="131" spans="4:28" ht="12.3" x14ac:dyDescent="0.35">
      <c r="D131" s="101" t="str">
        <f t="shared" si="107"/>
        <v>Protection</v>
      </c>
      <c r="E131" s="119" t="s">
        <v>210</v>
      </c>
      <c r="F131" s="119" t="str">
        <f t="shared" si="108"/>
        <v>Dollars</v>
      </c>
      <c r="G131" s="119" t="str">
        <f t="shared" si="109"/>
        <v>Nominal</v>
      </c>
      <c r="H131" s="52" t="str">
        <f t="shared" si="110"/>
        <v>End_year</v>
      </c>
      <c r="J131" s="120">
        <v>0</v>
      </c>
      <c r="K131" s="131">
        <v>0</v>
      </c>
      <c r="L131" s="131">
        <v>0</v>
      </c>
      <c r="M131" s="132">
        <v>0</v>
      </c>
      <c r="N131" s="134">
        <v>0</v>
      </c>
      <c r="O131" s="131">
        <v>0</v>
      </c>
      <c r="P131" s="131">
        <v>0</v>
      </c>
      <c r="Q131" s="135">
        <v>0</v>
      </c>
      <c r="R131" s="133">
        <f>-[6]Input!H111*(1+[6]Input!$H$258)^0.5/'[6]Actual RAB roll forward'!$H$7*R$237</f>
        <v>-3.3401213229489633E-3</v>
      </c>
      <c r="S131" s="134">
        <f>-'[2]RFM input'!H81*(1+'[2]RFM input'!H$188)^0.5/'[2]RAB roll forward'!H$7*S$238</f>
        <v>0</v>
      </c>
      <c r="T131" s="131">
        <f>-'[2]RFM input'!I81*(1+'[2]RFM input'!I$188)^0.5/'[2]RAB roll forward'!I$7*T$238</f>
        <v>0</v>
      </c>
      <c r="U131" s="131">
        <f>-'[2]RFM input'!J81*(1+'[2]RFM input'!J$188)^0.5/'[2]RAB roll forward'!J$7*U$238</f>
        <v>0</v>
      </c>
      <c r="V131" s="131">
        <f>-'[2]RFM input'!K81*(1+'[2]RFM input'!K$188)^0.5/'[2]RAB roll forward'!K$7*V$238</f>
        <v>0</v>
      </c>
      <c r="W131" s="135">
        <f>-'[2]RFM input'!L81*(1+'[2]RFM input'!L$188)^0.5/'[2]RAB roll forward'!L$7*W$238</f>
        <v>0</v>
      </c>
      <c r="X131" s="134">
        <f>-'[5]PTRM input'!G81*((1+[5]WACC!G$19)^0.5)*X$239</f>
        <v>0</v>
      </c>
      <c r="Y131" s="131">
        <f>-'[5]PTRM input'!H81*((1+[5]WACC!H$19)^0.5)*Y$239</f>
        <v>0</v>
      </c>
      <c r="Z131" s="131">
        <f>-'[5]PTRM input'!I81*((1+[5]WACC!I$19)^0.5)*Z$239</f>
        <v>0</v>
      </c>
      <c r="AA131" s="131">
        <f>-'[5]PTRM input'!J81*((1+[5]WACC!J$19)^0.5)*AA$239</f>
        <v>0</v>
      </c>
      <c r="AB131" s="135">
        <f>-'[5]PTRM input'!K81*((1+[5]WACC!K$19)^0.5)*AB$239</f>
        <v>0</v>
      </c>
    </row>
    <row r="132" spans="4:28" ht="12.3" x14ac:dyDescent="0.35">
      <c r="D132" s="101" t="str">
        <f t="shared" si="107"/>
        <v>SCADA</v>
      </c>
      <c r="E132" s="119" t="s">
        <v>210</v>
      </c>
      <c r="F132" s="119" t="str">
        <f t="shared" si="108"/>
        <v>Dollars</v>
      </c>
      <c r="G132" s="119" t="str">
        <f t="shared" si="109"/>
        <v>Nominal</v>
      </c>
      <c r="H132" s="52" t="str">
        <f t="shared" si="110"/>
        <v>End_year</v>
      </c>
      <c r="J132" s="120">
        <v>0</v>
      </c>
      <c r="K132" s="131">
        <v>0</v>
      </c>
      <c r="L132" s="131">
        <v>0</v>
      </c>
      <c r="M132" s="132">
        <v>0</v>
      </c>
      <c r="N132" s="134">
        <v>0</v>
      </c>
      <c r="O132" s="131">
        <v>0</v>
      </c>
      <c r="P132" s="131">
        <v>0</v>
      </c>
      <c r="Q132" s="135">
        <v>0</v>
      </c>
      <c r="R132" s="133">
        <f>-[6]Input!H112*(1+[6]Input!$H$258)^0.5/'[6]Actual RAB roll forward'!$H$7*R$237</f>
        <v>-1.4011571724788875E-5</v>
      </c>
      <c r="S132" s="134">
        <f>-'[2]RFM input'!H82*(1+'[2]RFM input'!H$188)^0.5/'[2]RAB roll forward'!H$7*S$238</f>
        <v>0</v>
      </c>
      <c r="T132" s="131">
        <f>-'[2]RFM input'!I82*(1+'[2]RFM input'!I$188)^0.5/'[2]RAB roll forward'!I$7*T$238</f>
        <v>0</v>
      </c>
      <c r="U132" s="131">
        <f>-'[2]RFM input'!J82*(1+'[2]RFM input'!J$188)^0.5/'[2]RAB roll forward'!J$7*U$238</f>
        <v>0</v>
      </c>
      <c r="V132" s="131">
        <f>-'[2]RFM input'!K82*(1+'[2]RFM input'!K$188)^0.5/'[2]RAB roll forward'!K$7*V$238</f>
        <v>0</v>
      </c>
      <c r="W132" s="135">
        <f>-'[2]RFM input'!L82*(1+'[2]RFM input'!L$188)^0.5/'[2]RAB roll forward'!L$7*W$238</f>
        <v>0</v>
      </c>
      <c r="X132" s="134">
        <f>-'[5]PTRM input'!G82*((1+[5]WACC!G$19)^0.5)*X$239</f>
        <v>0</v>
      </c>
      <c r="Y132" s="131">
        <f>-'[5]PTRM input'!H82*((1+[5]WACC!H$19)^0.5)*Y$239</f>
        <v>0</v>
      </c>
      <c r="Z132" s="131">
        <f>-'[5]PTRM input'!I82*((1+[5]WACC!I$19)^0.5)*Z$239</f>
        <v>0</v>
      </c>
      <c r="AA132" s="131">
        <f>-'[5]PTRM input'!J82*((1+[5]WACC!J$19)^0.5)*AA$239</f>
        <v>0</v>
      </c>
      <c r="AB132" s="135">
        <f>-'[5]PTRM input'!K82*((1+[5]WACC!K$19)^0.5)*AB$239</f>
        <v>0</v>
      </c>
    </row>
    <row r="133" spans="4:28" ht="12.3" x14ac:dyDescent="0.35">
      <c r="D133" s="101" t="str">
        <f t="shared" si="107"/>
        <v>Communications</v>
      </c>
      <c r="E133" s="119" t="s">
        <v>210</v>
      </c>
      <c r="F133" s="119" t="str">
        <f t="shared" si="108"/>
        <v>Dollars</v>
      </c>
      <c r="G133" s="119" t="str">
        <f t="shared" si="109"/>
        <v>Nominal</v>
      </c>
      <c r="H133" s="52" t="str">
        <f t="shared" si="110"/>
        <v>End_year</v>
      </c>
      <c r="J133" s="120">
        <v>0</v>
      </c>
      <c r="K133" s="131">
        <v>0</v>
      </c>
      <c r="L133" s="131">
        <v>0</v>
      </c>
      <c r="M133" s="132">
        <v>0</v>
      </c>
      <c r="N133" s="134">
        <v>0</v>
      </c>
      <c r="O133" s="131">
        <v>0</v>
      </c>
      <c r="P133" s="131">
        <v>0</v>
      </c>
      <c r="Q133" s="135">
        <v>0</v>
      </c>
      <c r="R133" s="133">
        <f>-[6]Input!H113*(1+[6]Input!$H$258)^0.5/'[6]Actual RAB roll forward'!$H$7*R$237</f>
        <v>0</v>
      </c>
      <c r="S133" s="134">
        <f>-'[2]RFM input'!H83*(1+'[2]RFM input'!H$188)^0.5/'[2]RAB roll forward'!H$7*S$238</f>
        <v>0</v>
      </c>
      <c r="T133" s="131">
        <f>-'[2]RFM input'!I83*(1+'[2]RFM input'!I$188)^0.5/'[2]RAB roll forward'!I$7*T$238</f>
        <v>0</v>
      </c>
      <c r="U133" s="131">
        <f>-'[2]RFM input'!J83*(1+'[2]RFM input'!J$188)^0.5/'[2]RAB roll forward'!J$7*U$238</f>
        <v>0</v>
      </c>
      <c r="V133" s="131">
        <f>-'[2]RFM input'!K83*(1+'[2]RFM input'!K$188)^0.5/'[2]RAB roll forward'!K$7*V$238</f>
        <v>0</v>
      </c>
      <c r="W133" s="135">
        <f>-'[2]RFM input'!L83*(1+'[2]RFM input'!L$188)^0.5/'[2]RAB roll forward'!L$7*W$238</f>
        <v>0</v>
      </c>
      <c r="X133" s="134">
        <f>-'[5]PTRM input'!G83*((1+[5]WACC!G$19)^0.5)*X$239</f>
        <v>0</v>
      </c>
      <c r="Y133" s="131">
        <f>-'[5]PTRM input'!H83*((1+[5]WACC!H$19)^0.5)*Y$239</f>
        <v>0</v>
      </c>
      <c r="Z133" s="131">
        <f>-'[5]PTRM input'!I83*((1+[5]WACC!I$19)^0.5)*Z$239</f>
        <v>0</v>
      </c>
      <c r="AA133" s="131">
        <f>-'[5]PTRM input'!J83*((1+[5]WACC!J$19)^0.5)*AA$239</f>
        <v>0</v>
      </c>
      <c r="AB133" s="135">
        <f>-'[5]PTRM input'!K83*((1+[5]WACC!K$19)^0.5)*AB$239</f>
        <v>0</v>
      </c>
    </row>
    <row r="134" spans="4:28" ht="12.3" x14ac:dyDescent="0.35">
      <c r="D134" s="101" t="str">
        <f t="shared" si="107"/>
        <v>Land and Easements</v>
      </c>
      <c r="E134" s="119" t="s">
        <v>210</v>
      </c>
      <c r="F134" s="119" t="str">
        <f t="shared" si="108"/>
        <v>Dollars</v>
      </c>
      <c r="G134" s="119" t="str">
        <f t="shared" si="109"/>
        <v>Nominal</v>
      </c>
      <c r="H134" s="52" t="str">
        <f t="shared" si="110"/>
        <v>End_year</v>
      </c>
      <c r="J134" s="120">
        <v>0</v>
      </c>
      <c r="K134" s="131">
        <v>0</v>
      </c>
      <c r="L134" s="131">
        <v>0</v>
      </c>
      <c r="M134" s="132">
        <v>0</v>
      </c>
      <c r="N134" s="134">
        <v>0</v>
      </c>
      <c r="O134" s="131">
        <v>0</v>
      </c>
      <c r="P134" s="131">
        <v>0</v>
      </c>
      <c r="Q134" s="135">
        <v>-3.4945981020732342</v>
      </c>
      <c r="R134" s="133">
        <f>-[6]Input!H114*(1+[6]Input!$H$258)^0.5/'[6]Actual RAB roll forward'!$H$7*R$237</f>
        <v>0</v>
      </c>
      <c r="S134" s="134">
        <f>-'[2]RFM input'!H84*(1+'[2]RFM input'!H$188)^0.5/'[2]RAB roll forward'!H$7*S$238</f>
        <v>0</v>
      </c>
      <c r="T134" s="131">
        <f>-'[2]RFM input'!I84*(1+'[2]RFM input'!I$188)^0.5/'[2]RAB roll forward'!I$7*T$238</f>
        <v>0</v>
      </c>
      <c r="U134" s="131">
        <f>-'[2]RFM input'!J84*(1+'[2]RFM input'!J$188)^0.5/'[2]RAB roll forward'!J$7*U$238</f>
        <v>-1.0225930087984345E-2</v>
      </c>
      <c r="V134" s="131">
        <f>-'[2]RFM input'!K84*(1+'[2]RFM input'!K$188)^0.5/'[2]RAB roll forward'!K$7*V$238</f>
        <v>0</v>
      </c>
      <c r="W134" s="135">
        <f>-'[2]RFM input'!L84*(1+'[2]RFM input'!L$188)^0.5/'[2]RAB roll forward'!L$7*W$238</f>
        <v>0</v>
      </c>
      <c r="X134" s="134">
        <f>-'[5]PTRM input'!G84*((1+[5]WACC!G$19)^0.5)*X$239</f>
        <v>0</v>
      </c>
      <c r="Y134" s="131">
        <f>-'[5]PTRM input'!H84*((1+[5]WACC!H$19)^0.5)*Y$239</f>
        <v>0</v>
      </c>
      <c r="Z134" s="131">
        <f>-'[5]PTRM input'!I84*((1+[5]WACC!I$19)^0.5)*Z$239</f>
        <v>0</v>
      </c>
      <c r="AA134" s="131">
        <f>-'[5]PTRM input'!J84*((1+[5]WACC!J$19)^0.5)*AA$239</f>
        <v>0</v>
      </c>
      <c r="AB134" s="135">
        <f>-'[5]PTRM input'!K84*((1+[5]WACC!K$19)^0.5)*AB$239</f>
        <v>0</v>
      </c>
    </row>
    <row r="135" spans="4:28" ht="12.3" x14ac:dyDescent="0.35">
      <c r="D135" s="101" t="str">
        <f t="shared" si="107"/>
        <v>Property</v>
      </c>
      <c r="E135" s="119" t="s">
        <v>210</v>
      </c>
      <c r="F135" s="119" t="str">
        <f t="shared" si="108"/>
        <v>Dollars</v>
      </c>
      <c r="G135" s="119" t="str">
        <f t="shared" si="109"/>
        <v>Nominal</v>
      </c>
      <c r="H135" s="52" t="str">
        <f t="shared" si="110"/>
        <v>End_year</v>
      </c>
      <c r="J135" s="120">
        <v>0</v>
      </c>
      <c r="K135" s="131">
        <v>0</v>
      </c>
      <c r="L135" s="131">
        <v>0</v>
      </c>
      <c r="M135" s="132">
        <v>0</v>
      </c>
      <c r="N135" s="134">
        <v>0</v>
      </c>
      <c r="O135" s="131">
        <v>0</v>
      </c>
      <c r="P135" s="131">
        <v>0</v>
      </c>
      <c r="Q135" s="135">
        <v>0</v>
      </c>
      <c r="R135" s="133">
        <f>-[6]Input!H115*(1+[6]Input!$H$258)^0.5/'[6]Actual RAB roll forward'!$H$7*R$237</f>
        <v>0</v>
      </c>
      <c r="S135" s="134">
        <f>-'[2]RFM input'!H85*(1+'[2]RFM input'!H$188)^0.5/'[2]RAB roll forward'!H$7*S$238</f>
        <v>0</v>
      </c>
      <c r="T135" s="131">
        <f>-'[2]RFM input'!I85*(1+'[2]RFM input'!I$188)^0.5/'[2]RAB roll forward'!I$7*T$238</f>
        <v>-9.0687229355076848E-3</v>
      </c>
      <c r="U135" s="131">
        <f>-'[2]RFM input'!J85*(1+'[2]RFM input'!J$188)^0.5/'[2]RAB roll forward'!J$7*U$238</f>
        <v>0</v>
      </c>
      <c r="V135" s="131">
        <f>-'[2]RFM input'!K85*(1+'[2]RFM input'!K$188)^0.5/'[2]RAB roll forward'!K$7*V$238</f>
        <v>0</v>
      </c>
      <c r="W135" s="135">
        <f>-'[2]RFM input'!L85*(1+'[2]RFM input'!L$188)^0.5/'[2]RAB roll forward'!L$7*W$238</f>
        <v>0</v>
      </c>
      <c r="X135" s="134">
        <f>-'[5]PTRM input'!G85*((1+[5]WACC!G$19)^0.5)*X$239</f>
        <v>0</v>
      </c>
      <c r="Y135" s="131">
        <f>-'[5]PTRM input'!H85*((1+[5]WACC!H$19)^0.5)*Y$239</f>
        <v>0</v>
      </c>
      <c r="Z135" s="131">
        <f>-'[5]PTRM input'!I85*((1+[5]WACC!I$19)^0.5)*Z$239</f>
        <v>0</v>
      </c>
      <c r="AA135" s="131">
        <f>-'[5]PTRM input'!J85*((1+[5]WACC!J$19)^0.5)*AA$239</f>
        <v>0</v>
      </c>
      <c r="AB135" s="135">
        <f>-'[5]PTRM input'!K85*((1+[5]WACC!K$19)^0.5)*AB$239</f>
        <v>0</v>
      </c>
    </row>
    <row r="136" spans="4:28" ht="12.3" x14ac:dyDescent="0.35">
      <c r="D136" s="101" t="str">
        <f t="shared" si="107"/>
        <v>IT and Communications</v>
      </c>
      <c r="E136" s="119" t="s">
        <v>210</v>
      </c>
      <c r="F136" s="119" t="str">
        <f t="shared" si="108"/>
        <v>Dollars</v>
      </c>
      <c r="G136" s="119" t="str">
        <f t="shared" si="109"/>
        <v>Nominal</v>
      </c>
      <c r="H136" s="52" t="str">
        <f t="shared" si="110"/>
        <v>End_year</v>
      </c>
      <c r="J136" s="120">
        <v>0</v>
      </c>
      <c r="K136" s="131">
        <v>0</v>
      </c>
      <c r="L136" s="131">
        <v>0</v>
      </c>
      <c r="M136" s="132">
        <v>0</v>
      </c>
      <c r="N136" s="134">
        <v>0</v>
      </c>
      <c r="O136" s="131">
        <v>0</v>
      </c>
      <c r="P136" s="131">
        <v>0</v>
      </c>
      <c r="Q136" s="135">
        <v>0</v>
      </c>
      <c r="R136" s="133">
        <f>-[6]Input!H116*(1+[6]Input!$H$258)^0.5/'[6]Actual RAB roll forward'!$H$7*R$237</f>
        <v>0</v>
      </c>
      <c r="S136" s="134">
        <f>-'[2]RFM input'!H86*(1+'[2]RFM input'!H$188)^0.5/'[2]RAB roll forward'!H$7*S$238</f>
        <v>0</v>
      </c>
      <c r="T136" s="131">
        <f>-'[2]RFM input'!I86*(1+'[2]RFM input'!I$188)^0.5/'[2]RAB roll forward'!I$7*T$238</f>
        <v>0</v>
      </c>
      <c r="U136" s="131">
        <f>-'[2]RFM input'!J86*(1+'[2]RFM input'!J$188)^0.5/'[2]RAB roll forward'!J$7*U$238</f>
        <v>0</v>
      </c>
      <c r="V136" s="131">
        <f>-'[2]RFM input'!K86*(1+'[2]RFM input'!K$188)^0.5/'[2]RAB roll forward'!K$7*V$238</f>
        <v>0</v>
      </c>
      <c r="W136" s="135">
        <f>-'[2]RFM input'!L86*(1+'[2]RFM input'!L$188)^0.5/'[2]RAB roll forward'!L$7*W$238</f>
        <v>0</v>
      </c>
      <c r="X136" s="134">
        <f>-'[5]PTRM input'!G86*((1+[5]WACC!G$19)^0.5)*X$239</f>
        <v>0</v>
      </c>
      <c r="Y136" s="131">
        <f>-'[5]PTRM input'!H86*((1+[5]WACC!H$19)^0.5)*Y$239</f>
        <v>0</v>
      </c>
      <c r="Z136" s="131">
        <f>-'[5]PTRM input'!I86*((1+[5]WACC!I$19)^0.5)*Z$239</f>
        <v>0</v>
      </c>
      <c r="AA136" s="131">
        <f>-'[5]PTRM input'!J86*((1+[5]WACC!J$19)^0.5)*AA$239</f>
        <v>0</v>
      </c>
      <c r="AB136" s="135">
        <f>-'[5]PTRM input'!K86*((1+[5]WACC!K$19)^0.5)*AB$239</f>
        <v>0</v>
      </c>
    </row>
    <row r="137" spans="4:28" ht="12.3" x14ac:dyDescent="0.35">
      <c r="D137" s="101" t="str">
        <f t="shared" si="107"/>
        <v>Motor Vehicles</v>
      </c>
      <c r="E137" s="119" t="s">
        <v>210</v>
      </c>
      <c r="F137" s="119" t="str">
        <f t="shared" si="108"/>
        <v>Dollars</v>
      </c>
      <c r="G137" s="119" t="str">
        <f t="shared" si="109"/>
        <v>Nominal</v>
      </c>
      <c r="H137" s="52" t="str">
        <f t="shared" si="110"/>
        <v>End_year</v>
      </c>
      <c r="J137" s="120">
        <v>0</v>
      </c>
      <c r="K137" s="131">
        <v>0</v>
      </c>
      <c r="L137" s="131">
        <v>0</v>
      </c>
      <c r="M137" s="132">
        <v>0</v>
      </c>
      <c r="N137" s="134">
        <v>0</v>
      </c>
      <c r="O137" s="131">
        <v>0</v>
      </c>
      <c r="P137" s="131">
        <v>0</v>
      </c>
      <c r="Q137" s="135">
        <v>0</v>
      </c>
      <c r="R137" s="133">
        <f>-[6]Input!H117*(1+[6]Input!$H$258)^0.5/'[6]Actual RAB roll forward'!$H$7*R$237</f>
        <v>0</v>
      </c>
      <c r="S137" s="134">
        <f>-'[2]RFM input'!H87*(1+'[2]RFM input'!H$188)^0.5/'[2]RAB roll forward'!H$7*S$238</f>
        <v>0</v>
      </c>
      <c r="T137" s="131">
        <f>-'[2]RFM input'!I87*(1+'[2]RFM input'!I$188)^0.5/'[2]RAB roll forward'!I$7*T$238</f>
        <v>0</v>
      </c>
      <c r="U137" s="131">
        <f>-'[2]RFM input'!J87*(1+'[2]RFM input'!J$188)^0.5/'[2]RAB roll forward'!J$7*U$238</f>
        <v>-4.8858675885982156E-3</v>
      </c>
      <c r="V137" s="131">
        <f>-'[2]RFM input'!K87*(1+'[2]RFM input'!K$188)^0.5/'[2]RAB roll forward'!K$7*V$238</f>
        <v>0</v>
      </c>
      <c r="W137" s="135">
        <f>-'[2]RFM input'!L87*(1+'[2]RFM input'!L$188)^0.5/'[2]RAB roll forward'!L$7*W$238</f>
        <v>0</v>
      </c>
      <c r="X137" s="134">
        <f>-'[5]PTRM input'!G87*((1+[5]WACC!G$19)^0.5)*X$239</f>
        <v>0</v>
      </c>
      <c r="Y137" s="131">
        <f>-'[5]PTRM input'!H87*((1+[5]WACC!H$19)^0.5)*Y$239</f>
        <v>0</v>
      </c>
      <c r="Z137" s="131">
        <f>-'[5]PTRM input'!I87*((1+[5]WACC!I$19)^0.5)*Z$239</f>
        <v>0</v>
      </c>
      <c r="AA137" s="131">
        <f>-'[5]PTRM input'!J87*((1+[5]WACC!J$19)^0.5)*AA$239</f>
        <v>0</v>
      </c>
      <c r="AB137" s="135">
        <f>-'[5]PTRM input'!K87*((1+[5]WACC!K$19)^0.5)*AB$239</f>
        <v>0</v>
      </c>
    </row>
    <row r="138" spans="4:28" ht="12.3" x14ac:dyDescent="0.35">
      <c r="D138" s="101" t="str">
        <f t="shared" si="107"/>
        <v>Plant and Equipment</v>
      </c>
      <c r="E138" s="119" t="s">
        <v>210</v>
      </c>
      <c r="F138" s="119" t="str">
        <f t="shared" si="108"/>
        <v>Dollars</v>
      </c>
      <c r="G138" s="119" t="str">
        <f t="shared" si="109"/>
        <v>Nominal</v>
      </c>
      <c r="H138" s="52" t="str">
        <f t="shared" si="110"/>
        <v>End_year</v>
      </c>
      <c r="J138" s="120">
        <v>0</v>
      </c>
      <c r="K138" s="131">
        <v>0</v>
      </c>
      <c r="L138" s="131">
        <v>0</v>
      </c>
      <c r="M138" s="132">
        <v>0</v>
      </c>
      <c r="N138" s="134">
        <v>0</v>
      </c>
      <c r="O138" s="131">
        <v>0</v>
      </c>
      <c r="P138" s="131">
        <v>0</v>
      </c>
      <c r="Q138" s="135">
        <v>-6.9320099454478904E-3</v>
      </c>
      <c r="R138" s="133">
        <f>-[6]Input!H118*(1+[6]Input!$H$258)^0.5/'[6]Actual RAB roll forward'!$H$7*R$237</f>
        <v>0</v>
      </c>
      <c r="S138" s="134">
        <f>-'[2]RFM input'!H88*(1+'[2]RFM input'!H$188)^0.5/'[2]RAB roll forward'!H$7*S$238</f>
        <v>-2.7865659489757339E-3</v>
      </c>
      <c r="T138" s="131">
        <f>-'[2]RFM input'!I88*(1+'[2]RFM input'!I$188)^0.5/'[2]RAB roll forward'!I$7*T$238</f>
        <v>-2.2311138784566007E-3</v>
      </c>
      <c r="U138" s="131">
        <f>-'[2]RFM input'!J88*(1+'[2]RFM input'!J$188)^0.5/'[2]RAB roll forward'!J$7*U$238</f>
        <v>0</v>
      </c>
      <c r="V138" s="131">
        <f>-'[2]RFM input'!K88*(1+'[2]RFM input'!K$188)^0.5/'[2]RAB roll forward'!K$7*V$238</f>
        <v>0</v>
      </c>
      <c r="W138" s="135">
        <f>-'[2]RFM input'!L88*(1+'[2]RFM input'!L$188)^0.5/'[2]RAB roll forward'!L$7*W$238</f>
        <v>0</v>
      </c>
      <c r="X138" s="134">
        <f>-'[5]PTRM input'!G88*((1+[5]WACC!G$19)^0.5)*X$239</f>
        <v>0</v>
      </c>
      <c r="Y138" s="131">
        <f>-'[5]PTRM input'!H88*((1+[5]WACC!H$19)^0.5)*Y$239</f>
        <v>0</v>
      </c>
      <c r="Z138" s="131">
        <f>-'[5]PTRM input'!I88*((1+[5]WACC!I$19)^0.5)*Z$239</f>
        <v>0</v>
      </c>
      <c r="AA138" s="131">
        <f>-'[5]PTRM input'!J88*((1+[5]WACC!J$19)^0.5)*AA$239</f>
        <v>0</v>
      </c>
      <c r="AB138" s="135">
        <f>-'[5]PTRM input'!K88*((1+[5]WACC!K$19)^0.5)*AB$239</f>
        <v>0</v>
      </c>
    </row>
    <row r="139" spans="4:28" ht="12.3" x14ac:dyDescent="0.35">
      <c r="D139" s="101" t="str">
        <f t="shared" ref="D139:D140" si="111">D32</f>
        <v>Property Leases</v>
      </c>
      <c r="E139" s="119" t="s">
        <v>210</v>
      </c>
      <c r="F139" s="119" t="str">
        <f t="shared" si="108"/>
        <v>Dollars</v>
      </c>
      <c r="G139" s="119" t="str">
        <f t="shared" si="109"/>
        <v>Nominal</v>
      </c>
      <c r="H139" s="52" t="str">
        <f t="shared" si="110"/>
        <v>End_year</v>
      </c>
      <c r="J139" s="120">
        <v>0</v>
      </c>
      <c r="K139" s="131">
        <v>0</v>
      </c>
      <c r="L139" s="131">
        <v>0</v>
      </c>
      <c r="M139" s="132">
        <v>0</v>
      </c>
      <c r="N139" s="134">
        <v>0</v>
      </c>
      <c r="O139" s="131">
        <v>0</v>
      </c>
      <c r="P139" s="131">
        <v>0</v>
      </c>
      <c r="Q139" s="135">
        <v>0</v>
      </c>
      <c r="R139" s="133">
        <v>0</v>
      </c>
      <c r="S139" s="134">
        <v>0</v>
      </c>
      <c r="T139" s="131">
        <v>0</v>
      </c>
      <c r="U139" s="131">
        <v>0</v>
      </c>
      <c r="V139" s="131">
        <v>0</v>
      </c>
      <c r="W139" s="135">
        <v>0</v>
      </c>
      <c r="X139" s="134">
        <f>-'[5]PTRM input'!G89*((1+[5]WACC!G$19)^0.5)*X$239</f>
        <v>0</v>
      </c>
      <c r="Y139" s="131">
        <f>-'[5]PTRM input'!H89*((1+[5]WACC!H$19)^0.5)*Y$239</f>
        <v>0</v>
      </c>
      <c r="Z139" s="131">
        <f>-'[5]PTRM input'!I89*((1+[5]WACC!I$19)^0.5)*Z$239</f>
        <v>0</v>
      </c>
      <c r="AA139" s="131">
        <f>-'[5]PTRM input'!J89*((1+[5]WACC!J$19)^0.5)*AA$239</f>
        <v>0</v>
      </c>
      <c r="AB139" s="135">
        <f>-'[5]PTRM input'!K89*((1+[5]WACC!K$19)^0.5)*AB$239</f>
        <v>0</v>
      </c>
    </row>
    <row r="140" spans="4:28" ht="12.3" x14ac:dyDescent="0.35">
      <c r="D140" s="101" t="str">
        <f t="shared" si="111"/>
        <v>Fleet Leases</v>
      </c>
      <c r="E140" s="119" t="s">
        <v>210</v>
      </c>
      <c r="F140" s="119" t="str">
        <f t="shared" si="108"/>
        <v>Dollars</v>
      </c>
      <c r="G140" s="119" t="str">
        <f t="shared" si="109"/>
        <v>Nominal</v>
      </c>
      <c r="H140" s="52" t="str">
        <f t="shared" si="110"/>
        <v>End_year</v>
      </c>
      <c r="J140" s="120">
        <v>0</v>
      </c>
      <c r="K140" s="131">
        <v>0</v>
      </c>
      <c r="L140" s="131">
        <v>0</v>
      </c>
      <c r="M140" s="132">
        <v>0</v>
      </c>
      <c r="N140" s="134">
        <v>0</v>
      </c>
      <c r="O140" s="131">
        <v>0</v>
      </c>
      <c r="P140" s="131">
        <v>0</v>
      </c>
      <c r="Q140" s="135">
        <v>0</v>
      </c>
      <c r="R140" s="133">
        <v>0</v>
      </c>
      <c r="S140" s="134">
        <v>0</v>
      </c>
      <c r="T140" s="131">
        <v>0</v>
      </c>
      <c r="U140" s="131">
        <v>0</v>
      </c>
      <c r="V140" s="131">
        <v>0</v>
      </c>
      <c r="W140" s="135">
        <v>0</v>
      </c>
      <c r="X140" s="134">
        <f>-'[5]PTRM input'!G90*((1+[5]WACC!G$19)^0.5)*X$239</f>
        <v>0</v>
      </c>
      <c r="Y140" s="131">
        <f>-'[5]PTRM input'!H90*((1+[5]WACC!H$19)^0.5)*Y$239</f>
        <v>0</v>
      </c>
      <c r="Z140" s="131">
        <f>-'[5]PTRM input'!I90*((1+[5]WACC!I$19)^0.5)*Z$239</f>
        <v>0</v>
      </c>
      <c r="AA140" s="131">
        <f>-'[5]PTRM input'!J90*((1+[5]WACC!J$19)^0.5)*AA$239</f>
        <v>0</v>
      </c>
      <c r="AB140" s="135">
        <f>-'[5]PTRM input'!K90*((1+[5]WACC!K$19)^0.5)*AB$239</f>
        <v>0</v>
      </c>
    </row>
    <row r="141" spans="4:28" ht="12.3" x14ac:dyDescent="0.35">
      <c r="D141" s="101" t="str">
        <f t="shared" ref="D141" si="112">D34</f>
        <v>Equity Raising Costs</v>
      </c>
      <c r="E141" s="119" t="s">
        <v>210</v>
      </c>
      <c r="F141" s="119" t="str">
        <f t="shared" si="108"/>
        <v>Dollars</v>
      </c>
      <c r="G141" s="119" t="str">
        <f t="shared" si="109"/>
        <v>Nominal</v>
      </c>
      <c r="H141" s="52" t="str">
        <f t="shared" si="110"/>
        <v>End_year</v>
      </c>
      <c r="J141" s="120">
        <v>0</v>
      </c>
      <c r="K141" s="131">
        <v>0</v>
      </c>
      <c r="L141" s="131">
        <v>0</v>
      </c>
      <c r="M141" s="132">
        <v>0</v>
      </c>
      <c r="N141" s="134">
        <v>0</v>
      </c>
      <c r="O141" s="131">
        <v>0</v>
      </c>
      <c r="P141" s="131">
        <v>0</v>
      </c>
      <c r="Q141" s="135">
        <v>0</v>
      </c>
      <c r="R141" s="133">
        <v>0</v>
      </c>
      <c r="S141" s="134">
        <v>0</v>
      </c>
      <c r="T141" s="131">
        <v>0</v>
      </c>
      <c r="U141" s="131">
        <v>0</v>
      </c>
      <c r="V141" s="131">
        <v>0</v>
      </c>
      <c r="W141" s="135">
        <v>0</v>
      </c>
      <c r="X141" s="134">
        <v>0</v>
      </c>
      <c r="Y141" s="131">
        <v>0</v>
      </c>
      <c r="Z141" s="131">
        <v>0</v>
      </c>
      <c r="AA141" s="131">
        <v>0</v>
      </c>
      <c r="AB141" s="135">
        <v>0</v>
      </c>
    </row>
    <row r="142" spans="4:28" x14ac:dyDescent="0.35">
      <c r="J142" s="114"/>
      <c r="K142" s="115"/>
      <c r="L142" s="115"/>
      <c r="M142" s="115"/>
      <c r="N142" s="114"/>
      <c r="O142" s="115"/>
      <c r="P142" s="115"/>
      <c r="Q142" s="117"/>
      <c r="R142" s="116"/>
      <c r="S142" s="114"/>
      <c r="T142" s="115"/>
      <c r="U142" s="115"/>
      <c r="V142" s="115"/>
      <c r="W142" s="117"/>
      <c r="X142" s="114"/>
      <c r="Y142" s="115"/>
      <c r="Z142" s="115"/>
      <c r="AA142" s="115"/>
      <c r="AB142" s="117"/>
    </row>
    <row r="143" spans="4:28" ht="12.3" x14ac:dyDescent="0.35">
      <c r="D143" s="124" t="str">
        <f>"Total "&amp;D123</f>
        <v>Total RAB Asset Class</v>
      </c>
      <c r="E143" s="125" t="s">
        <v>111</v>
      </c>
      <c r="F143" s="125" t="str">
        <f>F125</f>
        <v>Dollars</v>
      </c>
      <c r="G143" s="125" t="str">
        <f>G125</f>
        <v>Nominal</v>
      </c>
      <c r="H143" s="47" t="str">
        <f>H125</f>
        <v>End_year</v>
      </c>
      <c r="J143" s="126">
        <f t="shared" ref="J143:AB143" si="113">SUM(J125:J141)</f>
        <v>0</v>
      </c>
      <c r="K143" s="127">
        <f t="shared" si="113"/>
        <v>0</v>
      </c>
      <c r="L143" s="127">
        <f t="shared" si="113"/>
        <v>0</v>
      </c>
      <c r="M143" s="127">
        <f t="shared" si="113"/>
        <v>0</v>
      </c>
      <c r="N143" s="126">
        <f t="shared" si="113"/>
        <v>-0.18259695449911931</v>
      </c>
      <c r="O143" s="127">
        <f t="shared" si="113"/>
        <v>-0.83882153558966266</v>
      </c>
      <c r="P143" s="127">
        <f t="shared" si="113"/>
        <v>-0.674785955095627</v>
      </c>
      <c r="Q143" s="129">
        <f t="shared" si="113"/>
        <v>-4.9531276184725597</v>
      </c>
      <c r="R143" s="128">
        <f t="shared" si="113"/>
        <v>-0.84233683406233317</v>
      </c>
      <c r="S143" s="126">
        <f t="shared" si="113"/>
        <v>-0.11809239476111207</v>
      </c>
      <c r="T143" s="127">
        <f t="shared" si="113"/>
        <v>-0.11962287903959043</v>
      </c>
      <c r="U143" s="127">
        <f t="shared" si="113"/>
        <v>-0.29764843767929999</v>
      </c>
      <c r="V143" s="127">
        <f t="shared" si="113"/>
        <v>0</v>
      </c>
      <c r="W143" s="129">
        <f t="shared" si="113"/>
        <v>0</v>
      </c>
      <c r="X143" s="126">
        <f t="shared" si="113"/>
        <v>0</v>
      </c>
      <c r="Y143" s="127">
        <f t="shared" si="113"/>
        <v>0</v>
      </c>
      <c r="Z143" s="127">
        <f t="shared" si="113"/>
        <v>0</v>
      </c>
      <c r="AA143" s="127">
        <f t="shared" si="113"/>
        <v>0</v>
      </c>
      <c r="AB143" s="129">
        <f t="shared" si="113"/>
        <v>0</v>
      </c>
    </row>
    <row r="144" spans="4:28" s="108" customFormat="1" ht="11.25" customHeight="1" x14ac:dyDescent="0.35">
      <c r="H144" s="6"/>
    </row>
    <row r="145" spans="1:28" s="108" customFormat="1" ht="11.25" customHeight="1" x14ac:dyDescent="0.35">
      <c r="A145" s="95">
        <f>IF(SUM($J145:$AB145)&lt;&gt;0,1,0)</f>
        <v>0</v>
      </c>
      <c r="D145" s="101" t="s">
        <v>206</v>
      </c>
      <c r="H145" s="6"/>
      <c r="J145" s="130">
        <f>IF(ISERROR(J143),1,0)</f>
        <v>0</v>
      </c>
      <c r="K145" s="130">
        <f t="shared" ref="K145:N145" si="114">IF(ISERROR(K143),1,0)</f>
        <v>0</v>
      </c>
      <c r="L145" s="130">
        <f t="shared" si="114"/>
        <v>0</v>
      </c>
      <c r="M145" s="130">
        <f t="shared" si="114"/>
        <v>0</v>
      </c>
      <c r="N145" s="130">
        <f t="shared" si="114"/>
        <v>0</v>
      </c>
      <c r="O145" s="130">
        <f>IF(ISERROR(O143),1,0)</f>
        <v>0</v>
      </c>
      <c r="P145" s="130">
        <f t="shared" ref="P145:S145" si="115">IF(ISERROR(P143),1,0)</f>
        <v>0</v>
      </c>
      <c r="Q145" s="130">
        <f t="shared" si="115"/>
        <v>0</v>
      </c>
      <c r="R145" s="130">
        <f t="shared" si="115"/>
        <v>0</v>
      </c>
      <c r="S145" s="130">
        <f t="shared" si="115"/>
        <v>0</v>
      </c>
      <c r="T145" s="130">
        <f>IF(ISERROR(T143),1,0)</f>
        <v>0</v>
      </c>
      <c r="U145" s="130">
        <f t="shared" ref="U145:X145" si="116">IF(ISERROR(U143),1,0)</f>
        <v>0</v>
      </c>
      <c r="V145" s="130">
        <f t="shared" si="116"/>
        <v>0</v>
      </c>
      <c r="W145" s="130">
        <f t="shared" si="116"/>
        <v>0</v>
      </c>
      <c r="X145" s="130">
        <f t="shared" si="116"/>
        <v>0</v>
      </c>
      <c r="Y145" s="130">
        <f>IF(ISERROR(Y143),1,0)</f>
        <v>0</v>
      </c>
      <c r="Z145" s="130">
        <f t="shared" ref="Z145:AB145" si="117">IF(ISERROR(Z143),1,0)</f>
        <v>0</v>
      </c>
      <c r="AA145" s="130">
        <f t="shared" si="117"/>
        <v>0</v>
      </c>
      <c r="AB145" s="130">
        <f t="shared" si="117"/>
        <v>0</v>
      </c>
    </row>
    <row r="146" spans="1:28" s="108" customFormat="1" ht="11.25" customHeight="1" x14ac:dyDescent="0.35">
      <c r="A146" s="95">
        <f>IF(SUM($J146:$AB146)&lt;&gt;0,1,0)</f>
        <v>0</v>
      </c>
      <c r="D146" s="101" t="s">
        <v>207</v>
      </c>
      <c r="H146" s="6"/>
      <c r="J146" s="137">
        <v>0</v>
      </c>
      <c r="K146" s="130">
        <v>0</v>
      </c>
      <c r="L146" s="130">
        <v>0</v>
      </c>
      <c r="M146" s="138">
        <v>0</v>
      </c>
      <c r="N146" s="137">
        <v>0</v>
      </c>
      <c r="O146" s="130">
        <v>0</v>
      </c>
      <c r="P146" s="130">
        <v>0</v>
      </c>
      <c r="Q146" s="138">
        <v>0</v>
      </c>
      <c r="R146" s="136">
        <f>IF(ROUND(-([6]Input!$H$150*(1+[6]Input!$H$258)^0.5*'[6]Actual RAB roll forward'!$H$7)-(R143+Input_RAB_ACS!R103),1)=0,0,1)</f>
        <v>0</v>
      </c>
      <c r="S146" s="137">
        <f>IF(ROUND(-('[2]RFM input'!H$105*(1+'[2]RFM input'!H$188)^0.5*'[2]RAB roll forward'!H$7)-S143-Input_RAB_ACS!S103,1)=0,0,1)</f>
        <v>0</v>
      </c>
      <c r="T146" s="130">
        <f>IF(ROUND(-('[2]RFM input'!I$105*(1+'[2]RFM input'!I$188)^0.5*'[2]RAB roll forward'!I$7)-T143-Input_RAB_ACS!T103,1)=0,0,1)</f>
        <v>0</v>
      </c>
      <c r="U146" s="130">
        <f>IF(ROUND(-('[2]RFM input'!J$105*(1+'[2]RFM input'!J$188)^0.5*'[2]RAB roll forward'!J$7)-U143-Input_RAB_ACS!U103,1)=0,0,1)</f>
        <v>0</v>
      </c>
      <c r="V146" s="130">
        <f>IF(ROUND(-('[2]RFM input'!K$105*(1+'[2]RFM input'!K$188)^0.5*'[2]RAB roll forward'!K$7)-V143-Input_RAB_ACS!V103,1)=0,0,1)</f>
        <v>0</v>
      </c>
      <c r="W146" s="138">
        <f>IF(ROUND(-('[2]RFM input'!L$105*(1+'[2]RFM input'!L$188)^0.5*'[2]RAB roll forward'!L$7)-W143-Input_RAB_ACS!W103,1)=0,0,1)</f>
        <v>0</v>
      </c>
      <c r="X146" s="137">
        <f>IF(ROUND(-('[5]PTRM input'!G$105*((1+[5]WACC!G$19)^0.5)*[5]Assets!G$7)-X143,2)=0,0,1)</f>
        <v>0</v>
      </c>
      <c r="Y146" s="130">
        <f>IF(ROUND(-('[5]PTRM input'!H$105*((1+[5]WACC!H$19)^0.5)*[5]Assets!H$7)-Y143,2)=0,0,1)</f>
        <v>0</v>
      </c>
      <c r="Z146" s="130">
        <f>IF(ROUND(-('[5]PTRM input'!I$105*((1+[5]WACC!I$19)^0.5)*[5]Assets!I$7)-Z143,2)=0,0,1)</f>
        <v>0</v>
      </c>
      <c r="AA146" s="130">
        <f>IF(ROUND(-('[5]PTRM input'!J$105*((1+[5]WACC!J$19)^0.5)*[5]Assets!J$7)-AA143,2)=0,0,1)</f>
        <v>0</v>
      </c>
      <c r="AB146" s="138">
        <f>IF(ROUND(-('[5]PTRM input'!K$105*((1+[5]WACC!K$19)^0.5)*[5]Assets!K$7)-AB143,2)=0,0,1)</f>
        <v>0</v>
      </c>
    </row>
    <row r="148" spans="1:28" s="109" customFormat="1" ht="14.1" x14ac:dyDescent="0.35">
      <c r="C148" s="109" t="s">
        <v>176</v>
      </c>
      <c r="H148" s="13"/>
    </row>
    <row r="149" spans="1:28" s="108" customFormat="1" ht="11.25" customHeight="1" x14ac:dyDescent="0.35">
      <c r="H149" s="6"/>
    </row>
    <row r="150" spans="1:28" ht="12.3" x14ac:dyDescent="0.35">
      <c r="D150" s="110" t="str">
        <f>D$16</f>
        <v>RAB Asset Class</v>
      </c>
      <c r="E150" s="111" t="str">
        <f>Lookup!E$20</f>
        <v>Source</v>
      </c>
      <c r="F150" s="111" t="str">
        <f>Lookup!F$20</f>
        <v>Unit</v>
      </c>
      <c r="G150" s="111" t="str">
        <f>Lookup!G$20</f>
        <v>Basis</v>
      </c>
      <c r="H150" s="45" t="str">
        <f>Lookup!H$20</f>
        <v>Timing</v>
      </c>
      <c r="J150" s="112" t="str">
        <f>J$10</f>
        <v>RY06</v>
      </c>
      <c r="K150" s="111" t="str">
        <f t="shared" ref="K150:AB150" si="118">K$10</f>
        <v>RY07</v>
      </c>
      <c r="L150" s="111" t="str">
        <f t="shared" si="118"/>
        <v>RY08</v>
      </c>
      <c r="M150" s="111" t="str">
        <f t="shared" si="118"/>
        <v>RY09</v>
      </c>
      <c r="N150" s="112" t="str">
        <f t="shared" si="118"/>
        <v>RY10</v>
      </c>
      <c r="O150" s="111" t="str">
        <f>O$10</f>
        <v>RY11</v>
      </c>
      <c r="P150" s="111" t="str">
        <f t="shared" si="118"/>
        <v>RY12</v>
      </c>
      <c r="Q150" s="113" t="str">
        <f t="shared" si="118"/>
        <v>RY13</v>
      </c>
      <c r="R150" s="112" t="str">
        <f t="shared" si="118"/>
        <v>RY14</v>
      </c>
      <c r="S150" s="111" t="str">
        <f t="shared" si="118"/>
        <v>RY15</v>
      </c>
      <c r="T150" s="111" t="str">
        <f>T$10</f>
        <v>RY16</v>
      </c>
      <c r="U150" s="111" t="str">
        <f t="shared" si="118"/>
        <v>RY17</v>
      </c>
      <c r="V150" s="111" t="str">
        <f t="shared" si="118"/>
        <v>RY18</v>
      </c>
      <c r="W150" s="113" t="str">
        <f t="shared" si="118"/>
        <v>RY19</v>
      </c>
      <c r="X150" s="112" t="str">
        <f t="shared" si="118"/>
        <v>RY20</v>
      </c>
      <c r="Y150" s="111" t="str">
        <f>Y$10</f>
        <v>RY21</v>
      </c>
      <c r="Z150" s="111" t="str">
        <f t="shared" si="118"/>
        <v>RY22</v>
      </c>
      <c r="AA150" s="111" t="str">
        <f t="shared" si="118"/>
        <v>RY23</v>
      </c>
      <c r="AB150" s="113" t="str">
        <f t="shared" si="118"/>
        <v>RY24</v>
      </c>
    </row>
    <row r="151" spans="1:28" x14ac:dyDescent="0.35">
      <c r="J151" s="114"/>
      <c r="K151" s="115"/>
      <c r="L151" s="115"/>
      <c r="M151" s="115"/>
      <c r="N151" s="114"/>
      <c r="O151" s="115"/>
      <c r="P151" s="115"/>
      <c r="Q151" s="117"/>
      <c r="R151" s="114"/>
      <c r="S151" s="115"/>
      <c r="T151" s="115"/>
      <c r="U151" s="115"/>
      <c r="V151" s="115"/>
      <c r="W151" s="117"/>
      <c r="X151" s="114"/>
      <c r="Y151" s="115"/>
      <c r="Z151" s="115"/>
      <c r="AA151" s="115"/>
      <c r="AB151" s="117"/>
    </row>
    <row r="152" spans="1:28" ht="12.3" x14ac:dyDescent="0.35">
      <c r="D152" s="101" t="str">
        <f t="shared" ref="D152:D165" si="119">D18</f>
        <v>Substations</v>
      </c>
      <c r="E152" s="119" t="s">
        <v>111</v>
      </c>
      <c r="F152" s="119" t="str">
        <f t="shared" ref="F152:F168" si="120">Dollars</f>
        <v>Dollars</v>
      </c>
      <c r="G152" s="119" t="str">
        <f t="shared" ref="G152:G168" si="121">Nominal</f>
        <v>Nominal</v>
      </c>
      <c r="H152" s="52" t="str">
        <f t="shared" ref="H152:H168" si="122">End_year</f>
        <v>End_year</v>
      </c>
      <c r="J152" s="122">
        <f>J18+J44+J71+J98+J125</f>
        <v>27.145326835638013</v>
      </c>
      <c r="K152" s="121">
        <f t="shared" ref="K152:AB152" si="123">K18+K44+K71+K98+K125</f>
        <v>28.789945965760523</v>
      </c>
      <c r="L152" s="121">
        <f t="shared" si="123"/>
        <v>47.542941186549477</v>
      </c>
      <c r="M152" s="121">
        <f t="shared" si="123"/>
        <v>78.157850057945751</v>
      </c>
      <c r="N152" s="122">
        <f t="shared" si="123"/>
        <v>110.70259983057763</v>
      </c>
      <c r="O152" s="121">
        <f t="shared" si="123"/>
        <v>156.85011317918401</v>
      </c>
      <c r="P152" s="121">
        <f t="shared" si="123"/>
        <v>197.46856323640628</v>
      </c>
      <c r="Q152" s="123">
        <f t="shared" si="123"/>
        <v>247.15838494764884</v>
      </c>
      <c r="R152" s="122">
        <f t="shared" si="123"/>
        <v>297.81718190620074</v>
      </c>
      <c r="S152" s="121">
        <f t="shared" si="123"/>
        <v>310.04735122802418</v>
      </c>
      <c r="T152" s="121">
        <f t="shared" si="123"/>
        <v>316.35383047585208</v>
      </c>
      <c r="U152" s="121">
        <f t="shared" si="123"/>
        <v>313.17388316351281</v>
      </c>
      <c r="V152" s="121">
        <f t="shared" si="123"/>
        <v>303.65088737748272</v>
      </c>
      <c r="W152" s="123">
        <f t="shared" si="123"/>
        <v>298.23814318382938</v>
      </c>
      <c r="X152" s="122">
        <f t="shared" si="123"/>
        <v>271.74889501183947</v>
      </c>
      <c r="Y152" s="121">
        <f t="shared" si="123"/>
        <v>273.52264493040605</v>
      </c>
      <c r="Z152" s="121">
        <f t="shared" si="123"/>
        <v>279.82629165438993</v>
      </c>
      <c r="AA152" s="121">
        <f t="shared" si="123"/>
        <v>286.18454116556819</v>
      </c>
      <c r="AB152" s="123">
        <f t="shared" si="123"/>
        <v>285.75899188246058</v>
      </c>
    </row>
    <row r="153" spans="1:28" ht="12.3" x14ac:dyDescent="0.35">
      <c r="D153" s="101" t="str">
        <f t="shared" si="119"/>
        <v>Distribution Lines</v>
      </c>
      <c r="E153" s="119" t="s">
        <v>111</v>
      </c>
      <c r="F153" s="119" t="str">
        <f t="shared" si="120"/>
        <v>Dollars</v>
      </c>
      <c r="G153" s="119" t="str">
        <f t="shared" si="121"/>
        <v>Nominal</v>
      </c>
      <c r="H153" s="52" t="str">
        <f t="shared" si="122"/>
        <v>End_year</v>
      </c>
      <c r="J153" s="122">
        <f t="shared" ref="J153:AB153" si="124">J19+J45+J72+J99+J126</f>
        <v>121.2585418654587</v>
      </c>
      <c r="K153" s="121">
        <f t="shared" si="124"/>
        <v>131.47959872632609</v>
      </c>
      <c r="L153" s="121">
        <f t="shared" si="124"/>
        <v>145.17808872874969</v>
      </c>
      <c r="M153" s="121">
        <f t="shared" si="124"/>
        <v>155.46003000642577</v>
      </c>
      <c r="N153" s="122">
        <f t="shared" si="124"/>
        <v>166.39768164550682</v>
      </c>
      <c r="O153" s="121">
        <f t="shared" si="124"/>
        <v>178.03361573547957</v>
      </c>
      <c r="P153" s="121">
        <f t="shared" si="124"/>
        <v>188.81561890775592</v>
      </c>
      <c r="Q153" s="123">
        <f t="shared" si="124"/>
        <v>211.58708026101556</v>
      </c>
      <c r="R153" s="122">
        <f t="shared" si="124"/>
        <v>226.62198523555949</v>
      </c>
      <c r="S153" s="121">
        <f t="shared" si="124"/>
        <v>234.87411965886551</v>
      </c>
      <c r="T153" s="121">
        <f t="shared" si="124"/>
        <v>238.09973722349167</v>
      </c>
      <c r="U153" s="121">
        <f t="shared" si="124"/>
        <v>242.46565905032085</v>
      </c>
      <c r="V153" s="121">
        <f t="shared" si="124"/>
        <v>243.8529102817588</v>
      </c>
      <c r="W153" s="123">
        <f t="shared" si="124"/>
        <v>248.03724814625275</v>
      </c>
      <c r="X153" s="122">
        <f t="shared" si="124"/>
        <v>260.16144272780991</v>
      </c>
      <c r="Y153" s="121">
        <f t="shared" si="124"/>
        <v>280.5428798733256</v>
      </c>
      <c r="Z153" s="121">
        <f t="shared" si="124"/>
        <v>295.38214826314004</v>
      </c>
      <c r="AA153" s="121">
        <f t="shared" si="124"/>
        <v>308.30221633033659</v>
      </c>
      <c r="AB153" s="123">
        <f t="shared" si="124"/>
        <v>323.40430301243265</v>
      </c>
    </row>
    <row r="154" spans="1:28" ht="12.3" x14ac:dyDescent="0.35">
      <c r="D154" s="101" t="str">
        <f t="shared" si="119"/>
        <v>Transmission Lines</v>
      </c>
      <c r="E154" s="119" t="s">
        <v>111</v>
      </c>
      <c r="F154" s="119" t="str">
        <f t="shared" si="120"/>
        <v>Dollars</v>
      </c>
      <c r="G154" s="119" t="str">
        <f t="shared" si="121"/>
        <v>Nominal</v>
      </c>
      <c r="H154" s="52" t="str">
        <f t="shared" si="122"/>
        <v>End_year</v>
      </c>
      <c r="J154" s="122">
        <f t="shared" ref="J154:AB154" si="125">J20+J46+J73+J100+J127</f>
        <v>106.13760142143478</v>
      </c>
      <c r="K154" s="121">
        <f t="shared" si="125"/>
        <v>113.44814996851447</v>
      </c>
      <c r="L154" s="121">
        <f t="shared" si="125"/>
        <v>115.37610379075579</v>
      </c>
      <c r="M154" s="121">
        <f t="shared" si="125"/>
        <v>114.39247831145167</v>
      </c>
      <c r="N154" s="122">
        <f t="shared" si="125"/>
        <v>130.51722905939732</v>
      </c>
      <c r="O154" s="121">
        <f t="shared" si="125"/>
        <v>146.36905449477163</v>
      </c>
      <c r="P154" s="121">
        <f t="shared" si="125"/>
        <v>152.96368047708927</v>
      </c>
      <c r="Q154" s="123">
        <f t="shared" si="125"/>
        <v>167.02589930043948</v>
      </c>
      <c r="R154" s="122">
        <f t="shared" si="125"/>
        <v>169.08021074388435</v>
      </c>
      <c r="S154" s="121">
        <f t="shared" si="125"/>
        <v>169.00938493811498</v>
      </c>
      <c r="T154" s="121">
        <f t="shared" si="125"/>
        <v>171.24815118737087</v>
      </c>
      <c r="U154" s="121">
        <f t="shared" si="125"/>
        <v>174.63818986801323</v>
      </c>
      <c r="V154" s="121">
        <f t="shared" si="125"/>
        <v>181.05596639188562</v>
      </c>
      <c r="W154" s="123">
        <f t="shared" si="125"/>
        <v>178.99171129377504</v>
      </c>
      <c r="X154" s="122">
        <f t="shared" si="125"/>
        <v>181.41832683720614</v>
      </c>
      <c r="Y154" s="121">
        <f t="shared" si="125"/>
        <v>182.07937593696875</v>
      </c>
      <c r="Z154" s="121">
        <f t="shared" si="125"/>
        <v>182.52864385137025</v>
      </c>
      <c r="AA154" s="121">
        <f t="shared" si="125"/>
        <v>183.07405059001402</v>
      </c>
      <c r="AB154" s="123">
        <f t="shared" si="125"/>
        <v>183.52464283762123</v>
      </c>
    </row>
    <row r="155" spans="1:28" ht="12.3" x14ac:dyDescent="0.35">
      <c r="D155" s="101" t="str">
        <f t="shared" si="119"/>
        <v>LV Services</v>
      </c>
      <c r="E155" s="119" t="s">
        <v>111</v>
      </c>
      <c r="F155" s="119" t="str">
        <f t="shared" si="120"/>
        <v>Dollars</v>
      </c>
      <c r="G155" s="119" t="str">
        <f t="shared" si="121"/>
        <v>Nominal</v>
      </c>
      <c r="H155" s="52" t="str">
        <f t="shared" si="122"/>
        <v>End_year</v>
      </c>
      <c r="J155" s="122">
        <f t="shared" ref="J155:AB155" si="126">J21+J47+J74+J101+J128</f>
        <v>0.15756362070364763</v>
      </c>
      <c r="K155" s="121">
        <f t="shared" si="126"/>
        <v>0.16147940299332406</v>
      </c>
      <c r="L155" s="121">
        <f t="shared" si="126"/>
        <v>0.16837863845608733</v>
      </c>
      <c r="M155" s="121">
        <f t="shared" si="126"/>
        <v>0.1724808865690817</v>
      </c>
      <c r="N155" s="122">
        <f t="shared" si="126"/>
        <v>0.1775154637986657</v>
      </c>
      <c r="O155" s="121">
        <f t="shared" si="126"/>
        <v>0.1832959043215214</v>
      </c>
      <c r="P155" s="121">
        <f t="shared" si="126"/>
        <v>0.18627935749460825</v>
      </c>
      <c r="Q155" s="123">
        <f t="shared" si="126"/>
        <v>0.1909410030775564</v>
      </c>
      <c r="R155" s="122">
        <f t="shared" si="126"/>
        <v>0.19939876662384715</v>
      </c>
      <c r="S155" s="121">
        <f t="shared" si="126"/>
        <v>2.04153733549186</v>
      </c>
      <c r="T155" s="121">
        <f t="shared" si="126"/>
        <v>3.9418080798457527</v>
      </c>
      <c r="U155" s="121">
        <f t="shared" si="126"/>
        <v>5.7400958053236257</v>
      </c>
      <c r="V155" s="121">
        <f t="shared" si="126"/>
        <v>5.8946491130406997</v>
      </c>
      <c r="W155" s="123">
        <f t="shared" si="126"/>
        <v>6.0931733346957957</v>
      </c>
      <c r="X155" s="122">
        <f t="shared" si="126"/>
        <v>7.8506325488170825</v>
      </c>
      <c r="Y155" s="121">
        <f t="shared" si="126"/>
        <v>8.1527755491161642</v>
      </c>
      <c r="Z155" s="121">
        <f t="shared" si="126"/>
        <v>8.393910999180644</v>
      </c>
      <c r="AA155" s="121">
        <f t="shared" si="126"/>
        <v>8.5846361401763502</v>
      </c>
      <c r="AB155" s="123">
        <f t="shared" si="126"/>
        <v>8.8026763317206509</v>
      </c>
    </row>
    <row r="156" spans="1:28" ht="12.3" x14ac:dyDescent="0.35">
      <c r="D156" s="101" t="str">
        <f t="shared" si="119"/>
        <v>Distribution Substations</v>
      </c>
      <c r="E156" s="119" t="s">
        <v>111</v>
      </c>
      <c r="F156" s="119" t="str">
        <f t="shared" si="120"/>
        <v>Dollars</v>
      </c>
      <c r="G156" s="119" t="str">
        <f t="shared" si="121"/>
        <v>Nominal</v>
      </c>
      <c r="H156" s="52" t="str">
        <f t="shared" si="122"/>
        <v>End_year</v>
      </c>
      <c r="J156" s="122">
        <f t="shared" ref="J156:AB156" si="127">J22+J48+J75+J102+J129</f>
        <v>46.553880075834783</v>
      </c>
      <c r="K156" s="121">
        <f t="shared" si="127"/>
        <v>44.863190216310961</v>
      </c>
      <c r="L156" s="121">
        <f t="shared" si="127"/>
        <v>50.316318068944682</v>
      </c>
      <c r="M156" s="121">
        <f t="shared" si="127"/>
        <v>53.456910059461528</v>
      </c>
      <c r="N156" s="122">
        <f t="shared" si="127"/>
        <v>64.865067140818738</v>
      </c>
      <c r="O156" s="121">
        <f t="shared" si="127"/>
        <v>75.672242965949067</v>
      </c>
      <c r="P156" s="121">
        <f t="shared" si="127"/>
        <v>77.82365462948556</v>
      </c>
      <c r="Q156" s="123">
        <f t="shared" si="127"/>
        <v>80.297330765413648</v>
      </c>
      <c r="R156" s="122">
        <f t="shared" si="127"/>
        <v>82.765066852139796</v>
      </c>
      <c r="S156" s="121">
        <f t="shared" si="127"/>
        <v>88.662173739427232</v>
      </c>
      <c r="T156" s="121">
        <f t="shared" si="127"/>
        <v>91.847111581050314</v>
      </c>
      <c r="U156" s="121">
        <f t="shared" si="127"/>
        <v>93.338143739600696</v>
      </c>
      <c r="V156" s="121">
        <f t="shared" si="127"/>
        <v>93.434557101102598</v>
      </c>
      <c r="W156" s="123">
        <f t="shared" si="127"/>
        <v>95.31110737505125</v>
      </c>
      <c r="X156" s="122">
        <f t="shared" si="127"/>
        <v>101.02489676368357</v>
      </c>
      <c r="Y156" s="121">
        <f t="shared" si="127"/>
        <v>102.96032058187403</v>
      </c>
      <c r="Z156" s="121">
        <f t="shared" si="127"/>
        <v>104.88561327486646</v>
      </c>
      <c r="AA156" s="121">
        <f t="shared" si="127"/>
        <v>107.57910438614597</v>
      </c>
      <c r="AB156" s="123">
        <f t="shared" si="127"/>
        <v>110.54123389432979</v>
      </c>
    </row>
    <row r="157" spans="1:28" ht="12.3" x14ac:dyDescent="0.35">
      <c r="D157" s="101" t="str">
        <f t="shared" si="119"/>
        <v>Distribution Switchgear</v>
      </c>
      <c r="E157" s="119" t="s">
        <v>111</v>
      </c>
      <c r="F157" s="119" t="str">
        <f t="shared" si="120"/>
        <v>Dollars</v>
      </c>
      <c r="G157" s="119" t="str">
        <f t="shared" si="121"/>
        <v>Nominal</v>
      </c>
      <c r="H157" s="52" t="str">
        <f t="shared" si="122"/>
        <v>End_year</v>
      </c>
      <c r="J157" s="122">
        <f t="shared" ref="J157:AB157" si="128">J23+J49+J76+J103+J130</f>
        <v>7.0874380294832173</v>
      </c>
      <c r="K157" s="121">
        <f t="shared" si="128"/>
        <v>7.2635755426419708</v>
      </c>
      <c r="L157" s="121">
        <f t="shared" si="128"/>
        <v>7.9327584388611081</v>
      </c>
      <c r="M157" s="121">
        <f t="shared" si="128"/>
        <v>13.057188603480252</v>
      </c>
      <c r="N157" s="122">
        <f t="shared" si="128"/>
        <v>13.438317351906161</v>
      </c>
      <c r="O157" s="121">
        <f t="shared" si="128"/>
        <v>13.875909618617388</v>
      </c>
      <c r="P157" s="121">
        <f t="shared" si="128"/>
        <v>14.10176369175867</v>
      </c>
      <c r="Q157" s="123">
        <f t="shared" si="128"/>
        <v>14.45466068104192</v>
      </c>
      <c r="R157" s="122">
        <f t="shared" si="128"/>
        <v>15.108502064534624</v>
      </c>
      <c r="S157" s="121">
        <f t="shared" si="128"/>
        <v>19.752877365264066</v>
      </c>
      <c r="T157" s="121">
        <f t="shared" si="128"/>
        <v>25.288673785033275</v>
      </c>
      <c r="U157" s="121">
        <f t="shared" si="128"/>
        <v>30.441514770211619</v>
      </c>
      <c r="V157" s="121">
        <f t="shared" si="128"/>
        <v>35.106734757413861</v>
      </c>
      <c r="W157" s="123">
        <f t="shared" si="128"/>
        <v>38.86052330176237</v>
      </c>
      <c r="X157" s="122">
        <f t="shared" si="128"/>
        <v>48.34857419586902</v>
      </c>
      <c r="Y157" s="121">
        <f t="shared" si="128"/>
        <v>53.299817795055695</v>
      </c>
      <c r="Z157" s="121">
        <f t="shared" si="128"/>
        <v>58.021779499237013</v>
      </c>
      <c r="AA157" s="121">
        <f t="shared" si="128"/>
        <v>63.350673510379963</v>
      </c>
      <c r="AB157" s="123">
        <f t="shared" si="128"/>
        <v>69.031765156024434</v>
      </c>
    </row>
    <row r="158" spans="1:28" ht="12.3" x14ac:dyDescent="0.35">
      <c r="D158" s="101" t="str">
        <f t="shared" si="119"/>
        <v>Protection</v>
      </c>
      <c r="E158" s="119" t="s">
        <v>111</v>
      </c>
      <c r="F158" s="119" t="str">
        <f t="shared" si="120"/>
        <v>Dollars</v>
      </c>
      <c r="G158" s="119" t="str">
        <f t="shared" si="121"/>
        <v>Nominal</v>
      </c>
      <c r="H158" s="52" t="str">
        <f t="shared" si="122"/>
        <v>End_year</v>
      </c>
      <c r="J158" s="122">
        <f t="shared" ref="J158:AB158" si="129">J24+J50+J77+J104+J131</f>
        <v>1.7538363440560882</v>
      </c>
      <c r="K158" s="121">
        <f t="shared" si="129"/>
        <v>1.797422809411328</v>
      </c>
      <c r="L158" s="121">
        <f t="shared" si="129"/>
        <v>1.8742180102753225</v>
      </c>
      <c r="M158" s="121">
        <f t="shared" si="129"/>
        <v>1.9198800215998597</v>
      </c>
      <c r="N158" s="122">
        <f t="shared" si="129"/>
        <v>3.2186359938067923</v>
      </c>
      <c r="O158" s="121">
        <f t="shared" si="129"/>
        <v>4.1717675504927412</v>
      </c>
      <c r="P158" s="121">
        <f t="shared" si="129"/>
        <v>5.1516017133570458</v>
      </c>
      <c r="Q158" s="123">
        <f t="shared" si="129"/>
        <v>8.3903020321881421</v>
      </c>
      <c r="R158" s="122">
        <f t="shared" si="129"/>
        <v>9.6502261835778302</v>
      </c>
      <c r="S158" s="121">
        <f t="shared" si="129"/>
        <v>14.811037038025589</v>
      </c>
      <c r="T158" s="121">
        <f t="shared" si="129"/>
        <v>19.107025507893773</v>
      </c>
      <c r="U158" s="121">
        <f t="shared" si="129"/>
        <v>21.769855654442626</v>
      </c>
      <c r="V158" s="121">
        <f t="shared" si="129"/>
        <v>22.50409349187488</v>
      </c>
      <c r="W158" s="123">
        <f t="shared" si="129"/>
        <v>24.799358341185211</v>
      </c>
      <c r="X158" s="122">
        <f t="shared" si="129"/>
        <v>35.792860357060931</v>
      </c>
      <c r="Y158" s="121">
        <f t="shared" si="129"/>
        <v>38.903977471155997</v>
      </c>
      <c r="Z158" s="121">
        <f t="shared" si="129"/>
        <v>40.252836715271322</v>
      </c>
      <c r="AA158" s="121">
        <f t="shared" si="129"/>
        <v>41.656435673611028</v>
      </c>
      <c r="AB158" s="123">
        <f t="shared" si="129"/>
        <v>42.449989440911658</v>
      </c>
    </row>
    <row r="159" spans="1:28" ht="12.3" x14ac:dyDescent="0.35">
      <c r="D159" s="101" t="str">
        <f t="shared" si="119"/>
        <v>SCADA</v>
      </c>
      <c r="E159" s="119" t="s">
        <v>111</v>
      </c>
      <c r="F159" s="119" t="str">
        <f t="shared" si="120"/>
        <v>Dollars</v>
      </c>
      <c r="G159" s="119" t="str">
        <f t="shared" si="121"/>
        <v>Nominal</v>
      </c>
      <c r="H159" s="52" t="str">
        <f t="shared" si="122"/>
        <v>End_year</v>
      </c>
      <c r="J159" s="122">
        <f t="shared" ref="J159:AB159" si="130">J25+J51+J78+J105+J132</f>
        <v>0.1106811760912081</v>
      </c>
      <c r="K159" s="121">
        <f t="shared" si="130"/>
        <v>0</v>
      </c>
      <c r="L159" s="121">
        <f t="shared" si="130"/>
        <v>2.4515833721207874</v>
      </c>
      <c r="M159" s="121">
        <f t="shared" si="130"/>
        <v>1.9205108033528893</v>
      </c>
      <c r="N159" s="122">
        <f t="shared" si="130"/>
        <v>1.9765689565318383</v>
      </c>
      <c r="O159" s="121">
        <f t="shared" si="130"/>
        <v>2.0409320212928539</v>
      </c>
      <c r="P159" s="121">
        <f t="shared" si="130"/>
        <v>2.0741516676211202</v>
      </c>
      <c r="Q159" s="123">
        <f t="shared" si="130"/>
        <v>2.1260573650090362</v>
      </c>
      <c r="R159" s="122">
        <f t="shared" si="130"/>
        <v>1.4640594788423973</v>
      </c>
      <c r="S159" s="121">
        <f t="shared" si="130"/>
        <v>2.9852461490300075</v>
      </c>
      <c r="T159" s="121">
        <f t="shared" si="130"/>
        <v>3.2501274436275143</v>
      </c>
      <c r="U159" s="121">
        <f t="shared" si="130"/>
        <v>3.8257123433304967</v>
      </c>
      <c r="V159" s="121">
        <f t="shared" si="130"/>
        <v>4.2828678057780003</v>
      </c>
      <c r="W159" s="123">
        <f t="shared" si="130"/>
        <v>5.4648788524614469</v>
      </c>
      <c r="X159" s="122">
        <f t="shared" si="130"/>
        <v>9.4550611257701309</v>
      </c>
      <c r="Y159" s="121">
        <f t="shared" si="130"/>
        <v>9.6042520000721527</v>
      </c>
      <c r="Z159" s="121">
        <f t="shared" si="130"/>
        <v>9.4938480139789334</v>
      </c>
      <c r="AA159" s="121">
        <f t="shared" si="130"/>
        <v>9.7456022070275541</v>
      </c>
      <c r="AB159" s="123">
        <f t="shared" si="130"/>
        <v>9.7064180003590899</v>
      </c>
    </row>
    <row r="160" spans="1:28" ht="12.3" x14ac:dyDescent="0.35">
      <c r="D160" s="101" t="str">
        <f t="shared" si="119"/>
        <v>Communications</v>
      </c>
      <c r="E160" s="119" t="s">
        <v>111</v>
      </c>
      <c r="F160" s="119" t="str">
        <f t="shared" si="120"/>
        <v>Dollars</v>
      </c>
      <c r="G160" s="119" t="str">
        <f t="shared" si="121"/>
        <v>Nominal</v>
      </c>
      <c r="H160" s="52" t="str">
        <f t="shared" si="122"/>
        <v>End_year</v>
      </c>
      <c r="J160" s="122">
        <f t="shared" ref="J160:AB160" si="131">J26+J52+J79+J106+J133</f>
        <v>20.247703799177007</v>
      </c>
      <c r="K160" s="121">
        <f t="shared" si="131"/>
        <v>21.345706820760164</v>
      </c>
      <c r="L160" s="121">
        <f t="shared" si="131"/>
        <v>21.6977766750413</v>
      </c>
      <c r="M160" s="121">
        <f t="shared" si="131"/>
        <v>23.488991579219736</v>
      </c>
      <c r="N160" s="122">
        <f t="shared" si="131"/>
        <v>18.359645441125384</v>
      </c>
      <c r="O160" s="121">
        <f t="shared" si="131"/>
        <v>12.884905335816706</v>
      </c>
      <c r="P160" s="121">
        <f t="shared" si="131"/>
        <v>6.8054745027587877</v>
      </c>
      <c r="Q160" s="123">
        <f t="shared" si="131"/>
        <v>7.2356595534338553</v>
      </c>
      <c r="R160" s="122">
        <f t="shared" si="131"/>
        <v>6.0561408822847227</v>
      </c>
      <c r="S160" s="121">
        <f t="shared" si="131"/>
        <v>6.464181611686433</v>
      </c>
      <c r="T160" s="121">
        <f t="shared" si="131"/>
        <v>5.4923569665291234</v>
      </c>
      <c r="U160" s="121">
        <f t="shared" si="131"/>
        <v>6.1697443120380369</v>
      </c>
      <c r="V160" s="121">
        <f t="shared" si="131"/>
        <v>11.212991107576503</v>
      </c>
      <c r="W160" s="123">
        <f t="shared" si="131"/>
        <v>12.889115782201882</v>
      </c>
      <c r="X160" s="122">
        <f t="shared" si="131"/>
        <v>15.556632094611242</v>
      </c>
      <c r="Y160" s="121">
        <f t="shared" si="131"/>
        <v>16.800833390528286</v>
      </c>
      <c r="Z160" s="121">
        <f t="shared" si="131"/>
        <v>18.809278135350731</v>
      </c>
      <c r="AA160" s="121">
        <f t="shared" si="131"/>
        <v>20.366630084721326</v>
      </c>
      <c r="AB160" s="123">
        <f t="shared" si="131"/>
        <v>21.238263315894493</v>
      </c>
    </row>
    <row r="161" spans="1:28" ht="12.3" x14ac:dyDescent="0.35">
      <c r="D161" s="101" t="str">
        <f t="shared" si="119"/>
        <v>Land and Easements</v>
      </c>
      <c r="E161" s="119" t="s">
        <v>111</v>
      </c>
      <c r="F161" s="119" t="str">
        <f t="shared" si="120"/>
        <v>Dollars</v>
      </c>
      <c r="G161" s="119" t="str">
        <f t="shared" si="121"/>
        <v>Nominal</v>
      </c>
      <c r="H161" s="52" t="str">
        <f t="shared" si="122"/>
        <v>End_year</v>
      </c>
      <c r="J161" s="122">
        <f t="shared" ref="J161:AB161" si="132">J27+J53+J80+J107+J134</f>
        <v>29.444843897374323</v>
      </c>
      <c r="K161" s="121">
        <f t="shared" si="132"/>
        <v>30.922463155114897</v>
      </c>
      <c r="L161" s="121">
        <f t="shared" si="132"/>
        <v>32.243630749502024</v>
      </c>
      <c r="M161" s="121">
        <f t="shared" si="132"/>
        <v>33.029189859678155</v>
      </c>
      <c r="N161" s="122">
        <f t="shared" si="132"/>
        <v>33.993285131257949</v>
      </c>
      <c r="O161" s="121">
        <f t="shared" si="132"/>
        <v>35.10020933196067</v>
      </c>
      <c r="P161" s="121">
        <f t="shared" si="132"/>
        <v>35.671525048452402</v>
      </c>
      <c r="Q161" s="123">
        <f t="shared" si="132"/>
        <v>33.024999999999999</v>
      </c>
      <c r="R161" s="122">
        <f t="shared" si="132"/>
        <v>34.47125290902666</v>
      </c>
      <c r="S161" s="121">
        <f t="shared" si="132"/>
        <v>34.929125338558322</v>
      </c>
      <c r="T161" s="121">
        <f t="shared" si="132"/>
        <v>35.386997768089991</v>
      </c>
      <c r="U161" s="121">
        <f t="shared" si="132"/>
        <v>36.128882714951189</v>
      </c>
      <c r="V161" s="121">
        <f t="shared" si="132"/>
        <v>37.004962835958267</v>
      </c>
      <c r="W161" s="123">
        <f t="shared" si="132"/>
        <v>47.356059964048079</v>
      </c>
      <c r="X161" s="122">
        <f t="shared" si="132"/>
        <v>47.478966373746196</v>
      </c>
      <c r="Y161" s="121">
        <f t="shared" si="132"/>
        <v>48.630271797004951</v>
      </c>
      <c r="Z161" s="121">
        <f t="shared" si="132"/>
        <v>49.809494933703185</v>
      </c>
      <c r="AA161" s="121">
        <f t="shared" si="132"/>
        <v>51.017312753399054</v>
      </c>
      <c r="AB161" s="123">
        <f t="shared" si="132"/>
        <v>52.254418641313983</v>
      </c>
    </row>
    <row r="162" spans="1:28" ht="12.3" x14ac:dyDescent="0.35">
      <c r="D162" s="101" t="str">
        <f t="shared" si="119"/>
        <v>Property</v>
      </c>
      <c r="E162" s="119" t="s">
        <v>111</v>
      </c>
      <c r="F162" s="119" t="str">
        <f t="shared" si="120"/>
        <v>Dollars</v>
      </c>
      <c r="G162" s="119" t="str">
        <f t="shared" si="121"/>
        <v>Nominal</v>
      </c>
      <c r="H162" s="52" t="str">
        <f t="shared" si="122"/>
        <v>End_year</v>
      </c>
      <c r="J162" s="122">
        <f t="shared" ref="J162:AB162" si="133">J28+J54+J81+J108+J135</f>
        <v>0</v>
      </c>
      <c r="K162" s="121">
        <f t="shared" si="133"/>
        <v>0</v>
      </c>
      <c r="L162" s="121">
        <f t="shared" si="133"/>
        <v>0.53702885927328614</v>
      </c>
      <c r="M162" s="121">
        <f t="shared" si="133"/>
        <v>0.81580004436070019</v>
      </c>
      <c r="N162" s="122">
        <f t="shared" si="133"/>
        <v>0.83961258619609358</v>
      </c>
      <c r="O162" s="121">
        <f t="shared" si="133"/>
        <v>0.86695291200710078</v>
      </c>
      <c r="P162" s="121">
        <f t="shared" si="133"/>
        <v>0.88106404790955628</v>
      </c>
      <c r="Q162" s="123">
        <f t="shared" si="133"/>
        <v>0.90311269775714276</v>
      </c>
      <c r="R162" s="122">
        <f t="shared" si="133"/>
        <v>1.1039263282242051</v>
      </c>
      <c r="S162" s="121">
        <f t="shared" si="133"/>
        <v>0.9320672553775825</v>
      </c>
      <c r="T162" s="121">
        <f t="shared" si="133"/>
        <v>0.75552593549132607</v>
      </c>
      <c r="U162" s="121">
        <f t="shared" si="133"/>
        <v>0.56013957998809161</v>
      </c>
      <c r="V162" s="121">
        <f t="shared" si="133"/>
        <v>0.35914667603444572</v>
      </c>
      <c r="W162" s="123">
        <f t="shared" si="133"/>
        <v>10.705050790396708</v>
      </c>
      <c r="X162" s="122">
        <f t="shared" si="133"/>
        <v>18.238715073331456</v>
      </c>
      <c r="Y162" s="121">
        <f t="shared" si="133"/>
        <v>17.845341580978435</v>
      </c>
      <c r="Z162" s="121">
        <f t="shared" si="133"/>
        <v>17.352851813820539</v>
      </c>
      <c r="AA162" s="121">
        <f t="shared" si="133"/>
        <v>16.657702120249979</v>
      </c>
      <c r="AB162" s="123">
        <f t="shared" si="133"/>
        <v>15.847832227801794</v>
      </c>
    </row>
    <row r="163" spans="1:28" ht="12.3" x14ac:dyDescent="0.35">
      <c r="D163" s="101" t="str">
        <f t="shared" si="119"/>
        <v>IT and Communications</v>
      </c>
      <c r="E163" s="119" t="s">
        <v>111</v>
      </c>
      <c r="F163" s="119" t="str">
        <f t="shared" si="120"/>
        <v>Dollars</v>
      </c>
      <c r="G163" s="119" t="str">
        <f t="shared" si="121"/>
        <v>Nominal</v>
      </c>
      <c r="H163" s="52" t="str">
        <f t="shared" si="122"/>
        <v>End_year</v>
      </c>
      <c r="J163" s="122">
        <f t="shared" ref="J163:AB163" si="134">J29+J55+J82+J109+J136</f>
        <v>0.58076591627221685</v>
      </c>
      <c r="K163" s="121">
        <f t="shared" si="134"/>
        <v>0.59519915206123042</v>
      </c>
      <c r="L163" s="121">
        <f t="shared" si="134"/>
        <v>0.62062913892758786</v>
      </c>
      <c r="M163" s="121">
        <f t="shared" si="134"/>
        <v>0.63574967165893548</v>
      </c>
      <c r="N163" s="122">
        <f t="shared" si="134"/>
        <v>0.654306689101953</v>
      </c>
      <c r="O163" s="121">
        <f t="shared" si="134"/>
        <v>0.67561289431430649</v>
      </c>
      <c r="P163" s="121">
        <f t="shared" si="134"/>
        <v>0.68660964539165037</v>
      </c>
      <c r="Q163" s="123">
        <f t="shared" si="134"/>
        <v>0.70379206895000002</v>
      </c>
      <c r="R163" s="122">
        <f t="shared" si="134"/>
        <v>0.63274905481995813</v>
      </c>
      <c r="S163" s="121">
        <f t="shared" si="134"/>
        <v>0.97299897474781272</v>
      </c>
      <c r="T163" s="121">
        <f t="shared" si="134"/>
        <v>1.6969518734413653</v>
      </c>
      <c r="U163" s="121">
        <f t="shared" si="134"/>
        <v>4.3149683990062879</v>
      </c>
      <c r="V163" s="121">
        <f t="shared" si="134"/>
        <v>8.7741730490967491</v>
      </c>
      <c r="W163" s="123">
        <f t="shared" si="134"/>
        <v>13.820658214153889</v>
      </c>
      <c r="X163" s="122">
        <f t="shared" si="134"/>
        <v>25.000738998015706</v>
      </c>
      <c r="Y163" s="121">
        <f t="shared" si="134"/>
        <v>35.059740484846159</v>
      </c>
      <c r="Z163" s="121">
        <f t="shared" si="134"/>
        <v>48.881118520751485</v>
      </c>
      <c r="AA163" s="121">
        <f t="shared" si="134"/>
        <v>52.386027378882595</v>
      </c>
      <c r="AB163" s="123">
        <f t="shared" si="134"/>
        <v>54.532072441958206</v>
      </c>
    </row>
    <row r="164" spans="1:28" ht="12.3" x14ac:dyDescent="0.35">
      <c r="D164" s="101" t="str">
        <f t="shared" si="119"/>
        <v>Motor Vehicles</v>
      </c>
      <c r="E164" s="119" t="s">
        <v>111</v>
      </c>
      <c r="F164" s="119" t="str">
        <f t="shared" si="120"/>
        <v>Dollars</v>
      </c>
      <c r="G164" s="119" t="str">
        <f t="shared" si="121"/>
        <v>Nominal</v>
      </c>
      <c r="H164" s="52" t="str">
        <f t="shared" si="122"/>
        <v>End_year</v>
      </c>
      <c r="J164" s="122">
        <f t="shared" ref="J164:AB164" si="135">J30+J56+J83+J110+J137</f>
        <v>3.6056529589843761E-2</v>
      </c>
      <c r="K164" s="121">
        <f t="shared" si="135"/>
        <v>3.6952609023437506E-2</v>
      </c>
      <c r="L164" s="121">
        <f t="shared" si="135"/>
        <v>3.8531415644531254E-2</v>
      </c>
      <c r="M164" s="121">
        <f t="shared" si="135"/>
        <v>3.9470165527343753E-2</v>
      </c>
      <c r="N164" s="122">
        <f t="shared" si="135"/>
        <v>4.0622267656250002E-2</v>
      </c>
      <c r="O164" s="121">
        <f t="shared" si="135"/>
        <v>4.1945051582031247E-2</v>
      </c>
      <c r="P164" s="121">
        <f t="shared" si="135"/>
        <v>4.2627778769531249E-2</v>
      </c>
      <c r="Q164" s="123">
        <f t="shared" si="135"/>
        <v>4.3694539999999997E-2</v>
      </c>
      <c r="R164" s="122">
        <f t="shared" si="135"/>
        <v>5.3410336523268272E-2</v>
      </c>
      <c r="S164" s="121">
        <f t="shared" si="135"/>
        <v>0.11854412273821796</v>
      </c>
      <c r="T164" s="121">
        <f t="shared" si="135"/>
        <v>0.11906284005719892</v>
      </c>
      <c r="U164" s="121">
        <f t="shared" si="135"/>
        <v>0.10468900852007203</v>
      </c>
      <c r="V164" s="121">
        <f t="shared" si="135"/>
        <v>9.684595611277938E-2</v>
      </c>
      <c r="W164" s="123">
        <f t="shared" si="135"/>
        <v>8.737124708590463E-2</v>
      </c>
      <c r="X164" s="122">
        <f t="shared" si="135"/>
        <v>0.28272681265523691</v>
      </c>
      <c r="Y164" s="121">
        <f t="shared" si="135"/>
        <v>0.25104447183633627</v>
      </c>
      <c r="Z164" s="121">
        <f t="shared" si="135"/>
        <v>0.21765937306113065</v>
      </c>
      <c r="AA164" s="121">
        <f t="shared" si="135"/>
        <v>0.18250756610789015</v>
      </c>
      <c r="AB164" s="123">
        <f t="shared" si="135"/>
        <v>0.14552300055403541</v>
      </c>
    </row>
    <row r="165" spans="1:28" ht="12.3" x14ac:dyDescent="0.35">
      <c r="D165" s="101" t="str">
        <f t="shared" si="119"/>
        <v>Plant and Equipment</v>
      </c>
      <c r="E165" s="119" t="s">
        <v>111</v>
      </c>
      <c r="F165" s="119" t="str">
        <f t="shared" si="120"/>
        <v>Dollars</v>
      </c>
      <c r="G165" s="119" t="str">
        <f t="shared" si="121"/>
        <v>Nominal</v>
      </c>
      <c r="H165" s="52" t="str">
        <f t="shared" si="122"/>
        <v>End_year</v>
      </c>
      <c r="J165" s="122">
        <f t="shared" ref="J165:AB165" si="136">J31+J57+J84+J111+J138</f>
        <v>0.78486056098329571</v>
      </c>
      <c r="K165" s="121">
        <f t="shared" si="136"/>
        <v>0.56349216897117804</v>
      </c>
      <c r="L165" s="121">
        <f t="shared" si="136"/>
        <v>0.25393041120266607</v>
      </c>
      <c r="M165" s="121">
        <f t="shared" si="136"/>
        <v>-1.7347234759768071E-17</v>
      </c>
      <c r="N165" s="122">
        <f t="shared" si="136"/>
        <v>0</v>
      </c>
      <c r="O165" s="121">
        <f t="shared" si="136"/>
        <v>0.27398178843669374</v>
      </c>
      <c r="P165" s="121">
        <f t="shared" si="136"/>
        <v>2.7754829172530551</v>
      </c>
      <c r="Q165" s="123">
        <f t="shared" si="136"/>
        <v>7.2053953999153562</v>
      </c>
      <c r="R165" s="122">
        <f t="shared" si="136"/>
        <v>8.1172821226019565</v>
      </c>
      <c r="S165" s="121">
        <f t="shared" si="136"/>
        <v>7.4220508880892089</v>
      </c>
      <c r="T165" s="121">
        <f t="shared" si="136"/>
        <v>5.9401022550155727</v>
      </c>
      <c r="U165" s="121">
        <f t="shared" si="136"/>
        <v>4.3784346055016856</v>
      </c>
      <c r="V165" s="121">
        <f t="shared" si="136"/>
        <v>3.0635351349286006</v>
      </c>
      <c r="W165" s="123">
        <f t="shared" si="136"/>
        <v>1.5808056658170271</v>
      </c>
      <c r="X165" s="122">
        <f t="shared" si="136"/>
        <v>1.651462668280232</v>
      </c>
      <c r="Y165" s="121">
        <f t="shared" si="136"/>
        <v>2.8762988539584056</v>
      </c>
      <c r="Z165" s="121">
        <f t="shared" si="136"/>
        <v>4.0210028130319504</v>
      </c>
      <c r="AA165" s="121">
        <f t="shared" si="136"/>
        <v>5.2243795102552442</v>
      </c>
      <c r="AB165" s="123">
        <f t="shared" si="136"/>
        <v>6.4328756986436222</v>
      </c>
    </row>
    <row r="166" spans="1:28" ht="12.3" x14ac:dyDescent="0.35">
      <c r="D166" s="101" t="str">
        <f t="shared" ref="D166:D167" si="137">D32</f>
        <v>Property Leases</v>
      </c>
      <c r="E166" s="119" t="s">
        <v>111</v>
      </c>
      <c r="F166" s="119" t="str">
        <f t="shared" si="120"/>
        <v>Dollars</v>
      </c>
      <c r="G166" s="119" t="str">
        <f t="shared" si="121"/>
        <v>Nominal</v>
      </c>
      <c r="H166" s="52" t="str">
        <f t="shared" si="122"/>
        <v>End_year</v>
      </c>
      <c r="J166" s="122">
        <f t="shared" ref="J166:AB166" si="138">J32+J58+J85+J112+J139</f>
        <v>0</v>
      </c>
      <c r="K166" s="121">
        <f t="shared" si="138"/>
        <v>0</v>
      </c>
      <c r="L166" s="121">
        <f t="shared" si="138"/>
        <v>0</v>
      </c>
      <c r="M166" s="121">
        <f t="shared" si="138"/>
        <v>0</v>
      </c>
      <c r="N166" s="122">
        <f t="shared" si="138"/>
        <v>0</v>
      </c>
      <c r="O166" s="121">
        <f t="shared" si="138"/>
        <v>0</v>
      </c>
      <c r="P166" s="121">
        <f t="shared" si="138"/>
        <v>0</v>
      </c>
      <c r="Q166" s="123">
        <f t="shared" si="138"/>
        <v>0</v>
      </c>
      <c r="R166" s="122">
        <f t="shared" si="138"/>
        <v>0</v>
      </c>
      <c r="S166" s="121">
        <f t="shared" si="138"/>
        <v>0</v>
      </c>
      <c r="T166" s="121">
        <f t="shared" si="138"/>
        <v>0</v>
      </c>
      <c r="U166" s="121">
        <f t="shared" si="138"/>
        <v>0</v>
      </c>
      <c r="V166" s="121">
        <f t="shared" si="138"/>
        <v>0</v>
      </c>
      <c r="W166" s="123">
        <f t="shared" si="138"/>
        <v>0</v>
      </c>
      <c r="X166" s="122">
        <f t="shared" si="138"/>
        <v>5.6545321858324371</v>
      </c>
      <c r="Y166" s="121">
        <f t="shared" si="138"/>
        <v>5.425065426331364</v>
      </c>
      <c r="Z166" s="121">
        <f t="shared" si="138"/>
        <v>29.871448739199082</v>
      </c>
      <c r="AA166" s="121">
        <f t="shared" si="138"/>
        <v>28.610551045279017</v>
      </c>
      <c r="AB166" s="123">
        <f t="shared" si="138"/>
        <v>27.925381568555377</v>
      </c>
    </row>
    <row r="167" spans="1:28" ht="12.3" x14ac:dyDescent="0.35">
      <c r="D167" s="101" t="str">
        <f t="shared" si="137"/>
        <v>Fleet Leases</v>
      </c>
      <c r="E167" s="119" t="s">
        <v>111</v>
      </c>
      <c r="F167" s="119" t="str">
        <f t="shared" si="120"/>
        <v>Dollars</v>
      </c>
      <c r="G167" s="119" t="str">
        <f t="shared" si="121"/>
        <v>Nominal</v>
      </c>
      <c r="H167" s="52" t="str">
        <f t="shared" si="122"/>
        <v>End_year</v>
      </c>
      <c r="J167" s="122">
        <f t="shared" ref="J167:AB167" si="139">J33+J59+J86+J113+J140</f>
        <v>0</v>
      </c>
      <c r="K167" s="121">
        <f t="shared" si="139"/>
        <v>0</v>
      </c>
      <c r="L167" s="121">
        <f t="shared" si="139"/>
        <v>0</v>
      </c>
      <c r="M167" s="121">
        <f t="shared" si="139"/>
        <v>0</v>
      </c>
      <c r="N167" s="122">
        <f t="shared" si="139"/>
        <v>0</v>
      </c>
      <c r="O167" s="121">
        <f t="shared" si="139"/>
        <v>0</v>
      </c>
      <c r="P167" s="121">
        <f t="shared" si="139"/>
        <v>0</v>
      </c>
      <c r="Q167" s="123">
        <f t="shared" si="139"/>
        <v>0</v>
      </c>
      <c r="R167" s="122">
        <f t="shared" si="139"/>
        <v>0</v>
      </c>
      <c r="S167" s="121">
        <f t="shared" si="139"/>
        <v>0</v>
      </c>
      <c r="T167" s="121">
        <f t="shared" si="139"/>
        <v>0</v>
      </c>
      <c r="U167" s="121">
        <f t="shared" si="139"/>
        <v>0</v>
      </c>
      <c r="V167" s="121">
        <f t="shared" si="139"/>
        <v>0</v>
      </c>
      <c r="W167" s="123">
        <f t="shared" si="139"/>
        <v>0</v>
      </c>
      <c r="X167" s="122">
        <f t="shared" si="139"/>
        <v>17.442098565293531</v>
      </c>
      <c r="Y167" s="121">
        <f t="shared" si="139"/>
        <v>19.515612909606673</v>
      </c>
      <c r="Z167" s="121">
        <f t="shared" si="139"/>
        <v>20.205255562567572</v>
      </c>
      <c r="AA167" s="121">
        <f t="shared" si="139"/>
        <v>21.013124643323572</v>
      </c>
      <c r="AB167" s="123">
        <f t="shared" si="139"/>
        <v>19.884167884385938</v>
      </c>
    </row>
    <row r="168" spans="1:28" ht="12.3" x14ac:dyDescent="0.35">
      <c r="D168" s="101" t="str">
        <f t="shared" ref="D168" si="140">D34</f>
        <v>Equity Raising Costs</v>
      </c>
      <c r="E168" s="119" t="s">
        <v>111</v>
      </c>
      <c r="F168" s="119" t="str">
        <f t="shared" si="120"/>
        <v>Dollars</v>
      </c>
      <c r="G168" s="119" t="str">
        <f t="shared" si="121"/>
        <v>Nominal</v>
      </c>
      <c r="H168" s="52" t="str">
        <f t="shared" si="122"/>
        <v>End_year</v>
      </c>
      <c r="J168" s="122">
        <f t="shared" ref="J168:AB168" si="141">J34+J60+J87+J114+J141</f>
        <v>0</v>
      </c>
      <c r="K168" s="121">
        <f t="shared" si="141"/>
        <v>0</v>
      </c>
      <c r="L168" s="121">
        <f t="shared" si="141"/>
        <v>0</v>
      </c>
      <c r="M168" s="121">
        <f t="shared" si="141"/>
        <v>0</v>
      </c>
      <c r="N168" s="122">
        <f t="shared" si="141"/>
        <v>0</v>
      </c>
      <c r="O168" s="121">
        <f t="shared" si="141"/>
        <v>0</v>
      </c>
      <c r="P168" s="121">
        <f t="shared" si="141"/>
        <v>0</v>
      </c>
      <c r="Q168" s="123">
        <f t="shared" si="141"/>
        <v>0</v>
      </c>
      <c r="R168" s="122">
        <f t="shared" si="141"/>
        <v>0</v>
      </c>
      <c r="S168" s="121">
        <f t="shared" si="141"/>
        <v>0</v>
      </c>
      <c r="T168" s="121">
        <f t="shared" si="141"/>
        <v>0</v>
      </c>
      <c r="U168" s="121">
        <f t="shared" si="141"/>
        <v>0</v>
      </c>
      <c r="V168" s="121">
        <f t="shared" si="141"/>
        <v>0</v>
      </c>
      <c r="W168" s="123">
        <f t="shared" si="141"/>
        <v>0</v>
      </c>
      <c r="X168" s="122">
        <f t="shared" si="141"/>
        <v>1.2872020192307105</v>
      </c>
      <c r="Y168" s="121">
        <f t="shared" si="141"/>
        <v>1.0547320438290999</v>
      </c>
      <c r="Z168" s="121">
        <f t="shared" si="141"/>
        <v>0.81023098039864649</v>
      </c>
      <c r="AA168" s="121">
        <f t="shared" si="141"/>
        <v>0.55325204407324569</v>
      </c>
      <c r="AB168" s="123">
        <f t="shared" si="141"/>
        <v>0.28333385634114899</v>
      </c>
    </row>
    <row r="169" spans="1:28" x14ac:dyDescent="0.35">
      <c r="J169" s="114"/>
      <c r="K169" s="115"/>
      <c r="L169" s="115"/>
      <c r="M169" s="115"/>
      <c r="N169" s="114"/>
      <c r="O169" s="115"/>
      <c r="P169" s="115"/>
      <c r="Q169" s="117"/>
      <c r="R169" s="114"/>
      <c r="S169" s="115"/>
      <c r="T169" s="115"/>
      <c r="U169" s="115"/>
      <c r="V169" s="115"/>
      <c r="W169" s="117"/>
      <c r="X169" s="114"/>
      <c r="Y169" s="115"/>
      <c r="Z169" s="115"/>
      <c r="AA169" s="115"/>
      <c r="AB169" s="117"/>
    </row>
    <row r="170" spans="1:28" ht="12.3" x14ac:dyDescent="0.35">
      <c r="D170" s="124" t="str">
        <f>"Total "&amp;D150</f>
        <v>Total RAB Asset Class</v>
      </c>
      <c r="E170" s="125" t="s">
        <v>111</v>
      </c>
      <c r="F170" s="125" t="str">
        <f>F152</f>
        <v>Dollars</v>
      </c>
      <c r="G170" s="125" t="str">
        <f>G152</f>
        <v>Nominal</v>
      </c>
      <c r="H170" s="47" t="str">
        <f>H152</f>
        <v>End_year</v>
      </c>
      <c r="J170" s="126">
        <f t="shared" ref="J170:AB170" si="142">SUM(J152:J168)</f>
        <v>361.29910007209719</v>
      </c>
      <c r="K170" s="127">
        <f t="shared" si="142"/>
        <v>381.2671765378895</v>
      </c>
      <c r="L170" s="127">
        <f t="shared" si="142"/>
        <v>426.23191748430435</v>
      </c>
      <c r="M170" s="127">
        <f t="shared" si="142"/>
        <v>476.54653007073165</v>
      </c>
      <c r="N170" s="126">
        <f t="shared" si="142"/>
        <v>545.18108755768151</v>
      </c>
      <c r="O170" s="127">
        <f t="shared" si="142"/>
        <v>627.04053878422633</v>
      </c>
      <c r="P170" s="127">
        <f t="shared" si="142"/>
        <v>685.44809762150351</v>
      </c>
      <c r="Q170" s="129">
        <f t="shared" si="142"/>
        <v>780.34731061589059</v>
      </c>
      <c r="R170" s="126">
        <f t="shared" si="142"/>
        <v>853.14139286484397</v>
      </c>
      <c r="S170" s="127">
        <f t="shared" si="142"/>
        <v>893.0226956434409</v>
      </c>
      <c r="T170" s="127">
        <f t="shared" si="142"/>
        <v>918.5274629227896</v>
      </c>
      <c r="U170" s="127">
        <f t="shared" si="142"/>
        <v>937.04991301476116</v>
      </c>
      <c r="V170" s="127">
        <f t="shared" si="142"/>
        <v>950.2943210800446</v>
      </c>
      <c r="W170" s="129">
        <f t="shared" si="142"/>
        <v>982.23520549271689</v>
      </c>
      <c r="X170" s="126">
        <f t="shared" si="142"/>
        <v>1048.393764359053</v>
      </c>
      <c r="Y170" s="127">
        <f t="shared" si="142"/>
        <v>1096.5249850968944</v>
      </c>
      <c r="Z170" s="127">
        <f t="shared" si="142"/>
        <v>1168.7634131433192</v>
      </c>
      <c r="AA170" s="127">
        <f t="shared" si="142"/>
        <v>1204.4887471495513</v>
      </c>
      <c r="AB170" s="129">
        <f t="shared" si="142"/>
        <v>1231.7638891913089</v>
      </c>
    </row>
    <row r="171" spans="1:28" s="108" customFormat="1" ht="11.25" customHeight="1" x14ac:dyDescent="0.35">
      <c r="H171" s="6"/>
    </row>
    <row r="172" spans="1:28" s="108" customFormat="1" ht="11.25" customHeight="1" x14ac:dyDescent="0.35">
      <c r="A172" s="95">
        <f>IF(SUM($J172:$AB172)&lt;&gt;0,1,0)</f>
        <v>0</v>
      </c>
      <c r="D172" s="101" t="s">
        <v>206</v>
      </c>
      <c r="H172" s="6"/>
      <c r="J172" s="130">
        <f>IF(ISERROR(J170),1,0)</f>
        <v>0</v>
      </c>
      <c r="K172" s="130">
        <f t="shared" ref="K172:N172" si="143">IF(ISERROR(K170),1,0)</f>
        <v>0</v>
      </c>
      <c r="L172" s="130">
        <f t="shared" si="143"/>
        <v>0</v>
      </c>
      <c r="M172" s="130">
        <f t="shared" si="143"/>
        <v>0</v>
      </c>
      <c r="N172" s="130">
        <f t="shared" si="143"/>
        <v>0</v>
      </c>
      <c r="O172" s="130">
        <f>IF(ISERROR(O170),1,0)</f>
        <v>0</v>
      </c>
      <c r="P172" s="130">
        <f t="shared" ref="P172:S172" si="144">IF(ISERROR(P170),1,0)</f>
        <v>0</v>
      </c>
      <c r="Q172" s="130">
        <f t="shared" si="144"/>
        <v>0</v>
      </c>
      <c r="R172" s="130">
        <f t="shared" si="144"/>
        <v>0</v>
      </c>
      <c r="S172" s="130">
        <f t="shared" si="144"/>
        <v>0</v>
      </c>
      <c r="T172" s="130">
        <f>IF(ISERROR(T170),1,0)</f>
        <v>0</v>
      </c>
      <c r="U172" s="130">
        <f t="shared" ref="U172:X172" si="145">IF(ISERROR(U170),1,0)</f>
        <v>0</v>
      </c>
      <c r="V172" s="130">
        <f t="shared" si="145"/>
        <v>0</v>
      </c>
      <c r="W172" s="130">
        <f t="shared" si="145"/>
        <v>0</v>
      </c>
      <c r="X172" s="130">
        <f t="shared" si="145"/>
        <v>0</v>
      </c>
      <c r="Y172" s="130">
        <f>IF(ISERROR(Y170),1,0)</f>
        <v>0</v>
      </c>
      <c r="Z172" s="130">
        <f t="shared" ref="Z172:AB172" si="146">IF(ISERROR(Z170),1,0)</f>
        <v>0</v>
      </c>
      <c r="AA172" s="130">
        <f t="shared" si="146"/>
        <v>0</v>
      </c>
      <c r="AB172" s="130">
        <f t="shared" si="146"/>
        <v>0</v>
      </c>
    </row>
    <row r="174" spans="1:28" s="109" customFormat="1" ht="14.1" x14ac:dyDescent="0.35">
      <c r="C174" s="109" t="s">
        <v>479</v>
      </c>
      <c r="H174" s="13"/>
    </row>
    <row r="175" spans="1:28" s="108" customFormat="1" ht="11.25" customHeight="1" x14ac:dyDescent="0.35">
      <c r="H175" s="6"/>
    </row>
    <row r="176" spans="1:28" ht="12.3" x14ac:dyDescent="0.35">
      <c r="D176" s="110" t="str">
        <f>D$16</f>
        <v>RAB Asset Class</v>
      </c>
      <c r="E176" s="111" t="str">
        <f>Lookup!E$20</f>
        <v>Source</v>
      </c>
      <c r="F176" s="111" t="str">
        <f>Lookup!F$20</f>
        <v>Unit</v>
      </c>
      <c r="G176" s="111" t="str">
        <f>Lookup!G$20</f>
        <v>Basis</v>
      </c>
      <c r="H176" s="45" t="str">
        <f>Lookup!H$20</f>
        <v>Timing</v>
      </c>
      <c r="J176" s="112" t="str">
        <f>J$10</f>
        <v>RY06</v>
      </c>
      <c r="K176" s="111" t="str">
        <f t="shared" ref="K176:AB176" si="147">K$10</f>
        <v>RY07</v>
      </c>
      <c r="L176" s="111" t="str">
        <f t="shared" si="147"/>
        <v>RY08</v>
      </c>
      <c r="M176" s="340" t="str">
        <f t="shared" si="147"/>
        <v>RY09</v>
      </c>
      <c r="N176" s="112" t="str">
        <f t="shared" si="147"/>
        <v>RY10</v>
      </c>
      <c r="O176" s="111" t="str">
        <f>O$10</f>
        <v>RY11</v>
      </c>
      <c r="P176" s="111" t="str">
        <f t="shared" si="147"/>
        <v>RY12</v>
      </c>
      <c r="Q176" s="340" t="str">
        <f t="shared" si="147"/>
        <v>RY13</v>
      </c>
      <c r="R176" s="112" t="str">
        <f t="shared" si="147"/>
        <v>RY14</v>
      </c>
      <c r="S176" s="111" t="str">
        <f t="shared" si="147"/>
        <v>RY15</v>
      </c>
      <c r="T176" s="111" t="str">
        <f>T$10</f>
        <v>RY16</v>
      </c>
      <c r="U176" s="111" t="str">
        <f t="shared" si="147"/>
        <v>RY17</v>
      </c>
      <c r="V176" s="111" t="str">
        <f t="shared" si="147"/>
        <v>RY18</v>
      </c>
      <c r="W176" s="340" t="str">
        <f t="shared" si="147"/>
        <v>RY19</v>
      </c>
      <c r="X176" s="112" t="str">
        <f t="shared" si="147"/>
        <v>RY20</v>
      </c>
      <c r="Y176" s="111" t="str">
        <f>Y$10</f>
        <v>RY21</v>
      </c>
      <c r="Z176" s="111" t="str">
        <f t="shared" si="147"/>
        <v>RY22</v>
      </c>
      <c r="AA176" s="111" t="str">
        <f t="shared" si="147"/>
        <v>RY23</v>
      </c>
      <c r="AB176" s="113" t="str">
        <f t="shared" si="147"/>
        <v>RY24</v>
      </c>
    </row>
    <row r="177" spans="4:28" x14ac:dyDescent="0.35">
      <c r="J177" s="114"/>
      <c r="K177" s="115"/>
      <c r="L177" s="115"/>
      <c r="M177" s="115"/>
      <c r="N177" s="114"/>
      <c r="O177" s="115"/>
      <c r="P177" s="115"/>
      <c r="Q177" s="117"/>
      <c r="R177" s="114"/>
      <c r="S177" s="115"/>
      <c r="T177" s="115"/>
      <c r="U177" s="115"/>
      <c r="V177" s="115"/>
      <c r="W177" s="117"/>
      <c r="X177" s="114"/>
      <c r="Y177" s="115"/>
      <c r="Z177" s="115"/>
      <c r="AA177" s="115"/>
      <c r="AB177" s="117"/>
    </row>
    <row r="178" spans="4:28" ht="12.3" x14ac:dyDescent="0.35">
      <c r="D178" s="101" t="str">
        <f t="shared" ref="D178:D191" si="148">D18</f>
        <v>Substations</v>
      </c>
      <c r="E178" s="119" t="s">
        <v>210</v>
      </c>
      <c r="F178" s="119" t="str">
        <f t="shared" ref="F178:F194" si="149">Dollars</f>
        <v>Dollars</v>
      </c>
      <c r="G178" s="119" t="str">
        <f t="shared" ref="G178:G194" si="150">Nominal</f>
        <v>Nominal</v>
      </c>
      <c r="H178" s="52" t="str">
        <f t="shared" ref="H178:H194" si="151">End_year</f>
        <v>End_year</v>
      </c>
      <c r="J178" s="350"/>
      <c r="K178" s="351"/>
      <c r="L178" s="351"/>
      <c r="M178" s="352"/>
      <c r="N178" s="353"/>
      <c r="O178" s="351"/>
      <c r="P178" s="351"/>
      <c r="Q178" s="354"/>
      <c r="R178" s="120">
        <v>0</v>
      </c>
      <c r="S178" s="373">
        <v>0</v>
      </c>
      <c r="T178" s="131">
        <v>0</v>
      </c>
      <c r="U178" s="131">
        <v>0</v>
      </c>
      <c r="V178" s="131">
        <v>0</v>
      </c>
      <c r="W178" s="135">
        <f>SUM('[2]Total RAB roll forward'!L234,'[2]Total RAB roll forward'!L266,'[2]Total RAB roll forward'!L298)/'[2]RAB roll forward'!$L$7*W$238</f>
        <v>-29.992126504334458</v>
      </c>
      <c r="X178" s="134">
        <v>0</v>
      </c>
      <c r="Y178" s="131">
        <v>0</v>
      </c>
      <c r="Z178" s="131">
        <v>0</v>
      </c>
      <c r="AA178" s="131">
        <v>0</v>
      </c>
      <c r="AB178" s="135">
        <v>0</v>
      </c>
    </row>
    <row r="179" spans="4:28" ht="12.3" x14ac:dyDescent="0.35">
      <c r="D179" s="101" t="str">
        <f t="shared" si="148"/>
        <v>Distribution Lines</v>
      </c>
      <c r="E179" s="119" t="s">
        <v>210</v>
      </c>
      <c r="F179" s="119" t="str">
        <f t="shared" si="149"/>
        <v>Dollars</v>
      </c>
      <c r="G179" s="119" t="str">
        <f t="shared" si="150"/>
        <v>Nominal</v>
      </c>
      <c r="H179" s="52" t="str">
        <f t="shared" si="151"/>
        <v>End_year</v>
      </c>
      <c r="J179" s="350"/>
      <c r="K179" s="351"/>
      <c r="L179" s="351"/>
      <c r="M179" s="352"/>
      <c r="N179" s="353"/>
      <c r="O179" s="351"/>
      <c r="P179" s="351"/>
      <c r="Q179" s="354"/>
      <c r="R179" s="120">
        <v>0</v>
      </c>
      <c r="S179" s="373">
        <v>0</v>
      </c>
      <c r="T179" s="131">
        <v>0</v>
      </c>
      <c r="U179" s="131">
        <v>0</v>
      </c>
      <c r="V179" s="131">
        <v>0</v>
      </c>
      <c r="W179" s="135">
        <f>SUM('[2]Total RAB roll forward'!L235,'[2]Total RAB roll forward'!L267,'[2]Total RAB roll forward'!L299)/'[2]RAB roll forward'!$L$7*W$238</f>
        <v>-4.2463464110578979</v>
      </c>
      <c r="X179" s="134">
        <v>0</v>
      </c>
      <c r="Y179" s="131">
        <v>0</v>
      </c>
      <c r="Z179" s="131">
        <v>0</v>
      </c>
      <c r="AA179" s="131">
        <v>0</v>
      </c>
      <c r="AB179" s="135">
        <v>0</v>
      </c>
    </row>
    <row r="180" spans="4:28" ht="12.3" x14ac:dyDescent="0.35">
      <c r="D180" s="101" t="str">
        <f t="shared" si="148"/>
        <v>Transmission Lines</v>
      </c>
      <c r="E180" s="119" t="s">
        <v>210</v>
      </c>
      <c r="F180" s="119" t="str">
        <f t="shared" si="149"/>
        <v>Dollars</v>
      </c>
      <c r="G180" s="119" t="str">
        <f t="shared" si="150"/>
        <v>Nominal</v>
      </c>
      <c r="H180" s="52" t="str">
        <f t="shared" si="151"/>
        <v>End_year</v>
      </c>
      <c r="J180" s="350"/>
      <c r="K180" s="351"/>
      <c r="L180" s="351"/>
      <c r="M180" s="352"/>
      <c r="N180" s="353"/>
      <c r="O180" s="351"/>
      <c r="P180" s="351"/>
      <c r="Q180" s="354"/>
      <c r="R180" s="120">
        <v>0</v>
      </c>
      <c r="S180" s="373">
        <v>0</v>
      </c>
      <c r="T180" s="131">
        <v>0</v>
      </c>
      <c r="U180" s="131">
        <v>0</v>
      </c>
      <c r="V180" s="131">
        <v>0</v>
      </c>
      <c r="W180" s="135">
        <f>SUM('[2]Total RAB roll forward'!L236,'[2]Total RAB roll forward'!L268,'[2]Total RAB roll forward'!L300)/'[2]RAB roll forward'!$L$7*W$238</f>
        <v>1.5426967005185612</v>
      </c>
      <c r="X180" s="134">
        <v>0</v>
      </c>
      <c r="Y180" s="131">
        <v>0</v>
      </c>
      <c r="Z180" s="131">
        <v>0</v>
      </c>
      <c r="AA180" s="131">
        <v>0</v>
      </c>
      <c r="AB180" s="135">
        <v>0</v>
      </c>
    </row>
    <row r="181" spans="4:28" ht="12.3" x14ac:dyDescent="0.35">
      <c r="D181" s="101" t="str">
        <f t="shared" si="148"/>
        <v>LV Services</v>
      </c>
      <c r="E181" s="119" t="s">
        <v>210</v>
      </c>
      <c r="F181" s="119" t="str">
        <f t="shared" si="149"/>
        <v>Dollars</v>
      </c>
      <c r="G181" s="119" t="str">
        <f t="shared" si="150"/>
        <v>Nominal</v>
      </c>
      <c r="H181" s="52" t="str">
        <f t="shared" si="151"/>
        <v>End_year</v>
      </c>
      <c r="J181" s="350"/>
      <c r="K181" s="351"/>
      <c r="L181" s="351"/>
      <c r="M181" s="352"/>
      <c r="N181" s="353"/>
      <c r="O181" s="351"/>
      <c r="P181" s="351"/>
      <c r="Q181" s="354"/>
      <c r="R181" s="120">
        <v>0</v>
      </c>
      <c r="S181" s="373">
        <v>0</v>
      </c>
      <c r="T181" s="131">
        <v>0</v>
      </c>
      <c r="U181" s="131">
        <v>0</v>
      </c>
      <c r="V181" s="131">
        <v>0</v>
      </c>
      <c r="W181" s="135">
        <f>SUM('[2]Total RAB roll forward'!L237,'[2]Total RAB roll forward'!L269,'[2]Total RAB roll forward'!L301)/'[2]RAB roll forward'!$L$7*W$238</f>
        <v>1.5669166392717893</v>
      </c>
      <c r="X181" s="134">
        <v>0</v>
      </c>
      <c r="Y181" s="131">
        <v>0</v>
      </c>
      <c r="Z181" s="131">
        <v>0</v>
      </c>
      <c r="AA181" s="131">
        <v>0</v>
      </c>
      <c r="AB181" s="135">
        <v>0</v>
      </c>
    </row>
    <row r="182" spans="4:28" ht="12.3" x14ac:dyDescent="0.35">
      <c r="D182" s="101" t="str">
        <f t="shared" si="148"/>
        <v>Distribution Substations</v>
      </c>
      <c r="E182" s="119" t="s">
        <v>210</v>
      </c>
      <c r="F182" s="119" t="str">
        <f t="shared" si="149"/>
        <v>Dollars</v>
      </c>
      <c r="G182" s="119" t="str">
        <f t="shared" si="150"/>
        <v>Nominal</v>
      </c>
      <c r="H182" s="52" t="str">
        <f t="shared" si="151"/>
        <v>End_year</v>
      </c>
      <c r="J182" s="350"/>
      <c r="K182" s="351"/>
      <c r="L182" s="351"/>
      <c r="M182" s="352"/>
      <c r="N182" s="353"/>
      <c r="O182" s="351"/>
      <c r="P182" s="351"/>
      <c r="Q182" s="354"/>
      <c r="R182" s="120">
        <v>0</v>
      </c>
      <c r="S182" s="373">
        <v>0</v>
      </c>
      <c r="T182" s="131">
        <v>0</v>
      </c>
      <c r="U182" s="131">
        <v>0</v>
      </c>
      <c r="V182" s="131">
        <v>0</v>
      </c>
      <c r="W182" s="135">
        <f>SUM('[2]Total RAB roll forward'!L238,'[2]Total RAB roll forward'!L270,'[2]Total RAB roll forward'!L302)/'[2]RAB roll forward'!$L$7*W$238</f>
        <v>4.2978492879227028</v>
      </c>
      <c r="X182" s="134">
        <v>0</v>
      </c>
      <c r="Y182" s="131">
        <v>0</v>
      </c>
      <c r="Z182" s="131">
        <v>0</v>
      </c>
      <c r="AA182" s="131">
        <v>0</v>
      </c>
      <c r="AB182" s="135">
        <v>0</v>
      </c>
    </row>
    <row r="183" spans="4:28" ht="12.3" x14ac:dyDescent="0.35">
      <c r="D183" s="101" t="str">
        <f t="shared" si="148"/>
        <v>Distribution Switchgear</v>
      </c>
      <c r="E183" s="119" t="s">
        <v>210</v>
      </c>
      <c r="F183" s="119" t="str">
        <f t="shared" si="149"/>
        <v>Dollars</v>
      </c>
      <c r="G183" s="119" t="str">
        <f t="shared" si="150"/>
        <v>Nominal</v>
      </c>
      <c r="H183" s="52" t="str">
        <f t="shared" si="151"/>
        <v>End_year</v>
      </c>
      <c r="J183" s="350"/>
      <c r="K183" s="351"/>
      <c r="L183" s="351"/>
      <c r="M183" s="352"/>
      <c r="N183" s="353"/>
      <c r="O183" s="351"/>
      <c r="P183" s="351"/>
      <c r="Q183" s="354"/>
      <c r="R183" s="120">
        <v>0</v>
      </c>
      <c r="S183" s="373">
        <v>0</v>
      </c>
      <c r="T183" s="131">
        <v>0</v>
      </c>
      <c r="U183" s="131">
        <v>0</v>
      </c>
      <c r="V183" s="131">
        <v>0</v>
      </c>
      <c r="W183" s="135">
        <f>SUM('[2]Total RAB roll forward'!L239,'[2]Total RAB roll forward'!L271,'[2]Total RAB roll forward'!L303)/'[2]RAB roll forward'!$L$7*W$238</f>
        <v>4.9522828293652914</v>
      </c>
      <c r="X183" s="134">
        <v>0</v>
      </c>
      <c r="Y183" s="131">
        <v>0</v>
      </c>
      <c r="Z183" s="131">
        <v>0</v>
      </c>
      <c r="AA183" s="131">
        <v>0</v>
      </c>
      <c r="AB183" s="135">
        <v>0</v>
      </c>
    </row>
    <row r="184" spans="4:28" ht="12.3" x14ac:dyDescent="0.35">
      <c r="D184" s="101" t="str">
        <f t="shared" si="148"/>
        <v>Protection</v>
      </c>
      <c r="E184" s="119" t="s">
        <v>210</v>
      </c>
      <c r="F184" s="119" t="str">
        <f t="shared" si="149"/>
        <v>Dollars</v>
      </c>
      <c r="G184" s="119" t="str">
        <f t="shared" si="150"/>
        <v>Nominal</v>
      </c>
      <c r="H184" s="52" t="str">
        <f t="shared" si="151"/>
        <v>End_year</v>
      </c>
      <c r="J184" s="350"/>
      <c r="K184" s="351"/>
      <c r="L184" s="351"/>
      <c r="M184" s="352"/>
      <c r="N184" s="353"/>
      <c r="O184" s="351"/>
      <c r="P184" s="351"/>
      <c r="Q184" s="354"/>
      <c r="R184" s="120">
        <v>0</v>
      </c>
      <c r="S184" s="373">
        <v>0</v>
      </c>
      <c r="T184" s="131">
        <v>0</v>
      </c>
      <c r="U184" s="131">
        <v>0</v>
      </c>
      <c r="V184" s="131">
        <v>0</v>
      </c>
      <c r="W184" s="135">
        <f>SUM('[2]Total RAB roll forward'!L240,'[2]Total RAB roll forward'!L272,'[2]Total RAB roll forward'!L304)/'[2]RAB roll forward'!$L$7*W$238</f>
        <v>8.3172800338440709</v>
      </c>
      <c r="X184" s="134">
        <v>0</v>
      </c>
      <c r="Y184" s="131">
        <v>0</v>
      </c>
      <c r="Z184" s="131">
        <v>0</v>
      </c>
      <c r="AA184" s="131">
        <v>0</v>
      </c>
      <c r="AB184" s="135">
        <v>0</v>
      </c>
    </row>
    <row r="185" spans="4:28" ht="12.3" x14ac:dyDescent="0.35">
      <c r="D185" s="101" t="str">
        <f t="shared" si="148"/>
        <v>SCADA</v>
      </c>
      <c r="E185" s="119" t="s">
        <v>210</v>
      </c>
      <c r="F185" s="119" t="str">
        <f t="shared" si="149"/>
        <v>Dollars</v>
      </c>
      <c r="G185" s="119" t="str">
        <f t="shared" si="150"/>
        <v>Nominal</v>
      </c>
      <c r="H185" s="52" t="str">
        <f t="shared" si="151"/>
        <v>End_year</v>
      </c>
      <c r="J185" s="350"/>
      <c r="K185" s="351"/>
      <c r="L185" s="351"/>
      <c r="M185" s="352"/>
      <c r="N185" s="353"/>
      <c r="O185" s="351"/>
      <c r="P185" s="351"/>
      <c r="Q185" s="354"/>
      <c r="R185" s="120">
        <v>0</v>
      </c>
      <c r="S185" s="373">
        <v>0</v>
      </c>
      <c r="T185" s="131">
        <v>0</v>
      </c>
      <c r="U185" s="131">
        <v>0</v>
      </c>
      <c r="V185" s="131">
        <v>0</v>
      </c>
      <c r="W185" s="135">
        <f>SUM('[2]Total RAB roll forward'!L241,'[2]Total RAB roll forward'!L273,'[2]Total RAB roll forward'!L305)/'[2]RAB roll forward'!$L$7*W$238</f>
        <v>4.0291485923749297</v>
      </c>
      <c r="X185" s="134">
        <v>0</v>
      </c>
      <c r="Y185" s="131">
        <v>0</v>
      </c>
      <c r="Z185" s="131">
        <v>0</v>
      </c>
      <c r="AA185" s="131">
        <v>0</v>
      </c>
      <c r="AB185" s="135">
        <v>0</v>
      </c>
    </row>
    <row r="186" spans="4:28" ht="12.3" x14ac:dyDescent="0.35">
      <c r="D186" s="101" t="str">
        <f t="shared" si="148"/>
        <v>Communications</v>
      </c>
      <c r="E186" s="119" t="s">
        <v>210</v>
      </c>
      <c r="F186" s="119" t="str">
        <f t="shared" si="149"/>
        <v>Dollars</v>
      </c>
      <c r="G186" s="119" t="str">
        <f t="shared" si="150"/>
        <v>Nominal</v>
      </c>
      <c r="H186" s="52" t="str">
        <f t="shared" si="151"/>
        <v>End_year</v>
      </c>
      <c r="J186" s="350"/>
      <c r="K186" s="351"/>
      <c r="L186" s="351"/>
      <c r="M186" s="352"/>
      <c r="N186" s="353"/>
      <c r="O186" s="351"/>
      <c r="P186" s="351"/>
      <c r="Q186" s="354"/>
      <c r="R186" s="120">
        <v>0</v>
      </c>
      <c r="S186" s="373">
        <v>0</v>
      </c>
      <c r="T186" s="131">
        <v>0</v>
      </c>
      <c r="U186" s="131">
        <v>0</v>
      </c>
      <c r="V186" s="131">
        <v>0</v>
      </c>
      <c r="W186" s="135">
        <f>SUM('[2]Total RAB roll forward'!L242,'[2]Total RAB roll forward'!L274,'[2]Total RAB roll forward'!L306)/'[2]RAB roll forward'!$L$7*W$238</f>
        <v>2.1550097806845496</v>
      </c>
      <c r="X186" s="134">
        <v>0</v>
      </c>
      <c r="Y186" s="131">
        <v>0</v>
      </c>
      <c r="Z186" s="131">
        <v>0</v>
      </c>
      <c r="AA186" s="131">
        <v>0</v>
      </c>
      <c r="AB186" s="135">
        <v>0</v>
      </c>
    </row>
    <row r="187" spans="4:28" ht="12.3" x14ac:dyDescent="0.35">
      <c r="D187" s="101" t="str">
        <f t="shared" si="148"/>
        <v>Land and Easements</v>
      </c>
      <c r="E187" s="119" t="s">
        <v>210</v>
      </c>
      <c r="F187" s="119" t="str">
        <f t="shared" si="149"/>
        <v>Dollars</v>
      </c>
      <c r="G187" s="119" t="str">
        <f t="shared" si="150"/>
        <v>Nominal</v>
      </c>
      <c r="H187" s="52" t="str">
        <f t="shared" si="151"/>
        <v>End_year</v>
      </c>
      <c r="J187" s="350"/>
      <c r="K187" s="351"/>
      <c r="L187" s="351"/>
      <c r="M187" s="352"/>
      <c r="N187" s="353"/>
      <c r="O187" s="351"/>
      <c r="P187" s="351"/>
      <c r="Q187" s="354"/>
      <c r="R187" s="120">
        <v>0</v>
      </c>
      <c r="S187" s="373">
        <v>0</v>
      </c>
      <c r="T187" s="131">
        <v>0</v>
      </c>
      <c r="U187" s="131">
        <v>0</v>
      </c>
      <c r="V187" s="131">
        <v>0</v>
      </c>
      <c r="W187" s="135">
        <f>SUM('[2]Total RAB roll forward'!L243,'[2]Total RAB roll forward'!L275,'[2]Total RAB roll forward'!L307)/'[2]RAB roll forward'!$L$7*W$238</f>
        <v>-1.0011422426514007</v>
      </c>
      <c r="X187" s="134">
        <v>0</v>
      </c>
      <c r="Y187" s="131">
        <v>0</v>
      </c>
      <c r="Z187" s="131">
        <v>0</v>
      </c>
      <c r="AA187" s="131">
        <v>0</v>
      </c>
      <c r="AB187" s="135">
        <v>0</v>
      </c>
    </row>
    <row r="188" spans="4:28" ht="12.3" x14ac:dyDescent="0.35">
      <c r="D188" s="101" t="str">
        <f t="shared" si="148"/>
        <v>Property</v>
      </c>
      <c r="E188" s="119" t="s">
        <v>210</v>
      </c>
      <c r="F188" s="119" t="str">
        <f t="shared" si="149"/>
        <v>Dollars</v>
      </c>
      <c r="G188" s="119" t="str">
        <f t="shared" si="150"/>
        <v>Nominal</v>
      </c>
      <c r="H188" s="52" t="str">
        <f t="shared" si="151"/>
        <v>End_year</v>
      </c>
      <c r="J188" s="350"/>
      <c r="K188" s="351"/>
      <c r="L188" s="351"/>
      <c r="M188" s="352"/>
      <c r="N188" s="353"/>
      <c r="O188" s="351"/>
      <c r="P188" s="351"/>
      <c r="Q188" s="354"/>
      <c r="R188" s="120">
        <v>0</v>
      </c>
      <c r="S188" s="373">
        <v>0</v>
      </c>
      <c r="T188" s="131">
        <v>0</v>
      </c>
      <c r="U188" s="131">
        <v>0</v>
      </c>
      <c r="V188" s="131">
        <v>0</v>
      </c>
      <c r="W188" s="135">
        <f>SUM('[2]Total RAB roll forward'!L244,'[2]Total RAB roll forward'!L276,'[2]Total RAB roll forward'!L308)/'[2]RAB roll forward'!$L$7*W$238</f>
        <v>-0.34604658025649926</v>
      </c>
      <c r="X188" s="134">
        <v>0</v>
      </c>
      <c r="Y188" s="131">
        <v>0</v>
      </c>
      <c r="Z188" s="131">
        <v>0</v>
      </c>
      <c r="AA188" s="131">
        <v>0</v>
      </c>
      <c r="AB188" s="135">
        <v>0</v>
      </c>
    </row>
    <row r="189" spans="4:28" ht="12.3" x14ac:dyDescent="0.35">
      <c r="D189" s="101" t="str">
        <f t="shared" si="148"/>
        <v>IT and Communications</v>
      </c>
      <c r="E189" s="119" t="s">
        <v>210</v>
      </c>
      <c r="F189" s="119" t="str">
        <f t="shared" si="149"/>
        <v>Dollars</v>
      </c>
      <c r="G189" s="119" t="str">
        <f t="shared" si="150"/>
        <v>Nominal</v>
      </c>
      <c r="H189" s="52" t="str">
        <f t="shared" si="151"/>
        <v>End_year</v>
      </c>
      <c r="J189" s="350"/>
      <c r="K189" s="351"/>
      <c r="L189" s="351"/>
      <c r="M189" s="352"/>
      <c r="N189" s="353"/>
      <c r="O189" s="351"/>
      <c r="P189" s="351"/>
      <c r="Q189" s="354"/>
      <c r="R189" s="120">
        <v>0</v>
      </c>
      <c r="S189" s="373">
        <v>0</v>
      </c>
      <c r="T189" s="131">
        <v>0</v>
      </c>
      <c r="U189" s="131">
        <v>0</v>
      </c>
      <c r="V189" s="131">
        <v>0</v>
      </c>
      <c r="W189" s="135">
        <f>SUM('[2]Total RAB roll forward'!L245,'[2]Total RAB roll forward'!L277,'[2]Total RAB roll forward'!L309)/'[2]RAB roll forward'!$L$7*W$238</f>
        <v>0.90175431434272224</v>
      </c>
      <c r="X189" s="134">
        <v>0</v>
      </c>
      <c r="Y189" s="131">
        <v>0</v>
      </c>
      <c r="Z189" s="131">
        <v>0</v>
      </c>
      <c r="AA189" s="131">
        <v>0</v>
      </c>
      <c r="AB189" s="135">
        <v>0</v>
      </c>
    </row>
    <row r="190" spans="4:28" ht="12.3" x14ac:dyDescent="0.35">
      <c r="D190" s="101" t="str">
        <f t="shared" si="148"/>
        <v>Motor Vehicles</v>
      </c>
      <c r="E190" s="119" t="s">
        <v>210</v>
      </c>
      <c r="F190" s="119" t="str">
        <f t="shared" si="149"/>
        <v>Dollars</v>
      </c>
      <c r="G190" s="119" t="str">
        <f t="shared" si="150"/>
        <v>Nominal</v>
      </c>
      <c r="H190" s="52" t="str">
        <f t="shared" si="151"/>
        <v>End_year</v>
      </c>
      <c r="J190" s="350"/>
      <c r="K190" s="351"/>
      <c r="L190" s="351"/>
      <c r="M190" s="352"/>
      <c r="N190" s="353"/>
      <c r="O190" s="351"/>
      <c r="P190" s="351"/>
      <c r="Q190" s="354"/>
      <c r="R190" s="120">
        <v>0</v>
      </c>
      <c r="S190" s="373">
        <v>0</v>
      </c>
      <c r="T190" s="131">
        <v>0</v>
      </c>
      <c r="U190" s="131">
        <v>0</v>
      </c>
      <c r="V190" s="131">
        <v>0</v>
      </c>
      <c r="W190" s="135">
        <f>SUM('[2]Total RAB roll forward'!L246,'[2]Total RAB roll forward'!L278,'[2]Total RAB roll forward'!L310)/'[2]RAB roll forward'!$L$7*W$238</f>
        <v>0.22539706087532649</v>
      </c>
      <c r="X190" s="134">
        <v>0</v>
      </c>
      <c r="Y190" s="131">
        <v>0</v>
      </c>
      <c r="Z190" s="131">
        <v>0</v>
      </c>
      <c r="AA190" s="131">
        <v>0</v>
      </c>
      <c r="AB190" s="135">
        <v>0</v>
      </c>
    </row>
    <row r="191" spans="4:28" ht="12.3" x14ac:dyDescent="0.35">
      <c r="D191" s="101" t="str">
        <f t="shared" si="148"/>
        <v>Plant and Equipment</v>
      </c>
      <c r="E191" s="119" t="s">
        <v>210</v>
      </c>
      <c r="F191" s="119" t="str">
        <f t="shared" si="149"/>
        <v>Dollars</v>
      </c>
      <c r="G191" s="119" t="str">
        <f t="shared" si="150"/>
        <v>Nominal</v>
      </c>
      <c r="H191" s="52" t="str">
        <f t="shared" si="151"/>
        <v>End_year</v>
      </c>
      <c r="J191" s="350"/>
      <c r="K191" s="351"/>
      <c r="L191" s="351"/>
      <c r="M191" s="352"/>
      <c r="N191" s="353"/>
      <c r="O191" s="351"/>
      <c r="P191" s="351"/>
      <c r="Q191" s="354"/>
      <c r="R191" s="120">
        <v>0</v>
      </c>
      <c r="S191" s="373">
        <v>0</v>
      </c>
      <c r="T191" s="131">
        <v>0</v>
      </c>
      <c r="U191" s="131">
        <v>0</v>
      </c>
      <c r="V191" s="131">
        <v>0</v>
      </c>
      <c r="W191" s="135">
        <f>SUM('[2]Total RAB roll forward'!L247,'[2]Total RAB roll forward'!L279,'[2]Total RAB roll forward'!L311)/'[2]RAB roll forward'!$L$7*W$238</f>
        <v>-1.1346815778990007</v>
      </c>
      <c r="X191" s="134">
        <v>0</v>
      </c>
      <c r="Y191" s="131">
        <v>0</v>
      </c>
      <c r="Z191" s="131">
        <v>0</v>
      </c>
      <c r="AA191" s="131">
        <v>0</v>
      </c>
      <c r="AB191" s="135">
        <v>0</v>
      </c>
    </row>
    <row r="192" spans="4:28" ht="12.3" x14ac:dyDescent="0.35">
      <c r="D192" s="101" t="str">
        <f t="shared" ref="D192:D193" si="152">D32</f>
        <v>Property Leases</v>
      </c>
      <c r="E192" s="119" t="s">
        <v>210</v>
      </c>
      <c r="F192" s="119" t="str">
        <f t="shared" si="149"/>
        <v>Dollars</v>
      </c>
      <c r="G192" s="119" t="str">
        <f t="shared" si="150"/>
        <v>Nominal</v>
      </c>
      <c r="H192" s="52" t="str">
        <f t="shared" si="151"/>
        <v>End_year</v>
      </c>
      <c r="J192" s="350"/>
      <c r="K192" s="351"/>
      <c r="L192" s="351"/>
      <c r="M192" s="352"/>
      <c r="N192" s="353"/>
      <c r="O192" s="351"/>
      <c r="P192" s="351"/>
      <c r="Q192" s="354"/>
      <c r="R192" s="120">
        <v>0</v>
      </c>
      <c r="S192" s="373">
        <v>0</v>
      </c>
      <c r="T192" s="131">
        <v>0</v>
      </c>
      <c r="U192" s="131">
        <v>0</v>
      </c>
      <c r="V192" s="131">
        <v>0</v>
      </c>
      <c r="W192" s="135">
        <v>0</v>
      </c>
      <c r="X192" s="134">
        <v>0</v>
      </c>
      <c r="Y192" s="131">
        <v>0</v>
      </c>
      <c r="Z192" s="131">
        <v>0</v>
      </c>
      <c r="AA192" s="131">
        <v>0</v>
      </c>
      <c r="AB192" s="135">
        <v>0</v>
      </c>
    </row>
    <row r="193" spans="1:28" ht="12.3" x14ac:dyDescent="0.35">
      <c r="D193" s="101" t="str">
        <f t="shared" si="152"/>
        <v>Fleet Leases</v>
      </c>
      <c r="E193" s="119" t="s">
        <v>210</v>
      </c>
      <c r="F193" s="119" t="str">
        <f t="shared" si="149"/>
        <v>Dollars</v>
      </c>
      <c r="G193" s="119" t="str">
        <f t="shared" si="150"/>
        <v>Nominal</v>
      </c>
      <c r="H193" s="52" t="str">
        <f t="shared" si="151"/>
        <v>End_year</v>
      </c>
      <c r="J193" s="350"/>
      <c r="K193" s="351"/>
      <c r="L193" s="351"/>
      <c r="M193" s="352"/>
      <c r="N193" s="353"/>
      <c r="O193" s="351"/>
      <c r="P193" s="351"/>
      <c r="Q193" s="354"/>
      <c r="R193" s="120">
        <v>0</v>
      </c>
      <c r="S193" s="373">
        <v>0</v>
      </c>
      <c r="T193" s="131">
        <v>0</v>
      </c>
      <c r="U193" s="131">
        <v>0</v>
      </c>
      <c r="V193" s="131">
        <v>0</v>
      </c>
      <c r="W193" s="135">
        <v>0</v>
      </c>
      <c r="X193" s="134">
        <v>0</v>
      </c>
      <c r="Y193" s="131">
        <v>0</v>
      </c>
      <c r="Z193" s="131">
        <v>0</v>
      </c>
      <c r="AA193" s="131">
        <v>0</v>
      </c>
      <c r="AB193" s="135">
        <v>0</v>
      </c>
    </row>
    <row r="194" spans="1:28" ht="12.3" x14ac:dyDescent="0.35">
      <c r="D194" s="101" t="str">
        <f t="shared" ref="D194" si="153">D34</f>
        <v>Equity Raising Costs</v>
      </c>
      <c r="E194" s="119" t="s">
        <v>210</v>
      </c>
      <c r="F194" s="119" t="str">
        <f t="shared" si="149"/>
        <v>Dollars</v>
      </c>
      <c r="G194" s="119" t="str">
        <f t="shared" si="150"/>
        <v>Nominal</v>
      </c>
      <c r="H194" s="52" t="str">
        <f t="shared" si="151"/>
        <v>End_year</v>
      </c>
      <c r="J194" s="350"/>
      <c r="K194" s="351"/>
      <c r="L194" s="351"/>
      <c r="M194" s="352"/>
      <c r="N194" s="353"/>
      <c r="O194" s="351"/>
      <c r="P194" s="351"/>
      <c r="Q194" s="354"/>
      <c r="R194" s="120">
        <v>0</v>
      </c>
      <c r="S194" s="373">
        <v>0</v>
      </c>
      <c r="T194" s="131">
        <v>0</v>
      </c>
      <c r="U194" s="131">
        <v>0</v>
      </c>
      <c r="V194" s="131">
        <v>0</v>
      </c>
      <c r="W194" s="135">
        <f>SUM('[2]Total RAB roll forward'!L263,'[2]Total RAB roll forward'!L295,'[2]Total RAB roll forward'!L327)/'[2]RAB roll forward'!$L$7*W$238</f>
        <v>0</v>
      </c>
      <c r="X194" s="134">
        <v>0</v>
      </c>
      <c r="Y194" s="131">
        <v>0</v>
      </c>
      <c r="Z194" s="131">
        <v>0</v>
      </c>
      <c r="AA194" s="131">
        <v>0</v>
      </c>
      <c r="AB194" s="135">
        <v>0</v>
      </c>
    </row>
    <row r="195" spans="1:28" x14ac:dyDescent="0.35">
      <c r="J195" s="114"/>
      <c r="K195" s="115"/>
      <c r="L195" s="115"/>
      <c r="M195" s="115"/>
      <c r="N195" s="114"/>
      <c r="O195" s="115"/>
      <c r="P195" s="115"/>
      <c r="Q195" s="117"/>
      <c r="R195" s="114"/>
      <c r="S195" s="115"/>
      <c r="T195" s="115"/>
      <c r="U195" s="115"/>
      <c r="V195" s="115"/>
      <c r="W195" s="117"/>
      <c r="X195" s="114"/>
      <c r="Y195" s="115"/>
      <c r="Z195" s="115"/>
      <c r="AA195" s="115"/>
      <c r="AB195" s="117"/>
    </row>
    <row r="196" spans="1:28" ht="12.3" x14ac:dyDescent="0.35">
      <c r="D196" s="124" t="str">
        <f>"Total "&amp;D176</f>
        <v>Total RAB Asset Class</v>
      </c>
      <c r="E196" s="125" t="s">
        <v>111</v>
      </c>
      <c r="F196" s="125" t="str">
        <f>F178</f>
        <v>Dollars</v>
      </c>
      <c r="G196" s="125" t="str">
        <f>G178</f>
        <v>Nominal</v>
      </c>
      <c r="H196" s="47" t="str">
        <f>H178</f>
        <v>End_year</v>
      </c>
      <c r="J196" s="126">
        <f t="shared" ref="J196:AB196" si="154">SUM(J178:J194)</f>
        <v>0</v>
      </c>
      <c r="K196" s="127">
        <f t="shared" si="154"/>
        <v>0</v>
      </c>
      <c r="L196" s="127">
        <f t="shared" si="154"/>
        <v>0</v>
      </c>
      <c r="M196" s="127">
        <f t="shared" si="154"/>
        <v>0</v>
      </c>
      <c r="N196" s="126">
        <f t="shared" si="154"/>
        <v>0</v>
      </c>
      <c r="O196" s="127">
        <f t="shared" si="154"/>
        <v>0</v>
      </c>
      <c r="P196" s="127">
        <f t="shared" si="154"/>
        <v>0</v>
      </c>
      <c r="Q196" s="129">
        <f t="shared" si="154"/>
        <v>0</v>
      </c>
      <c r="R196" s="126">
        <f t="shared" si="154"/>
        <v>0</v>
      </c>
      <c r="S196" s="127">
        <f t="shared" si="154"/>
        <v>0</v>
      </c>
      <c r="T196" s="127">
        <f t="shared" si="154"/>
        <v>0</v>
      </c>
      <c r="U196" s="127">
        <f t="shared" si="154"/>
        <v>0</v>
      </c>
      <c r="V196" s="127">
        <f t="shared" si="154"/>
        <v>0</v>
      </c>
      <c r="W196" s="129">
        <f t="shared" si="154"/>
        <v>-8.7320080769993158</v>
      </c>
      <c r="X196" s="126">
        <f t="shared" si="154"/>
        <v>0</v>
      </c>
      <c r="Y196" s="127">
        <f t="shared" si="154"/>
        <v>0</v>
      </c>
      <c r="Z196" s="127">
        <f t="shared" si="154"/>
        <v>0</v>
      </c>
      <c r="AA196" s="127">
        <f t="shared" si="154"/>
        <v>0</v>
      </c>
      <c r="AB196" s="129">
        <f t="shared" si="154"/>
        <v>0</v>
      </c>
    </row>
    <row r="197" spans="1:28" s="108" customFormat="1" ht="11.25" customHeight="1" x14ac:dyDescent="0.35">
      <c r="H197" s="6"/>
    </row>
    <row r="198" spans="1:28" s="108" customFormat="1" ht="11.25" customHeight="1" x14ac:dyDescent="0.35">
      <c r="A198" s="95">
        <f>IF(SUM($J198:$AB198)&lt;&gt;0,1,0)</f>
        <v>0</v>
      </c>
      <c r="D198" s="101" t="s">
        <v>206</v>
      </c>
      <c r="H198" s="6"/>
      <c r="J198" s="130">
        <f>IF(ISERROR(J196),1,0)</f>
        <v>0</v>
      </c>
      <c r="K198" s="130">
        <f t="shared" ref="K198:N198" si="155">IF(ISERROR(K196),1,0)</f>
        <v>0</v>
      </c>
      <c r="L198" s="130">
        <f t="shared" si="155"/>
        <v>0</v>
      </c>
      <c r="M198" s="130">
        <f t="shared" si="155"/>
        <v>0</v>
      </c>
      <c r="N198" s="130">
        <f t="shared" si="155"/>
        <v>0</v>
      </c>
      <c r="O198" s="130">
        <f>IF(ISERROR(O196),1,0)</f>
        <v>0</v>
      </c>
      <c r="P198" s="130">
        <f t="shared" ref="P198:S198" si="156">IF(ISERROR(P196),1,0)</f>
        <v>0</v>
      </c>
      <c r="Q198" s="130">
        <f t="shared" si="156"/>
        <v>0</v>
      </c>
      <c r="R198" s="130">
        <f t="shared" si="156"/>
        <v>0</v>
      </c>
      <c r="S198" s="130">
        <f t="shared" si="156"/>
        <v>0</v>
      </c>
      <c r="T198" s="130">
        <f>IF(ISERROR(T196),1,0)</f>
        <v>0</v>
      </c>
      <c r="U198" s="130">
        <f t="shared" ref="U198:X198" si="157">IF(ISERROR(U196),1,0)</f>
        <v>0</v>
      </c>
      <c r="V198" s="130">
        <f t="shared" si="157"/>
        <v>0</v>
      </c>
      <c r="W198" s="130">
        <f t="shared" si="157"/>
        <v>0</v>
      </c>
      <c r="X198" s="130">
        <f t="shared" si="157"/>
        <v>0</v>
      </c>
      <c r="Y198" s="130">
        <f>IF(ISERROR(Y196),1,0)</f>
        <v>0</v>
      </c>
      <c r="Z198" s="130">
        <f t="shared" ref="Z198:AB198" si="158">IF(ISERROR(Z196),1,0)</f>
        <v>0</v>
      </c>
      <c r="AA198" s="130">
        <f t="shared" si="158"/>
        <v>0</v>
      </c>
      <c r="AB198" s="130">
        <f t="shared" si="158"/>
        <v>0</v>
      </c>
    </row>
    <row r="199" spans="1:28" s="108" customFormat="1" ht="11.25" customHeight="1" x14ac:dyDescent="0.35">
      <c r="A199" s="95">
        <f>IF(SUM($J199:$AB199)&lt;&gt;0,1,0)</f>
        <v>0</v>
      </c>
      <c r="D199" s="101" t="s">
        <v>207</v>
      </c>
      <c r="H199" s="6"/>
      <c r="J199" s="137" t="str">
        <f>NA</f>
        <v>N/A</v>
      </c>
      <c r="K199" s="130" t="str">
        <f>NA</f>
        <v>N/A</v>
      </c>
      <c r="L199" s="130" t="str">
        <f>NA</f>
        <v>N/A</v>
      </c>
      <c r="M199" s="138" t="str">
        <f>NA</f>
        <v>N/A</v>
      </c>
      <c r="N199" s="137">
        <v>0</v>
      </c>
      <c r="O199" s="130">
        <v>0</v>
      </c>
      <c r="P199" s="130">
        <v>0</v>
      </c>
      <c r="Q199" s="138">
        <v>0</v>
      </c>
      <c r="R199" s="137">
        <f>IF(ROUND('[2]Total RAB roll forward'!G$233+'[2]Total RAB roll forward'!G$265+'[2]Total RAB roll forward'!H$297-R196-Input_RAB_ACS!R140,2)=0,0,1)</f>
        <v>0</v>
      </c>
      <c r="S199" s="130">
        <f>IF(ROUND('[2]Total RAB roll forward'!H$233+'[2]Total RAB roll forward'!H$265+'[2]Total RAB roll forward'!I$297-S196-Input_RAB_ACS!S140,2)=0,0,1)</f>
        <v>0</v>
      </c>
      <c r="T199" s="130">
        <f>IF(ROUND('[2]Total RAB roll forward'!I$233+'[2]Total RAB roll forward'!I$265+'[2]Total RAB roll forward'!J$297-T196-Input_RAB_ACS!T140,2)=0,0,1)</f>
        <v>0</v>
      </c>
      <c r="U199" s="130">
        <f>IF(ROUND('[2]Total RAB roll forward'!J$233+'[2]Total RAB roll forward'!J$265+'[2]Total RAB roll forward'!K$297-U196-Input_RAB_ACS!U140,2)=0,0,1)</f>
        <v>0</v>
      </c>
      <c r="V199" s="130">
        <f>IF(ROUND('[2]Total RAB roll forward'!K$233+'[2]Total RAB roll forward'!K$265+'[2]Total RAB roll forward'!L$297-V196-Input_RAB_ACS!V140,2)=0,0,1)</f>
        <v>0</v>
      </c>
      <c r="W199" s="138">
        <f>IF(ROUND('[2]Total RAB roll forward'!L$233+'[2]Total RAB roll forward'!L$265+'[2]Total RAB roll forward'!M$297-W196-Input_RAB_ACS!W140,2)=0,0,1)</f>
        <v>0</v>
      </c>
      <c r="X199" s="137" t="str">
        <f>NA</f>
        <v>N/A</v>
      </c>
      <c r="Y199" s="130" t="str">
        <f>NA</f>
        <v>N/A</v>
      </c>
      <c r="Z199" s="130" t="str">
        <f>NA</f>
        <v>N/A</v>
      </c>
      <c r="AA199" s="130" t="str">
        <f>NA</f>
        <v>N/A</v>
      </c>
      <c r="AB199" s="138" t="str">
        <f>NA</f>
        <v>N/A</v>
      </c>
    </row>
    <row r="201" spans="1:28" s="109" customFormat="1" ht="14.1" x14ac:dyDescent="0.35">
      <c r="C201" s="109" t="s">
        <v>152</v>
      </c>
      <c r="H201" s="13"/>
    </row>
    <row r="202" spans="1:28" s="108" customFormat="1" ht="11.25" customHeight="1" x14ac:dyDescent="0.35">
      <c r="H202" s="6"/>
    </row>
    <row r="203" spans="1:28" ht="12.3" x14ac:dyDescent="0.35">
      <c r="D203" s="110" t="str">
        <f>D$16</f>
        <v>RAB Asset Class</v>
      </c>
      <c r="E203" s="111" t="str">
        <f>Lookup!E$20</f>
        <v>Source</v>
      </c>
      <c r="F203" s="111" t="str">
        <f>Lookup!F$20</f>
        <v>Unit</v>
      </c>
      <c r="G203" s="111" t="str">
        <f>Lookup!G$20</f>
        <v>Basis</v>
      </c>
      <c r="H203" s="45" t="str">
        <f>Lookup!H$20</f>
        <v>Timing</v>
      </c>
      <c r="J203" s="112" t="str">
        <f>J$10</f>
        <v>RY06</v>
      </c>
      <c r="K203" s="111" t="str">
        <f t="shared" ref="K203:AB203" si="159">K$10</f>
        <v>RY07</v>
      </c>
      <c r="L203" s="111" t="str">
        <f t="shared" si="159"/>
        <v>RY08</v>
      </c>
      <c r="M203" s="111" t="str">
        <f t="shared" si="159"/>
        <v>RY09</v>
      </c>
      <c r="N203" s="112" t="str">
        <f t="shared" si="159"/>
        <v>RY10</v>
      </c>
      <c r="O203" s="111" t="str">
        <f>O$10</f>
        <v>RY11</v>
      </c>
      <c r="P203" s="111" t="str">
        <f t="shared" si="159"/>
        <v>RY12</v>
      </c>
      <c r="Q203" s="113" t="str">
        <f t="shared" si="159"/>
        <v>RY13</v>
      </c>
      <c r="R203" s="112" t="str">
        <f t="shared" si="159"/>
        <v>RY14</v>
      </c>
      <c r="S203" s="111" t="str">
        <f t="shared" si="159"/>
        <v>RY15</v>
      </c>
      <c r="T203" s="111" t="str">
        <f>T$10</f>
        <v>RY16</v>
      </c>
      <c r="U203" s="111" t="str">
        <f t="shared" si="159"/>
        <v>RY17</v>
      </c>
      <c r="V203" s="111" t="str">
        <f t="shared" si="159"/>
        <v>RY18</v>
      </c>
      <c r="W203" s="113" t="str">
        <f t="shared" si="159"/>
        <v>RY19</v>
      </c>
      <c r="X203" s="112" t="str">
        <f t="shared" si="159"/>
        <v>RY20</v>
      </c>
      <c r="Y203" s="111" t="str">
        <f>Y$10</f>
        <v>RY21</v>
      </c>
      <c r="Z203" s="111" t="str">
        <f t="shared" si="159"/>
        <v>RY22</v>
      </c>
      <c r="AA203" s="111" t="str">
        <f t="shared" si="159"/>
        <v>RY23</v>
      </c>
      <c r="AB203" s="113" t="str">
        <f t="shared" si="159"/>
        <v>RY24</v>
      </c>
    </row>
    <row r="204" spans="1:28" x14ac:dyDescent="0.35">
      <c r="J204" s="114"/>
      <c r="K204" s="115"/>
      <c r="L204" s="115"/>
      <c r="M204" s="115"/>
      <c r="N204" s="114"/>
      <c r="O204" s="115"/>
      <c r="P204" s="115"/>
      <c r="Q204" s="117"/>
      <c r="R204" s="114"/>
      <c r="S204" s="115"/>
      <c r="T204" s="115"/>
      <c r="U204" s="115"/>
      <c r="V204" s="115"/>
      <c r="W204" s="117"/>
      <c r="X204" s="114"/>
      <c r="Y204" s="115"/>
      <c r="Z204" s="115"/>
      <c r="AA204" s="115"/>
      <c r="AB204" s="117"/>
    </row>
    <row r="205" spans="1:28" ht="12.3" x14ac:dyDescent="0.35">
      <c r="D205" s="101" t="str">
        <f t="shared" ref="D205:D218" si="160">D18</f>
        <v>Substations</v>
      </c>
      <c r="E205" s="119" t="s">
        <v>111</v>
      </c>
      <c r="F205" s="119" t="str">
        <f t="shared" ref="F205:F221" si="161">Dollars</f>
        <v>Dollars</v>
      </c>
      <c r="G205" s="119" t="str">
        <f t="shared" ref="G205:G221" si="162">Nominal</f>
        <v>Nominal</v>
      </c>
      <c r="H205" s="52" t="str">
        <f t="shared" ref="H205:H221" si="163">End_year</f>
        <v>End_year</v>
      </c>
      <c r="J205" s="122">
        <f t="shared" ref="J205:P205" si="164">K18</f>
        <v>27.145326835638013</v>
      </c>
      <c r="K205" s="121">
        <f t="shared" si="164"/>
        <v>28.789945965760523</v>
      </c>
      <c r="L205" s="121">
        <f t="shared" si="164"/>
        <v>47.542941186549477</v>
      </c>
      <c r="M205" s="121">
        <f t="shared" si="164"/>
        <v>78.157850057945751</v>
      </c>
      <c r="N205" s="122">
        <f t="shared" si="164"/>
        <v>110.70259983057763</v>
      </c>
      <c r="O205" s="121">
        <f t="shared" si="164"/>
        <v>156.85011317918401</v>
      </c>
      <c r="P205" s="121">
        <f t="shared" si="164"/>
        <v>197.46856323640631</v>
      </c>
      <c r="Q205" s="123">
        <f>R18</f>
        <v>247.15838494764884</v>
      </c>
      <c r="R205" s="122">
        <f t="shared" ref="R205:AB205" si="165">R152+R178</f>
        <v>297.81718190620074</v>
      </c>
      <c r="S205" s="121">
        <f t="shared" si="165"/>
        <v>310.04735122802418</v>
      </c>
      <c r="T205" s="121">
        <f t="shared" si="165"/>
        <v>316.35383047585208</v>
      </c>
      <c r="U205" s="121">
        <f t="shared" si="165"/>
        <v>313.17388316351281</v>
      </c>
      <c r="V205" s="121">
        <f t="shared" si="165"/>
        <v>303.65088737748272</v>
      </c>
      <c r="W205" s="123">
        <f t="shared" si="165"/>
        <v>268.24601667949491</v>
      </c>
      <c r="X205" s="122">
        <f t="shared" si="165"/>
        <v>271.74889501183947</v>
      </c>
      <c r="Y205" s="121">
        <f t="shared" si="165"/>
        <v>273.52264493040605</v>
      </c>
      <c r="Z205" s="121">
        <f t="shared" si="165"/>
        <v>279.82629165438993</v>
      </c>
      <c r="AA205" s="121">
        <f t="shared" si="165"/>
        <v>286.18454116556819</v>
      </c>
      <c r="AB205" s="123">
        <f t="shared" si="165"/>
        <v>285.75899188246058</v>
      </c>
    </row>
    <row r="206" spans="1:28" ht="12.3" x14ac:dyDescent="0.35">
      <c r="D206" s="101" t="str">
        <f t="shared" si="160"/>
        <v>Distribution Lines</v>
      </c>
      <c r="E206" s="119" t="s">
        <v>111</v>
      </c>
      <c r="F206" s="119" t="str">
        <f t="shared" si="161"/>
        <v>Dollars</v>
      </c>
      <c r="G206" s="119" t="str">
        <f t="shared" si="162"/>
        <v>Nominal</v>
      </c>
      <c r="H206" s="52" t="str">
        <f t="shared" si="163"/>
        <v>End_year</v>
      </c>
      <c r="J206" s="122">
        <f t="shared" ref="J206:Q206" si="166">K19</f>
        <v>121.25854186545871</v>
      </c>
      <c r="K206" s="121">
        <f t="shared" si="166"/>
        <v>131.47959872632609</v>
      </c>
      <c r="L206" s="121">
        <f t="shared" si="166"/>
        <v>145.17808872874969</v>
      </c>
      <c r="M206" s="121">
        <f t="shared" si="166"/>
        <v>155.46003000642577</v>
      </c>
      <c r="N206" s="122">
        <f t="shared" si="166"/>
        <v>166.39768164550682</v>
      </c>
      <c r="O206" s="121">
        <f t="shared" si="166"/>
        <v>178.03361573547957</v>
      </c>
      <c r="P206" s="121">
        <f t="shared" si="166"/>
        <v>188.81561890775592</v>
      </c>
      <c r="Q206" s="123">
        <f t="shared" si="166"/>
        <v>211.58708026101553</v>
      </c>
      <c r="R206" s="122">
        <f t="shared" ref="R206:AB206" si="167">R153+R179</f>
        <v>226.62198523555949</v>
      </c>
      <c r="S206" s="121">
        <f t="shared" si="167"/>
        <v>234.87411965886551</v>
      </c>
      <c r="T206" s="121">
        <f t="shared" si="167"/>
        <v>238.09973722349167</v>
      </c>
      <c r="U206" s="121">
        <f t="shared" si="167"/>
        <v>242.46565905032085</v>
      </c>
      <c r="V206" s="121">
        <f t="shared" si="167"/>
        <v>243.8529102817588</v>
      </c>
      <c r="W206" s="123">
        <f t="shared" si="167"/>
        <v>243.79090173519486</v>
      </c>
      <c r="X206" s="122">
        <f t="shared" si="167"/>
        <v>260.16144272780991</v>
      </c>
      <c r="Y206" s="121">
        <f t="shared" si="167"/>
        <v>280.5428798733256</v>
      </c>
      <c r="Z206" s="121">
        <f t="shared" si="167"/>
        <v>295.38214826314004</v>
      </c>
      <c r="AA206" s="121">
        <f t="shared" si="167"/>
        <v>308.30221633033659</v>
      </c>
      <c r="AB206" s="123">
        <f t="shared" si="167"/>
        <v>323.40430301243265</v>
      </c>
    </row>
    <row r="207" spans="1:28" ht="12.3" x14ac:dyDescent="0.35">
      <c r="D207" s="101" t="str">
        <f t="shared" si="160"/>
        <v>Transmission Lines</v>
      </c>
      <c r="E207" s="119" t="s">
        <v>111</v>
      </c>
      <c r="F207" s="119" t="str">
        <f t="shared" si="161"/>
        <v>Dollars</v>
      </c>
      <c r="G207" s="119" t="str">
        <f t="shared" si="162"/>
        <v>Nominal</v>
      </c>
      <c r="H207" s="52" t="str">
        <f t="shared" si="163"/>
        <v>End_year</v>
      </c>
      <c r="J207" s="122">
        <f t="shared" ref="J207:Q207" si="168">K20</f>
        <v>106.13760142143478</v>
      </c>
      <c r="K207" s="121">
        <f t="shared" si="168"/>
        <v>113.44814996851447</v>
      </c>
      <c r="L207" s="121">
        <f t="shared" si="168"/>
        <v>115.37610379075579</v>
      </c>
      <c r="M207" s="121">
        <f t="shared" si="168"/>
        <v>114.39247831145167</v>
      </c>
      <c r="N207" s="122">
        <f t="shared" si="168"/>
        <v>130.51722905939732</v>
      </c>
      <c r="O207" s="121">
        <f t="shared" si="168"/>
        <v>146.36905449477163</v>
      </c>
      <c r="P207" s="121">
        <f t="shared" si="168"/>
        <v>152.96368047708927</v>
      </c>
      <c r="Q207" s="123">
        <f t="shared" si="168"/>
        <v>167.02589930043948</v>
      </c>
      <c r="R207" s="122">
        <f t="shared" ref="R207:AB207" si="169">R154+R180</f>
        <v>169.08021074388435</v>
      </c>
      <c r="S207" s="121">
        <f t="shared" si="169"/>
        <v>169.00938493811498</v>
      </c>
      <c r="T207" s="121">
        <f t="shared" si="169"/>
        <v>171.24815118737087</v>
      </c>
      <c r="U207" s="121">
        <f t="shared" si="169"/>
        <v>174.63818986801323</v>
      </c>
      <c r="V207" s="121">
        <f t="shared" si="169"/>
        <v>181.05596639188562</v>
      </c>
      <c r="W207" s="123">
        <f t="shared" si="169"/>
        <v>180.53440799429359</v>
      </c>
      <c r="X207" s="122">
        <f t="shared" si="169"/>
        <v>181.41832683720614</v>
      </c>
      <c r="Y207" s="121">
        <f t="shared" si="169"/>
        <v>182.07937593696875</v>
      </c>
      <c r="Z207" s="121">
        <f t="shared" si="169"/>
        <v>182.52864385137025</v>
      </c>
      <c r="AA207" s="121">
        <f t="shared" si="169"/>
        <v>183.07405059001402</v>
      </c>
      <c r="AB207" s="123">
        <f t="shared" si="169"/>
        <v>183.52464283762123</v>
      </c>
    </row>
    <row r="208" spans="1:28" ht="12.3" x14ac:dyDescent="0.35">
      <c r="D208" s="101" t="str">
        <f t="shared" si="160"/>
        <v>LV Services</v>
      </c>
      <c r="E208" s="119" t="s">
        <v>111</v>
      </c>
      <c r="F208" s="119" t="str">
        <f t="shared" si="161"/>
        <v>Dollars</v>
      </c>
      <c r="G208" s="119" t="str">
        <f t="shared" si="162"/>
        <v>Nominal</v>
      </c>
      <c r="H208" s="52" t="str">
        <f t="shared" si="163"/>
        <v>End_year</v>
      </c>
      <c r="J208" s="122">
        <f t="shared" ref="J208:Q208" si="170">K21</f>
        <v>0.15756362070364763</v>
      </c>
      <c r="K208" s="121">
        <f t="shared" si="170"/>
        <v>0.16147940299332406</v>
      </c>
      <c r="L208" s="121">
        <f t="shared" si="170"/>
        <v>0.16837863845608733</v>
      </c>
      <c r="M208" s="121">
        <f t="shared" si="170"/>
        <v>0.1724808865690817</v>
      </c>
      <c r="N208" s="122">
        <f t="shared" si="170"/>
        <v>0.1775154637986657</v>
      </c>
      <c r="O208" s="121">
        <f t="shared" si="170"/>
        <v>0.1832959043215214</v>
      </c>
      <c r="P208" s="121">
        <f t="shared" si="170"/>
        <v>0.18627935749460825</v>
      </c>
      <c r="Q208" s="123">
        <f t="shared" si="170"/>
        <v>0.1909410030775564</v>
      </c>
      <c r="R208" s="122">
        <f t="shared" ref="R208:AB208" si="171">R155+R181</f>
        <v>0.19939876662384715</v>
      </c>
      <c r="S208" s="121">
        <f t="shared" si="171"/>
        <v>2.04153733549186</v>
      </c>
      <c r="T208" s="121">
        <f t="shared" si="171"/>
        <v>3.9418080798457527</v>
      </c>
      <c r="U208" s="121">
        <f t="shared" si="171"/>
        <v>5.7400958053236257</v>
      </c>
      <c r="V208" s="121">
        <f t="shared" si="171"/>
        <v>5.8946491130406997</v>
      </c>
      <c r="W208" s="123">
        <f t="shared" si="171"/>
        <v>7.660089973967585</v>
      </c>
      <c r="X208" s="122">
        <f t="shared" si="171"/>
        <v>7.8506325488170825</v>
      </c>
      <c r="Y208" s="121">
        <f t="shared" si="171"/>
        <v>8.1527755491161642</v>
      </c>
      <c r="Z208" s="121">
        <f t="shared" si="171"/>
        <v>8.393910999180644</v>
      </c>
      <c r="AA208" s="121">
        <f t="shared" si="171"/>
        <v>8.5846361401763502</v>
      </c>
      <c r="AB208" s="123">
        <f t="shared" si="171"/>
        <v>8.8026763317206509</v>
      </c>
    </row>
    <row r="209" spans="4:28" ht="12.3" x14ac:dyDescent="0.35">
      <c r="D209" s="101" t="str">
        <f t="shared" si="160"/>
        <v>Distribution Substations</v>
      </c>
      <c r="E209" s="119" t="s">
        <v>111</v>
      </c>
      <c r="F209" s="119" t="str">
        <f t="shared" si="161"/>
        <v>Dollars</v>
      </c>
      <c r="G209" s="119" t="str">
        <f t="shared" si="162"/>
        <v>Nominal</v>
      </c>
      <c r="H209" s="52" t="str">
        <f t="shared" si="163"/>
        <v>End_year</v>
      </c>
      <c r="J209" s="122">
        <f t="shared" ref="J209:Q209" si="172">K22</f>
        <v>46.553880075834783</v>
      </c>
      <c r="K209" s="121">
        <f t="shared" si="172"/>
        <v>44.863190216310961</v>
      </c>
      <c r="L209" s="121">
        <f t="shared" si="172"/>
        <v>50.316318068944682</v>
      </c>
      <c r="M209" s="121">
        <f t="shared" si="172"/>
        <v>53.456910059461528</v>
      </c>
      <c r="N209" s="122">
        <f t="shared" si="172"/>
        <v>64.865067140818724</v>
      </c>
      <c r="O209" s="121">
        <f t="shared" si="172"/>
        <v>75.672242965949053</v>
      </c>
      <c r="P209" s="121">
        <f t="shared" si="172"/>
        <v>77.82365462948556</v>
      </c>
      <c r="Q209" s="123">
        <f t="shared" si="172"/>
        <v>80.297330765413648</v>
      </c>
      <c r="R209" s="122">
        <f t="shared" ref="R209:AB209" si="173">R156+R182</f>
        <v>82.765066852139796</v>
      </c>
      <c r="S209" s="121">
        <f t="shared" si="173"/>
        <v>88.662173739427232</v>
      </c>
      <c r="T209" s="121">
        <f t="shared" si="173"/>
        <v>91.847111581050314</v>
      </c>
      <c r="U209" s="121">
        <f t="shared" si="173"/>
        <v>93.338143739600696</v>
      </c>
      <c r="V209" s="121">
        <f t="shared" si="173"/>
        <v>93.434557101102598</v>
      </c>
      <c r="W209" s="123">
        <f t="shared" si="173"/>
        <v>99.608956662973952</v>
      </c>
      <c r="X209" s="122">
        <f t="shared" si="173"/>
        <v>101.02489676368357</v>
      </c>
      <c r="Y209" s="121">
        <f t="shared" si="173"/>
        <v>102.96032058187403</v>
      </c>
      <c r="Z209" s="121">
        <f t="shared" si="173"/>
        <v>104.88561327486646</v>
      </c>
      <c r="AA209" s="121">
        <f t="shared" si="173"/>
        <v>107.57910438614597</v>
      </c>
      <c r="AB209" s="123">
        <f t="shared" si="173"/>
        <v>110.54123389432979</v>
      </c>
    </row>
    <row r="210" spans="4:28" ht="12.3" x14ac:dyDescent="0.35">
      <c r="D210" s="101" t="str">
        <f t="shared" si="160"/>
        <v>Distribution Switchgear</v>
      </c>
      <c r="E210" s="119" t="s">
        <v>111</v>
      </c>
      <c r="F210" s="119" t="str">
        <f t="shared" si="161"/>
        <v>Dollars</v>
      </c>
      <c r="G210" s="119" t="str">
        <f t="shared" si="162"/>
        <v>Nominal</v>
      </c>
      <c r="H210" s="52" t="str">
        <f t="shared" si="163"/>
        <v>End_year</v>
      </c>
      <c r="J210" s="122">
        <f t="shared" ref="J210:Q210" si="174">K23</f>
        <v>7.0874380294832173</v>
      </c>
      <c r="K210" s="121">
        <f t="shared" si="174"/>
        <v>7.2635755426419708</v>
      </c>
      <c r="L210" s="121">
        <f t="shared" si="174"/>
        <v>7.9327584388611081</v>
      </c>
      <c r="M210" s="121">
        <f t="shared" si="174"/>
        <v>13.057188603480252</v>
      </c>
      <c r="N210" s="122">
        <f t="shared" si="174"/>
        <v>13.438317351906161</v>
      </c>
      <c r="O210" s="121">
        <f t="shared" si="174"/>
        <v>13.875909618617388</v>
      </c>
      <c r="P210" s="121">
        <f t="shared" si="174"/>
        <v>14.10176369175867</v>
      </c>
      <c r="Q210" s="123">
        <f t="shared" si="174"/>
        <v>14.45466068104192</v>
      </c>
      <c r="R210" s="122">
        <f t="shared" ref="R210:AB210" si="175">R157+R183</f>
        <v>15.108502064534624</v>
      </c>
      <c r="S210" s="121">
        <f t="shared" si="175"/>
        <v>19.752877365264066</v>
      </c>
      <c r="T210" s="121">
        <f t="shared" si="175"/>
        <v>25.288673785033275</v>
      </c>
      <c r="U210" s="121">
        <f t="shared" si="175"/>
        <v>30.441514770211619</v>
      </c>
      <c r="V210" s="121">
        <f t="shared" si="175"/>
        <v>35.106734757413861</v>
      </c>
      <c r="W210" s="123">
        <f t="shared" si="175"/>
        <v>43.812806131127658</v>
      </c>
      <c r="X210" s="122">
        <f t="shared" si="175"/>
        <v>48.34857419586902</v>
      </c>
      <c r="Y210" s="121">
        <f t="shared" si="175"/>
        <v>53.299817795055695</v>
      </c>
      <c r="Z210" s="121">
        <f t="shared" si="175"/>
        <v>58.021779499237013</v>
      </c>
      <c r="AA210" s="121">
        <f t="shared" si="175"/>
        <v>63.350673510379963</v>
      </c>
      <c r="AB210" s="123">
        <f t="shared" si="175"/>
        <v>69.031765156024434</v>
      </c>
    </row>
    <row r="211" spans="4:28" ht="12.3" x14ac:dyDescent="0.35">
      <c r="D211" s="101" t="str">
        <f t="shared" si="160"/>
        <v>Protection</v>
      </c>
      <c r="E211" s="119" t="s">
        <v>111</v>
      </c>
      <c r="F211" s="119" t="str">
        <f t="shared" si="161"/>
        <v>Dollars</v>
      </c>
      <c r="G211" s="119" t="str">
        <f t="shared" si="162"/>
        <v>Nominal</v>
      </c>
      <c r="H211" s="52" t="str">
        <f t="shared" si="163"/>
        <v>End_year</v>
      </c>
      <c r="J211" s="122">
        <f t="shared" ref="J211:Q211" si="176">K24</f>
        <v>1.7538363440560882</v>
      </c>
      <c r="K211" s="121">
        <f t="shared" si="176"/>
        <v>1.797422809411328</v>
      </c>
      <c r="L211" s="121">
        <f t="shared" si="176"/>
        <v>1.8742180102753225</v>
      </c>
      <c r="M211" s="121">
        <f t="shared" si="176"/>
        <v>1.9198800215998597</v>
      </c>
      <c r="N211" s="122">
        <f t="shared" si="176"/>
        <v>3.2186359938067923</v>
      </c>
      <c r="O211" s="121">
        <f t="shared" si="176"/>
        <v>4.1717675504927412</v>
      </c>
      <c r="P211" s="121">
        <f t="shared" si="176"/>
        <v>5.1516017133570458</v>
      </c>
      <c r="Q211" s="123">
        <f t="shared" si="176"/>
        <v>8.3903020321881421</v>
      </c>
      <c r="R211" s="122">
        <f t="shared" ref="R211:AB211" si="177">R158+R184</f>
        <v>9.6502261835778302</v>
      </c>
      <c r="S211" s="121">
        <f t="shared" si="177"/>
        <v>14.811037038025589</v>
      </c>
      <c r="T211" s="121">
        <f t="shared" si="177"/>
        <v>19.107025507893773</v>
      </c>
      <c r="U211" s="121">
        <f t="shared" si="177"/>
        <v>21.769855654442626</v>
      </c>
      <c r="V211" s="121">
        <f t="shared" si="177"/>
        <v>22.50409349187488</v>
      </c>
      <c r="W211" s="123">
        <f t="shared" si="177"/>
        <v>33.116638375029282</v>
      </c>
      <c r="X211" s="122">
        <f t="shared" si="177"/>
        <v>35.792860357060931</v>
      </c>
      <c r="Y211" s="121">
        <f t="shared" si="177"/>
        <v>38.903977471155997</v>
      </c>
      <c r="Z211" s="121">
        <f t="shared" si="177"/>
        <v>40.252836715271322</v>
      </c>
      <c r="AA211" s="121">
        <f t="shared" si="177"/>
        <v>41.656435673611028</v>
      </c>
      <c r="AB211" s="123">
        <f t="shared" si="177"/>
        <v>42.449989440911658</v>
      </c>
    </row>
    <row r="212" spans="4:28" ht="12.3" x14ac:dyDescent="0.35">
      <c r="D212" s="101" t="str">
        <f t="shared" si="160"/>
        <v>SCADA</v>
      </c>
      <c r="E212" s="119" t="s">
        <v>111</v>
      </c>
      <c r="F212" s="119" t="str">
        <f t="shared" si="161"/>
        <v>Dollars</v>
      </c>
      <c r="G212" s="119" t="str">
        <f t="shared" si="162"/>
        <v>Nominal</v>
      </c>
      <c r="H212" s="52" t="str">
        <f t="shared" si="163"/>
        <v>End_year</v>
      </c>
      <c r="J212" s="122">
        <f t="shared" ref="J212:Q212" si="178">K25</f>
        <v>0.11068117609120807</v>
      </c>
      <c r="K212" s="121">
        <f t="shared" si="178"/>
        <v>0</v>
      </c>
      <c r="L212" s="121">
        <f t="shared" si="178"/>
        <v>2.4515833721207874</v>
      </c>
      <c r="M212" s="121">
        <f t="shared" si="178"/>
        <v>1.9205108033528893</v>
      </c>
      <c r="N212" s="122">
        <f t="shared" si="178"/>
        <v>1.9765689565318383</v>
      </c>
      <c r="O212" s="121">
        <f t="shared" si="178"/>
        <v>2.0409320212928539</v>
      </c>
      <c r="P212" s="121">
        <f t="shared" si="178"/>
        <v>2.0741516676211202</v>
      </c>
      <c r="Q212" s="123">
        <f t="shared" si="178"/>
        <v>2.1260573650090362</v>
      </c>
      <c r="R212" s="122">
        <f t="shared" ref="R212:AB212" si="179">R159+R185</f>
        <v>1.4640594788423973</v>
      </c>
      <c r="S212" s="121">
        <f t="shared" si="179"/>
        <v>2.9852461490300075</v>
      </c>
      <c r="T212" s="121">
        <f t="shared" si="179"/>
        <v>3.2501274436275143</v>
      </c>
      <c r="U212" s="121">
        <f t="shared" si="179"/>
        <v>3.8257123433304967</v>
      </c>
      <c r="V212" s="121">
        <f t="shared" si="179"/>
        <v>4.2828678057780003</v>
      </c>
      <c r="W212" s="123">
        <f t="shared" si="179"/>
        <v>9.4940274448363766</v>
      </c>
      <c r="X212" s="122">
        <f t="shared" si="179"/>
        <v>9.4550611257701309</v>
      </c>
      <c r="Y212" s="121">
        <f t="shared" si="179"/>
        <v>9.6042520000721527</v>
      </c>
      <c r="Z212" s="121">
        <f t="shared" si="179"/>
        <v>9.4938480139789334</v>
      </c>
      <c r="AA212" s="121">
        <f t="shared" si="179"/>
        <v>9.7456022070275541</v>
      </c>
      <c r="AB212" s="123">
        <f t="shared" si="179"/>
        <v>9.7064180003590899</v>
      </c>
    </row>
    <row r="213" spans="4:28" ht="12.3" x14ac:dyDescent="0.35">
      <c r="D213" s="101" t="str">
        <f t="shared" si="160"/>
        <v>Communications</v>
      </c>
      <c r="E213" s="119" t="s">
        <v>111</v>
      </c>
      <c r="F213" s="119" t="str">
        <f t="shared" si="161"/>
        <v>Dollars</v>
      </c>
      <c r="G213" s="119" t="str">
        <f t="shared" si="162"/>
        <v>Nominal</v>
      </c>
      <c r="H213" s="52" t="str">
        <f t="shared" si="163"/>
        <v>End_year</v>
      </c>
      <c r="J213" s="122">
        <f t="shared" ref="J213:Q213" si="180">K26</f>
        <v>20.247703799177007</v>
      </c>
      <c r="K213" s="121">
        <f t="shared" si="180"/>
        <v>21.345706820760164</v>
      </c>
      <c r="L213" s="121">
        <f t="shared" si="180"/>
        <v>21.6977766750413</v>
      </c>
      <c r="M213" s="121">
        <f t="shared" si="180"/>
        <v>23.488991579219736</v>
      </c>
      <c r="N213" s="122">
        <f t="shared" si="180"/>
        <v>18.359645441125384</v>
      </c>
      <c r="O213" s="121">
        <f t="shared" si="180"/>
        <v>12.884905335816704</v>
      </c>
      <c r="P213" s="121">
        <f t="shared" si="180"/>
        <v>6.8054745027587886</v>
      </c>
      <c r="Q213" s="123">
        <f t="shared" si="180"/>
        <v>7.2356595534338553</v>
      </c>
      <c r="R213" s="122">
        <f t="shared" ref="R213:AB213" si="181">R160+R186</f>
        <v>6.0561408822847227</v>
      </c>
      <c r="S213" s="121">
        <f t="shared" si="181"/>
        <v>6.464181611686433</v>
      </c>
      <c r="T213" s="121">
        <f t="shared" si="181"/>
        <v>5.4923569665291234</v>
      </c>
      <c r="U213" s="121">
        <f t="shared" si="181"/>
        <v>6.1697443120380369</v>
      </c>
      <c r="V213" s="121">
        <f t="shared" si="181"/>
        <v>11.212991107576503</v>
      </c>
      <c r="W213" s="123">
        <f t="shared" si="181"/>
        <v>15.044125562886432</v>
      </c>
      <c r="X213" s="122">
        <f t="shared" si="181"/>
        <v>15.556632094611242</v>
      </c>
      <c r="Y213" s="121">
        <f t="shared" si="181"/>
        <v>16.800833390528286</v>
      </c>
      <c r="Z213" s="121">
        <f t="shared" si="181"/>
        <v>18.809278135350731</v>
      </c>
      <c r="AA213" s="121">
        <f t="shared" si="181"/>
        <v>20.366630084721326</v>
      </c>
      <c r="AB213" s="123">
        <f t="shared" si="181"/>
        <v>21.238263315894493</v>
      </c>
    </row>
    <row r="214" spans="4:28" ht="12.3" x14ac:dyDescent="0.35">
      <c r="D214" s="101" t="str">
        <f t="shared" si="160"/>
        <v>Land and Easements</v>
      </c>
      <c r="E214" s="119" t="s">
        <v>111</v>
      </c>
      <c r="F214" s="119" t="str">
        <f t="shared" si="161"/>
        <v>Dollars</v>
      </c>
      <c r="G214" s="119" t="str">
        <f t="shared" si="162"/>
        <v>Nominal</v>
      </c>
      <c r="H214" s="52" t="str">
        <f t="shared" si="163"/>
        <v>End_year</v>
      </c>
      <c r="J214" s="122">
        <f t="shared" ref="J214:Q214" si="182">K27</f>
        <v>29.444843897374323</v>
      </c>
      <c r="K214" s="121">
        <f t="shared" si="182"/>
        <v>30.922463155114897</v>
      </c>
      <c r="L214" s="121">
        <f t="shared" si="182"/>
        <v>32.243630749502024</v>
      </c>
      <c r="M214" s="121">
        <f t="shared" si="182"/>
        <v>33.029189859678155</v>
      </c>
      <c r="N214" s="122">
        <f t="shared" si="182"/>
        <v>33.993285131257949</v>
      </c>
      <c r="O214" s="121">
        <f t="shared" si="182"/>
        <v>35.10020933196067</v>
      </c>
      <c r="P214" s="121">
        <f t="shared" si="182"/>
        <v>35.671525048452402</v>
      </c>
      <c r="Q214" s="123">
        <f t="shared" si="182"/>
        <v>33.024999999999999</v>
      </c>
      <c r="R214" s="122">
        <f t="shared" ref="R214:AB214" si="183">R161+R187</f>
        <v>34.47125290902666</v>
      </c>
      <c r="S214" s="121">
        <f t="shared" si="183"/>
        <v>34.929125338558322</v>
      </c>
      <c r="T214" s="121">
        <f t="shared" si="183"/>
        <v>35.386997768089991</v>
      </c>
      <c r="U214" s="121">
        <f t="shared" si="183"/>
        <v>36.128882714951189</v>
      </c>
      <c r="V214" s="121">
        <f t="shared" si="183"/>
        <v>37.004962835958267</v>
      </c>
      <c r="W214" s="123">
        <f t="shared" si="183"/>
        <v>46.354917721396681</v>
      </c>
      <c r="X214" s="122">
        <f t="shared" si="183"/>
        <v>47.478966373746196</v>
      </c>
      <c r="Y214" s="121">
        <f t="shared" si="183"/>
        <v>48.630271797004951</v>
      </c>
      <c r="Z214" s="121">
        <f t="shared" si="183"/>
        <v>49.809494933703185</v>
      </c>
      <c r="AA214" s="121">
        <f t="shared" si="183"/>
        <v>51.017312753399054</v>
      </c>
      <c r="AB214" s="123">
        <f t="shared" si="183"/>
        <v>52.254418641313983</v>
      </c>
    </row>
    <row r="215" spans="4:28" ht="12.3" x14ac:dyDescent="0.35">
      <c r="D215" s="101" t="str">
        <f t="shared" si="160"/>
        <v>Property</v>
      </c>
      <c r="E215" s="119" t="s">
        <v>111</v>
      </c>
      <c r="F215" s="119" t="str">
        <f t="shared" si="161"/>
        <v>Dollars</v>
      </c>
      <c r="G215" s="119" t="str">
        <f t="shared" si="162"/>
        <v>Nominal</v>
      </c>
      <c r="H215" s="52" t="str">
        <f t="shared" si="163"/>
        <v>End_year</v>
      </c>
      <c r="J215" s="122">
        <f t="shared" ref="J215:Q215" si="184">K28</f>
        <v>0</v>
      </c>
      <c r="K215" s="121">
        <f t="shared" si="184"/>
        <v>0</v>
      </c>
      <c r="L215" s="121">
        <f t="shared" si="184"/>
        <v>0.53702885927328603</v>
      </c>
      <c r="M215" s="121">
        <f t="shared" si="184"/>
        <v>0.81580004436070019</v>
      </c>
      <c r="N215" s="122">
        <f t="shared" si="184"/>
        <v>0.83961258619609358</v>
      </c>
      <c r="O215" s="121">
        <f t="shared" si="184"/>
        <v>0.86695291200710078</v>
      </c>
      <c r="P215" s="121">
        <f t="shared" si="184"/>
        <v>0.88106404790955628</v>
      </c>
      <c r="Q215" s="123">
        <f t="shared" si="184"/>
        <v>0.90311269775714276</v>
      </c>
      <c r="R215" s="122">
        <f t="shared" ref="R215:AB215" si="185">R162+R188</f>
        <v>1.1039263282242051</v>
      </c>
      <c r="S215" s="121">
        <f t="shared" si="185"/>
        <v>0.9320672553775825</v>
      </c>
      <c r="T215" s="121">
        <f t="shared" si="185"/>
        <v>0.75552593549132607</v>
      </c>
      <c r="U215" s="121">
        <f t="shared" si="185"/>
        <v>0.56013957998809161</v>
      </c>
      <c r="V215" s="121">
        <f t="shared" si="185"/>
        <v>0.35914667603444572</v>
      </c>
      <c r="W215" s="123">
        <f t="shared" si="185"/>
        <v>10.359004210140208</v>
      </c>
      <c r="X215" s="122">
        <f t="shared" si="185"/>
        <v>18.238715073331456</v>
      </c>
      <c r="Y215" s="121">
        <f t="shared" si="185"/>
        <v>17.845341580978435</v>
      </c>
      <c r="Z215" s="121">
        <f t="shared" si="185"/>
        <v>17.352851813820539</v>
      </c>
      <c r="AA215" s="121">
        <f t="shared" si="185"/>
        <v>16.657702120249979</v>
      </c>
      <c r="AB215" s="123">
        <f t="shared" si="185"/>
        <v>15.847832227801794</v>
      </c>
    </row>
    <row r="216" spans="4:28" ht="12.3" x14ac:dyDescent="0.35">
      <c r="D216" s="101" t="str">
        <f t="shared" si="160"/>
        <v>IT and Communications</v>
      </c>
      <c r="E216" s="119" t="s">
        <v>111</v>
      </c>
      <c r="F216" s="119" t="str">
        <f t="shared" si="161"/>
        <v>Dollars</v>
      </c>
      <c r="G216" s="119" t="str">
        <f t="shared" si="162"/>
        <v>Nominal</v>
      </c>
      <c r="H216" s="52" t="str">
        <f t="shared" si="163"/>
        <v>End_year</v>
      </c>
      <c r="J216" s="122">
        <f t="shared" ref="J216:Q216" si="186">K29</f>
        <v>0.58076591627221685</v>
      </c>
      <c r="K216" s="121">
        <f t="shared" si="186"/>
        <v>0.59519915206123042</v>
      </c>
      <c r="L216" s="121">
        <f t="shared" si="186"/>
        <v>0.62062913892758786</v>
      </c>
      <c r="M216" s="121">
        <f t="shared" si="186"/>
        <v>0.63574967165893548</v>
      </c>
      <c r="N216" s="122">
        <f t="shared" si="186"/>
        <v>0.654306689101953</v>
      </c>
      <c r="O216" s="121">
        <f t="shared" si="186"/>
        <v>0.67561289431430649</v>
      </c>
      <c r="P216" s="121">
        <f t="shared" si="186"/>
        <v>0.68660964539165037</v>
      </c>
      <c r="Q216" s="123">
        <f t="shared" si="186"/>
        <v>0.70379206895000002</v>
      </c>
      <c r="R216" s="122">
        <f t="shared" ref="R216:AB216" si="187">R163+R189</f>
        <v>0.63274905481995813</v>
      </c>
      <c r="S216" s="121">
        <f t="shared" si="187"/>
        <v>0.97299897474781272</v>
      </c>
      <c r="T216" s="121">
        <f t="shared" si="187"/>
        <v>1.6969518734413653</v>
      </c>
      <c r="U216" s="121">
        <f t="shared" si="187"/>
        <v>4.3149683990062879</v>
      </c>
      <c r="V216" s="121">
        <f t="shared" si="187"/>
        <v>8.7741730490967491</v>
      </c>
      <c r="W216" s="123">
        <f t="shared" si="187"/>
        <v>14.722412528496612</v>
      </c>
      <c r="X216" s="122">
        <f t="shared" si="187"/>
        <v>25.000738998015706</v>
      </c>
      <c r="Y216" s="121">
        <f t="shared" si="187"/>
        <v>35.059740484846159</v>
      </c>
      <c r="Z216" s="121">
        <f t="shared" si="187"/>
        <v>48.881118520751485</v>
      </c>
      <c r="AA216" s="121">
        <f t="shared" si="187"/>
        <v>52.386027378882595</v>
      </c>
      <c r="AB216" s="123">
        <f t="shared" si="187"/>
        <v>54.532072441958206</v>
      </c>
    </row>
    <row r="217" spans="4:28" ht="12.3" x14ac:dyDescent="0.35">
      <c r="D217" s="101" t="str">
        <f t="shared" si="160"/>
        <v>Motor Vehicles</v>
      </c>
      <c r="E217" s="119" t="s">
        <v>111</v>
      </c>
      <c r="F217" s="119" t="str">
        <f t="shared" si="161"/>
        <v>Dollars</v>
      </c>
      <c r="G217" s="119" t="str">
        <f t="shared" si="162"/>
        <v>Nominal</v>
      </c>
      <c r="H217" s="52" t="str">
        <f t="shared" si="163"/>
        <v>End_year</v>
      </c>
      <c r="J217" s="122">
        <f t="shared" ref="J217:Q217" si="188">K30</f>
        <v>3.6056529589843761E-2</v>
      </c>
      <c r="K217" s="121">
        <f t="shared" si="188"/>
        <v>3.6952609023437506E-2</v>
      </c>
      <c r="L217" s="121">
        <f t="shared" si="188"/>
        <v>3.8531415644531254E-2</v>
      </c>
      <c r="M217" s="121">
        <f t="shared" si="188"/>
        <v>3.9470165527343753E-2</v>
      </c>
      <c r="N217" s="122">
        <f t="shared" si="188"/>
        <v>4.0622267656250002E-2</v>
      </c>
      <c r="O217" s="121">
        <f t="shared" si="188"/>
        <v>4.1945051582031247E-2</v>
      </c>
      <c r="P217" s="121">
        <f t="shared" si="188"/>
        <v>4.2627778769531249E-2</v>
      </c>
      <c r="Q217" s="123">
        <f t="shared" si="188"/>
        <v>4.3694539999999997E-2</v>
      </c>
      <c r="R217" s="122">
        <f t="shared" ref="R217:AB217" si="189">R164+R190</f>
        <v>5.3410336523268272E-2</v>
      </c>
      <c r="S217" s="121">
        <f t="shared" si="189"/>
        <v>0.11854412273821796</v>
      </c>
      <c r="T217" s="121">
        <f t="shared" si="189"/>
        <v>0.11906284005719892</v>
      </c>
      <c r="U217" s="121">
        <f t="shared" si="189"/>
        <v>0.10468900852007203</v>
      </c>
      <c r="V217" s="121">
        <f t="shared" si="189"/>
        <v>9.684595611277938E-2</v>
      </c>
      <c r="W217" s="123">
        <f t="shared" si="189"/>
        <v>0.31276830796123112</v>
      </c>
      <c r="X217" s="122">
        <f t="shared" si="189"/>
        <v>0.28272681265523691</v>
      </c>
      <c r="Y217" s="121">
        <f t="shared" si="189"/>
        <v>0.25104447183633627</v>
      </c>
      <c r="Z217" s="121">
        <f t="shared" si="189"/>
        <v>0.21765937306113065</v>
      </c>
      <c r="AA217" s="121">
        <f t="shared" si="189"/>
        <v>0.18250756610789015</v>
      </c>
      <c r="AB217" s="123">
        <f t="shared" si="189"/>
        <v>0.14552300055403541</v>
      </c>
    </row>
    <row r="218" spans="4:28" ht="12.3" x14ac:dyDescent="0.35">
      <c r="D218" s="101" t="str">
        <f t="shared" si="160"/>
        <v>Plant and Equipment</v>
      </c>
      <c r="E218" s="119" t="s">
        <v>111</v>
      </c>
      <c r="F218" s="119" t="str">
        <f t="shared" si="161"/>
        <v>Dollars</v>
      </c>
      <c r="G218" s="119" t="str">
        <f t="shared" si="162"/>
        <v>Nominal</v>
      </c>
      <c r="H218" s="52" t="str">
        <f t="shared" si="163"/>
        <v>End_year</v>
      </c>
      <c r="J218" s="122">
        <f t="shared" ref="J218:Q218" si="190">K31</f>
        <v>0.78486056098329571</v>
      </c>
      <c r="K218" s="121">
        <f t="shared" si="190"/>
        <v>0.56349216897117804</v>
      </c>
      <c r="L218" s="121">
        <f t="shared" si="190"/>
        <v>0.25393041120266613</v>
      </c>
      <c r="M218" s="121">
        <f t="shared" si="190"/>
        <v>0</v>
      </c>
      <c r="N218" s="122">
        <f t="shared" si="190"/>
        <v>0</v>
      </c>
      <c r="O218" s="121">
        <f t="shared" si="190"/>
        <v>0.27398178843669374</v>
      </c>
      <c r="P218" s="121">
        <f t="shared" si="190"/>
        <v>2.7754829172530551</v>
      </c>
      <c r="Q218" s="123">
        <f t="shared" si="190"/>
        <v>7.2053953999153562</v>
      </c>
      <c r="R218" s="122">
        <f t="shared" ref="R218:AB218" si="191">R165+R191</f>
        <v>8.1172821226019565</v>
      </c>
      <c r="S218" s="121">
        <f t="shared" si="191"/>
        <v>7.4220508880892089</v>
      </c>
      <c r="T218" s="121">
        <f t="shared" si="191"/>
        <v>5.9401022550155727</v>
      </c>
      <c r="U218" s="121">
        <f t="shared" si="191"/>
        <v>4.3784346055016856</v>
      </c>
      <c r="V218" s="121">
        <f t="shared" si="191"/>
        <v>3.0635351349286006</v>
      </c>
      <c r="W218" s="123">
        <f t="shared" si="191"/>
        <v>0.44612408791802638</v>
      </c>
      <c r="X218" s="122">
        <f t="shared" si="191"/>
        <v>1.651462668280232</v>
      </c>
      <c r="Y218" s="121">
        <f t="shared" si="191"/>
        <v>2.8762988539584056</v>
      </c>
      <c r="Z218" s="121">
        <f t="shared" si="191"/>
        <v>4.0210028130319504</v>
      </c>
      <c r="AA218" s="121">
        <f t="shared" si="191"/>
        <v>5.2243795102552442</v>
      </c>
      <c r="AB218" s="123">
        <f t="shared" si="191"/>
        <v>6.4328756986436222</v>
      </c>
    </row>
    <row r="219" spans="4:28" ht="12.3" x14ac:dyDescent="0.35">
      <c r="D219" s="101" t="str">
        <f t="shared" ref="D219:D220" si="192">D32</f>
        <v>Property Leases</v>
      </c>
      <c r="E219" s="119" t="s">
        <v>111</v>
      </c>
      <c r="F219" s="119" t="str">
        <f t="shared" si="161"/>
        <v>Dollars</v>
      </c>
      <c r="G219" s="119" t="str">
        <f t="shared" si="162"/>
        <v>Nominal</v>
      </c>
      <c r="H219" s="52" t="str">
        <f t="shared" si="163"/>
        <v>End_year</v>
      </c>
      <c r="J219" s="122">
        <f t="shared" ref="J219:J220" si="193">K32</f>
        <v>0</v>
      </c>
      <c r="K219" s="121">
        <f t="shared" ref="K219:K220" si="194">L32</f>
        <v>0</v>
      </c>
      <c r="L219" s="121">
        <f t="shared" ref="L219:L220" si="195">M32</f>
        <v>0</v>
      </c>
      <c r="M219" s="121">
        <f t="shared" ref="M219:M220" si="196">N32</f>
        <v>0</v>
      </c>
      <c r="N219" s="122">
        <f t="shared" ref="N219:N220" si="197">O32</f>
        <v>0</v>
      </c>
      <c r="O219" s="121">
        <f t="shared" ref="O219:O220" si="198">P32</f>
        <v>0</v>
      </c>
      <c r="P219" s="121">
        <f t="shared" ref="P219:P220" si="199">Q32</f>
        <v>0</v>
      </c>
      <c r="Q219" s="123">
        <f t="shared" ref="Q219:Q220" si="200">R32</f>
        <v>0</v>
      </c>
      <c r="R219" s="122">
        <f t="shared" ref="R219:AB219" si="201">R166+R192</f>
        <v>0</v>
      </c>
      <c r="S219" s="121">
        <f t="shared" si="201"/>
        <v>0</v>
      </c>
      <c r="T219" s="121">
        <f t="shared" si="201"/>
        <v>0</v>
      </c>
      <c r="U219" s="121">
        <f t="shared" si="201"/>
        <v>0</v>
      </c>
      <c r="V219" s="121">
        <f t="shared" si="201"/>
        <v>0</v>
      </c>
      <c r="W219" s="123">
        <f t="shared" si="201"/>
        <v>0</v>
      </c>
      <c r="X219" s="122">
        <f t="shared" si="201"/>
        <v>5.6545321858324371</v>
      </c>
      <c r="Y219" s="121">
        <f t="shared" si="201"/>
        <v>5.425065426331364</v>
      </c>
      <c r="Z219" s="121">
        <f t="shared" si="201"/>
        <v>29.871448739199082</v>
      </c>
      <c r="AA219" s="121">
        <f t="shared" si="201"/>
        <v>28.610551045279017</v>
      </c>
      <c r="AB219" s="123">
        <f t="shared" si="201"/>
        <v>27.925381568555377</v>
      </c>
    </row>
    <row r="220" spans="4:28" ht="12.3" x14ac:dyDescent="0.35">
      <c r="D220" s="101" t="str">
        <f t="shared" si="192"/>
        <v>Fleet Leases</v>
      </c>
      <c r="E220" s="119" t="s">
        <v>111</v>
      </c>
      <c r="F220" s="119" t="str">
        <f t="shared" si="161"/>
        <v>Dollars</v>
      </c>
      <c r="G220" s="119" t="str">
        <f t="shared" si="162"/>
        <v>Nominal</v>
      </c>
      <c r="H220" s="52" t="str">
        <f t="shared" si="163"/>
        <v>End_year</v>
      </c>
      <c r="J220" s="122">
        <f t="shared" si="193"/>
        <v>0</v>
      </c>
      <c r="K220" s="121">
        <f t="shared" si="194"/>
        <v>0</v>
      </c>
      <c r="L220" s="121">
        <f t="shared" si="195"/>
        <v>0</v>
      </c>
      <c r="M220" s="121">
        <f t="shared" si="196"/>
        <v>0</v>
      </c>
      <c r="N220" s="122">
        <f t="shared" si="197"/>
        <v>0</v>
      </c>
      <c r="O220" s="121">
        <f t="shared" si="198"/>
        <v>0</v>
      </c>
      <c r="P220" s="121">
        <f t="shared" si="199"/>
        <v>0</v>
      </c>
      <c r="Q220" s="123">
        <f t="shared" si="200"/>
        <v>0</v>
      </c>
      <c r="R220" s="122">
        <f t="shared" ref="R220:AB220" si="202">R167+R193</f>
        <v>0</v>
      </c>
      <c r="S220" s="121">
        <f t="shared" si="202"/>
        <v>0</v>
      </c>
      <c r="T220" s="121">
        <f t="shared" si="202"/>
        <v>0</v>
      </c>
      <c r="U220" s="121">
        <f t="shared" si="202"/>
        <v>0</v>
      </c>
      <c r="V220" s="121">
        <f t="shared" si="202"/>
        <v>0</v>
      </c>
      <c r="W220" s="123">
        <f t="shared" si="202"/>
        <v>0</v>
      </c>
      <c r="X220" s="122">
        <f t="shared" si="202"/>
        <v>17.442098565293531</v>
      </c>
      <c r="Y220" s="121">
        <f t="shared" si="202"/>
        <v>19.515612909606673</v>
      </c>
      <c r="Z220" s="121">
        <f t="shared" si="202"/>
        <v>20.205255562567572</v>
      </c>
      <c r="AA220" s="121">
        <f t="shared" si="202"/>
        <v>21.013124643323572</v>
      </c>
      <c r="AB220" s="123">
        <f t="shared" si="202"/>
        <v>19.884167884385938</v>
      </c>
    </row>
    <row r="221" spans="4:28" ht="12.3" x14ac:dyDescent="0.35">
      <c r="D221" s="101" t="str">
        <f t="shared" ref="D221" si="203">D34</f>
        <v>Equity Raising Costs</v>
      </c>
      <c r="E221" s="119" t="s">
        <v>111</v>
      </c>
      <c r="F221" s="119" t="str">
        <f t="shared" si="161"/>
        <v>Dollars</v>
      </c>
      <c r="G221" s="119" t="str">
        <f t="shared" si="162"/>
        <v>Nominal</v>
      </c>
      <c r="H221" s="52" t="str">
        <f t="shared" si="163"/>
        <v>End_year</v>
      </c>
      <c r="J221" s="122">
        <f t="shared" ref="J221:Q221" si="204">K34</f>
        <v>0</v>
      </c>
      <c r="K221" s="121">
        <f t="shared" si="204"/>
        <v>0</v>
      </c>
      <c r="L221" s="121">
        <f t="shared" si="204"/>
        <v>0</v>
      </c>
      <c r="M221" s="121">
        <f t="shared" si="204"/>
        <v>0</v>
      </c>
      <c r="N221" s="122">
        <f t="shared" si="204"/>
        <v>0</v>
      </c>
      <c r="O221" s="121">
        <f t="shared" si="204"/>
        <v>0</v>
      </c>
      <c r="P221" s="121">
        <f t="shared" si="204"/>
        <v>0</v>
      </c>
      <c r="Q221" s="123">
        <f t="shared" si="204"/>
        <v>0</v>
      </c>
      <c r="R221" s="122">
        <f t="shared" ref="R221:AB221" si="205">R168+R194</f>
        <v>0</v>
      </c>
      <c r="S221" s="121">
        <f t="shared" si="205"/>
        <v>0</v>
      </c>
      <c r="T221" s="121">
        <f t="shared" si="205"/>
        <v>0</v>
      </c>
      <c r="U221" s="121">
        <f t="shared" si="205"/>
        <v>0</v>
      </c>
      <c r="V221" s="121">
        <f t="shared" si="205"/>
        <v>0</v>
      </c>
      <c r="W221" s="123">
        <f t="shared" si="205"/>
        <v>0</v>
      </c>
      <c r="X221" s="122">
        <f t="shared" si="205"/>
        <v>1.2872020192307105</v>
      </c>
      <c r="Y221" s="121">
        <f t="shared" si="205"/>
        <v>1.0547320438290999</v>
      </c>
      <c r="Z221" s="121">
        <f t="shared" si="205"/>
        <v>0.81023098039864649</v>
      </c>
      <c r="AA221" s="121">
        <f t="shared" si="205"/>
        <v>0.55325204407324569</v>
      </c>
      <c r="AB221" s="123">
        <f t="shared" si="205"/>
        <v>0.28333385634114899</v>
      </c>
    </row>
    <row r="222" spans="4:28" x14ac:dyDescent="0.35">
      <c r="J222" s="114"/>
      <c r="K222" s="115"/>
      <c r="L222" s="115"/>
      <c r="M222" s="115"/>
      <c r="N222" s="114"/>
      <c r="O222" s="115"/>
      <c r="P222" s="115"/>
      <c r="Q222" s="117"/>
      <c r="R222" s="114"/>
      <c r="S222" s="115"/>
      <c r="T222" s="115"/>
      <c r="U222" s="115"/>
      <c r="V222" s="115"/>
      <c r="W222" s="117"/>
      <c r="X222" s="114"/>
      <c r="Y222" s="115"/>
      <c r="Z222" s="115"/>
      <c r="AA222" s="115"/>
      <c r="AB222" s="117"/>
    </row>
    <row r="223" spans="4:28" ht="12.3" x14ac:dyDescent="0.35">
      <c r="D223" s="124" t="str">
        <f>"Total "&amp;D203</f>
        <v>Total RAB Asset Class</v>
      </c>
      <c r="E223" s="125" t="s">
        <v>111</v>
      </c>
      <c r="F223" s="125" t="str">
        <f>F205</f>
        <v>Dollars</v>
      </c>
      <c r="G223" s="125" t="str">
        <f>G205</f>
        <v>Nominal</v>
      </c>
      <c r="H223" s="47" t="str">
        <f>H205</f>
        <v>End_year</v>
      </c>
      <c r="J223" s="126">
        <f t="shared" ref="J223:AB223" si="206">SUM(J205:J221)</f>
        <v>361.29910007209719</v>
      </c>
      <c r="K223" s="127">
        <f t="shared" si="206"/>
        <v>381.2671765378895</v>
      </c>
      <c r="L223" s="127">
        <f t="shared" si="206"/>
        <v>426.23191748430435</v>
      </c>
      <c r="M223" s="127">
        <f t="shared" si="206"/>
        <v>476.54653007073165</v>
      </c>
      <c r="N223" s="126">
        <f t="shared" si="206"/>
        <v>545.18108755768151</v>
      </c>
      <c r="O223" s="127">
        <f t="shared" si="206"/>
        <v>627.04053878422633</v>
      </c>
      <c r="P223" s="127">
        <f t="shared" si="206"/>
        <v>685.44809762150351</v>
      </c>
      <c r="Q223" s="129">
        <f t="shared" si="206"/>
        <v>780.34731061589048</v>
      </c>
      <c r="R223" s="126">
        <f t="shared" si="206"/>
        <v>853.14139286484397</v>
      </c>
      <c r="S223" s="127">
        <f t="shared" si="206"/>
        <v>893.0226956434409</v>
      </c>
      <c r="T223" s="127">
        <f t="shared" si="206"/>
        <v>918.5274629227896</v>
      </c>
      <c r="U223" s="127">
        <f t="shared" si="206"/>
        <v>937.04991301476116</v>
      </c>
      <c r="V223" s="127">
        <f t="shared" si="206"/>
        <v>950.2943210800446</v>
      </c>
      <c r="W223" s="129">
        <f t="shared" si="206"/>
        <v>973.50319741571764</v>
      </c>
      <c r="X223" s="126">
        <f t="shared" si="206"/>
        <v>1048.393764359053</v>
      </c>
      <c r="Y223" s="127">
        <f t="shared" si="206"/>
        <v>1096.5249850968944</v>
      </c>
      <c r="Z223" s="127">
        <f t="shared" si="206"/>
        <v>1168.7634131433192</v>
      </c>
      <c r="AA223" s="127">
        <f t="shared" si="206"/>
        <v>1204.4887471495513</v>
      </c>
      <c r="AB223" s="129">
        <f t="shared" si="206"/>
        <v>1231.7638891913089</v>
      </c>
    </row>
    <row r="224" spans="4:28" s="108" customFormat="1" ht="11.25" customHeight="1" x14ac:dyDescent="0.35">
      <c r="H224" s="6"/>
      <c r="R224" s="374"/>
    </row>
    <row r="225" spans="1:28" s="108" customFormat="1" ht="11.25" customHeight="1" x14ac:dyDescent="0.35">
      <c r="A225" s="95">
        <f>IF(SUM($J225:$AB225)&lt;&gt;0,1,0)</f>
        <v>0</v>
      </c>
      <c r="D225" s="101" t="s">
        <v>206</v>
      </c>
      <c r="H225" s="6"/>
      <c r="J225" s="130">
        <f t="shared" ref="J225:AB225" si="207">IF(ROUND(SUM(J36,J62,J89,J116,J143,J196)-J223,5)&lt;&gt;0,1,0)</f>
        <v>0</v>
      </c>
      <c r="K225" s="130">
        <f t="shared" si="207"/>
        <v>0</v>
      </c>
      <c r="L225" s="130">
        <f t="shared" si="207"/>
        <v>0</v>
      </c>
      <c r="M225" s="130">
        <f t="shared" si="207"/>
        <v>0</v>
      </c>
      <c r="N225" s="130">
        <f t="shared" si="207"/>
        <v>0</v>
      </c>
      <c r="O225" s="130">
        <f t="shared" si="207"/>
        <v>0</v>
      </c>
      <c r="P225" s="130">
        <f t="shared" si="207"/>
        <v>0</v>
      </c>
      <c r="Q225" s="130">
        <f t="shared" si="207"/>
        <v>0</v>
      </c>
      <c r="R225" s="130">
        <f t="shared" si="207"/>
        <v>0</v>
      </c>
      <c r="S225" s="130">
        <f t="shared" si="207"/>
        <v>0</v>
      </c>
      <c r="T225" s="130">
        <f t="shared" si="207"/>
        <v>0</v>
      </c>
      <c r="U225" s="130">
        <f t="shared" si="207"/>
        <v>0</v>
      </c>
      <c r="V225" s="130">
        <f t="shared" si="207"/>
        <v>0</v>
      </c>
      <c r="W225" s="130">
        <f t="shared" si="207"/>
        <v>0</v>
      </c>
      <c r="X225" s="130">
        <f t="shared" si="207"/>
        <v>0</v>
      </c>
      <c r="Y225" s="130">
        <f t="shared" si="207"/>
        <v>0</v>
      </c>
      <c r="Z225" s="130">
        <f t="shared" si="207"/>
        <v>0</v>
      </c>
      <c r="AA225" s="130">
        <f t="shared" si="207"/>
        <v>0</v>
      </c>
      <c r="AB225" s="130">
        <f t="shared" si="207"/>
        <v>0</v>
      </c>
    </row>
    <row r="226" spans="1:28" s="108" customFormat="1" ht="11.25" customHeight="1" x14ac:dyDescent="0.35">
      <c r="A226" s="95">
        <f>IF(SUM($J226:$AB226)&lt;&gt;0,1,0)</f>
        <v>0</v>
      </c>
      <c r="D226" s="101" t="s">
        <v>207</v>
      </c>
      <c r="H226" s="7"/>
      <c r="J226" s="137" t="str">
        <f t="shared" ref="J226:Q226" si="208">NA</f>
        <v>N/A</v>
      </c>
      <c r="K226" s="130" t="str">
        <f t="shared" si="208"/>
        <v>N/A</v>
      </c>
      <c r="L226" s="130" t="str">
        <f t="shared" si="208"/>
        <v>N/A</v>
      </c>
      <c r="M226" s="138" t="str">
        <f t="shared" si="208"/>
        <v>N/A</v>
      </c>
      <c r="N226" s="137" t="str">
        <f t="shared" si="208"/>
        <v>N/A</v>
      </c>
      <c r="O226" s="130" t="str">
        <f t="shared" si="208"/>
        <v>N/A</v>
      </c>
      <c r="P226" s="130" t="str">
        <f t="shared" si="208"/>
        <v>N/A</v>
      </c>
      <c r="Q226" s="138" t="str">
        <f t="shared" si="208"/>
        <v>N/A</v>
      </c>
      <c r="R226" s="137">
        <f>IF(ROUND(SUM('[2]Total RAB roll forward'!G$202:G$215)+SUM('[2]Total RAB roll forward'!G$234:G$247)+SUM('[2]Total RAB roll forward'!G$266:G$279)+SUM('[2]Total RAB roll forward'!G$298:G$311)-R223,3)&lt;&gt;0,1,0)</f>
        <v>0</v>
      </c>
      <c r="S226" s="130">
        <f>IF(ROUND(SUM('[2]Total RAB roll forward'!H$202:H$215)+SUM('[2]Total RAB roll forward'!H$234:H$247)+SUM('[2]Total RAB roll forward'!H$266:H$279)+SUM('[2]Total RAB roll forward'!H$298:H$311)-S223,3)&lt;&gt;0,1,0)</f>
        <v>0</v>
      </c>
      <c r="T226" s="130">
        <f>IF(ROUND(SUM('[2]Total RAB roll forward'!I$202:I$215)+SUM('[2]Total RAB roll forward'!I$234:I$247)+SUM('[2]Total RAB roll forward'!I$266:I$279)+SUM('[2]Total RAB roll forward'!I$298:I$311)-T223,3)&lt;&gt;0,1,0)</f>
        <v>0</v>
      </c>
      <c r="U226" s="130">
        <f>IF(ROUND(SUM('[2]Total RAB roll forward'!J$202:J$215)+SUM('[2]Total RAB roll forward'!J$234:J$247)+SUM('[2]Total RAB roll forward'!J$266:J$279)+SUM('[2]Total RAB roll forward'!J$298:J$311)-U223,3)&lt;&gt;0,1,0)</f>
        <v>0</v>
      </c>
      <c r="V226" s="130">
        <f>IF(ROUND(SUM('[2]Total RAB roll forward'!K$202:K$215)+SUM('[2]Total RAB roll forward'!K$234:K$247)+SUM('[2]Total RAB roll forward'!K$266:K$279)+SUM('[2]Total RAB roll forward'!K$298:K$311)-V223,3)&lt;&gt;0,1,0)</f>
        <v>0</v>
      </c>
      <c r="W226" s="138">
        <f>IF(ROUND(SUM('[2]Total RAB roll forward'!L$202:L$215)+SUM('[2]Total RAB roll forward'!L$234:L$247)+SUM('[2]Total RAB roll forward'!L$266:L$279)+SUM('[2]Total RAB roll forward'!L$298:L$311)-W223,3)&lt;&gt;0,1,0)</f>
        <v>0</v>
      </c>
      <c r="X226" s="137">
        <f>IF(ROUND([5]Assets!G878-X223,1)&lt;&gt;0,1,0)</f>
        <v>0</v>
      </c>
      <c r="Y226" s="130">
        <f>IF(ROUND([5]Assets!H878-Y223,1)&lt;&gt;0,1,0)</f>
        <v>0</v>
      </c>
      <c r="Z226" s="130">
        <f>IF(ROUND([5]Assets!I878-Z223,1)&lt;&gt;0,1,0)</f>
        <v>0</v>
      </c>
      <c r="AA226" s="130">
        <f>IF(ROUND([5]Assets!J878-AA223,1)&lt;&gt;0,1,0)</f>
        <v>0</v>
      </c>
      <c r="AB226" s="138">
        <f>IF(ROUND([5]Assets!K878-AB223,1)&lt;&gt;0,1,0)</f>
        <v>0</v>
      </c>
    </row>
    <row r="227" spans="1:28" s="108" customFormat="1" ht="11.25" customHeight="1" x14ac:dyDescent="0.35">
      <c r="A227" s="95">
        <f>IF(SUM($J227:$AB227)&lt;&gt;0,1,0)</f>
        <v>0</v>
      </c>
      <c r="D227" s="101" t="s">
        <v>477</v>
      </c>
      <c r="H227" s="7"/>
      <c r="J227" s="130">
        <f>IF(COUNTIF(J205:J221,"&lt;"&amp;0)&gt;0,1,0)</f>
        <v>0</v>
      </c>
      <c r="K227" s="130">
        <f t="shared" ref="K227:AB227" si="209">IF(COUNTIF(K205:K221,"&lt;"&amp;0)&gt;0,1,0)</f>
        <v>0</v>
      </c>
      <c r="L227" s="130">
        <f t="shared" si="209"/>
        <v>0</v>
      </c>
      <c r="M227" s="130">
        <f t="shared" si="209"/>
        <v>0</v>
      </c>
      <c r="N227" s="130">
        <f t="shared" si="209"/>
        <v>0</v>
      </c>
      <c r="O227" s="130">
        <f t="shared" si="209"/>
        <v>0</v>
      </c>
      <c r="P227" s="130">
        <f t="shared" si="209"/>
        <v>0</v>
      </c>
      <c r="Q227" s="130">
        <f t="shared" si="209"/>
        <v>0</v>
      </c>
      <c r="R227" s="130">
        <f t="shared" si="209"/>
        <v>0</v>
      </c>
      <c r="S227" s="130">
        <f t="shared" si="209"/>
        <v>0</v>
      </c>
      <c r="T227" s="130">
        <f t="shared" si="209"/>
        <v>0</v>
      </c>
      <c r="U227" s="130">
        <f t="shared" si="209"/>
        <v>0</v>
      </c>
      <c r="V227" s="130">
        <f t="shared" si="209"/>
        <v>0</v>
      </c>
      <c r="W227" s="130">
        <f t="shared" si="209"/>
        <v>0</v>
      </c>
      <c r="X227" s="130">
        <f t="shared" si="209"/>
        <v>0</v>
      </c>
      <c r="Y227" s="130">
        <f t="shared" si="209"/>
        <v>0</v>
      </c>
      <c r="Z227" s="130">
        <f t="shared" si="209"/>
        <v>0</v>
      </c>
      <c r="AA227" s="130">
        <f t="shared" si="209"/>
        <v>0</v>
      </c>
      <c r="AB227" s="130">
        <f t="shared" si="209"/>
        <v>0</v>
      </c>
    </row>
    <row r="229" spans="1:28" s="107" customFormat="1" ht="15" x14ac:dyDescent="0.35">
      <c r="B229" s="107" t="s">
        <v>462</v>
      </c>
      <c r="H229" s="4"/>
    </row>
    <row r="231" spans="1:28" ht="12.3" x14ac:dyDescent="0.35">
      <c r="D231" s="110" t="s">
        <v>463</v>
      </c>
      <c r="E231" s="111" t="str">
        <f>Lookup!E$20</f>
        <v>Source</v>
      </c>
      <c r="F231" s="111" t="str">
        <f>Lookup!F$20</f>
        <v>Unit</v>
      </c>
      <c r="G231" s="111" t="str">
        <f>Lookup!G$20</f>
        <v>Basis</v>
      </c>
      <c r="H231" s="45" t="str">
        <f>Lookup!H$20</f>
        <v>Timing</v>
      </c>
      <c r="J231" s="112" t="str">
        <f>J$10</f>
        <v>RY06</v>
      </c>
      <c r="K231" s="111" t="str">
        <f t="shared" ref="K231:AB231" si="210">K$10</f>
        <v>RY07</v>
      </c>
      <c r="L231" s="111" t="str">
        <f t="shared" si="210"/>
        <v>RY08</v>
      </c>
      <c r="M231" s="111" t="str">
        <f t="shared" si="210"/>
        <v>RY09</v>
      </c>
      <c r="N231" s="112" t="str">
        <f t="shared" si="210"/>
        <v>RY10</v>
      </c>
      <c r="O231" s="111" t="str">
        <f>O$10</f>
        <v>RY11</v>
      </c>
      <c r="P231" s="111" t="str">
        <f t="shared" si="210"/>
        <v>RY12</v>
      </c>
      <c r="Q231" s="113" t="str">
        <f t="shared" si="210"/>
        <v>RY13</v>
      </c>
      <c r="R231" s="112" t="str">
        <f t="shared" si="210"/>
        <v>RY14</v>
      </c>
      <c r="S231" s="111" t="str">
        <f t="shared" si="210"/>
        <v>RY15</v>
      </c>
      <c r="T231" s="111" t="str">
        <f>T$10</f>
        <v>RY16</v>
      </c>
      <c r="U231" s="111" t="str">
        <f t="shared" si="210"/>
        <v>RY17</v>
      </c>
      <c r="V231" s="111" t="str">
        <f t="shared" si="210"/>
        <v>RY18</v>
      </c>
      <c r="W231" s="113" t="str">
        <f t="shared" si="210"/>
        <v>RY19</v>
      </c>
      <c r="X231" s="112" t="str">
        <f t="shared" si="210"/>
        <v>RY20</v>
      </c>
      <c r="Y231" s="111" t="str">
        <f>Y$10</f>
        <v>RY21</v>
      </c>
      <c r="Z231" s="111" t="str">
        <f t="shared" si="210"/>
        <v>RY22</v>
      </c>
      <c r="AA231" s="111" t="str">
        <f t="shared" si="210"/>
        <v>RY23</v>
      </c>
      <c r="AB231" s="113" t="str">
        <f t="shared" si="210"/>
        <v>RY24</v>
      </c>
    </row>
    <row r="232" spans="1:28" x14ac:dyDescent="0.35">
      <c r="J232" s="114"/>
      <c r="K232" s="115"/>
      <c r="L232" s="115"/>
      <c r="M232" s="115"/>
      <c r="N232" s="114"/>
      <c r="O232" s="115"/>
      <c r="P232" s="115"/>
      <c r="Q232" s="117"/>
      <c r="R232" s="114"/>
      <c r="S232" s="115"/>
      <c r="T232" s="115"/>
      <c r="U232" s="115"/>
      <c r="V232" s="115"/>
      <c r="W232" s="117"/>
      <c r="X232" s="114"/>
      <c r="Y232" s="115"/>
      <c r="Z232" s="115"/>
      <c r="AA232" s="115"/>
      <c r="AB232" s="117"/>
    </row>
    <row r="233" spans="1:28" ht="12.3" x14ac:dyDescent="0.35">
      <c r="D233" s="101" t="str">
        <f>Input_Inflation!D$18</f>
        <v>CPI Input</v>
      </c>
      <c r="E233" s="119" t="str">
        <f>Input_Inflation!E$18</f>
        <v>ABS/RBA</v>
      </c>
      <c r="F233" s="119" t="str">
        <f>Input_Inflation!F$18</f>
        <v>Percent</v>
      </c>
      <c r="G233" s="119" t="str">
        <f>Input_Inflation!G$18</f>
        <v>N/A</v>
      </c>
      <c r="H233" s="52" t="str">
        <f>Input_Inflation!H$18</f>
        <v>N/A</v>
      </c>
      <c r="J233" s="334">
        <f>Input_Inflation!N$18</f>
        <v>2.923264311814866E-2</v>
      </c>
      <c r="K233" s="335">
        <f>Input_Inflation!O$18</f>
        <v>2.485207100591702E-2</v>
      </c>
      <c r="L233" s="335">
        <f>Input_Inflation!P$18</f>
        <v>4.2725173210161671E-2</v>
      </c>
      <c r="M233" s="335">
        <f>Input_Inflation!Q$18</f>
        <v>2.4363233665559259E-2</v>
      </c>
      <c r="N233" s="334">
        <f>Input_Inflation!R$18</f>
        <v>2.9189189189189113E-2</v>
      </c>
      <c r="O233" s="335">
        <f>Input_Inflation!S$18</f>
        <v>3.2563025210083918E-2</v>
      </c>
      <c r="P233" s="335">
        <f>Input_Inflation!T$18</f>
        <v>1.6276703967446737E-2</v>
      </c>
      <c r="Q233" s="336">
        <f>Input_Inflation!U$18</f>
        <v>2.5025025025025016E-2</v>
      </c>
      <c r="R233" s="334">
        <f>Input_Inflation!V$18</f>
        <v>2.4498886414253906E-2</v>
      </c>
      <c r="S233" s="335">
        <f>Input_Inflation!W$18</f>
        <v>1.3282732447817747E-2</v>
      </c>
      <c r="T233" s="335">
        <f>Input_Inflation!X$18</f>
        <v>1.3108614232209881E-2</v>
      </c>
      <c r="U233" s="335">
        <f>Input_Inflation!Y$18</f>
        <v>2.1256931608133023E-2</v>
      </c>
      <c r="V233" s="335">
        <f>Input_Inflation!Z$18</f>
        <v>2.4248746575396662E-2</v>
      </c>
      <c r="W233" s="336">
        <f>Input_Inflation!AA$18</f>
        <v>2.4248746575396662E-2</v>
      </c>
      <c r="X233" s="334">
        <f>Input_Inflation!AB$18</f>
        <v>2.4248746575396662E-2</v>
      </c>
      <c r="Y233" s="335">
        <f>Input_Inflation!AC$18</f>
        <v>2.4248746575396662E-2</v>
      </c>
      <c r="Z233" s="335">
        <f>Input_Inflation!AD$18</f>
        <v>2.4248746575396662E-2</v>
      </c>
      <c r="AA233" s="335">
        <f>Input_Inflation!AE$18</f>
        <v>2.4248746575396662E-2</v>
      </c>
      <c r="AB233" s="336">
        <f>Input_Inflation!AF$18</f>
        <v>2.4248746575396662E-2</v>
      </c>
    </row>
    <row r="234" spans="1:28" x14ac:dyDescent="0.35">
      <c r="N234" s="140"/>
      <c r="R234" s="115"/>
    </row>
    <row r="235" spans="1:28" ht="12.3" x14ac:dyDescent="0.35">
      <c r="D235" s="101" t="str">
        <f>Input_Inflation!D$28</f>
        <v>Real 2002 to Nominal</v>
      </c>
      <c r="E235" s="119" t="str">
        <f>Input_Inflation!E$28</f>
        <v>Calculated</v>
      </c>
      <c r="F235" s="119" t="str">
        <f>Input_Inflation!F$28</f>
        <v>Factor</v>
      </c>
      <c r="G235" s="119" t="str">
        <f>Input_Inflation!G$28</f>
        <v>N/A</v>
      </c>
      <c r="H235" s="52" t="str">
        <f>Input_Inflation!H$28</f>
        <v>N/A</v>
      </c>
      <c r="J235" s="341">
        <f>Input_Inflation!N$28</f>
        <v>1.1103810775295664</v>
      </c>
      <c r="K235" s="342">
        <f>Input_Inflation!O$28</f>
        <v>1.1379763469119579</v>
      </c>
      <c r="L235" s="342">
        <f>Input_Inflation!P$28</f>
        <v>1.1865965834428382</v>
      </c>
      <c r="M235" s="342">
        <f>Input_Inflation!Q$28</f>
        <v>1.2155059132720103</v>
      </c>
      <c r="N235" s="341">
        <f>Input_Inflation!R$28</f>
        <v>1.2509855453350851</v>
      </c>
      <c r="O235" s="342">
        <f>Input_Inflation!S$28</f>
        <v>1.2917214191852822</v>
      </c>
      <c r="P235" s="342">
        <f>Input_Inflation!T$28</f>
        <v>1.3127463863337712</v>
      </c>
      <c r="Q235" s="343">
        <f>Input_Inflation!U$28</f>
        <v>1.345597897503285</v>
      </c>
      <c r="R235" s="341">
        <f>Input_Inflation!V$28</f>
        <v>1.3785635475534768</v>
      </c>
      <c r="S235" s="342">
        <f>Input_Inflation!W$28</f>
        <v>1.396874638317944</v>
      </c>
      <c r="T235" s="342">
        <f>Input_Inflation!X$28</f>
        <v>1.4151857290824117</v>
      </c>
      <c r="U235" s="342">
        <f>Input_Inflation!Y$28</f>
        <v>1.4452682353383224</v>
      </c>
      <c r="V235" s="342">
        <f>Input_Inflation!Z$28</f>
        <v>1.4803141785105121</v>
      </c>
      <c r="W235" s="343">
        <f>Input_Inflation!AA$28</f>
        <v>1.5162099418771799</v>
      </c>
      <c r="X235" s="341">
        <f>Input_Inflation!AB$28</f>
        <v>1.5529761325128566</v>
      </c>
      <c r="Y235" s="342">
        <f>Input_Inflation!AC$28</f>
        <v>1.5906338571878005</v>
      </c>
      <c r="Z235" s="342">
        <f>Input_Inflation!AD$28</f>
        <v>1.6292047344849931</v>
      </c>
      <c r="AA235" s="342">
        <f>Input_Inflation!AE$28</f>
        <v>1.6687109072109561</v>
      </c>
      <c r="AB235" s="343">
        <f>Input_Inflation!AF$28</f>
        <v>1.7091750551075149</v>
      </c>
    </row>
    <row r="236" spans="1:28" ht="12.3" x14ac:dyDescent="0.35">
      <c r="D236" s="101" t="str">
        <f>Input_Inflation!D$29</f>
        <v>Real 2009 to Nominal</v>
      </c>
      <c r="E236" s="119" t="str">
        <f>Input_Inflation!E$29</f>
        <v>Calculated</v>
      </c>
      <c r="F236" s="119" t="str">
        <f>Input_Inflation!F$29</f>
        <v>Factor</v>
      </c>
      <c r="G236" s="119" t="str">
        <f>Input_Inflation!G$29</f>
        <v>N/A</v>
      </c>
      <c r="H236" s="52" t="str">
        <f>Input_Inflation!H$29</f>
        <v>N/A</v>
      </c>
      <c r="J236" s="341">
        <f>Input_Inflation!N$29</f>
        <v>0</v>
      </c>
      <c r="K236" s="342">
        <f>Input_Inflation!O$29</f>
        <v>0</v>
      </c>
      <c r="L236" s="342">
        <f>Input_Inflation!P$29</f>
        <v>0</v>
      </c>
      <c r="M236" s="342">
        <f>Input_Inflation!Q$29</f>
        <v>1</v>
      </c>
      <c r="N236" s="341">
        <f>Input_Inflation!R$29</f>
        <v>1.0291891891891891</v>
      </c>
      <c r="O236" s="342">
        <f>Input_Inflation!S$29</f>
        <v>1.0627027027027025</v>
      </c>
      <c r="P236" s="342">
        <f>Input_Inflation!T$29</f>
        <v>1.0799999999999998</v>
      </c>
      <c r="Q236" s="343">
        <f>Input_Inflation!U$29</f>
        <v>1.1070270270270268</v>
      </c>
      <c r="R236" s="341">
        <f>Input_Inflation!V$29</f>
        <v>1.134147956419671</v>
      </c>
      <c r="S236" s="342">
        <f>Input_Inflation!W$29</f>
        <v>1.1492125402810327</v>
      </c>
      <c r="T236" s="342">
        <f>Input_Inflation!X$29</f>
        <v>1.1642771241423948</v>
      </c>
      <c r="U236" s="342">
        <f>Input_Inflation!Y$29</f>
        <v>1.1890260833432036</v>
      </c>
      <c r="V236" s="342">
        <f>Input_Inflation!Z$29</f>
        <v>1.2178584755097295</v>
      </c>
      <c r="W236" s="343">
        <f>Input_Inflation!AA$29</f>
        <v>1.2473900170470638</v>
      </c>
      <c r="X236" s="341">
        <f>Input_Inflation!AB$29</f>
        <v>1.2776376614511178</v>
      </c>
      <c r="Y236" s="342">
        <f>Input_Inflation!AC$29</f>
        <v>1.3086187733188284</v>
      </c>
      <c r="Z236" s="342">
        <f>Input_Inflation!AD$29</f>
        <v>1.3403511383168432</v>
      </c>
      <c r="AA236" s="342">
        <f>Input_Inflation!AE$29</f>
        <v>1.3728529733919328</v>
      </c>
      <c r="AB236" s="343">
        <f>Input_Inflation!AF$29</f>
        <v>1.4061429372289935</v>
      </c>
    </row>
    <row r="237" spans="1:28" ht="12.3" x14ac:dyDescent="0.35">
      <c r="D237" s="101" t="s">
        <v>475</v>
      </c>
      <c r="E237" s="119" t="s">
        <v>111</v>
      </c>
      <c r="F237" s="119" t="str">
        <f>Factor</f>
        <v>Factor</v>
      </c>
      <c r="G237" s="119" t="str">
        <f>NA</f>
        <v>N/A</v>
      </c>
      <c r="H237" s="52" t="str">
        <f>NA</f>
        <v>N/A</v>
      </c>
      <c r="J237" s="341">
        <f>Input_Inflation!N41</f>
        <v>0</v>
      </c>
      <c r="K237" s="342">
        <f>Input_Inflation!O41</f>
        <v>0</v>
      </c>
      <c r="L237" s="342">
        <f>Input_Inflation!P41</f>
        <v>0</v>
      </c>
      <c r="M237" s="342">
        <f>Input_Inflation!Q41</f>
        <v>0</v>
      </c>
      <c r="N237" s="341">
        <f>Input_Inflation!R41</f>
        <v>0</v>
      </c>
      <c r="O237" s="342">
        <f>Input_Inflation!S41</f>
        <v>0</v>
      </c>
      <c r="P237" s="342">
        <f>Input_Inflation!T41</f>
        <v>0</v>
      </c>
      <c r="Q237" s="343">
        <f>Input_Inflation!U41</f>
        <v>1</v>
      </c>
      <c r="R237" s="341">
        <f>Input_Inflation!V41</f>
        <v>1.0176000000000001</v>
      </c>
      <c r="S237" s="342">
        <f>Input_Inflation!W41</f>
        <v>0</v>
      </c>
      <c r="T237" s="342">
        <f>Input_Inflation!X41</f>
        <v>0</v>
      </c>
      <c r="U237" s="342">
        <f>Input_Inflation!Y41</f>
        <v>0</v>
      </c>
      <c r="V237" s="342">
        <f>Input_Inflation!Z41</f>
        <v>0</v>
      </c>
      <c r="W237" s="343">
        <f>Input_Inflation!AA41</f>
        <v>0</v>
      </c>
      <c r="X237" s="341">
        <f>Input_Inflation!AB41</f>
        <v>0</v>
      </c>
      <c r="Y237" s="342">
        <f>Input_Inflation!AC41</f>
        <v>0</v>
      </c>
      <c r="Z237" s="342">
        <f>Input_Inflation!AD41</f>
        <v>0</v>
      </c>
      <c r="AA237" s="342">
        <f>Input_Inflation!AE41</f>
        <v>0</v>
      </c>
      <c r="AB237" s="343">
        <f>Input_Inflation!AF41</f>
        <v>0</v>
      </c>
    </row>
    <row r="238" spans="1:28" ht="12.3" x14ac:dyDescent="0.35">
      <c r="D238" s="101" t="str">
        <f>Input_Inflation!D$31</f>
        <v>Real 2014 to Nominal - Lagged</v>
      </c>
      <c r="E238" s="119" t="str">
        <f>Input_Inflation!E$31</f>
        <v>Calculated</v>
      </c>
      <c r="F238" s="119" t="str">
        <f>Input_Inflation!F$31</f>
        <v>Factor</v>
      </c>
      <c r="G238" s="119" t="str">
        <f>Input_Inflation!G$31</f>
        <v>N/A</v>
      </c>
      <c r="H238" s="52" t="str">
        <f>Input_Inflation!H$31</f>
        <v>N/A</v>
      </c>
      <c r="J238" s="341">
        <f>Input_Inflation!N$31</f>
        <v>0</v>
      </c>
      <c r="K238" s="342">
        <f>Input_Inflation!O$31</f>
        <v>0</v>
      </c>
      <c r="L238" s="342">
        <f>Input_Inflation!P$31</f>
        <v>0</v>
      </c>
      <c r="M238" s="342">
        <f>Input_Inflation!Q$31</f>
        <v>0</v>
      </c>
      <c r="N238" s="341">
        <f>Input_Inflation!R$31</f>
        <v>0</v>
      </c>
      <c r="O238" s="342">
        <f>Input_Inflation!S$31</f>
        <v>0</v>
      </c>
      <c r="P238" s="342">
        <f>Input_Inflation!T$31</f>
        <v>0</v>
      </c>
      <c r="Q238" s="343">
        <f>Input_Inflation!U$31</f>
        <v>0</v>
      </c>
      <c r="R238" s="341">
        <f>Input_Inflation!V$31</f>
        <v>1</v>
      </c>
      <c r="S238" s="342">
        <f>Input_Inflation!W$31</f>
        <v>1.0244988864142539</v>
      </c>
      <c r="T238" s="342">
        <f>Input_Inflation!X$31</f>
        <v>1.0381070310155818</v>
      </c>
      <c r="U238" s="342">
        <f>Input_Inflation!Y$31</f>
        <v>1.0517151756169099</v>
      </c>
      <c r="V238" s="342">
        <f>Input_Inflation!Z$31</f>
        <v>1.0740714131762341</v>
      </c>
      <c r="W238" s="343">
        <f>Input_Inflation!AA$31</f>
        <v>1.1001162986782227</v>
      </c>
      <c r="X238" s="341">
        <f>Input_Inflation!AB$31</f>
        <v>1.1267927400083344</v>
      </c>
      <c r="Y238" s="342">
        <f>Input_Inflation!AC$31</f>
        <v>1.1541160516037934</v>
      </c>
      <c r="Z238" s="342">
        <f>Input_Inflation!AD$31</f>
        <v>1.1821019192577311</v>
      </c>
      <c r="AA238" s="342">
        <f>Input_Inflation!AE$31</f>
        <v>1.2107664091241019</v>
      </c>
      <c r="AB238" s="343">
        <f>Input_Inflation!AF$31</f>
        <v>1.2401259769409554</v>
      </c>
    </row>
    <row r="239" spans="1:28" ht="12.3" x14ac:dyDescent="0.35">
      <c r="D239" s="101" t="str">
        <f>Input_Inflation!D$32</f>
        <v>Real 2019 to Nominal</v>
      </c>
      <c r="E239" s="119" t="str">
        <f>Input_Inflation!E$32</f>
        <v>Calculated</v>
      </c>
      <c r="F239" s="119" t="str">
        <f>Input_Inflation!F$32</f>
        <v>Factor</v>
      </c>
      <c r="G239" s="119" t="str">
        <f>Input_Inflation!G$32</f>
        <v>N/A</v>
      </c>
      <c r="H239" s="52" t="str">
        <f>Input_Inflation!H$32</f>
        <v>N/A</v>
      </c>
      <c r="J239" s="341">
        <f>Input_Inflation!N$32</f>
        <v>0</v>
      </c>
      <c r="K239" s="342">
        <f>Input_Inflation!O$32</f>
        <v>0</v>
      </c>
      <c r="L239" s="342">
        <f>Input_Inflation!P$32</f>
        <v>0</v>
      </c>
      <c r="M239" s="342">
        <f>Input_Inflation!Q$32</f>
        <v>0</v>
      </c>
      <c r="N239" s="341">
        <f>Input_Inflation!R$32</f>
        <v>0</v>
      </c>
      <c r="O239" s="342">
        <f>Input_Inflation!S$32</f>
        <v>0</v>
      </c>
      <c r="P239" s="342">
        <f>Input_Inflation!T$32</f>
        <v>0</v>
      </c>
      <c r="Q239" s="343">
        <f>Input_Inflation!U$32</f>
        <v>0</v>
      </c>
      <c r="R239" s="341">
        <f>Input_Inflation!V$32</f>
        <v>0</v>
      </c>
      <c r="S239" s="342">
        <f>Input_Inflation!W$32</f>
        <v>0</v>
      </c>
      <c r="T239" s="342">
        <f>Input_Inflation!X$32</f>
        <v>0</v>
      </c>
      <c r="U239" s="342">
        <f>Input_Inflation!Y$32</f>
        <v>0</v>
      </c>
      <c r="V239" s="342">
        <f>Input_Inflation!Z$32</f>
        <v>0</v>
      </c>
      <c r="W239" s="343">
        <f>Input_Inflation!AA$32</f>
        <v>1</v>
      </c>
      <c r="X239" s="341">
        <f>Input_Inflation!AB$32</f>
        <v>1.0242487465753967</v>
      </c>
      <c r="Y239" s="342">
        <f>Input_Inflation!AC$32</f>
        <v>1.0490854948612711</v>
      </c>
      <c r="Z239" s="342">
        <f>Input_Inflation!AD$32</f>
        <v>1.0745245031620867</v>
      </c>
      <c r="AA239" s="342">
        <f>Input_Inflation!AE$32</f>
        <v>1.1005803755283181</v>
      </c>
      <c r="AB239" s="343">
        <f>Input_Inflation!AF$32</f>
        <v>1.1272680701403592</v>
      </c>
    </row>
    <row r="241" spans="2:8" s="107" customFormat="1" ht="15" x14ac:dyDescent="0.35">
      <c r="B241" s="107" t="s">
        <v>33</v>
      </c>
      <c r="H241" s="4"/>
    </row>
  </sheetData>
  <conditionalFormatting sqref="B2">
    <cfRule type="cellIs" dxfId="19" priority="1" operator="notEqual">
      <formula>"No Errors Found"</formula>
    </cfRule>
  </conditionalFormatting>
  <hyperlinks>
    <hyperlink ref="B3:E3" location="TOC!A1" display="TOC!A1"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AB177"/>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33203125" defaultRowHeight="10.199999999999999" outlineLevelRow="1" x14ac:dyDescent="0.35"/>
  <cols>
    <col min="1" max="1" width="3.33203125" style="7" customWidth="1"/>
    <col min="2" max="3" width="2.796875" style="7" customWidth="1"/>
    <col min="4" max="4" width="47.46484375" style="7" customWidth="1"/>
    <col min="5" max="5" width="11.796875" style="7" customWidth="1"/>
    <col min="6" max="6" width="9.1328125" style="7" customWidth="1"/>
    <col min="7" max="7" width="12" style="7" customWidth="1"/>
    <col min="8" max="8" width="10" style="7" customWidth="1"/>
    <col min="9" max="9" width="4.46484375" style="7" customWidth="1"/>
    <col min="10" max="28" width="12.796875" style="7" customWidth="1"/>
    <col min="29" max="29" width="4.33203125" style="7" customWidth="1"/>
    <col min="30" max="31" width="10.796875" style="7" customWidth="1"/>
    <col min="32" max="16384" width="9.33203125" style="7"/>
  </cols>
  <sheetData>
    <row r="1" spans="1:28" ht="18.899999999999999" x14ac:dyDescent="0.35">
      <c r="A1" s="49">
        <f>IF(SUM($A11:$A165)&gt;0,1,0)</f>
        <v>0</v>
      </c>
      <c r="B1" s="379" t="s">
        <v>203</v>
      </c>
    </row>
    <row r="2" spans="1:28" x14ac:dyDescent="0.35">
      <c r="B2" s="18" t="str">
        <f>Title_Msg</f>
        <v>No Errors Found</v>
      </c>
    </row>
    <row r="3" spans="1:28" x14ac:dyDescent="0.35">
      <c r="B3" s="37" t="str">
        <f>TOC!B1</f>
        <v>Table of Contents</v>
      </c>
      <c r="C3" s="35"/>
      <c r="D3" s="35"/>
      <c r="E3" s="35"/>
    </row>
    <row r="4" spans="1:28" ht="12.3" x14ac:dyDescent="0.35">
      <c r="B4" s="34" t="str">
        <f>Model_Name</f>
        <v>Power and Water Corporation (PWC) - RAB Allocation - EB RIN - DRAFT</v>
      </c>
    </row>
    <row r="5" spans="1:28" ht="12.3" hidden="1" outlineLevel="1" x14ac:dyDescent="0.35">
      <c r="B5" s="15" t="str">
        <f>Lookup!B15</f>
        <v>Period Start Date</v>
      </c>
      <c r="J5" s="42">
        <f>Lookup!J15</f>
        <v>38534</v>
      </c>
      <c r="K5" s="42">
        <f>Lookup!K15</f>
        <v>38899</v>
      </c>
      <c r="L5" s="42">
        <f>Lookup!L15</f>
        <v>39264</v>
      </c>
      <c r="M5" s="42">
        <f>Lookup!M15</f>
        <v>39630</v>
      </c>
      <c r="N5" s="42">
        <f>Lookup!N15</f>
        <v>39995</v>
      </c>
      <c r="O5" s="42">
        <f>Lookup!O15</f>
        <v>40360</v>
      </c>
      <c r="P5" s="42">
        <f>Lookup!P15</f>
        <v>40725</v>
      </c>
      <c r="Q5" s="42">
        <f>Lookup!Q15</f>
        <v>41091</v>
      </c>
      <c r="R5" s="42">
        <f>Lookup!R15</f>
        <v>41456</v>
      </c>
      <c r="S5" s="42">
        <f>Lookup!S15</f>
        <v>41821</v>
      </c>
      <c r="T5" s="42">
        <f>Lookup!T15</f>
        <v>42186</v>
      </c>
      <c r="U5" s="42">
        <f>Lookup!U15</f>
        <v>42552</v>
      </c>
      <c r="V5" s="42">
        <f>Lookup!V15</f>
        <v>42917</v>
      </c>
      <c r="W5" s="42">
        <f>Lookup!W15</f>
        <v>43282</v>
      </c>
      <c r="X5" s="42">
        <f>Lookup!X15</f>
        <v>43647</v>
      </c>
      <c r="Y5" s="42">
        <f>Lookup!Y15</f>
        <v>44013</v>
      </c>
      <c r="Z5" s="42">
        <f>Lookup!Z15</f>
        <v>44378</v>
      </c>
      <c r="AA5" s="42">
        <f>Lookup!AA15</f>
        <v>44743</v>
      </c>
      <c r="AB5" s="42">
        <f>Lookup!AB15</f>
        <v>45108</v>
      </c>
    </row>
    <row r="6" spans="1:28" ht="12.3" hidden="1" outlineLevel="1" x14ac:dyDescent="0.35">
      <c r="B6" s="15" t="str">
        <f>Lookup!B16</f>
        <v>Period End Date</v>
      </c>
      <c r="J6" s="42">
        <f>Lookup!J16</f>
        <v>38898</v>
      </c>
      <c r="K6" s="42">
        <f>Lookup!K16</f>
        <v>39263</v>
      </c>
      <c r="L6" s="42">
        <f>Lookup!L16</f>
        <v>39629</v>
      </c>
      <c r="M6" s="42">
        <f>Lookup!M16</f>
        <v>39994</v>
      </c>
      <c r="N6" s="42">
        <f>Lookup!N16</f>
        <v>40359</v>
      </c>
      <c r="O6" s="42">
        <f>Lookup!O16</f>
        <v>40724</v>
      </c>
      <c r="P6" s="42">
        <f>Lookup!P16</f>
        <v>41090</v>
      </c>
      <c r="Q6" s="42">
        <f>Lookup!Q16</f>
        <v>41455</v>
      </c>
      <c r="R6" s="42">
        <f>Lookup!R16</f>
        <v>41820</v>
      </c>
      <c r="S6" s="42">
        <f>Lookup!S16</f>
        <v>42185</v>
      </c>
      <c r="T6" s="42">
        <f>Lookup!T16</f>
        <v>42551</v>
      </c>
      <c r="U6" s="42">
        <f>Lookup!U16</f>
        <v>42916</v>
      </c>
      <c r="V6" s="42">
        <f>Lookup!V16</f>
        <v>43281</v>
      </c>
      <c r="W6" s="42">
        <f>Lookup!W16</f>
        <v>43646</v>
      </c>
      <c r="X6" s="42">
        <f>Lookup!X16</f>
        <v>44012</v>
      </c>
      <c r="Y6" s="42">
        <f>Lookup!Y16</f>
        <v>44377</v>
      </c>
      <c r="Z6" s="42">
        <f>Lookup!Z16</f>
        <v>44742</v>
      </c>
      <c r="AA6" s="42">
        <f>Lookup!AA16</f>
        <v>45107</v>
      </c>
      <c r="AB6" s="42">
        <f>Lookup!AB16</f>
        <v>45473</v>
      </c>
    </row>
    <row r="7" spans="1:28" ht="12.3" hidden="1" outlineLevel="1" x14ac:dyDescent="0.35">
      <c r="B7" s="15" t="str">
        <f>Lookup!B17</f>
        <v>Period Counter</v>
      </c>
      <c r="J7" s="43">
        <f>Lookup!J17</f>
        <v>1</v>
      </c>
      <c r="K7" s="43">
        <f>Lookup!K17</f>
        <v>2</v>
      </c>
      <c r="L7" s="43">
        <f>Lookup!L17</f>
        <v>3</v>
      </c>
      <c r="M7" s="43">
        <f>Lookup!M17</f>
        <v>4</v>
      </c>
      <c r="N7" s="43">
        <f>Lookup!N17</f>
        <v>5</v>
      </c>
      <c r="O7" s="43">
        <f>Lookup!O17</f>
        <v>6</v>
      </c>
      <c r="P7" s="43">
        <f>Lookup!P17</f>
        <v>7</v>
      </c>
      <c r="Q7" s="43">
        <f>Lookup!Q17</f>
        <v>8</v>
      </c>
      <c r="R7" s="43">
        <f>Lookup!R17</f>
        <v>9</v>
      </c>
      <c r="S7" s="43">
        <f>Lookup!S17</f>
        <v>10</v>
      </c>
      <c r="T7" s="43">
        <f>Lookup!T17</f>
        <v>11</v>
      </c>
      <c r="U7" s="43">
        <f>Lookup!U17</f>
        <v>12</v>
      </c>
      <c r="V7" s="43">
        <f>Lookup!V17</f>
        <v>13</v>
      </c>
      <c r="W7" s="43">
        <f>Lookup!W17</f>
        <v>14</v>
      </c>
      <c r="X7" s="43">
        <f>Lookup!X17</f>
        <v>15</v>
      </c>
      <c r="Y7" s="43">
        <f>Lookup!Y17</f>
        <v>16</v>
      </c>
      <c r="Z7" s="43">
        <f>Lookup!Z17</f>
        <v>17</v>
      </c>
      <c r="AA7" s="43">
        <f>Lookup!AA17</f>
        <v>18</v>
      </c>
      <c r="AB7" s="43">
        <f>Lookup!AB17</f>
        <v>19</v>
      </c>
    </row>
    <row r="8" spans="1:28" ht="12.3" hidden="1" outlineLevel="1" x14ac:dyDescent="0.35">
      <c r="B8" s="15" t="str">
        <f>Lookup!B18</f>
        <v>Year</v>
      </c>
      <c r="J8" s="44">
        <f>Lookup!J18</f>
        <v>2006</v>
      </c>
      <c r="K8" s="44">
        <f>Lookup!K18</f>
        <v>2007</v>
      </c>
      <c r="L8" s="44">
        <f>Lookup!L18</f>
        <v>2008</v>
      </c>
      <c r="M8" s="44">
        <f>Lookup!M18</f>
        <v>2009</v>
      </c>
      <c r="N8" s="44">
        <f>Lookup!N18</f>
        <v>2010</v>
      </c>
      <c r="O8" s="44">
        <f>Lookup!O18</f>
        <v>2011</v>
      </c>
      <c r="P8" s="44">
        <f>Lookup!P18</f>
        <v>2012</v>
      </c>
      <c r="Q8" s="44">
        <f>Lookup!Q18</f>
        <v>2013</v>
      </c>
      <c r="R8" s="44">
        <f>Lookup!R18</f>
        <v>2014</v>
      </c>
      <c r="S8" s="44">
        <f>Lookup!S18</f>
        <v>2015</v>
      </c>
      <c r="T8" s="44">
        <f>Lookup!T18</f>
        <v>2016</v>
      </c>
      <c r="U8" s="44">
        <f>Lookup!U18</f>
        <v>2017</v>
      </c>
      <c r="V8" s="44">
        <f>Lookup!V18</f>
        <v>2018</v>
      </c>
      <c r="W8" s="44">
        <f>Lookup!W18</f>
        <v>2019</v>
      </c>
      <c r="X8" s="44">
        <f>Lookup!X18</f>
        <v>2020</v>
      </c>
      <c r="Y8" s="44">
        <f>Lookup!Y18</f>
        <v>2021</v>
      </c>
      <c r="Z8" s="44">
        <f>Lookup!Z18</f>
        <v>2022</v>
      </c>
      <c r="AA8" s="44">
        <f>Lookup!AA18</f>
        <v>2023</v>
      </c>
      <c r="AB8" s="44">
        <f>Lookup!AB18</f>
        <v>2024</v>
      </c>
    </row>
    <row r="9" spans="1:28" ht="12.3" hidden="1" outlineLevel="1" x14ac:dyDescent="0.35">
      <c r="B9" s="15" t="str">
        <f>Lookup!B19</f>
        <v>Period Type</v>
      </c>
      <c r="J9" s="44" t="str">
        <f>Lookup!J19</f>
        <v>Actual</v>
      </c>
      <c r="K9" s="44" t="str">
        <f>Lookup!K19</f>
        <v>Actual</v>
      </c>
      <c r="L9" s="44" t="str">
        <f>Lookup!L19</f>
        <v>Actual</v>
      </c>
      <c r="M9" s="44" t="str">
        <f>Lookup!M19</f>
        <v>Base Year</v>
      </c>
      <c r="N9" s="44" t="str">
        <f>Lookup!N19</f>
        <v>Forecast</v>
      </c>
      <c r="O9" s="44" t="str">
        <f>Lookup!O19</f>
        <v>Forecast</v>
      </c>
      <c r="P9" s="44" t="str">
        <f>Lookup!P19</f>
        <v>Forecast</v>
      </c>
      <c r="Q9" s="44" t="str">
        <f>Lookup!Q19</f>
        <v>Forecast</v>
      </c>
      <c r="R9" s="44" t="str">
        <f>Lookup!R19</f>
        <v>Forecast</v>
      </c>
      <c r="S9" s="44" t="str">
        <f>Lookup!S19</f>
        <v>Forecast</v>
      </c>
      <c r="T9" s="44" t="str">
        <f>Lookup!T19</f>
        <v>Forecast</v>
      </c>
      <c r="U9" s="44" t="str">
        <f>Lookup!U19</f>
        <v>Forecast</v>
      </c>
      <c r="V9" s="44" t="str">
        <f>Lookup!V19</f>
        <v>Forecast</v>
      </c>
      <c r="W9" s="44" t="str">
        <f>Lookup!W19</f>
        <v>Forecast</v>
      </c>
      <c r="X9" s="44" t="str">
        <f>Lookup!X19</f>
        <v>Forecast</v>
      </c>
      <c r="Y9" s="44" t="str">
        <f>Lookup!Y19</f>
        <v>Forecast</v>
      </c>
      <c r="Z9" s="44" t="str">
        <f>Lookup!Z19</f>
        <v>Forecast</v>
      </c>
      <c r="AA9" s="44" t="str">
        <f>Lookup!AA19</f>
        <v>Forecast</v>
      </c>
      <c r="AB9" s="44" t="str">
        <f>Lookup!AB19</f>
        <v>Forecast</v>
      </c>
    </row>
    <row r="10" spans="1:28" ht="12.3" collapsed="1" x14ac:dyDescent="0.35">
      <c r="B10" s="10" t="str">
        <f>Lookup!B20</f>
        <v>Regulatory Year</v>
      </c>
      <c r="E10" s="41" t="str">
        <f>Lookup!E20</f>
        <v>Source</v>
      </c>
      <c r="F10" s="41" t="str">
        <f>Lookup!F20</f>
        <v>Unit</v>
      </c>
      <c r="G10" s="41" t="str">
        <f>Lookup!G20</f>
        <v>Basis</v>
      </c>
      <c r="H10" s="41" t="str">
        <f>Lookup!H20</f>
        <v>Timing</v>
      </c>
      <c r="I10" s="41"/>
      <c r="J10" s="41" t="str">
        <f>Lookup!J20</f>
        <v>RY06</v>
      </c>
      <c r="K10" s="41" t="str">
        <f>Lookup!K20</f>
        <v>RY07</v>
      </c>
      <c r="L10" s="41" t="str">
        <f>Lookup!L20</f>
        <v>RY08</v>
      </c>
      <c r="M10" s="41" t="str">
        <f>Lookup!M20</f>
        <v>RY09</v>
      </c>
      <c r="N10" s="41" t="str">
        <f>Lookup!N20</f>
        <v>RY10</v>
      </c>
      <c r="O10" s="41" t="str">
        <f>Lookup!O20</f>
        <v>RY11</v>
      </c>
      <c r="P10" s="41" t="str">
        <f>Lookup!P20</f>
        <v>RY12</v>
      </c>
      <c r="Q10" s="41" t="str">
        <f>Lookup!Q20</f>
        <v>RY13</v>
      </c>
      <c r="R10" s="41" t="str">
        <f>Lookup!R20</f>
        <v>RY14</v>
      </c>
      <c r="S10" s="41" t="str">
        <f>Lookup!S20</f>
        <v>RY15</v>
      </c>
      <c r="T10" s="41" t="str">
        <f>Lookup!T20</f>
        <v>RY16</v>
      </c>
      <c r="U10" s="41" t="str">
        <f>Lookup!U20</f>
        <v>RY17</v>
      </c>
      <c r="V10" s="41" t="str">
        <f>Lookup!V20</f>
        <v>RY18</v>
      </c>
      <c r="W10" s="41" t="str">
        <f>Lookup!W20</f>
        <v>RY19</v>
      </c>
      <c r="X10" s="41" t="str">
        <f>Lookup!X20</f>
        <v>RY20</v>
      </c>
      <c r="Y10" s="41" t="str">
        <f>Lookup!Y20</f>
        <v>RY21</v>
      </c>
      <c r="Z10" s="41" t="str">
        <f>Lookup!Z20</f>
        <v>RY22</v>
      </c>
      <c r="AA10" s="41" t="str">
        <f>Lookup!AA20</f>
        <v>RY23</v>
      </c>
      <c r="AB10" s="41" t="str">
        <f>Lookup!AB20</f>
        <v>RY24</v>
      </c>
    </row>
    <row r="12" spans="1:28" s="4" customFormat="1" ht="15" x14ac:dyDescent="0.35">
      <c r="B12" s="4" t="s">
        <v>146</v>
      </c>
    </row>
    <row r="13" spans="1:28" s="6" customFormat="1" ht="4.5" customHeight="1" x14ac:dyDescent="0.35"/>
    <row r="14" spans="1:28" s="13" customFormat="1" ht="14.1" x14ac:dyDescent="0.35">
      <c r="C14" s="13" t="s">
        <v>147</v>
      </c>
    </row>
    <row r="15" spans="1:28" s="6" customFormat="1" ht="11.25" customHeight="1" x14ac:dyDescent="0.35"/>
    <row r="16" spans="1:28" ht="12.3" x14ac:dyDescent="0.35">
      <c r="D16" s="50" t="s">
        <v>193</v>
      </c>
      <c r="E16" s="45" t="str">
        <f>Lookup!E$20</f>
        <v>Source</v>
      </c>
      <c r="F16" s="45" t="str">
        <f>Lookup!F$20</f>
        <v>Unit</v>
      </c>
      <c r="G16" s="45" t="str">
        <f>Lookup!G$20</f>
        <v>Basis</v>
      </c>
      <c r="H16" s="45" t="str">
        <f>Lookup!H$20</f>
        <v>Timing</v>
      </c>
      <c r="J16" s="54" t="str">
        <f>J$10</f>
        <v>RY06</v>
      </c>
      <c r="K16" s="45" t="str">
        <f t="shared" ref="K16:AB16" si="0">K$10</f>
        <v>RY07</v>
      </c>
      <c r="L16" s="45" t="str">
        <f t="shared" si="0"/>
        <v>RY08</v>
      </c>
      <c r="M16" s="45" t="str">
        <f t="shared" si="0"/>
        <v>RY09</v>
      </c>
      <c r="N16" s="54" t="str">
        <f t="shared" si="0"/>
        <v>RY10</v>
      </c>
      <c r="O16" s="45" t="str">
        <f>O$10</f>
        <v>RY11</v>
      </c>
      <c r="P16" s="45" t="str">
        <f t="shared" si="0"/>
        <v>RY12</v>
      </c>
      <c r="Q16" s="55" t="str">
        <f t="shared" si="0"/>
        <v>RY13</v>
      </c>
      <c r="R16" s="348" t="str">
        <f t="shared" si="0"/>
        <v>RY14</v>
      </c>
      <c r="S16" s="54" t="str">
        <f t="shared" si="0"/>
        <v>RY15</v>
      </c>
      <c r="T16" s="45" t="str">
        <f>T$10</f>
        <v>RY16</v>
      </c>
      <c r="U16" s="45" t="str">
        <f t="shared" si="0"/>
        <v>RY17</v>
      </c>
      <c r="V16" s="45" t="str">
        <f t="shared" si="0"/>
        <v>RY18</v>
      </c>
      <c r="W16" s="55" t="str">
        <f t="shared" si="0"/>
        <v>RY19</v>
      </c>
      <c r="X16" s="54" t="str">
        <f t="shared" si="0"/>
        <v>RY20</v>
      </c>
      <c r="Y16" s="45" t="str">
        <f>Y$10</f>
        <v>RY21</v>
      </c>
      <c r="Z16" s="45" t="str">
        <f t="shared" si="0"/>
        <v>RY22</v>
      </c>
      <c r="AA16" s="45" t="str">
        <f t="shared" si="0"/>
        <v>RY23</v>
      </c>
      <c r="AB16" s="55" t="str">
        <f t="shared" si="0"/>
        <v>RY24</v>
      </c>
    </row>
    <row r="17" spans="1:28" x14ac:dyDescent="0.35">
      <c r="J17" s="56"/>
      <c r="K17" s="57"/>
      <c r="L17" s="57"/>
      <c r="M17" s="57"/>
      <c r="N17" s="56"/>
      <c r="O17" s="57"/>
      <c r="P17" s="57"/>
      <c r="Q17" s="58"/>
      <c r="R17" s="91"/>
      <c r="S17" s="56"/>
      <c r="T17" s="57"/>
      <c r="U17" s="57"/>
      <c r="V17" s="57"/>
      <c r="W17" s="58"/>
      <c r="X17" s="56"/>
      <c r="Y17" s="57"/>
      <c r="Z17" s="57"/>
      <c r="AA17" s="57"/>
      <c r="AB17" s="58"/>
    </row>
    <row r="18" spans="1:28" ht="12.3" x14ac:dyDescent="0.35">
      <c r="D18" s="26" t="s">
        <v>175</v>
      </c>
      <c r="E18" s="52" t="s">
        <v>210</v>
      </c>
      <c r="F18" s="52" t="str">
        <f t="shared" ref="F18:F26" si="1">Dollars</f>
        <v>Dollars</v>
      </c>
      <c r="G18" s="52" t="str">
        <f t="shared" ref="G18:G26" si="2">Nominal</f>
        <v>Nominal</v>
      </c>
      <c r="H18" s="52" t="str">
        <f t="shared" ref="H18:H26" si="3">Start_year</f>
        <v>Start year</v>
      </c>
      <c r="J18" s="66">
        <f t="shared" ref="J18:P18" si="4">(J149-J130-J93-J74-J55)/(1+J$169)</f>
        <v>0.85952972937598537</v>
      </c>
      <c r="K18" s="67">
        <f t="shared" si="4"/>
        <v>0.91452970375209763</v>
      </c>
      <c r="L18" s="67">
        <f t="shared" si="4"/>
        <v>0.97761416734929307</v>
      </c>
      <c r="M18" s="67">
        <f t="shared" si="4"/>
        <v>1.4837142301446968</v>
      </c>
      <c r="N18" s="66">
        <f t="shared" si="4"/>
        <v>2.0496727716923524</v>
      </c>
      <c r="O18" s="67">
        <f t="shared" si="4"/>
        <v>2.6383563492206012</v>
      </c>
      <c r="P18" s="67">
        <f t="shared" si="4"/>
        <v>3.0072855901043312</v>
      </c>
      <c r="Q18" s="68">
        <f>(Q149-Q130-Q93-Q74-Q55)/(1+Q$169)</f>
        <v>3.4178864973694418</v>
      </c>
      <c r="R18" s="94">
        <f>'[2]RFM input'!J21</f>
        <v>4.0802493072798489</v>
      </c>
      <c r="S18" s="66">
        <f t="shared" ref="S18:AB18" si="5">R149</f>
        <v>4.0240680801536897</v>
      </c>
      <c r="T18" s="67">
        <f t="shared" si="5"/>
        <v>5.4687320149032015</v>
      </c>
      <c r="U18" s="67">
        <f t="shared" si="5"/>
        <v>7.805312355979571</v>
      </c>
      <c r="V18" s="67">
        <f t="shared" si="5"/>
        <v>10.333956453831531</v>
      </c>
      <c r="W18" s="68">
        <f t="shared" si="5"/>
        <v>9.6673038066240409</v>
      </c>
      <c r="X18" s="66">
        <f t="shared" si="5"/>
        <v>9.8956834615465468</v>
      </c>
      <c r="Y18" s="67">
        <f t="shared" si="5"/>
        <v>9.5214930439810015</v>
      </c>
      <c r="Z18" s="67">
        <f t="shared" si="5"/>
        <v>9.1233366504007432</v>
      </c>
      <c r="AA18" s="67">
        <f t="shared" si="5"/>
        <v>8.7002720156537166</v>
      </c>
      <c r="AB18" s="68">
        <f t="shared" si="5"/>
        <v>8.2513252691250027</v>
      </c>
    </row>
    <row r="19" spans="1:28" ht="12.3" x14ac:dyDescent="0.35">
      <c r="D19" s="26" t="s">
        <v>167</v>
      </c>
      <c r="E19" s="52" t="s">
        <v>210</v>
      </c>
      <c r="F19" s="52" t="str">
        <f t="shared" si="1"/>
        <v>Dollars</v>
      </c>
      <c r="G19" s="52" t="str">
        <f t="shared" si="2"/>
        <v>Nominal</v>
      </c>
      <c r="H19" s="52" t="str">
        <f t="shared" si="3"/>
        <v>Start year</v>
      </c>
      <c r="J19" s="66">
        <f t="shared" ref="J19:Q19" si="6">(J150-J131-J94-J75-J56)/(1+J$169)</f>
        <v>2.8306187144948538</v>
      </c>
      <c r="K19" s="67">
        <f t="shared" si="6"/>
        <v>2.9133651811792345</v>
      </c>
      <c r="L19" s="67">
        <f t="shared" si="6"/>
        <v>2.9857683395280672</v>
      </c>
      <c r="M19" s="67">
        <f t="shared" si="6"/>
        <v>3.1133358089998207</v>
      </c>
      <c r="N19" s="66">
        <f t="shared" si="6"/>
        <v>3.1891867367938365</v>
      </c>
      <c r="O19" s="67">
        <f t="shared" si="6"/>
        <v>3.2822765118137642</v>
      </c>
      <c r="P19" s="67">
        <f t="shared" si="6"/>
        <v>3.3891573646144222</v>
      </c>
      <c r="Q19" s="68">
        <f t="shared" si="6"/>
        <v>3.4443216757373429</v>
      </c>
      <c r="R19" s="94">
        <f>'[2]RFM input'!J22</f>
        <v>3.5305159118669058</v>
      </c>
      <c r="S19" s="66">
        <f t="shared" ref="S19:S20" si="7">R150</f>
        <v>3.4819040008341102</v>
      </c>
      <c r="T19" s="67">
        <f t="shared" ref="T19:T20" si="8">S150</f>
        <v>2.9532708214489163</v>
      </c>
      <c r="U19" s="67">
        <f t="shared" ref="U19:U20" si="9">T150</f>
        <v>2.3639244421659118</v>
      </c>
      <c r="V19" s="67">
        <f t="shared" ref="V19:V20" si="10">U150</f>
        <v>1.7230131908017026</v>
      </c>
      <c r="W19" s="68">
        <f t="shared" ref="W19:W20" si="11">V150</f>
        <v>2.9037276109771581</v>
      </c>
      <c r="X19" s="66">
        <f t="shared" ref="X19:X20" si="12">W150</f>
        <v>5.9325888946022358</v>
      </c>
      <c r="Y19" s="67">
        <f t="shared" ref="Y19:Y20" si="13">X150</f>
        <v>8.8440442886951551</v>
      </c>
      <c r="Z19" s="67">
        <f t="shared" ref="Z19:Z20" si="14">Y150</f>
        <v>11.945250284083034</v>
      </c>
      <c r="AA19" s="67">
        <f t="shared" ref="AA19:AA20" si="15">Z150</f>
        <v>15.04568188762474</v>
      </c>
      <c r="AB19" s="68">
        <f t="shared" ref="AB19:AB20" si="16">AA150</f>
        <v>17.529515618079582</v>
      </c>
    </row>
    <row r="20" spans="1:28" ht="12.3" x14ac:dyDescent="0.35">
      <c r="D20" s="26" t="s">
        <v>168</v>
      </c>
      <c r="E20" s="52" t="s">
        <v>210</v>
      </c>
      <c r="F20" s="52" t="str">
        <f t="shared" si="1"/>
        <v>Dollars</v>
      </c>
      <c r="G20" s="52" t="str">
        <f t="shared" si="2"/>
        <v>Nominal</v>
      </c>
      <c r="H20" s="52" t="str">
        <f t="shared" si="3"/>
        <v>Start year</v>
      </c>
      <c r="J20" s="66">
        <f t="shared" ref="J20:Q20" si="17">(J151-J132-J95-J76-J57)/(1+J$169)</f>
        <v>0</v>
      </c>
      <c r="K20" s="67">
        <f t="shared" si="17"/>
        <v>0</v>
      </c>
      <c r="L20" s="67">
        <f t="shared" si="17"/>
        <v>0</v>
      </c>
      <c r="M20" s="67">
        <f t="shared" si="17"/>
        <v>0</v>
      </c>
      <c r="N20" s="66">
        <f t="shared" si="17"/>
        <v>0</v>
      </c>
      <c r="O20" s="67">
        <f t="shared" si="17"/>
        <v>0</v>
      </c>
      <c r="P20" s="67">
        <f t="shared" si="17"/>
        <v>0</v>
      </c>
      <c r="Q20" s="68">
        <f t="shared" si="17"/>
        <v>0</v>
      </c>
      <c r="R20" s="94">
        <f>'[2]RFM input'!J23</f>
        <v>0</v>
      </c>
      <c r="S20" s="66">
        <f t="shared" si="7"/>
        <v>0</v>
      </c>
      <c r="T20" s="67">
        <f t="shared" si="8"/>
        <v>0</v>
      </c>
      <c r="U20" s="67">
        <f t="shared" si="9"/>
        <v>0</v>
      </c>
      <c r="V20" s="67">
        <f t="shared" si="10"/>
        <v>0</v>
      </c>
      <c r="W20" s="68">
        <f t="shared" si="11"/>
        <v>0</v>
      </c>
      <c r="X20" s="66">
        <f t="shared" si="12"/>
        <v>0</v>
      </c>
      <c r="Y20" s="67">
        <f t="shared" si="13"/>
        <v>3.0240180560711871</v>
      </c>
      <c r="Z20" s="67">
        <f t="shared" si="14"/>
        <v>3.0846894307407582</v>
      </c>
      <c r="AA20" s="67">
        <f t="shared" si="15"/>
        <v>3.1385288398725515</v>
      </c>
      <c r="AB20" s="68">
        <f t="shared" si="16"/>
        <v>7.6690558271448932</v>
      </c>
    </row>
    <row r="21" spans="1:28" ht="12.3" x14ac:dyDescent="0.35">
      <c r="D21" s="26" t="s">
        <v>171</v>
      </c>
      <c r="E21" s="52" t="s">
        <v>210</v>
      </c>
      <c r="F21" s="52" t="str">
        <f t="shared" si="1"/>
        <v>Dollars</v>
      </c>
      <c r="G21" s="52" t="str">
        <f t="shared" si="2"/>
        <v>Nominal</v>
      </c>
      <c r="H21" s="52" t="str">
        <f t="shared" si="3"/>
        <v>Start year</v>
      </c>
      <c r="J21" s="66">
        <f t="shared" ref="J21:Q21" si="18">(J152-J133-J96-J77-J58)/(1+J$169)</f>
        <v>0</v>
      </c>
      <c r="K21" s="67">
        <f t="shared" si="18"/>
        <v>0</v>
      </c>
      <c r="L21" s="67">
        <f t="shared" si="18"/>
        <v>0</v>
      </c>
      <c r="M21" s="67">
        <f t="shared" si="18"/>
        <v>0</v>
      </c>
      <c r="N21" s="66">
        <f t="shared" si="18"/>
        <v>0</v>
      </c>
      <c r="O21" s="67">
        <f t="shared" si="18"/>
        <v>0</v>
      </c>
      <c r="P21" s="67">
        <f t="shared" si="18"/>
        <v>0</v>
      </c>
      <c r="Q21" s="68">
        <f t="shared" si="18"/>
        <v>0</v>
      </c>
      <c r="R21" s="94">
        <f>'[2]RFM input'!J24</f>
        <v>0</v>
      </c>
      <c r="S21" s="66">
        <f t="shared" ref="S21:AB21" si="19">R152</f>
        <v>0</v>
      </c>
      <c r="T21" s="67">
        <f t="shared" si="19"/>
        <v>0</v>
      </c>
      <c r="U21" s="67">
        <f t="shared" si="19"/>
        <v>0</v>
      </c>
      <c r="V21" s="67">
        <f t="shared" si="19"/>
        <v>0</v>
      </c>
      <c r="W21" s="68">
        <f t="shared" si="19"/>
        <v>0.10984530336443404</v>
      </c>
      <c r="X21" s="66">
        <f t="shared" si="19"/>
        <v>0.22524682042874938</v>
      </c>
      <c r="Y21" s="67">
        <f t="shared" si="19"/>
        <v>0.33838033712924115</v>
      </c>
      <c r="Z21" s="67">
        <f t="shared" si="19"/>
        <v>0.45646432451632235</v>
      </c>
      <c r="AA21" s="67">
        <f t="shared" si="19"/>
        <v>0.57208908076110965</v>
      </c>
      <c r="AB21" s="68">
        <f t="shared" si="19"/>
        <v>0.67648201670223429</v>
      </c>
    </row>
    <row r="22" spans="1:28" ht="12.3" x14ac:dyDescent="0.35">
      <c r="D22" s="26" t="s">
        <v>170</v>
      </c>
      <c r="E22" s="52" t="s">
        <v>210</v>
      </c>
      <c r="F22" s="52" t="str">
        <f t="shared" si="1"/>
        <v>Dollars</v>
      </c>
      <c r="G22" s="52" t="str">
        <f t="shared" si="2"/>
        <v>Nominal</v>
      </c>
      <c r="H22" s="52" t="str">
        <f t="shared" si="3"/>
        <v>Start year</v>
      </c>
      <c r="J22" s="66">
        <f t="shared" ref="J22:Q22" si="20">(J153-J134-J97-J78-J59)/(1+J$169)</f>
        <v>0</v>
      </c>
      <c r="K22" s="67">
        <f t="shared" si="20"/>
        <v>0</v>
      </c>
      <c r="L22" s="67">
        <f t="shared" si="20"/>
        <v>0</v>
      </c>
      <c r="M22" s="67">
        <f t="shared" si="20"/>
        <v>0</v>
      </c>
      <c r="N22" s="66">
        <f t="shared" si="20"/>
        <v>0</v>
      </c>
      <c r="O22" s="67">
        <f t="shared" si="20"/>
        <v>0</v>
      </c>
      <c r="P22" s="67">
        <f t="shared" si="20"/>
        <v>0</v>
      </c>
      <c r="Q22" s="68">
        <f t="shared" si="20"/>
        <v>0</v>
      </c>
      <c r="R22" s="94">
        <f>'[2]RFM input'!J25</f>
        <v>0</v>
      </c>
      <c r="S22" s="66">
        <f t="shared" ref="S22:S26" si="21">R153</f>
        <v>0</v>
      </c>
      <c r="T22" s="67">
        <f t="shared" ref="T22:T26" si="22">S153</f>
        <v>3.2224178032246704E-2</v>
      </c>
      <c r="U22" s="67">
        <f t="shared" ref="U22:U26" si="23">T153</f>
        <v>0.25657684387720303</v>
      </c>
      <c r="V22" s="67">
        <f t="shared" ref="V22:V26" si="24">U153</f>
        <v>0.27749474450786094</v>
      </c>
      <c r="W22" s="68">
        <f t="shared" ref="W22:W26" si="25">V153</f>
        <v>0.28422364424343649</v>
      </c>
      <c r="X22" s="66">
        <f t="shared" ref="X22:X26" si="26">W153</f>
        <v>0.45768353498117464</v>
      </c>
      <c r="Y22" s="67">
        <f t="shared" ref="Y22:Y26" si="27">X153</f>
        <v>0.42955469620569814</v>
      </c>
      <c r="Z22" s="67">
        <f t="shared" ref="Z22:Z26" si="28">Y153</f>
        <v>0.39979256056294177</v>
      </c>
      <c r="AA22" s="67">
        <f t="shared" ref="AA22:AA26" si="29">Z153</f>
        <v>0.36833445705458512</v>
      </c>
      <c r="AB22" s="68">
        <f t="shared" ref="AB22:AB26" si="30">AA153</f>
        <v>0.3351156356773477</v>
      </c>
    </row>
    <row r="23" spans="1:28" ht="12.3" x14ac:dyDescent="0.35">
      <c r="D23" s="26" t="s">
        <v>169</v>
      </c>
      <c r="E23" s="52" t="s">
        <v>210</v>
      </c>
      <c r="F23" s="52" t="str">
        <f t="shared" si="1"/>
        <v>Dollars</v>
      </c>
      <c r="G23" s="52" t="str">
        <f t="shared" si="2"/>
        <v>Nominal</v>
      </c>
      <c r="H23" s="52" t="str">
        <f t="shared" si="3"/>
        <v>Start year</v>
      </c>
      <c r="J23" s="66">
        <f t="shared" ref="J23:Q23" si="31">(J154-J135-J98-J79-J60)/(1+J$169)</f>
        <v>0</v>
      </c>
      <c r="K23" s="67">
        <f t="shared" si="31"/>
        <v>0</v>
      </c>
      <c r="L23" s="67">
        <f t="shared" si="31"/>
        <v>0</v>
      </c>
      <c r="M23" s="67">
        <f t="shared" si="31"/>
        <v>0</v>
      </c>
      <c r="N23" s="66">
        <f t="shared" si="31"/>
        <v>0</v>
      </c>
      <c r="O23" s="67">
        <f t="shared" si="31"/>
        <v>0</v>
      </c>
      <c r="P23" s="67">
        <f t="shared" si="31"/>
        <v>0</v>
      </c>
      <c r="Q23" s="68">
        <f t="shared" si="31"/>
        <v>0</v>
      </c>
      <c r="R23" s="94">
        <f>'[2]RFM input'!J26</f>
        <v>0</v>
      </c>
      <c r="S23" s="66">
        <f t="shared" si="21"/>
        <v>0</v>
      </c>
      <c r="T23" s="67">
        <f t="shared" si="22"/>
        <v>0</v>
      </c>
      <c r="U23" s="67">
        <f t="shared" si="23"/>
        <v>0</v>
      </c>
      <c r="V23" s="67">
        <f t="shared" si="24"/>
        <v>0</v>
      </c>
      <c r="W23" s="68">
        <f t="shared" si="25"/>
        <v>0</v>
      </c>
      <c r="X23" s="66">
        <f t="shared" si="26"/>
        <v>0</v>
      </c>
      <c r="Y23" s="67">
        <f t="shared" si="27"/>
        <v>0.12277680039416948</v>
      </c>
      <c r="Z23" s="67">
        <f t="shared" si="28"/>
        <v>0.11317858552103917</v>
      </c>
      <c r="AA23" s="67">
        <f t="shared" si="29"/>
        <v>0.10304268831920063</v>
      </c>
      <c r="AB23" s="68">
        <f t="shared" si="30"/>
        <v>9.2348676310362948E-2</v>
      </c>
    </row>
    <row r="24" spans="1:28" ht="12.3" x14ac:dyDescent="0.35">
      <c r="D24" s="26" t="s">
        <v>484</v>
      </c>
      <c r="E24" s="52" t="s">
        <v>210</v>
      </c>
      <c r="F24" s="52" t="str">
        <f t="shared" si="1"/>
        <v>Dollars</v>
      </c>
      <c r="G24" s="52" t="str">
        <f t="shared" si="2"/>
        <v>Nominal</v>
      </c>
      <c r="H24" s="52" t="str">
        <f t="shared" si="3"/>
        <v>Start year</v>
      </c>
      <c r="J24" s="66">
        <f t="shared" ref="J24:Q24" si="32">(J155-J136-J99-J80-J61)/(1+J$169)</f>
        <v>0</v>
      </c>
      <c r="K24" s="67">
        <f t="shared" si="32"/>
        <v>0</v>
      </c>
      <c r="L24" s="67">
        <f t="shared" si="32"/>
        <v>0</v>
      </c>
      <c r="M24" s="67">
        <f t="shared" si="32"/>
        <v>0</v>
      </c>
      <c r="N24" s="66">
        <f t="shared" si="32"/>
        <v>0</v>
      </c>
      <c r="O24" s="67">
        <f t="shared" si="32"/>
        <v>0</v>
      </c>
      <c r="P24" s="67">
        <f t="shared" si="32"/>
        <v>0</v>
      </c>
      <c r="Q24" s="68">
        <f t="shared" si="32"/>
        <v>0</v>
      </c>
      <c r="R24" s="94">
        <v>0</v>
      </c>
      <c r="S24" s="66">
        <f t="shared" si="21"/>
        <v>0</v>
      </c>
      <c r="T24" s="67">
        <f t="shared" si="22"/>
        <v>0</v>
      </c>
      <c r="U24" s="67">
        <f t="shared" si="23"/>
        <v>0</v>
      </c>
      <c r="V24" s="67">
        <f t="shared" si="24"/>
        <v>0</v>
      </c>
      <c r="W24" s="68">
        <f t="shared" si="25"/>
        <v>0</v>
      </c>
      <c r="X24" s="66">
        <f t="shared" si="26"/>
        <v>0</v>
      </c>
      <c r="Y24" s="67">
        <f t="shared" si="27"/>
        <v>0.43678710451686259</v>
      </c>
      <c r="Z24" s="67">
        <f t="shared" si="28"/>
        <v>0.46229416712222376</v>
      </c>
      <c r="AA24" s="67">
        <f t="shared" si="29"/>
        <v>0.41577682966803486</v>
      </c>
      <c r="AB24" s="68">
        <f t="shared" si="30"/>
        <v>0.51089612235349169</v>
      </c>
    </row>
    <row r="25" spans="1:28" ht="12.3" x14ac:dyDescent="0.35">
      <c r="D25" s="26" t="s">
        <v>209</v>
      </c>
      <c r="E25" s="52" t="s">
        <v>210</v>
      </c>
      <c r="F25" s="52" t="str">
        <f t="shared" si="1"/>
        <v>Dollars</v>
      </c>
      <c r="G25" s="52" t="str">
        <f t="shared" si="2"/>
        <v>Nominal</v>
      </c>
      <c r="H25" s="52" t="str">
        <f t="shared" si="3"/>
        <v>Start year</v>
      </c>
      <c r="J25" s="66">
        <f t="shared" ref="J25:Q25" si="33">(J156-J137-J100-J81-J62)/(1+J$169)</f>
        <v>0</v>
      </c>
      <c r="K25" s="67">
        <f t="shared" si="33"/>
        <v>0</v>
      </c>
      <c r="L25" s="67">
        <f t="shared" si="33"/>
        <v>0</v>
      </c>
      <c r="M25" s="67">
        <f t="shared" si="33"/>
        <v>0</v>
      </c>
      <c r="N25" s="66">
        <f t="shared" si="33"/>
        <v>0</v>
      </c>
      <c r="O25" s="67">
        <f t="shared" si="33"/>
        <v>0</v>
      </c>
      <c r="P25" s="67">
        <f t="shared" si="33"/>
        <v>0</v>
      </c>
      <c r="Q25" s="68">
        <f t="shared" si="33"/>
        <v>0</v>
      </c>
      <c r="R25" s="94">
        <v>0</v>
      </c>
      <c r="S25" s="66">
        <f t="shared" si="21"/>
        <v>0</v>
      </c>
      <c r="T25" s="67">
        <f t="shared" si="22"/>
        <v>0</v>
      </c>
      <c r="U25" s="67">
        <f t="shared" si="23"/>
        <v>0</v>
      </c>
      <c r="V25" s="67">
        <f t="shared" si="24"/>
        <v>0</v>
      </c>
      <c r="W25" s="68">
        <f t="shared" si="25"/>
        <v>0</v>
      </c>
      <c r="X25" s="66">
        <f t="shared" si="26"/>
        <v>0</v>
      </c>
      <c r="Y25" s="67">
        <f t="shared" si="27"/>
        <v>0</v>
      </c>
      <c r="Z25" s="67">
        <f t="shared" si="28"/>
        <v>0</v>
      </c>
      <c r="AA25" s="67">
        <f t="shared" si="29"/>
        <v>0</v>
      </c>
      <c r="AB25" s="68">
        <f t="shared" si="30"/>
        <v>0</v>
      </c>
    </row>
    <row r="26" spans="1:28" ht="12.3" x14ac:dyDescent="0.35">
      <c r="D26" s="26" t="s">
        <v>208</v>
      </c>
      <c r="E26" s="52" t="s">
        <v>210</v>
      </c>
      <c r="F26" s="52" t="str">
        <f t="shared" si="1"/>
        <v>Dollars</v>
      </c>
      <c r="G26" s="52" t="str">
        <f t="shared" si="2"/>
        <v>Nominal</v>
      </c>
      <c r="H26" s="52" t="str">
        <f t="shared" si="3"/>
        <v>Start year</v>
      </c>
      <c r="J26" s="66">
        <f t="shared" ref="J26:Q26" si="34">(J157-J138-J101-J82-J63)/(1+J$169)</f>
        <v>0</v>
      </c>
      <c r="K26" s="67">
        <f t="shared" si="34"/>
        <v>0</v>
      </c>
      <c r="L26" s="67">
        <f t="shared" si="34"/>
        <v>0</v>
      </c>
      <c r="M26" s="67">
        <f t="shared" si="34"/>
        <v>0</v>
      </c>
      <c r="N26" s="66">
        <f t="shared" si="34"/>
        <v>0</v>
      </c>
      <c r="O26" s="67">
        <f t="shared" si="34"/>
        <v>0</v>
      </c>
      <c r="P26" s="67">
        <f t="shared" si="34"/>
        <v>0</v>
      </c>
      <c r="Q26" s="68">
        <f t="shared" si="34"/>
        <v>0</v>
      </c>
      <c r="R26" s="94">
        <v>0</v>
      </c>
      <c r="S26" s="66">
        <f t="shared" si="21"/>
        <v>0</v>
      </c>
      <c r="T26" s="67">
        <f t="shared" si="22"/>
        <v>0</v>
      </c>
      <c r="U26" s="67">
        <f t="shared" si="23"/>
        <v>0</v>
      </c>
      <c r="V26" s="67">
        <f t="shared" si="24"/>
        <v>0</v>
      </c>
      <c r="W26" s="68">
        <f t="shared" si="25"/>
        <v>0</v>
      </c>
      <c r="X26" s="66">
        <f t="shared" si="26"/>
        <v>0</v>
      </c>
      <c r="Y26" s="67">
        <f t="shared" si="27"/>
        <v>0.16620313098234032</v>
      </c>
      <c r="Z26" s="67">
        <f t="shared" si="28"/>
        <v>0.13618667886845484</v>
      </c>
      <c r="AA26" s="67">
        <f t="shared" si="29"/>
        <v>0.1046167763484607</v>
      </c>
      <c r="AB26" s="68">
        <f t="shared" si="30"/>
        <v>7.1435734697112979E-2</v>
      </c>
    </row>
    <row r="27" spans="1:28" x14ac:dyDescent="0.35">
      <c r="J27" s="56"/>
      <c r="K27" s="57"/>
      <c r="L27" s="57"/>
      <c r="M27" s="57"/>
      <c r="N27" s="56"/>
      <c r="O27" s="57"/>
      <c r="P27" s="57"/>
      <c r="Q27" s="58"/>
      <c r="R27" s="91"/>
      <c r="S27" s="56"/>
      <c r="T27" s="57"/>
      <c r="U27" s="57"/>
      <c r="V27" s="57"/>
      <c r="W27" s="58"/>
      <c r="X27" s="56"/>
      <c r="Y27" s="57"/>
      <c r="Z27" s="57"/>
      <c r="AA27" s="57"/>
      <c r="AB27" s="58"/>
    </row>
    <row r="28" spans="1:28" ht="12.3" x14ac:dyDescent="0.35">
      <c r="D28" s="51" t="str">
        <f>"Total "&amp;D16</f>
        <v>Total RAB Asset Class</v>
      </c>
      <c r="E28" s="47" t="s">
        <v>111</v>
      </c>
      <c r="F28" s="47" t="str">
        <f>F18</f>
        <v>Dollars</v>
      </c>
      <c r="G28" s="47" t="str">
        <f>G18</f>
        <v>Nominal</v>
      </c>
      <c r="H28" s="47" t="str">
        <f>H18</f>
        <v>Start year</v>
      </c>
      <c r="J28" s="62">
        <f t="shared" ref="J28:AB28" si="35">SUM(J18:J26)</f>
        <v>3.6901484438708394</v>
      </c>
      <c r="K28" s="46">
        <f t="shared" si="35"/>
        <v>3.8278948849313323</v>
      </c>
      <c r="L28" s="46">
        <f t="shared" si="35"/>
        <v>3.9633825068773603</v>
      </c>
      <c r="M28" s="46">
        <f t="shared" si="35"/>
        <v>4.5970500391445173</v>
      </c>
      <c r="N28" s="62">
        <f t="shared" si="35"/>
        <v>5.2388595084861889</v>
      </c>
      <c r="O28" s="46">
        <f t="shared" si="35"/>
        <v>5.920632861034365</v>
      </c>
      <c r="P28" s="46">
        <f t="shared" si="35"/>
        <v>6.3964429547187533</v>
      </c>
      <c r="Q28" s="63">
        <f t="shared" si="35"/>
        <v>6.8622081731067848</v>
      </c>
      <c r="R28" s="92">
        <f t="shared" si="35"/>
        <v>7.6107652191467547</v>
      </c>
      <c r="S28" s="62">
        <f t="shared" si="35"/>
        <v>7.5059720809877994</v>
      </c>
      <c r="T28" s="46">
        <f t="shared" si="35"/>
        <v>8.4542270143843634</v>
      </c>
      <c r="U28" s="46">
        <f t="shared" si="35"/>
        <v>10.425813642022687</v>
      </c>
      <c r="V28" s="46">
        <f t="shared" si="35"/>
        <v>12.334464389141095</v>
      </c>
      <c r="W28" s="63">
        <f t="shared" si="35"/>
        <v>12.96510036520907</v>
      </c>
      <c r="X28" s="62">
        <f t="shared" si="35"/>
        <v>16.51120271155871</v>
      </c>
      <c r="Y28" s="46">
        <f t="shared" si="35"/>
        <v>22.883257457975656</v>
      </c>
      <c r="Z28" s="46">
        <f t="shared" si="35"/>
        <v>25.721192681815516</v>
      </c>
      <c r="AA28" s="46">
        <f t="shared" si="35"/>
        <v>28.448342575302394</v>
      </c>
      <c r="AB28" s="63">
        <f t="shared" si="35"/>
        <v>35.136174900090033</v>
      </c>
    </row>
    <row r="29" spans="1:28" s="6" customFormat="1" ht="11.25" customHeight="1" x14ac:dyDescent="0.35"/>
    <row r="30" spans="1:28" s="6" customFormat="1" ht="11.25" customHeight="1" x14ac:dyDescent="0.35">
      <c r="A30" s="49">
        <f>IF(SUM($J30:$AB30)&lt;&gt;0,1,0)</f>
        <v>0</v>
      </c>
      <c r="D30" s="15" t="s">
        <v>114</v>
      </c>
      <c r="J30" s="70">
        <f>IF(ISERROR(J28),1,0)</f>
        <v>0</v>
      </c>
      <c r="K30" s="70">
        <f t="shared" ref="K30:N30" si="36">IF(ISERROR(K28),1,0)</f>
        <v>0</v>
      </c>
      <c r="L30" s="70">
        <f t="shared" si="36"/>
        <v>0</v>
      </c>
      <c r="M30" s="70">
        <f t="shared" si="36"/>
        <v>0</v>
      </c>
      <c r="N30" s="70">
        <f t="shared" si="36"/>
        <v>0</v>
      </c>
      <c r="O30" s="70">
        <f>IF(ISERROR(O28),1,0)</f>
        <v>0</v>
      </c>
      <c r="P30" s="70">
        <f t="shared" ref="P30:S30" si="37">IF(ISERROR(P28),1,0)</f>
        <v>0</v>
      </c>
      <c r="Q30" s="70">
        <f t="shared" si="37"/>
        <v>0</v>
      </c>
      <c r="R30" s="70">
        <f t="shared" si="37"/>
        <v>0</v>
      </c>
      <c r="S30" s="70">
        <f t="shared" si="37"/>
        <v>0</v>
      </c>
      <c r="T30" s="70">
        <f>IF(ISERROR(T28),1,0)</f>
        <v>0</v>
      </c>
      <c r="U30" s="70">
        <f t="shared" ref="U30:X30" si="38">IF(ISERROR(U28),1,0)</f>
        <v>0</v>
      </c>
      <c r="V30" s="70">
        <f t="shared" si="38"/>
        <v>0</v>
      </c>
      <c r="W30" s="70">
        <f t="shared" si="38"/>
        <v>0</v>
      </c>
      <c r="X30" s="70">
        <f t="shared" si="38"/>
        <v>0</v>
      </c>
      <c r="Y30" s="70">
        <f>IF(ISERROR(Y28),1,0)</f>
        <v>0</v>
      </c>
      <c r="Z30" s="70">
        <f t="shared" ref="Z30:AB30" si="39">IF(ISERROR(Z28),1,0)</f>
        <v>0</v>
      </c>
      <c r="AA30" s="70">
        <f t="shared" si="39"/>
        <v>0</v>
      </c>
      <c r="AB30" s="70">
        <f t="shared" si="39"/>
        <v>0</v>
      </c>
    </row>
    <row r="31" spans="1:28" s="6" customFormat="1" ht="11.25" customHeight="1" x14ac:dyDescent="0.35">
      <c r="L31" s="10"/>
      <c r="Q31" s="10"/>
      <c r="V31" s="10"/>
      <c r="AA31" s="10"/>
    </row>
    <row r="32" spans="1:28" s="13" customFormat="1" ht="14.1" x14ac:dyDescent="0.35">
      <c r="C32" s="13" t="s">
        <v>148</v>
      </c>
    </row>
    <row r="33" spans="1:28" s="6" customFormat="1" ht="11.25" customHeight="1" x14ac:dyDescent="0.35"/>
    <row r="34" spans="1:28" ht="12.3" x14ac:dyDescent="0.35">
      <c r="D34" s="50" t="str">
        <f>D$16</f>
        <v>RAB Asset Class</v>
      </c>
      <c r="E34" s="45" t="str">
        <f>Lookup!E$20</f>
        <v>Source</v>
      </c>
      <c r="F34" s="45" t="str">
        <f>Lookup!F$20</f>
        <v>Unit</v>
      </c>
      <c r="G34" s="45" t="str">
        <f>Lookup!G$20</f>
        <v>Basis</v>
      </c>
      <c r="H34" s="45" t="str">
        <f>Lookup!H$20</f>
        <v>Timing</v>
      </c>
      <c r="J34" s="54" t="str">
        <f>J$10</f>
        <v>RY06</v>
      </c>
      <c r="K34" s="45" t="str">
        <f t="shared" ref="K34:AB34" si="40">K$10</f>
        <v>RY07</v>
      </c>
      <c r="L34" s="45" t="str">
        <f t="shared" si="40"/>
        <v>RY08</v>
      </c>
      <c r="M34" s="45" t="str">
        <f t="shared" si="40"/>
        <v>RY09</v>
      </c>
      <c r="N34" s="54" t="str">
        <f t="shared" si="40"/>
        <v>RY10</v>
      </c>
      <c r="O34" s="45" t="str">
        <f>O$10</f>
        <v>RY11</v>
      </c>
      <c r="P34" s="45" t="str">
        <f t="shared" si="40"/>
        <v>RY12</v>
      </c>
      <c r="Q34" s="55" t="str">
        <f t="shared" si="40"/>
        <v>RY13</v>
      </c>
      <c r="R34" s="90" t="str">
        <f t="shared" si="40"/>
        <v>RY14</v>
      </c>
      <c r="S34" s="54" t="str">
        <f t="shared" si="40"/>
        <v>RY15</v>
      </c>
      <c r="T34" s="45" t="str">
        <f>T$10</f>
        <v>RY16</v>
      </c>
      <c r="U34" s="45" t="str">
        <f t="shared" si="40"/>
        <v>RY17</v>
      </c>
      <c r="V34" s="45" t="str">
        <f t="shared" si="40"/>
        <v>RY18</v>
      </c>
      <c r="W34" s="55" t="str">
        <f t="shared" si="40"/>
        <v>RY19</v>
      </c>
      <c r="X34" s="54" t="str">
        <f t="shared" si="40"/>
        <v>RY20</v>
      </c>
      <c r="Y34" s="45" t="str">
        <f>Y$10</f>
        <v>RY21</v>
      </c>
      <c r="Z34" s="45" t="str">
        <f t="shared" si="40"/>
        <v>RY22</v>
      </c>
      <c r="AA34" s="45" t="str">
        <f t="shared" si="40"/>
        <v>RY23</v>
      </c>
      <c r="AB34" s="55" t="str">
        <f t="shared" si="40"/>
        <v>RY24</v>
      </c>
    </row>
    <row r="35" spans="1:28" x14ac:dyDescent="0.35">
      <c r="J35" s="56"/>
      <c r="K35" s="57"/>
      <c r="L35" s="57"/>
      <c r="M35" s="57"/>
      <c r="N35" s="56"/>
      <c r="O35" s="57"/>
      <c r="P35" s="57"/>
      <c r="Q35" s="58"/>
      <c r="R35" s="91"/>
      <c r="S35" s="56"/>
      <c r="T35" s="57"/>
      <c r="U35" s="57"/>
      <c r="V35" s="57"/>
      <c r="W35" s="58"/>
      <c r="X35" s="56"/>
      <c r="Y35" s="57"/>
      <c r="Z35" s="57"/>
      <c r="AA35" s="57"/>
      <c r="AB35" s="58"/>
    </row>
    <row r="36" spans="1:28" ht="12.3" x14ac:dyDescent="0.35">
      <c r="D36" s="15" t="str">
        <f t="shared" ref="D36:D41" si="41">D18</f>
        <v>Mechanical meters - General</v>
      </c>
      <c r="E36" s="52" t="s">
        <v>210</v>
      </c>
      <c r="F36" s="52" t="str">
        <f t="shared" ref="F36:F44" si="42">Dollars</f>
        <v>Dollars</v>
      </c>
      <c r="G36" s="52" t="str">
        <f t="shared" ref="G36:G44" si="43">Nominal</f>
        <v>Nominal</v>
      </c>
      <c r="H36" s="52" t="str">
        <f t="shared" ref="H36:H44" si="44">End_year</f>
        <v>End_year</v>
      </c>
      <c r="J36" s="66">
        <f>J18*J$169</f>
        <v>2.5126325828287079E-2</v>
      </c>
      <c r="K36" s="67">
        <f t="shared" ref="K36:AB36" si="45">K18*K$169</f>
        <v>2.2727957134667388E-2</v>
      </c>
      <c r="L36" s="67">
        <f t="shared" si="45"/>
        <v>4.1768734632706528E-2</v>
      </c>
      <c r="M36" s="67">
        <f t="shared" si="45"/>
        <v>3.6148076481930615E-2</v>
      </c>
      <c r="N36" s="66">
        <f t="shared" si="45"/>
        <v>5.9828286308857698E-2</v>
      </c>
      <c r="O36" s="67">
        <f t="shared" si="45"/>
        <v>8.5912864312855414E-2</v>
      </c>
      <c r="P36" s="67">
        <f t="shared" si="45"/>
        <v>4.8948697295696571E-2</v>
      </c>
      <c r="Q36" s="68">
        <f t="shared" si="45"/>
        <v>8.5532695129365385E-2</v>
      </c>
      <c r="R36" s="72">
        <f t="shared" si="45"/>
        <v>9.9961564320887208E-2</v>
      </c>
      <c r="S36" s="66">
        <f t="shared" si="45"/>
        <v>5.3450619660485081E-2</v>
      </c>
      <c r="T36" s="67">
        <f t="shared" si="45"/>
        <v>7.1687498322701923E-2</v>
      </c>
      <c r="U36" s="67">
        <f t="shared" si="45"/>
        <v>0.16591699093117337</v>
      </c>
      <c r="V36" s="67">
        <f t="shared" si="45"/>
        <v>0.25058549117014556</v>
      </c>
      <c r="W36" s="68">
        <f t="shared" si="45"/>
        <v>0.23442000007419384</v>
      </c>
      <c r="X36" s="66">
        <f t="shared" si="45"/>
        <v>0.23995792044938621</v>
      </c>
      <c r="Y36" s="67">
        <f t="shared" si="45"/>
        <v>0.23088427184289745</v>
      </c>
      <c r="Z36" s="67">
        <f t="shared" si="45"/>
        <v>0.22122947835759588</v>
      </c>
      <c r="AA36" s="67">
        <f t="shared" si="45"/>
        <v>0.21097069124460247</v>
      </c>
      <c r="AB36" s="68">
        <f t="shared" si="45"/>
        <v>0.20008429536217887</v>
      </c>
    </row>
    <row r="37" spans="1:28" ht="12.3" x14ac:dyDescent="0.35">
      <c r="D37" s="15" t="str">
        <f t="shared" si="41"/>
        <v>Electronic Meters</v>
      </c>
      <c r="E37" s="52" t="s">
        <v>210</v>
      </c>
      <c r="F37" s="52" t="str">
        <f t="shared" si="42"/>
        <v>Dollars</v>
      </c>
      <c r="G37" s="52" t="str">
        <f t="shared" si="43"/>
        <v>Nominal</v>
      </c>
      <c r="H37" s="52" t="str">
        <f t="shared" si="44"/>
        <v>End_year</v>
      </c>
      <c r="J37" s="66">
        <f t="shared" ref="J37:AB37" si="46">J19*J$169</f>
        <v>8.2746466684380793E-2</v>
      </c>
      <c r="K37" s="67">
        <f t="shared" si="46"/>
        <v>7.2403158348832639E-2</v>
      </c>
      <c r="L37" s="67">
        <f t="shared" si="46"/>
        <v>0.12756746947175349</v>
      </c>
      <c r="M37" s="67">
        <f t="shared" si="46"/>
        <v>7.5850927794015602E-2</v>
      </c>
      <c r="N37" s="66">
        <f t="shared" si="46"/>
        <v>9.3089775019927962E-2</v>
      </c>
      <c r="O37" s="67">
        <f t="shared" si="46"/>
        <v>0.10688085280065791</v>
      </c>
      <c r="P37" s="67">
        <f t="shared" si="46"/>
        <v>5.5164311122920896E-2</v>
      </c>
      <c r="Q37" s="68">
        <f t="shared" si="46"/>
        <v>8.6194236129563104E-2</v>
      </c>
      <c r="R37" s="72">
        <f t="shared" si="46"/>
        <v>8.6493708308543388E-2</v>
      </c>
      <c r="S37" s="66">
        <f t="shared" si="46"/>
        <v>4.6249199252065665E-2</v>
      </c>
      <c r="T37" s="67">
        <f t="shared" si="46"/>
        <v>3.8713287921615429E-2</v>
      </c>
      <c r="U37" s="67">
        <f t="shared" si="46"/>
        <v>5.0249780193914795E-2</v>
      </c>
      <c r="V37" s="67">
        <f t="shared" si="46"/>
        <v>4.1780910209816058E-2</v>
      </c>
      <c r="W37" s="68">
        <f t="shared" si="46"/>
        <v>7.0411754962567102E-2</v>
      </c>
      <c r="X37" s="66">
        <f t="shared" si="46"/>
        <v>0.14385784464122223</v>
      </c>
      <c r="Y37" s="67">
        <f t="shared" si="46"/>
        <v>0.21445698865815305</v>
      </c>
      <c r="Z37" s="67">
        <f t="shared" si="46"/>
        <v>0.28965734691841449</v>
      </c>
      <c r="AA37" s="67">
        <f t="shared" si="46"/>
        <v>0.36483892714704802</v>
      </c>
      <c r="AB37" s="68">
        <f t="shared" si="46"/>
        <v>0.42506878181226959</v>
      </c>
    </row>
    <row r="38" spans="1:28" ht="12.3" x14ac:dyDescent="0.35">
      <c r="D38" s="15" t="str">
        <f t="shared" si="41"/>
        <v>Metering Communications</v>
      </c>
      <c r="E38" s="52" t="s">
        <v>210</v>
      </c>
      <c r="F38" s="52" t="str">
        <f t="shared" si="42"/>
        <v>Dollars</v>
      </c>
      <c r="G38" s="52" t="str">
        <f t="shared" si="43"/>
        <v>Nominal</v>
      </c>
      <c r="H38" s="52" t="str">
        <f t="shared" si="44"/>
        <v>End_year</v>
      </c>
      <c r="J38" s="66">
        <f t="shared" ref="J38:AB38" si="47">J20*J$169</f>
        <v>0</v>
      </c>
      <c r="K38" s="67">
        <f t="shared" si="47"/>
        <v>0</v>
      </c>
      <c r="L38" s="67">
        <f t="shared" si="47"/>
        <v>0</v>
      </c>
      <c r="M38" s="67">
        <f t="shared" si="47"/>
        <v>0</v>
      </c>
      <c r="N38" s="66">
        <f t="shared" si="47"/>
        <v>0</v>
      </c>
      <c r="O38" s="67">
        <f t="shared" si="47"/>
        <v>0</v>
      </c>
      <c r="P38" s="67">
        <f t="shared" si="47"/>
        <v>0</v>
      </c>
      <c r="Q38" s="68">
        <f t="shared" si="47"/>
        <v>0</v>
      </c>
      <c r="R38" s="72">
        <f t="shared" si="47"/>
        <v>0</v>
      </c>
      <c r="S38" s="66">
        <f t="shared" si="47"/>
        <v>0</v>
      </c>
      <c r="T38" s="67">
        <f t="shared" si="47"/>
        <v>0</v>
      </c>
      <c r="U38" s="67">
        <f t="shared" si="47"/>
        <v>0</v>
      </c>
      <c r="V38" s="67">
        <f t="shared" si="47"/>
        <v>0</v>
      </c>
      <c r="W38" s="68">
        <f t="shared" si="47"/>
        <v>0</v>
      </c>
      <c r="X38" s="66">
        <f t="shared" si="47"/>
        <v>0</v>
      </c>
      <c r="Y38" s="67">
        <f t="shared" si="47"/>
        <v>7.332864748109387E-2</v>
      </c>
      <c r="Z38" s="67">
        <f t="shared" si="47"/>
        <v>7.4799852269837236E-2</v>
      </c>
      <c r="AA38" s="67">
        <f t="shared" si="47"/>
        <v>7.6105390457643196E-2</v>
      </c>
      <c r="AB38" s="68">
        <f t="shared" si="47"/>
        <v>0.18596499122500554</v>
      </c>
    </row>
    <row r="39" spans="1:28" ht="12.3" x14ac:dyDescent="0.35">
      <c r="D39" s="15" t="str">
        <f t="shared" si="41"/>
        <v>Metering - Dedicated CTs and VTs</v>
      </c>
      <c r="E39" s="52" t="s">
        <v>210</v>
      </c>
      <c r="F39" s="52" t="str">
        <f t="shared" si="42"/>
        <v>Dollars</v>
      </c>
      <c r="G39" s="52" t="str">
        <f t="shared" si="43"/>
        <v>Nominal</v>
      </c>
      <c r="H39" s="52" t="str">
        <f t="shared" si="44"/>
        <v>End_year</v>
      </c>
      <c r="J39" s="66">
        <f t="shared" ref="J39:AB39" si="48">J21*J$169</f>
        <v>0</v>
      </c>
      <c r="K39" s="67">
        <f t="shared" si="48"/>
        <v>0</v>
      </c>
      <c r="L39" s="67">
        <f t="shared" si="48"/>
        <v>0</v>
      </c>
      <c r="M39" s="67">
        <f t="shared" si="48"/>
        <v>0</v>
      </c>
      <c r="N39" s="66">
        <f t="shared" si="48"/>
        <v>0</v>
      </c>
      <c r="O39" s="67">
        <f t="shared" si="48"/>
        <v>0</v>
      </c>
      <c r="P39" s="67">
        <f t="shared" si="48"/>
        <v>0</v>
      </c>
      <c r="Q39" s="68">
        <f t="shared" si="48"/>
        <v>0</v>
      </c>
      <c r="R39" s="72">
        <f t="shared" si="48"/>
        <v>0</v>
      </c>
      <c r="S39" s="66">
        <f t="shared" si="48"/>
        <v>0</v>
      </c>
      <c r="T39" s="67">
        <f t="shared" si="48"/>
        <v>0</v>
      </c>
      <c r="U39" s="67">
        <f t="shared" si="48"/>
        <v>0</v>
      </c>
      <c r="V39" s="67">
        <f t="shared" si="48"/>
        <v>0</v>
      </c>
      <c r="W39" s="68">
        <f t="shared" si="48"/>
        <v>2.6636109237817276E-3</v>
      </c>
      <c r="X39" s="66">
        <f t="shared" si="48"/>
        <v>5.4619530654906236E-3</v>
      </c>
      <c r="Y39" s="67">
        <f t="shared" si="48"/>
        <v>8.2052990411442539E-3</v>
      </c>
      <c r="Z39" s="67">
        <f t="shared" si="48"/>
        <v>1.1068687725905923E-2</v>
      </c>
      <c r="AA39" s="67">
        <f t="shared" si="48"/>
        <v>1.3872443137927782E-2</v>
      </c>
      <c r="AB39" s="68">
        <f t="shared" si="48"/>
        <v>1.6403840985825733E-2</v>
      </c>
    </row>
    <row r="40" spans="1:28" ht="12.3" x14ac:dyDescent="0.35">
      <c r="D40" s="15" t="str">
        <f t="shared" si="41"/>
        <v>Metering - Non-Network Other</v>
      </c>
      <c r="E40" s="52" t="s">
        <v>210</v>
      </c>
      <c r="F40" s="52" t="str">
        <f t="shared" si="42"/>
        <v>Dollars</v>
      </c>
      <c r="G40" s="52" t="str">
        <f t="shared" si="43"/>
        <v>Nominal</v>
      </c>
      <c r="H40" s="52" t="str">
        <f t="shared" si="44"/>
        <v>End_year</v>
      </c>
      <c r="J40" s="66">
        <f t="shared" ref="J40:AB40" si="49">J22*J$169</f>
        <v>0</v>
      </c>
      <c r="K40" s="67">
        <f t="shared" si="49"/>
        <v>0</v>
      </c>
      <c r="L40" s="67">
        <f t="shared" si="49"/>
        <v>0</v>
      </c>
      <c r="M40" s="67">
        <f t="shared" si="49"/>
        <v>0</v>
      </c>
      <c r="N40" s="66">
        <f t="shared" si="49"/>
        <v>0</v>
      </c>
      <c r="O40" s="67">
        <f t="shared" si="49"/>
        <v>0</v>
      </c>
      <c r="P40" s="67">
        <f t="shared" si="49"/>
        <v>0</v>
      </c>
      <c r="Q40" s="68">
        <f t="shared" si="49"/>
        <v>0</v>
      </c>
      <c r="R40" s="72">
        <f t="shared" si="49"/>
        <v>0</v>
      </c>
      <c r="S40" s="66">
        <f t="shared" si="49"/>
        <v>0</v>
      </c>
      <c r="T40" s="67">
        <f t="shared" si="49"/>
        <v>4.2241431877477413E-4</v>
      </c>
      <c r="U40" s="67">
        <f t="shared" si="49"/>
        <v>5.4540364225283289E-3</v>
      </c>
      <c r="V40" s="67">
        <f t="shared" si="49"/>
        <v>6.7288997355755649E-3</v>
      </c>
      <c r="W40" s="68">
        <f t="shared" si="49"/>
        <v>6.8920671199947901E-3</v>
      </c>
      <c r="X40" s="66">
        <f t="shared" si="49"/>
        <v>1.1098252051490197E-2</v>
      </c>
      <c r="Y40" s="67">
        <f t="shared" si="49"/>
        <v>1.0416162968563476E-2</v>
      </c>
      <c r="Z40" s="67">
        <f t="shared" si="49"/>
        <v>9.6944684838196973E-3</v>
      </c>
      <c r="AA40" s="67">
        <f t="shared" si="49"/>
        <v>8.9316489041029595E-3</v>
      </c>
      <c r="AB40" s="68">
        <f t="shared" si="49"/>
        <v>8.1261341229929614E-3</v>
      </c>
    </row>
    <row r="41" spans="1:28" ht="12.3" x14ac:dyDescent="0.35">
      <c r="D41" s="15" t="str">
        <f t="shared" si="41"/>
        <v>Metering - Non-Network IT &amp; Communications</v>
      </c>
      <c r="E41" s="52" t="s">
        <v>210</v>
      </c>
      <c r="F41" s="52" t="str">
        <f t="shared" si="42"/>
        <v>Dollars</v>
      </c>
      <c r="G41" s="52" t="str">
        <f t="shared" si="43"/>
        <v>Nominal</v>
      </c>
      <c r="H41" s="52" t="str">
        <f t="shared" si="44"/>
        <v>End_year</v>
      </c>
      <c r="J41" s="66">
        <f t="shared" ref="J41:AB41" si="50">J23*J$169</f>
        <v>0</v>
      </c>
      <c r="K41" s="67">
        <f t="shared" si="50"/>
        <v>0</v>
      </c>
      <c r="L41" s="67">
        <f t="shared" si="50"/>
        <v>0</v>
      </c>
      <c r="M41" s="67">
        <f t="shared" si="50"/>
        <v>0</v>
      </c>
      <c r="N41" s="66">
        <f t="shared" si="50"/>
        <v>0</v>
      </c>
      <c r="O41" s="67">
        <f t="shared" si="50"/>
        <v>0</v>
      </c>
      <c r="P41" s="67">
        <f t="shared" si="50"/>
        <v>0</v>
      </c>
      <c r="Q41" s="68">
        <f t="shared" si="50"/>
        <v>0</v>
      </c>
      <c r="R41" s="72">
        <f t="shared" si="50"/>
        <v>0</v>
      </c>
      <c r="S41" s="66">
        <f t="shared" si="50"/>
        <v>0</v>
      </c>
      <c r="T41" s="67">
        <f t="shared" si="50"/>
        <v>0</v>
      </c>
      <c r="U41" s="67">
        <f t="shared" si="50"/>
        <v>0</v>
      </c>
      <c r="V41" s="67">
        <f t="shared" si="50"/>
        <v>0</v>
      </c>
      <c r="W41" s="68">
        <f t="shared" si="50"/>
        <v>0</v>
      </c>
      <c r="X41" s="66">
        <f t="shared" si="50"/>
        <v>0</v>
      </c>
      <c r="Y41" s="67">
        <f t="shared" si="50"/>
        <v>2.9771835180962768E-3</v>
      </c>
      <c r="Z41" s="67">
        <f t="shared" si="50"/>
        <v>2.7444388380615369E-3</v>
      </c>
      <c r="AA41" s="67">
        <f t="shared" si="50"/>
        <v>2.4986560354998818E-3</v>
      </c>
      <c r="AB41" s="68">
        <f t="shared" si="50"/>
        <v>2.2393396484233284E-3</v>
      </c>
    </row>
    <row r="42" spans="1:28" ht="12.3" x14ac:dyDescent="0.35">
      <c r="D42" s="15" t="str">
        <f t="shared" ref="D42:D44" si="51">D24</f>
        <v>Fleet leases</v>
      </c>
      <c r="E42" s="52" t="s">
        <v>210</v>
      </c>
      <c r="F42" s="52" t="str">
        <f t="shared" si="42"/>
        <v>Dollars</v>
      </c>
      <c r="G42" s="52" t="str">
        <f t="shared" si="43"/>
        <v>Nominal</v>
      </c>
      <c r="H42" s="52" t="str">
        <f t="shared" si="44"/>
        <v>End_year</v>
      </c>
      <c r="J42" s="66">
        <f t="shared" ref="J42:AB42" si="52">J24*J$169</f>
        <v>0</v>
      </c>
      <c r="K42" s="67">
        <f t="shared" si="52"/>
        <v>0</v>
      </c>
      <c r="L42" s="67">
        <f t="shared" si="52"/>
        <v>0</v>
      </c>
      <c r="M42" s="67">
        <f t="shared" si="52"/>
        <v>0</v>
      </c>
      <c r="N42" s="66">
        <f t="shared" si="52"/>
        <v>0</v>
      </c>
      <c r="O42" s="67">
        <f t="shared" si="52"/>
        <v>0</v>
      </c>
      <c r="P42" s="67">
        <f t="shared" si="52"/>
        <v>0</v>
      </c>
      <c r="Q42" s="68">
        <f t="shared" si="52"/>
        <v>0</v>
      </c>
      <c r="R42" s="72">
        <f t="shared" si="52"/>
        <v>0</v>
      </c>
      <c r="S42" s="66">
        <f t="shared" si="52"/>
        <v>0</v>
      </c>
      <c r="T42" s="67">
        <f t="shared" si="52"/>
        <v>0</v>
      </c>
      <c r="U42" s="67">
        <f t="shared" si="52"/>
        <v>0</v>
      </c>
      <c r="V42" s="67">
        <f t="shared" si="52"/>
        <v>0</v>
      </c>
      <c r="W42" s="68">
        <f t="shared" si="52"/>
        <v>0</v>
      </c>
      <c r="X42" s="66">
        <f t="shared" si="52"/>
        <v>0</v>
      </c>
      <c r="Y42" s="67">
        <f t="shared" si="52"/>
        <v>1.0591539804830696E-2</v>
      </c>
      <c r="Z42" s="67">
        <f t="shared" si="52"/>
        <v>1.1210054101830876E-2</v>
      </c>
      <c r="AA42" s="67">
        <f t="shared" si="52"/>
        <v>1.0082066974542041E-2</v>
      </c>
      <c r="AB42" s="68">
        <f t="shared" si="52"/>
        <v>1.2388590597302665E-2</v>
      </c>
    </row>
    <row r="43" spans="1:28" ht="12.3" x14ac:dyDescent="0.35">
      <c r="D43" s="15" t="str">
        <f t="shared" si="51"/>
        <v>[Spare]</v>
      </c>
      <c r="E43" s="52" t="s">
        <v>210</v>
      </c>
      <c r="F43" s="52" t="str">
        <f t="shared" si="42"/>
        <v>Dollars</v>
      </c>
      <c r="G43" s="52" t="str">
        <f t="shared" si="43"/>
        <v>Nominal</v>
      </c>
      <c r="H43" s="52" t="str">
        <f t="shared" si="44"/>
        <v>End_year</v>
      </c>
      <c r="J43" s="66">
        <f t="shared" ref="J43:AB43" si="53">J25*J$169</f>
        <v>0</v>
      </c>
      <c r="K43" s="67">
        <f t="shared" si="53"/>
        <v>0</v>
      </c>
      <c r="L43" s="67">
        <f t="shared" si="53"/>
        <v>0</v>
      </c>
      <c r="M43" s="67">
        <f t="shared" si="53"/>
        <v>0</v>
      </c>
      <c r="N43" s="66">
        <f t="shared" si="53"/>
        <v>0</v>
      </c>
      <c r="O43" s="67">
        <f t="shared" si="53"/>
        <v>0</v>
      </c>
      <c r="P43" s="67">
        <f t="shared" si="53"/>
        <v>0</v>
      </c>
      <c r="Q43" s="68">
        <f t="shared" si="53"/>
        <v>0</v>
      </c>
      <c r="R43" s="72">
        <f t="shared" si="53"/>
        <v>0</v>
      </c>
      <c r="S43" s="66">
        <f t="shared" si="53"/>
        <v>0</v>
      </c>
      <c r="T43" s="67">
        <f t="shared" si="53"/>
        <v>0</v>
      </c>
      <c r="U43" s="67">
        <f t="shared" si="53"/>
        <v>0</v>
      </c>
      <c r="V43" s="67">
        <f t="shared" si="53"/>
        <v>0</v>
      </c>
      <c r="W43" s="68">
        <f t="shared" si="53"/>
        <v>0</v>
      </c>
      <c r="X43" s="66">
        <f t="shared" si="53"/>
        <v>0</v>
      </c>
      <c r="Y43" s="67">
        <f t="shared" si="53"/>
        <v>0</v>
      </c>
      <c r="Z43" s="67">
        <f t="shared" si="53"/>
        <v>0</v>
      </c>
      <c r="AA43" s="67">
        <f t="shared" si="53"/>
        <v>0</v>
      </c>
      <c r="AB43" s="68">
        <f t="shared" si="53"/>
        <v>0</v>
      </c>
    </row>
    <row r="44" spans="1:28" ht="12.3" x14ac:dyDescent="0.35">
      <c r="D44" s="15" t="str">
        <f t="shared" si="51"/>
        <v>Equity Raising Costs</v>
      </c>
      <c r="E44" s="52" t="s">
        <v>210</v>
      </c>
      <c r="F44" s="52" t="str">
        <f t="shared" si="42"/>
        <v>Dollars</v>
      </c>
      <c r="G44" s="52" t="str">
        <f t="shared" si="43"/>
        <v>Nominal</v>
      </c>
      <c r="H44" s="52" t="str">
        <f t="shared" si="44"/>
        <v>End_year</v>
      </c>
      <c r="J44" s="66">
        <f t="shared" ref="J44:AB44" si="54">J26*J$169</f>
        <v>0</v>
      </c>
      <c r="K44" s="67">
        <f t="shared" si="54"/>
        <v>0</v>
      </c>
      <c r="L44" s="67">
        <f t="shared" si="54"/>
        <v>0</v>
      </c>
      <c r="M44" s="67">
        <f t="shared" si="54"/>
        <v>0</v>
      </c>
      <c r="N44" s="66">
        <f t="shared" si="54"/>
        <v>0</v>
      </c>
      <c r="O44" s="67">
        <f t="shared" si="54"/>
        <v>0</v>
      </c>
      <c r="P44" s="67">
        <f t="shared" si="54"/>
        <v>0</v>
      </c>
      <c r="Q44" s="68">
        <f t="shared" si="54"/>
        <v>0</v>
      </c>
      <c r="R44" s="72">
        <f t="shared" si="54"/>
        <v>0</v>
      </c>
      <c r="S44" s="66">
        <f t="shared" si="54"/>
        <v>0</v>
      </c>
      <c r="T44" s="67">
        <f t="shared" si="54"/>
        <v>0</v>
      </c>
      <c r="U44" s="67">
        <f t="shared" si="54"/>
        <v>0</v>
      </c>
      <c r="V44" s="67">
        <f t="shared" si="54"/>
        <v>0</v>
      </c>
      <c r="W44" s="68">
        <f t="shared" si="54"/>
        <v>0</v>
      </c>
      <c r="X44" s="66">
        <f t="shared" si="54"/>
        <v>0</v>
      </c>
      <c r="Y44" s="67">
        <f t="shared" si="54"/>
        <v>4.0302176032282278E-3</v>
      </c>
      <c r="Z44" s="67">
        <f t="shared" si="54"/>
        <v>3.3023562628260892E-3</v>
      </c>
      <c r="AA44" s="67">
        <f t="shared" si="54"/>
        <v>2.536825697208775E-3</v>
      </c>
      <c r="AB44" s="68">
        <f t="shared" si="54"/>
        <v>1.7322270270975629E-3</v>
      </c>
    </row>
    <row r="45" spans="1:28" x14ac:dyDescent="0.35">
      <c r="J45" s="56"/>
      <c r="K45" s="57"/>
      <c r="L45" s="57"/>
      <c r="M45" s="57"/>
      <c r="N45" s="56"/>
      <c r="O45" s="57"/>
      <c r="P45" s="57"/>
      <c r="Q45" s="58"/>
      <c r="R45" s="91"/>
      <c r="S45" s="56"/>
      <c r="T45" s="57"/>
      <c r="U45" s="57"/>
      <c r="V45" s="57"/>
      <c r="W45" s="58"/>
      <c r="X45" s="56"/>
      <c r="Y45" s="57"/>
      <c r="Z45" s="57"/>
      <c r="AA45" s="57"/>
      <c r="AB45" s="58"/>
    </row>
    <row r="46" spans="1:28" ht="12.3" x14ac:dyDescent="0.35">
      <c r="D46" s="51" t="str">
        <f>"Total "&amp;D34</f>
        <v>Total RAB Asset Class</v>
      </c>
      <c r="E46" s="47" t="s">
        <v>111</v>
      </c>
      <c r="F46" s="47" t="str">
        <f>F36</f>
        <v>Dollars</v>
      </c>
      <c r="G46" s="47" t="str">
        <f>G36</f>
        <v>Nominal</v>
      </c>
      <c r="H46" s="47" t="str">
        <f>H36</f>
        <v>End_year</v>
      </c>
      <c r="J46" s="62">
        <f t="shared" ref="J46:AB46" si="55">SUM(J36:J44)</f>
        <v>0.10787279251266788</v>
      </c>
      <c r="K46" s="46">
        <f t="shared" si="55"/>
        <v>9.5131115483500034E-2</v>
      </c>
      <c r="L46" s="46">
        <f t="shared" si="55"/>
        <v>0.16933620410446001</v>
      </c>
      <c r="M46" s="46">
        <f t="shared" si="55"/>
        <v>0.11199900427594622</v>
      </c>
      <c r="N46" s="62">
        <f t="shared" si="55"/>
        <v>0.15291806132878566</v>
      </c>
      <c r="O46" s="46">
        <f t="shared" si="55"/>
        <v>0.19279371711351334</v>
      </c>
      <c r="P46" s="46">
        <f t="shared" si="55"/>
        <v>0.10411300841861747</v>
      </c>
      <c r="Q46" s="63">
        <f t="shared" si="55"/>
        <v>0.17172693125892849</v>
      </c>
      <c r="R46" s="92">
        <f t="shared" si="55"/>
        <v>0.1864552726294306</v>
      </c>
      <c r="S46" s="62">
        <f t="shared" si="55"/>
        <v>9.9699818912550753E-2</v>
      </c>
      <c r="T46" s="46">
        <f t="shared" si="55"/>
        <v>0.11082320056309213</v>
      </c>
      <c r="U46" s="46">
        <f t="shared" si="55"/>
        <v>0.22162080754761651</v>
      </c>
      <c r="V46" s="46">
        <f t="shared" si="55"/>
        <v>0.29909530111553717</v>
      </c>
      <c r="W46" s="63">
        <f t="shared" si="55"/>
        <v>0.31438743308053746</v>
      </c>
      <c r="X46" s="62">
        <f t="shared" si="55"/>
        <v>0.40037597020758925</v>
      </c>
      <c r="Y46" s="46">
        <f t="shared" si="55"/>
        <v>0.55489031091800745</v>
      </c>
      <c r="Z46" s="46">
        <f t="shared" si="55"/>
        <v>0.62370668295829168</v>
      </c>
      <c r="AA46" s="46">
        <f t="shared" si="55"/>
        <v>0.68983664959857516</v>
      </c>
      <c r="AB46" s="63">
        <f t="shared" si="55"/>
        <v>0.85200820078109629</v>
      </c>
    </row>
    <row r="47" spans="1:28" s="6" customFormat="1" ht="11.25" customHeight="1" x14ac:dyDescent="0.35"/>
    <row r="48" spans="1:28" s="6" customFormat="1" ht="11.25" customHeight="1" x14ac:dyDescent="0.35">
      <c r="A48" s="49">
        <f>IF(SUM($J48:$AB48)&lt;&gt;0,1,0)</f>
        <v>0</v>
      </c>
      <c r="D48" s="15" t="s">
        <v>206</v>
      </c>
      <c r="J48" s="70">
        <f>IF(ISERROR(J46),1,0)</f>
        <v>0</v>
      </c>
      <c r="K48" s="70">
        <f t="shared" ref="K48:N48" si="56">IF(ISERROR(K46),1,0)</f>
        <v>0</v>
      </c>
      <c r="L48" s="70">
        <f t="shared" si="56"/>
        <v>0</v>
      </c>
      <c r="M48" s="70">
        <f t="shared" si="56"/>
        <v>0</v>
      </c>
      <c r="N48" s="70">
        <f t="shared" si="56"/>
        <v>0</v>
      </c>
      <c r="O48" s="70">
        <f>IF(ISERROR(O46),1,0)</f>
        <v>0</v>
      </c>
      <c r="P48" s="70">
        <f t="shared" ref="P48:S48" si="57">IF(ISERROR(P46),1,0)</f>
        <v>0</v>
      </c>
      <c r="Q48" s="70">
        <f t="shared" si="57"/>
        <v>0</v>
      </c>
      <c r="R48" s="70">
        <f t="shared" si="57"/>
        <v>0</v>
      </c>
      <c r="S48" s="70">
        <f t="shared" si="57"/>
        <v>0</v>
      </c>
      <c r="T48" s="70">
        <f>IF(ISERROR(T46),1,0)</f>
        <v>0</v>
      </c>
      <c r="U48" s="70">
        <f t="shared" ref="U48:X48" si="58">IF(ISERROR(U46),1,0)</f>
        <v>0</v>
      </c>
      <c r="V48" s="70">
        <f t="shared" si="58"/>
        <v>0</v>
      </c>
      <c r="W48" s="70">
        <f t="shared" si="58"/>
        <v>0</v>
      </c>
      <c r="X48" s="70">
        <f t="shared" si="58"/>
        <v>0</v>
      </c>
      <c r="Y48" s="70">
        <f>IF(ISERROR(Y46),1,0)</f>
        <v>0</v>
      </c>
      <c r="Z48" s="70">
        <f t="shared" ref="Z48:AB48" si="59">IF(ISERROR(Z46),1,0)</f>
        <v>0</v>
      </c>
      <c r="AA48" s="70">
        <f t="shared" si="59"/>
        <v>0</v>
      </c>
      <c r="AB48" s="70">
        <f t="shared" si="59"/>
        <v>0</v>
      </c>
    </row>
    <row r="49" spans="1:28" s="6" customFormat="1" ht="11.25" customHeight="1" x14ac:dyDescent="0.35">
      <c r="A49" s="49">
        <f>IF(SUM($J49:$AB49)&lt;&gt;0,1,0)</f>
        <v>0</v>
      </c>
      <c r="D49" s="84" t="s">
        <v>207</v>
      </c>
      <c r="J49" s="137">
        <f>IF(ROUND(J28*J$169-J46,2)&lt;&gt;0,1,0)</f>
        <v>0</v>
      </c>
      <c r="K49" s="130">
        <f t="shared" ref="K49:Q49" si="60">IF(ROUND(K28*K$169-K46,2)&lt;&gt;0,1,0)</f>
        <v>0</v>
      </c>
      <c r="L49" s="130">
        <f t="shared" si="60"/>
        <v>0</v>
      </c>
      <c r="M49" s="138">
        <f t="shared" si="60"/>
        <v>0</v>
      </c>
      <c r="N49" s="137">
        <f t="shared" si="60"/>
        <v>0</v>
      </c>
      <c r="O49" s="130">
        <f t="shared" si="60"/>
        <v>0</v>
      </c>
      <c r="P49" s="130">
        <f t="shared" si="60"/>
        <v>0</v>
      </c>
      <c r="Q49" s="138">
        <f t="shared" si="60"/>
        <v>0</v>
      </c>
      <c r="R49" s="136">
        <f>IF(ROUND(SUM('[6]Actual RAB roll forward'!$H$995:$H$1002)-R46,3)&lt;&gt;0,1,0)</f>
        <v>0</v>
      </c>
      <c r="S49" s="137">
        <f>IF(ROUND(SUM('[2]RAB roll forward'!H$678:H$684)-S46,2)&lt;&gt;0,1,0)</f>
        <v>0</v>
      </c>
      <c r="T49" s="130">
        <f>IF(ROUND(SUM('[2]RAB roll forward'!I$678:I$684)-T46,2)&lt;&gt;0,1,0)</f>
        <v>0</v>
      </c>
      <c r="U49" s="130">
        <f>IF(ROUND(SUM('[2]RAB roll forward'!J$678:J$684)-U46,2)&lt;&gt;0,1,0)</f>
        <v>0</v>
      </c>
      <c r="V49" s="130">
        <f>IF(ROUND(SUM('[2]RAB roll forward'!K$678:K$684)-V46,2)&lt;&gt;0,1,0)</f>
        <v>0</v>
      </c>
      <c r="W49" s="138">
        <f>IF(ROUND(SUM('[2]RAB roll forward'!L$678:L$684)-W46,2)&lt;&gt;0,1,0)</f>
        <v>0</v>
      </c>
      <c r="X49" s="137">
        <f>IF(ROUND([7]Assets!G877-X46,1)&lt;&gt;0,1,0)</f>
        <v>0</v>
      </c>
      <c r="Y49" s="130">
        <f>IF(ROUND([7]Assets!H877-Y46,1)&lt;&gt;0,1,0)</f>
        <v>0</v>
      </c>
      <c r="Z49" s="130">
        <f>IF(ROUND([7]Assets!I877-Z46,1)&lt;&gt;0,1,0)</f>
        <v>0</v>
      </c>
      <c r="AA49" s="130">
        <f>IF(ROUND([7]Assets!J877-AA46,1)&lt;&gt;0,1,0)</f>
        <v>0</v>
      </c>
      <c r="AB49" s="138">
        <f>IF(ROUND([7]Assets!K877-AB46,1)&lt;&gt;0,1,0)</f>
        <v>0</v>
      </c>
    </row>
    <row r="50" spans="1:28" s="6" customFormat="1" ht="11.25" customHeight="1" x14ac:dyDescent="0.35">
      <c r="L50" s="10"/>
      <c r="Q50" s="10"/>
      <c r="V50" s="10"/>
      <c r="AA50" s="10"/>
    </row>
    <row r="51" spans="1:28" s="13" customFormat="1" ht="14.1" x14ac:dyDescent="0.35">
      <c r="C51" s="13" t="s">
        <v>149</v>
      </c>
    </row>
    <row r="52" spans="1:28" s="108" customFormat="1" ht="11.25" customHeight="1" x14ac:dyDescent="0.35"/>
    <row r="53" spans="1:28" ht="12.3" x14ac:dyDescent="0.35">
      <c r="D53" s="50" t="str">
        <f>D$16</f>
        <v>RAB Asset Class</v>
      </c>
      <c r="E53" s="45" t="str">
        <f>Lookup!E$20</f>
        <v>Source</v>
      </c>
      <c r="F53" s="45" t="str">
        <f>Lookup!F$20</f>
        <v>Unit</v>
      </c>
      <c r="G53" s="45" t="str">
        <f>Lookup!G$20</f>
        <v>Basis</v>
      </c>
      <c r="H53" s="45" t="str">
        <f>Lookup!H$20</f>
        <v>Timing</v>
      </c>
      <c r="J53" s="344" t="str">
        <f>J$10</f>
        <v>RY06</v>
      </c>
      <c r="K53" s="345" t="str">
        <f t="shared" ref="K53:AB53" si="61">K$10</f>
        <v>RY07</v>
      </c>
      <c r="L53" s="345" t="str">
        <f t="shared" si="61"/>
        <v>RY08</v>
      </c>
      <c r="M53" s="345" t="str">
        <f t="shared" si="61"/>
        <v>RY09</v>
      </c>
      <c r="N53" s="344" t="str">
        <f t="shared" si="61"/>
        <v>RY10</v>
      </c>
      <c r="O53" s="345" t="str">
        <f>O$10</f>
        <v>RY11</v>
      </c>
      <c r="P53" s="345" t="str">
        <f t="shared" si="61"/>
        <v>RY12</v>
      </c>
      <c r="Q53" s="346" t="str">
        <f t="shared" si="61"/>
        <v>RY13</v>
      </c>
      <c r="R53" s="344" t="str">
        <f t="shared" si="61"/>
        <v>RY14</v>
      </c>
      <c r="S53" s="345" t="str">
        <f t="shared" si="61"/>
        <v>RY15</v>
      </c>
      <c r="T53" s="345" t="str">
        <f>T$10</f>
        <v>RY16</v>
      </c>
      <c r="U53" s="345" t="str">
        <f t="shared" si="61"/>
        <v>RY17</v>
      </c>
      <c r="V53" s="345" t="str">
        <f t="shared" si="61"/>
        <v>RY18</v>
      </c>
      <c r="W53" s="346" t="str">
        <f t="shared" si="61"/>
        <v>RY19</v>
      </c>
      <c r="X53" s="344" t="str">
        <f t="shared" si="61"/>
        <v>RY20</v>
      </c>
      <c r="Y53" s="345" t="str">
        <f>Y$10</f>
        <v>RY21</v>
      </c>
      <c r="Z53" s="345" t="str">
        <f t="shared" si="61"/>
        <v>RY22</v>
      </c>
      <c r="AA53" s="345" t="str">
        <f t="shared" si="61"/>
        <v>RY23</v>
      </c>
      <c r="AB53" s="346" t="str">
        <f t="shared" si="61"/>
        <v>RY24</v>
      </c>
    </row>
    <row r="54" spans="1:28" x14ac:dyDescent="0.35">
      <c r="J54" s="56"/>
      <c r="K54" s="57"/>
      <c r="L54" s="57"/>
      <c r="M54" s="57"/>
      <c r="N54" s="56"/>
      <c r="O54" s="57"/>
      <c r="P54" s="57"/>
      <c r="Q54" s="58"/>
      <c r="R54" s="56"/>
      <c r="S54" s="57"/>
      <c r="T54" s="57"/>
      <c r="U54" s="57"/>
      <c r="V54" s="57"/>
      <c r="W54" s="58"/>
      <c r="X54" s="56"/>
      <c r="Y54" s="57"/>
      <c r="Z54" s="57"/>
      <c r="AA54" s="57"/>
      <c r="AB54" s="58"/>
    </row>
    <row r="55" spans="1:28" ht="12.3" x14ac:dyDescent="0.35">
      <c r="D55" s="15" t="str">
        <f t="shared" ref="D55:D63" si="62">D18</f>
        <v>Mechanical meters - General</v>
      </c>
      <c r="E55" s="52" t="s">
        <v>210</v>
      </c>
      <c r="F55" s="52" t="str">
        <f t="shared" ref="F55:F63" si="63">Dollars</f>
        <v>Dollars</v>
      </c>
      <c r="G55" s="52" t="str">
        <f t="shared" ref="G55:G63" si="64">Nominal</f>
        <v>Nominal</v>
      </c>
      <c r="H55" s="52" t="str">
        <f t="shared" ref="H55:H63" si="65">End_year</f>
        <v>End_year</v>
      </c>
      <c r="J55" s="64">
        <v>-1.4954406679879011E-2</v>
      </c>
      <c r="K55" s="60">
        <v>-1.6180043617533238E-2</v>
      </c>
      <c r="L55" s="60">
        <v>-2.1410454337600606E-2</v>
      </c>
      <c r="M55" s="93">
        <v>-3.0749885351729452E-2</v>
      </c>
      <c r="N55" s="59">
        <v>-3.7329649477018514E-2</v>
      </c>
      <c r="O55" s="60">
        <v>-3.8545215794022265E-2</v>
      </c>
      <c r="P55" s="60">
        <v>-3.9172604860862915E-2</v>
      </c>
      <c r="Q55" s="61">
        <v>-4.0152900277801426E-2</v>
      </c>
      <c r="R55" s="64">
        <f>'[2]RAB roll forward'!G646</f>
        <v>-0.53043821259463853</v>
      </c>
      <c r="S55" s="375">
        <f>'[2]RAB roll forward'!H646</f>
        <v>-0.6643967866899384</v>
      </c>
      <c r="T55" s="372">
        <f>'[2]RAB roll forward'!I646</f>
        <v>-0.72585426210045378</v>
      </c>
      <c r="U55" s="60">
        <f>'[2]RAB roll forward'!J646</f>
        <v>-0.79878108203812415</v>
      </c>
      <c r="V55" s="60">
        <f>'[2]RAB roll forward'!K646</f>
        <v>-0.91723813837763557</v>
      </c>
      <c r="W55" s="61">
        <f>'[2]RAB roll forward'!L646</f>
        <v>-1.0353248628539693</v>
      </c>
      <c r="X55" s="59">
        <f>-[7]Assets!G$88*X$175</f>
        <v>-0.61414833801493207</v>
      </c>
      <c r="Y55" s="60">
        <f>-[7]Assets!H$88*Y$175</f>
        <v>-0.62904066542315717</v>
      </c>
      <c r="Z55" s="60">
        <f>-[7]Assets!I$88*Z$175</f>
        <v>-0.64429411310462215</v>
      </c>
      <c r="AA55" s="60">
        <f>-[7]Assets!J$88*AA$175</f>
        <v>-0.65991743777331613</v>
      </c>
      <c r="AB55" s="61">
        <f>-[7]Assets!K$88*AB$175</f>
        <v>-0.67591960848256638</v>
      </c>
    </row>
    <row r="56" spans="1:28" ht="12.3" x14ac:dyDescent="0.35">
      <c r="D56" s="15" t="str">
        <f t="shared" si="62"/>
        <v>Electronic Meters</v>
      </c>
      <c r="E56" s="52" t="s">
        <v>210</v>
      </c>
      <c r="F56" s="52" t="str">
        <f t="shared" si="63"/>
        <v>Dollars</v>
      </c>
      <c r="G56" s="52" t="str">
        <f t="shared" si="64"/>
        <v>Nominal</v>
      </c>
      <c r="H56" s="52" t="str">
        <f t="shared" si="65"/>
        <v>End_year</v>
      </c>
      <c r="J56" s="64">
        <v>0</v>
      </c>
      <c r="K56" s="60">
        <v>0</v>
      </c>
      <c r="L56" s="60">
        <v>0</v>
      </c>
      <c r="M56" s="93">
        <v>0</v>
      </c>
      <c r="N56" s="59">
        <v>0</v>
      </c>
      <c r="O56" s="60">
        <v>0</v>
      </c>
      <c r="P56" s="60">
        <v>0</v>
      </c>
      <c r="Q56" s="61">
        <v>0</v>
      </c>
      <c r="R56" s="64">
        <f>'[2]RAB roll forward'!G647</f>
        <v>-0.45897208939815637</v>
      </c>
      <c r="S56" s="375">
        <f>'[2]RAB roll forward'!H647</f>
        <v>-0.57488237863725944</v>
      </c>
      <c r="T56" s="372">
        <f>'[2]RAB roll forward'!I647</f>
        <v>-0.62805966720462003</v>
      </c>
      <c r="U56" s="60">
        <f>'[2]RAB roll forward'!J647</f>
        <v>-0.69116103155812403</v>
      </c>
      <c r="V56" s="60">
        <f>'[2]RAB roll forward'!K647</f>
        <v>-0.79365832787121826</v>
      </c>
      <c r="W56" s="61">
        <f>'[2]RAB roll forward'!L647</f>
        <v>-0.895835187260694</v>
      </c>
      <c r="X56" s="59">
        <f>-[7]Assets!G$101*X$175</f>
        <v>-0.4745447559272723</v>
      </c>
      <c r="Y56" s="60">
        <f>-[7]Assets!H$101*Y$175</f>
        <v>-0.70743588428600124</v>
      </c>
      <c r="Z56" s="60">
        <f>-[7]Assets!I$101*Z$175</f>
        <v>-0.97001294240126656</v>
      </c>
      <c r="AA56" s="60">
        <f>-[7]Assets!J$101*AA$175</f>
        <v>-1.2516989770610236</v>
      </c>
      <c r="AB56" s="61">
        <f>-[7]Assets!K$101*AB$175</f>
        <v>-1.5122130336532764</v>
      </c>
    </row>
    <row r="57" spans="1:28" ht="12.3" x14ac:dyDescent="0.35">
      <c r="D57" s="15" t="str">
        <f t="shared" si="62"/>
        <v>Metering Communications</v>
      </c>
      <c r="E57" s="52" t="s">
        <v>210</v>
      </c>
      <c r="F57" s="52" t="str">
        <f t="shared" si="63"/>
        <v>Dollars</v>
      </c>
      <c r="G57" s="52" t="str">
        <f t="shared" si="64"/>
        <v>Nominal</v>
      </c>
      <c r="H57" s="52" t="str">
        <f t="shared" si="65"/>
        <v>End_year</v>
      </c>
      <c r="J57" s="64">
        <v>0</v>
      </c>
      <c r="K57" s="60">
        <v>0</v>
      </c>
      <c r="L57" s="60">
        <v>0</v>
      </c>
      <c r="M57" s="93">
        <v>0</v>
      </c>
      <c r="N57" s="59">
        <v>0</v>
      </c>
      <c r="O57" s="60">
        <v>0</v>
      </c>
      <c r="P57" s="60">
        <v>0</v>
      </c>
      <c r="Q57" s="61">
        <v>0</v>
      </c>
      <c r="R57" s="64">
        <f>'[2]RAB roll forward'!G648</f>
        <v>0</v>
      </c>
      <c r="S57" s="375">
        <f>'[2]RAB roll forward'!H648</f>
        <v>0</v>
      </c>
      <c r="T57" s="372">
        <f>'[2]RAB roll forward'!I648</f>
        <v>0</v>
      </c>
      <c r="U57" s="60">
        <f>'[2]RAB roll forward'!J648</f>
        <v>0</v>
      </c>
      <c r="V57" s="60">
        <f>'[2]RAB roll forward'!K648</f>
        <v>0</v>
      </c>
      <c r="W57" s="61">
        <f>'[2]RAB roll forward'!L648</f>
        <v>0</v>
      </c>
      <c r="X57" s="59">
        <f>-[7]Assets!G$114*X$175</f>
        <v>0</v>
      </c>
      <c r="Y57" s="60">
        <f>-[7]Assets!H$114*Y$175</f>
        <v>-0.20648978023681874</v>
      </c>
      <c r="Z57" s="60">
        <f>-[7]Assets!I$114*Z$175</f>
        <v>-0.22473241210658576</v>
      </c>
      <c r="AA57" s="60">
        <f>-[7]Assets!J$114*AA$175</f>
        <v>-0.24409610366858459</v>
      </c>
      <c r="AB57" s="61">
        <f>-[7]Assets!K$114*AB$175</f>
        <v>-0.57084518592530697</v>
      </c>
    </row>
    <row r="58" spans="1:28" ht="12.3" x14ac:dyDescent="0.35">
      <c r="D58" s="15" t="str">
        <f t="shared" si="62"/>
        <v>Metering - Dedicated CTs and VTs</v>
      </c>
      <c r="E58" s="52" t="s">
        <v>210</v>
      </c>
      <c r="F58" s="52" t="str">
        <f t="shared" si="63"/>
        <v>Dollars</v>
      </c>
      <c r="G58" s="52" t="str">
        <f t="shared" si="64"/>
        <v>Nominal</v>
      </c>
      <c r="H58" s="52" t="str">
        <f t="shared" si="65"/>
        <v>End_year</v>
      </c>
      <c r="J58" s="64">
        <v>0</v>
      </c>
      <c r="K58" s="60">
        <v>0</v>
      </c>
      <c r="L58" s="60">
        <v>0</v>
      </c>
      <c r="M58" s="93">
        <v>0</v>
      </c>
      <c r="N58" s="59">
        <v>0</v>
      </c>
      <c r="O58" s="60">
        <v>0</v>
      </c>
      <c r="P58" s="60">
        <v>0</v>
      </c>
      <c r="Q58" s="61">
        <v>0</v>
      </c>
      <c r="R58" s="64">
        <f>'[2]RAB roll forward'!G649</f>
        <v>0</v>
      </c>
      <c r="S58" s="375">
        <f>'[2]RAB roll forward'!H649</f>
        <v>0</v>
      </c>
      <c r="T58" s="372">
        <f>'[2]RAB roll forward'!I649</f>
        <v>0</v>
      </c>
      <c r="U58" s="60">
        <f>'[2]RAB roll forward'!J649</f>
        <v>0</v>
      </c>
      <c r="V58" s="60">
        <f>'[2]RAB roll forward'!K649</f>
        <v>0</v>
      </c>
      <c r="W58" s="61">
        <f>'[2]RAB roll forward'!L649</f>
        <v>0</v>
      </c>
      <c r="X58" s="59">
        <f>-[7]Assets!G$127*X$175</f>
        <v>-1.5891497530197366E-2</v>
      </c>
      <c r="Y58" s="60">
        <f>-[7]Assets!H$127*Y$175</f>
        <v>-2.4714133794608906E-2</v>
      </c>
      <c r="Z58" s="60">
        <f>-[7]Assets!I$127*Z$175</f>
        <v>-3.4503855853524786E-2</v>
      </c>
      <c r="AA58" s="60">
        <f>-[7]Assets!J$127*AA$175</f>
        <v>-4.483599465914468E-2</v>
      </c>
      <c r="AB58" s="61">
        <f>-[7]Assets!K$127*AB$175</f>
        <v>-5.5165792172700234E-2</v>
      </c>
    </row>
    <row r="59" spans="1:28" ht="12.3" x14ac:dyDescent="0.35">
      <c r="D59" s="15" t="str">
        <f t="shared" si="62"/>
        <v>Metering - Non-Network Other</v>
      </c>
      <c r="E59" s="52" t="s">
        <v>210</v>
      </c>
      <c r="F59" s="52" t="str">
        <f t="shared" si="63"/>
        <v>Dollars</v>
      </c>
      <c r="G59" s="52" t="str">
        <f t="shared" si="64"/>
        <v>Nominal</v>
      </c>
      <c r="H59" s="52" t="str">
        <f t="shared" si="65"/>
        <v>End_year</v>
      </c>
      <c r="J59" s="64">
        <v>0</v>
      </c>
      <c r="K59" s="60">
        <v>0</v>
      </c>
      <c r="L59" s="60">
        <v>0</v>
      </c>
      <c r="M59" s="93">
        <v>0</v>
      </c>
      <c r="N59" s="59">
        <v>0</v>
      </c>
      <c r="O59" s="60">
        <v>0</v>
      </c>
      <c r="P59" s="60">
        <v>0</v>
      </c>
      <c r="Q59" s="61">
        <v>0</v>
      </c>
      <c r="R59" s="64">
        <f>'[2]RAB roll forward'!G650</f>
        <v>0</v>
      </c>
      <c r="S59" s="375">
        <f>'[2]RAB roll forward'!H650</f>
        <v>0</v>
      </c>
      <c r="T59" s="372">
        <f>'[2]RAB roll forward'!I650</f>
        <v>0</v>
      </c>
      <c r="U59" s="60">
        <f>'[2]RAB roll forward'!J650</f>
        <v>0</v>
      </c>
      <c r="V59" s="60">
        <f>'[2]RAB roll forward'!K650</f>
        <v>0</v>
      </c>
      <c r="W59" s="61">
        <f>'[2]RAB roll forward'!L650</f>
        <v>0</v>
      </c>
      <c r="X59" s="59">
        <f>-[7]Assets!G$140*X$175</f>
        <v>-3.9227090826966668E-2</v>
      </c>
      <c r="Y59" s="60">
        <f>-[7]Assets!H$140*Y$175</f>
        <v>-4.0178298611319843E-2</v>
      </c>
      <c r="Z59" s="60">
        <f>-[7]Assets!I$140*Z$175</f>
        <v>-4.1152571992176354E-2</v>
      </c>
      <c r="AA59" s="60">
        <f>-[7]Assets!J$140*AA$175</f>
        <v>-4.2150470281340405E-2</v>
      </c>
      <c r="AB59" s="61">
        <f>-[7]Assets!K$140*AB$175</f>
        <v>-4.3172566353226416E-2</v>
      </c>
    </row>
    <row r="60" spans="1:28" ht="12.3" x14ac:dyDescent="0.35">
      <c r="D60" s="15" t="str">
        <f t="shared" si="62"/>
        <v>Metering - Non-Network IT &amp; Communications</v>
      </c>
      <c r="E60" s="52" t="s">
        <v>210</v>
      </c>
      <c r="F60" s="52" t="str">
        <f t="shared" si="63"/>
        <v>Dollars</v>
      </c>
      <c r="G60" s="52" t="str">
        <f t="shared" si="64"/>
        <v>Nominal</v>
      </c>
      <c r="H60" s="52" t="str">
        <f t="shared" si="65"/>
        <v>End_year</v>
      </c>
      <c r="J60" s="64">
        <v>0</v>
      </c>
      <c r="K60" s="60">
        <v>0</v>
      </c>
      <c r="L60" s="60">
        <v>0</v>
      </c>
      <c r="M60" s="93">
        <v>0</v>
      </c>
      <c r="N60" s="59">
        <v>0</v>
      </c>
      <c r="O60" s="60">
        <v>0</v>
      </c>
      <c r="P60" s="60">
        <v>0</v>
      </c>
      <c r="Q60" s="61">
        <v>0</v>
      </c>
      <c r="R60" s="64">
        <f>'[2]RAB roll forward'!G651</f>
        <v>0</v>
      </c>
      <c r="S60" s="375">
        <f>'[2]RAB roll forward'!H651</f>
        <v>0</v>
      </c>
      <c r="T60" s="372">
        <f>'[2]RAB roll forward'!I651</f>
        <v>0</v>
      </c>
      <c r="U60" s="60">
        <f>'[2]RAB roll forward'!J651</f>
        <v>0</v>
      </c>
      <c r="V60" s="60">
        <f>'[2]RAB roll forward'!K651</f>
        <v>0</v>
      </c>
      <c r="W60" s="61">
        <f>'[2]RAB roll forward'!L651</f>
        <v>0</v>
      </c>
      <c r="X60" s="59">
        <f>-[7]Assets!G$153*X$175</f>
        <v>0</v>
      </c>
      <c r="Y60" s="60">
        <f>-[7]Assets!H$153*Y$175</f>
        <v>-1.2575398391226575E-2</v>
      </c>
      <c r="Z60" s="60">
        <f>-[7]Assets!I$153*Z$175</f>
        <v>-1.2880336039900081E-2</v>
      </c>
      <c r="AA60" s="60">
        <f>-[7]Assets!J$153*AA$175</f>
        <v>-1.3192668044337564E-2</v>
      </c>
      <c r="AB60" s="61">
        <f>-[7]Assets!K$153*AB$175</f>
        <v>-1.3512573708398042E-2</v>
      </c>
    </row>
    <row r="61" spans="1:28" ht="12.3" x14ac:dyDescent="0.35">
      <c r="D61" s="15" t="str">
        <f t="shared" si="62"/>
        <v>Fleet leases</v>
      </c>
      <c r="E61" s="52" t="s">
        <v>210</v>
      </c>
      <c r="F61" s="52" t="str">
        <f t="shared" si="63"/>
        <v>Dollars</v>
      </c>
      <c r="G61" s="52" t="str">
        <f t="shared" si="64"/>
        <v>Nominal</v>
      </c>
      <c r="H61" s="52" t="str">
        <f t="shared" si="65"/>
        <v>End_year</v>
      </c>
      <c r="J61" s="64">
        <v>0</v>
      </c>
      <c r="K61" s="60">
        <v>0</v>
      </c>
      <c r="L61" s="60">
        <v>0</v>
      </c>
      <c r="M61" s="93">
        <v>0</v>
      </c>
      <c r="N61" s="59">
        <v>0</v>
      </c>
      <c r="O61" s="60">
        <v>0</v>
      </c>
      <c r="P61" s="60">
        <v>0</v>
      </c>
      <c r="Q61" s="61">
        <v>0</v>
      </c>
      <c r="R61" s="64">
        <v>0</v>
      </c>
      <c r="S61" s="375">
        <v>0</v>
      </c>
      <c r="T61" s="372">
        <v>0</v>
      </c>
      <c r="U61" s="60">
        <v>0</v>
      </c>
      <c r="V61" s="60">
        <v>0</v>
      </c>
      <c r="W61" s="61">
        <v>0</v>
      </c>
      <c r="X61" s="59">
        <f>-[7]Assets!G$166*X$175</f>
        <v>0</v>
      </c>
      <c r="Y61" s="60">
        <f>-[7]Assets!H$166*Y$175</f>
        <v>-7.8931451052042856E-2</v>
      </c>
      <c r="Z61" s="60">
        <f>-[7]Assets!I$166*Z$175</f>
        <v>-9.7804451979613155E-2</v>
      </c>
      <c r="AA61" s="60">
        <f>-[7]Assets!J$166*AA$175</f>
        <v>-0.10741838113626992</v>
      </c>
      <c r="AB61" s="61">
        <f>-[7]Assets!K$166*AB$175</f>
        <v>-0.14480164223136632</v>
      </c>
    </row>
    <row r="62" spans="1:28" ht="12.3" x14ac:dyDescent="0.35">
      <c r="D62" s="15" t="str">
        <f t="shared" si="62"/>
        <v>[Spare]</v>
      </c>
      <c r="E62" s="52" t="s">
        <v>210</v>
      </c>
      <c r="F62" s="52" t="str">
        <f t="shared" si="63"/>
        <v>Dollars</v>
      </c>
      <c r="G62" s="52" t="str">
        <f t="shared" si="64"/>
        <v>Nominal</v>
      </c>
      <c r="H62" s="52" t="str">
        <f t="shared" si="65"/>
        <v>End_year</v>
      </c>
      <c r="J62" s="64">
        <v>0</v>
      </c>
      <c r="K62" s="60">
        <v>0</v>
      </c>
      <c r="L62" s="60">
        <v>0</v>
      </c>
      <c r="M62" s="93">
        <v>0</v>
      </c>
      <c r="N62" s="59">
        <v>0</v>
      </c>
      <c r="O62" s="60">
        <v>0</v>
      </c>
      <c r="P62" s="60">
        <v>0</v>
      </c>
      <c r="Q62" s="61">
        <v>0</v>
      </c>
      <c r="R62" s="64">
        <v>0</v>
      </c>
      <c r="S62" s="375">
        <v>0</v>
      </c>
      <c r="T62" s="372">
        <v>0</v>
      </c>
      <c r="U62" s="60">
        <v>0</v>
      </c>
      <c r="V62" s="60">
        <v>0</v>
      </c>
      <c r="W62" s="61">
        <v>0</v>
      </c>
      <c r="X62" s="59">
        <v>0</v>
      </c>
      <c r="Y62" s="60">
        <v>0</v>
      </c>
      <c r="Z62" s="60">
        <v>0</v>
      </c>
      <c r="AA62" s="60">
        <v>0</v>
      </c>
      <c r="AB62" s="61">
        <v>0</v>
      </c>
    </row>
    <row r="63" spans="1:28" ht="12.3" x14ac:dyDescent="0.35">
      <c r="D63" s="15" t="str">
        <f t="shared" si="62"/>
        <v>Equity Raising Costs</v>
      </c>
      <c r="E63" s="52" t="s">
        <v>210</v>
      </c>
      <c r="F63" s="52" t="str">
        <f t="shared" si="63"/>
        <v>Dollars</v>
      </c>
      <c r="G63" s="52" t="str">
        <f t="shared" si="64"/>
        <v>Nominal</v>
      </c>
      <c r="H63" s="52" t="str">
        <f t="shared" si="65"/>
        <v>End_year</v>
      </c>
      <c r="J63" s="64">
        <v>0</v>
      </c>
      <c r="K63" s="60">
        <v>0</v>
      </c>
      <c r="L63" s="60">
        <v>0</v>
      </c>
      <c r="M63" s="93">
        <v>0</v>
      </c>
      <c r="N63" s="59">
        <v>0</v>
      </c>
      <c r="O63" s="60">
        <v>0</v>
      </c>
      <c r="P63" s="60">
        <v>0</v>
      </c>
      <c r="Q63" s="61">
        <v>0</v>
      </c>
      <c r="R63" s="64">
        <v>0</v>
      </c>
      <c r="S63" s="375">
        <v>0</v>
      </c>
      <c r="T63" s="372">
        <v>0</v>
      </c>
      <c r="U63" s="60">
        <v>0</v>
      </c>
      <c r="V63" s="60">
        <v>0</v>
      </c>
      <c r="W63" s="61">
        <v>0</v>
      </c>
      <c r="X63" s="59">
        <f>-[7]Assets!G$465*X$175</f>
        <v>0</v>
      </c>
      <c r="Y63" s="60">
        <f>-[7]Assets!H$465*Y$175</f>
        <v>-3.404666971711371E-2</v>
      </c>
      <c r="Z63" s="60">
        <f>-[7]Assets!I$465*Z$175</f>
        <v>-3.4872258782820235E-2</v>
      </c>
      <c r="AA63" s="60">
        <f>-[7]Assets!J$465*AA$175</f>
        <v>-3.571786734855649E-2</v>
      </c>
      <c r="AB63" s="61">
        <f>-[7]Assets!K$465*AB$175</f>
        <v>-3.6583980862105271E-2</v>
      </c>
    </row>
    <row r="64" spans="1:28" x14ac:dyDescent="0.35">
      <c r="J64" s="56"/>
      <c r="K64" s="57"/>
      <c r="L64" s="57"/>
      <c r="M64" s="57"/>
      <c r="N64" s="56"/>
      <c r="O64" s="57"/>
      <c r="P64" s="57"/>
      <c r="Q64" s="58"/>
      <c r="R64" s="56"/>
      <c r="S64" s="57"/>
      <c r="T64" s="57"/>
      <c r="U64" s="57"/>
      <c r="V64" s="57"/>
      <c r="W64" s="58"/>
      <c r="X64" s="56"/>
      <c r="Y64" s="57"/>
      <c r="Z64" s="57"/>
      <c r="AA64" s="57"/>
      <c r="AB64" s="58"/>
    </row>
    <row r="65" spans="1:28" ht="12.3" x14ac:dyDescent="0.35">
      <c r="D65" s="51" t="str">
        <f>"Total "&amp;D53</f>
        <v>Total RAB Asset Class</v>
      </c>
      <c r="E65" s="47" t="s">
        <v>111</v>
      </c>
      <c r="F65" s="47" t="str">
        <f>F55</f>
        <v>Dollars</v>
      </c>
      <c r="G65" s="47" t="str">
        <f>G55</f>
        <v>Nominal</v>
      </c>
      <c r="H65" s="47" t="str">
        <f>H55</f>
        <v>End_year</v>
      </c>
      <c r="J65" s="62">
        <f t="shared" ref="J65:AB65" si="66">SUM(J55:J63)</f>
        <v>-1.4954406679879011E-2</v>
      </c>
      <c r="K65" s="46">
        <f t="shared" si="66"/>
        <v>-1.6180043617533238E-2</v>
      </c>
      <c r="L65" s="46">
        <f t="shared" si="66"/>
        <v>-2.1410454337600606E-2</v>
      </c>
      <c r="M65" s="46">
        <f t="shared" si="66"/>
        <v>-3.0749885351729452E-2</v>
      </c>
      <c r="N65" s="62">
        <f t="shared" si="66"/>
        <v>-3.7329649477018514E-2</v>
      </c>
      <c r="O65" s="46">
        <f t="shared" si="66"/>
        <v>-3.8545215794022265E-2</v>
      </c>
      <c r="P65" s="46">
        <f t="shared" si="66"/>
        <v>-3.9172604860862915E-2</v>
      </c>
      <c r="Q65" s="63">
        <f t="shared" si="66"/>
        <v>-4.0152900277801426E-2</v>
      </c>
      <c r="R65" s="62">
        <f t="shared" si="66"/>
        <v>-0.98941030199279489</v>
      </c>
      <c r="S65" s="46">
        <f t="shared" si="66"/>
        <v>-1.239279165327198</v>
      </c>
      <c r="T65" s="46">
        <f t="shared" si="66"/>
        <v>-1.3539139293050737</v>
      </c>
      <c r="U65" s="46">
        <f t="shared" si="66"/>
        <v>-1.4899421135962481</v>
      </c>
      <c r="V65" s="46">
        <f t="shared" si="66"/>
        <v>-1.7108964662488537</v>
      </c>
      <c r="W65" s="63">
        <f t="shared" si="66"/>
        <v>-1.9311600501146633</v>
      </c>
      <c r="X65" s="62">
        <f t="shared" si="66"/>
        <v>-1.1438116822993685</v>
      </c>
      <c r="Y65" s="46">
        <f t="shared" si="66"/>
        <v>-1.7334122815122892</v>
      </c>
      <c r="Z65" s="46">
        <f t="shared" si="66"/>
        <v>-2.0602529422605089</v>
      </c>
      <c r="AA65" s="46">
        <f t="shared" si="66"/>
        <v>-2.399027899972574</v>
      </c>
      <c r="AB65" s="63">
        <f t="shared" si="66"/>
        <v>-3.0522143833889457</v>
      </c>
    </row>
    <row r="66" spans="1:28" s="6" customFormat="1" ht="11.25" customHeight="1" x14ac:dyDescent="0.35"/>
    <row r="67" spans="1:28" s="6" customFormat="1" ht="11.25" customHeight="1" x14ac:dyDescent="0.35">
      <c r="A67" s="49">
        <f>IF(SUM($J67:$AB67)&lt;&gt;0,1,0)</f>
        <v>0</v>
      </c>
      <c r="D67" s="15" t="s">
        <v>206</v>
      </c>
      <c r="J67" s="70">
        <f>IF(ISERROR(J65),1,0)</f>
        <v>0</v>
      </c>
      <c r="K67" s="70">
        <f t="shared" ref="K67:N67" si="67">IF(ISERROR(K65),1,0)</f>
        <v>0</v>
      </c>
      <c r="L67" s="70">
        <f t="shared" si="67"/>
        <v>0</v>
      </c>
      <c r="M67" s="70">
        <f t="shared" si="67"/>
        <v>0</v>
      </c>
      <c r="N67" s="70">
        <f t="shared" si="67"/>
        <v>0</v>
      </c>
      <c r="O67" s="70">
        <f>IF(ISERROR(O65),1,0)</f>
        <v>0</v>
      </c>
      <c r="P67" s="70">
        <f t="shared" ref="P67:S67" si="68">IF(ISERROR(P65),1,0)</f>
        <v>0</v>
      </c>
      <c r="Q67" s="70">
        <f t="shared" si="68"/>
        <v>0</v>
      </c>
      <c r="R67" s="70">
        <f t="shared" si="68"/>
        <v>0</v>
      </c>
      <c r="S67" s="70">
        <f t="shared" si="68"/>
        <v>0</v>
      </c>
      <c r="T67" s="70">
        <f>IF(ISERROR(T65),1,0)</f>
        <v>0</v>
      </c>
      <c r="U67" s="70">
        <f t="shared" ref="U67:X67" si="69">IF(ISERROR(U65),1,0)</f>
        <v>0</v>
      </c>
      <c r="V67" s="70">
        <f t="shared" si="69"/>
        <v>0</v>
      </c>
      <c r="W67" s="70">
        <f t="shared" si="69"/>
        <v>0</v>
      </c>
      <c r="X67" s="70">
        <f t="shared" si="69"/>
        <v>0</v>
      </c>
      <c r="Y67" s="70">
        <f>IF(ISERROR(Y65),1,0)</f>
        <v>0</v>
      </c>
      <c r="Z67" s="70">
        <f t="shared" ref="Z67:AB67" si="70">IF(ISERROR(Z65),1,0)</f>
        <v>0</v>
      </c>
      <c r="AA67" s="70">
        <f t="shared" si="70"/>
        <v>0</v>
      </c>
      <c r="AB67" s="70">
        <f t="shared" si="70"/>
        <v>0</v>
      </c>
    </row>
    <row r="68" spans="1:28" s="6" customFormat="1" ht="11.25" customHeight="1" x14ac:dyDescent="0.35">
      <c r="A68" s="49">
        <f>IF(SUM($J68:$AB68)&lt;&gt;0,1,0)</f>
        <v>0</v>
      </c>
      <c r="D68" s="84" t="s">
        <v>207</v>
      </c>
      <c r="J68" s="87" t="str">
        <f t="shared" ref="J68:Q68" si="71">NA</f>
        <v>N/A</v>
      </c>
      <c r="K68" s="86" t="str">
        <f t="shared" si="71"/>
        <v>N/A</v>
      </c>
      <c r="L68" s="86" t="str">
        <f t="shared" si="71"/>
        <v>N/A</v>
      </c>
      <c r="M68" s="88" t="str">
        <f t="shared" si="71"/>
        <v>N/A</v>
      </c>
      <c r="N68" s="86" t="str">
        <f t="shared" si="71"/>
        <v>N/A</v>
      </c>
      <c r="O68" s="86" t="str">
        <f t="shared" si="71"/>
        <v>N/A</v>
      </c>
      <c r="P68" s="86" t="str">
        <f t="shared" si="71"/>
        <v>N/A</v>
      </c>
      <c r="Q68" s="86" t="str">
        <f t="shared" si="71"/>
        <v>N/A</v>
      </c>
      <c r="R68" s="87">
        <f>IF(ROUND('[2]RAB roll forward'!G$631-Input_RAB_SCS!R89-R65,3)=0,0,1)</f>
        <v>0</v>
      </c>
      <c r="S68" s="86">
        <f>IF(ROUND('[2]RAB roll forward'!H$631-Input_RAB_SCS!S89-S65,3)=0,0,1)</f>
        <v>0</v>
      </c>
      <c r="T68" s="86">
        <f>IF(ROUND('[2]RAB roll forward'!I$631-Input_RAB_SCS!T89-T65,3)=0,0,1)</f>
        <v>0</v>
      </c>
      <c r="U68" s="86">
        <f>IF(ROUND('[2]RAB roll forward'!J$631-Input_RAB_SCS!U89-U65,3)=0,0,1)</f>
        <v>0</v>
      </c>
      <c r="V68" s="86">
        <f>IF(ROUND('[2]RAB roll forward'!K$631-Input_RAB_SCS!V89-V65,3)=0,0,1)</f>
        <v>0</v>
      </c>
      <c r="W68" s="88">
        <f>IF(ROUND('[2]RAB roll forward'!L$631-Input_RAB_SCS!W89-W65,3)=0,0,1)</f>
        <v>0</v>
      </c>
      <c r="X68" s="87">
        <f>IF(ROUND([7]Assets!G$876-X65,2)=0,0,1)</f>
        <v>0</v>
      </c>
      <c r="Y68" s="86">
        <f>IF(ROUND([7]Assets!H$876-Y65,2)=0,0,1)</f>
        <v>0</v>
      </c>
      <c r="Z68" s="86">
        <f>IF(ROUND([7]Assets!I$876-Z65,2)=0,0,1)</f>
        <v>0</v>
      </c>
      <c r="AA68" s="86">
        <f>IF(ROUND([7]Assets!J$876-AA65,2)=0,0,1)</f>
        <v>0</v>
      </c>
      <c r="AB68" s="88">
        <f>IF(ROUND([7]Assets!K$876-AB65,2)=0,0,1)</f>
        <v>0</v>
      </c>
    </row>
    <row r="69" spans="1:28" s="6" customFormat="1" ht="11.25" customHeight="1" x14ac:dyDescent="0.35">
      <c r="L69" s="10"/>
      <c r="Q69" s="10"/>
      <c r="V69" s="10"/>
      <c r="AA69" s="10"/>
    </row>
    <row r="70" spans="1:28" s="109" customFormat="1" ht="14.1" x14ac:dyDescent="0.35">
      <c r="C70" s="109" t="s">
        <v>410</v>
      </c>
    </row>
    <row r="71" spans="1:28" s="108" customFormat="1" ht="11.25" customHeight="1" x14ac:dyDescent="0.35"/>
    <row r="72" spans="1:28" ht="12.3" x14ac:dyDescent="0.35">
      <c r="D72" s="50" t="str">
        <f>D$16</f>
        <v>RAB Asset Class</v>
      </c>
      <c r="E72" s="45" t="str">
        <f>Lookup!E$20</f>
        <v>Source</v>
      </c>
      <c r="F72" s="45" t="str">
        <f>Lookup!F$20</f>
        <v>Unit</v>
      </c>
      <c r="G72" s="45" t="str">
        <f>Lookup!G$20</f>
        <v>Basis</v>
      </c>
      <c r="H72" s="45" t="str">
        <f>Lookup!H$20</f>
        <v>Timing</v>
      </c>
      <c r="J72" s="344" t="str">
        <f>J$10</f>
        <v>RY06</v>
      </c>
      <c r="K72" s="345" t="str">
        <f t="shared" ref="K72:AB72" si="72">K$10</f>
        <v>RY07</v>
      </c>
      <c r="L72" s="345" t="str">
        <f t="shared" si="72"/>
        <v>RY08</v>
      </c>
      <c r="M72" s="345" t="str">
        <f t="shared" si="72"/>
        <v>RY09</v>
      </c>
      <c r="N72" s="344" t="str">
        <f t="shared" si="72"/>
        <v>RY10</v>
      </c>
      <c r="O72" s="345" t="str">
        <f>O$10</f>
        <v>RY11</v>
      </c>
      <c r="P72" s="345" t="str">
        <f t="shared" si="72"/>
        <v>RY12</v>
      </c>
      <c r="Q72" s="346" t="str">
        <f t="shared" si="72"/>
        <v>RY13</v>
      </c>
      <c r="R72" s="348" t="str">
        <f t="shared" si="72"/>
        <v>RY14</v>
      </c>
      <c r="S72" s="344" t="str">
        <f t="shared" si="72"/>
        <v>RY15</v>
      </c>
      <c r="T72" s="345" t="str">
        <f>T$10</f>
        <v>RY16</v>
      </c>
      <c r="U72" s="345" t="str">
        <f t="shared" si="72"/>
        <v>RY17</v>
      </c>
      <c r="V72" s="345" t="str">
        <f t="shared" si="72"/>
        <v>RY18</v>
      </c>
      <c r="W72" s="346" t="str">
        <f t="shared" si="72"/>
        <v>RY19</v>
      </c>
      <c r="X72" s="344" t="str">
        <f t="shared" si="72"/>
        <v>RY20</v>
      </c>
      <c r="Y72" s="345" t="str">
        <f>Y$10</f>
        <v>RY21</v>
      </c>
      <c r="Z72" s="345" t="str">
        <f t="shared" si="72"/>
        <v>RY22</v>
      </c>
      <c r="AA72" s="345" t="str">
        <f t="shared" si="72"/>
        <v>RY23</v>
      </c>
      <c r="AB72" s="346" t="str">
        <f t="shared" si="72"/>
        <v>RY24</v>
      </c>
    </row>
    <row r="73" spans="1:28" x14ac:dyDescent="0.35">
      <c r="J73" s="56"/>
      <c r="K73" s="57"/>
      <c r="L73" s="57"/>
      <c r="M73" s="57"/>
      <c r="N73" s="56"/>
      <c r="O73" s="57"/>
      <c r="P73" s="57"/>
      <c r="Q73" s="58"/>
      <c r="R73" s="91"/>
      <c r="S73" s="56"/>
      <c r="T73" s="57"/>
      <c r="U73" s="57"/>
      <c r="V73" s="57"/>
      <c r="W73" s="58"/>
      <c r="X73" s="56"/>
      <c r="Y73" s="57"/>
      <c r="Z73" s="57"/>
      <c r="AA73" s="57"/>
      <c r="AB73" s="58"/>
    </row>
    <row r="74" spans="1:28" ht="12.3" x14ac:dyDescent="0.35">
      <c r="D74" s="15" t="str">
        <f t="shared" ref="D74:D82" si="73">D18</f>
        <v>Mechanical meters - General</v>
      </c>
      <c r="E74" s="52" t="s">
        <v>210</v>
      </c>
      <c r="F74" s="52" t="str">
        <f t="shared" ref="F74:F82" si="74">Dollars</f>
        <v>Dollars</v>
      </c>
      <c r="G74" s="52" t="str">
        <f t="shared" ref="G74:G82" si="75">Nominal</f>
        <v>Nominal</v>
      </c>
      <c r="H74" s="52" t="str">
        <f t="shared" ref="H74:H82" si="76">End_year</f>
        <v>End_year</v>
      </c>
      <c r="J74" s="64">
        <v>4.4828055227704125E-2</v>
      </c>
      <c r="K74" s="60">
        <v>5.6536550080061317E-2</v>
      </c>
      <c r="L74" s="60">
        <v>0.48574178250029793</v>
      </c>
      <c r="M74" s="93">
        <v>0.56056035041745444</v>
      </c>
      <c r="N74" s="59">
        <v>0.56618494069641001</v>
      </c>
      <c r="O74" s="60">
        <v>0.32156159236489656</v>
      </c>
      <c r="P74" s="60">
        <v>0.40278474979533263</v>
      </c>
      <c r="Q74" s="61">
        <v>0.61698301505884334</v>
      </c>
      <c r="R74" s="94">
        <f>'[6]Actual RAB roll forward'!H26*R$173-R93</f>
        <v>0.3745752623817688</v>
      </c>
      <c r="S74" s="59">
        <f>'[2]RAB roll forward'!H26*S$174</f>
        <v>2.0556101017789645</v>
      </c>
      <c r="T74" s="60">
        <f>'[2]RAB roll forward'!I26*T$174</f>
        <v>2.9907471048541217</v>
      </c>
      <c r="U74" s="60">
        <f>'[2]RAB roll forward'!J26*U$174</f>
        <v>3.1615081889589098</v>
      </c>
      <c r="V74" s="60">
        <f>'[2]RAB roll forward'!K26*V$174</f>
        <v>0</v>
      </c>
      <c r="W74" s="61">
        <f>'[2]RAB roll forward'!L26*W$174</f>
        <v>0</v>
      </c>
      <c r="X74" s="59">
        <f>[7]Assets!G11*X$175-X93</f>
        <v>0</v>
      </c>
      <c r="Y74" s="60">
        <f>[7]Assets!H11*Y$175-Y93</f>
        <v>0</v>
      </c>
      <c r="Z74" s="60">
        <f>[7]Assets!I11*Z$175-Z93</f>
        <v>0</v>
      </c>
      <c r="AA74" s="60">
        <f>[7]Assets!J11*AA$175-AA93</f>
        <v>0</v>
      </c>
      <c r="AB74" s="61">
        <f>[7]Assets!K11*AB$175-AB93</f>
        <v>0</v>
      </c>
    </row>
    <row r="75" spans="1:28" ht="12.3" x14ac:dyDescent="0.35">
      <c r="D75" s="15" t="str">
        <f t="shared" si="73"/>
        <v>Electronic Meters</v>
      </c>
      <c r="E75" s="52" t="s">
        <v>210</v>
      </c>
      <c r="F75" s="52" t="str">
        <f t="shared" si="74"/>
        <v>Dollars</v>
      </c>
      <c r="G75" s="52" t="str">
        <f t="shared" si="75"/>
        <v>Nominal</v>
      </c>
      <c r="H75" s="52" t="str">
        <f t="shared" si="76"/>
        <v>End_year</v>
      </c>
      <c r="J75" s="64">
        <v>0</v>
      </c>
      <c r="K75" s="60">
        <v>0</v>
      </c>
      <c r="L75" s="60">
        <v>0</v>
      </c>
      <c r="M75" s="93">
        <v>0</v>
      </c>
      <c r="N75" s="59">
        <v>0</v>
      </c>
      <c r="O75" s="60">
        <v>0</v>
      </c>
      <c r="P75" s="60">
        <v>0</v>
      </c>
      <c r="Q75" s="61">
        <v>0</v>
      </c>
      <c r="R75" s="94">
        <f>'[6]Actual RAB roll forward'!H27*R$173-R94</f>
        <v>0.32410860818506715</v>
      </c>
      <c r="S75" s="59">
        <f>'[2]RAB roll forward'!H27*S$174</f>
        <v>0</v>
      </c>
      <c r="T75" s="60">
        <f>'[2]RAB roll forward'!I27*T$174</f>
        <v>0</v>
      </c>
      <c r="U75" s="60">
        <f>'[2]RAB roll forward'!J27*U$174</f>
        <v>0</v>
      </c>
      <c r="V75" s="60">
        <f>'[2]RAB roll forward'!K27*V$174</f>
        <v>1.9325918378368576</v>
      </c>
      <c r="W75" s="61">
        <f>'[2]RAB roll forward'!L27*W$174</f>
        <v>4.2996606330338647</v>
      </c>
      <c r="X75" s="59">
        <f>[7]Assets!G12*X$175-X94</f>
        <v>3.2421423053789686</v>
      </c>
      <c r="Y75" s="60">
        <f>[7]Assets!H12*Y$175-Y94</f>
        <v>3.5941848910157272</v>
      </c>
      <c r="Z75" s="60">
        <f>[7]Assets!I12*Z$175-Z94</f>
        <v>3.7807871990245592</v>
      </c>
      <c r="AA75" s="60">
        <f>[7]Assets!J12*AA$175-AA94</f>
        <v>3.3706937803688182</v>
      </c>
      <c r="AB75" s="61">
        <f>[7]Assets!K12*AB$175-AB94</f>
        <v>3.7633506872947744</v>
      </c>
    </row>
    <row r="76" spans="1:28" ht="12.3" x14ac:dyDescent="0.35">
      <c r="D76" s="15" t="str">
        <f t="shared" si="73"/>
        <v>Metering Communications</v>
      </c>
      <c r="E76" s="52" t="s">
        <v>210</v>
      </c>
      <c r="F76" s="52" t="str">
        <f t="shared" si="74"/>
        <v>Dollars</v>
      </c>
      <c r="G76" s="52" t="str">
        <f t="shared" si="75"/>
        <v>Nominal</v>
      </c>
      <c r="H76" s="52" t="str">
        <f t="shared" si="76"/>
        <v>End_year</v>
      </c>
      <c r="J76" s="64">
        <v>0</v>
      </c>
      <c r="K76" s="60">
        <v>0</v>
      </c>
      <c r="L76" s="60">
        <v>0</v>
      </c>
      <c r="M76" s="93">
        <v>0</v>
      </c>
      <c r="N76" s="59">
        <v>0</v>
      </c>
      <c r="O76" s="60">
        <v>0</v>
      </c>
      <c r="P76" s="60">
        <v>0</v>
      </c>
      <c r="Q76" s="61">
        <v>0</v>
      </c>
      <c r="R76" s="94">
        <f>'[6]Actual RAB roll forward'!H28*R$173-R95</f>
        <v>0</v>
      </c>
      <c r="S76" s="59">
        <f>'[2]RAB roll forward'!H28*S$174</f>
        <v>0</v>
      </c>
      <c r="T76" s="60">
        <f>'[2]RAB roll forward'!I28*T$174</f>
        <v>0</v>
      </c>
      <c r="U76" s="60">
        <f>'[2]RAB roll forward'!J28*U$174</f>
        <v>0</v>
      </c>
      <c r="V76" s="60">
        <f>'[2]RAB roll forward'!K28*V$174</f>
        <v>0</v>
      </c>
      <c r="W76" s="61">
        <f>'[2]RAB roll forward'!L28*W$174</f>
        <v>0</v>
      </c>
      <c r="X76" s="59">
        <f>[7]Assets!G13*X$175-X95</f>
        <v>3.0240180560711871</v>
      </c>
      <c r="Y76" s="60">
        <f>[7]Assets!H13*Y$175-Y95</f>
        <v>0.19383250742529598</v>
      </c>
      <c r="Z76" s="60">
        <f>[7]Assets!I13*Z$175-Z95</f>
        <v>0.20377196896854172</v>
      </c>
      <c r="AA76" s="60">
        <f>[7]Assets!J13*AA$175-AA95</f>
        <v>4.6985177004832828</v>
      </c>
      <c r="AB76" s="61">
        <f>[7]Assets!K13*AB$175-AB95</f>
        <v>0.20466131621269495</v>
      </c>
    </row>
    <row r="77" spans="1:28" ht="12.3" x14ac:dyDescent="0.35">
      <c r="D77" s="15" t="str">
        <f t="shared" si="73"/>
        <v>Metering - Dedicated CTs and VTs</v>
      </c>
      <c r="E77" s="52" t="s">
        <v>210</v>
      </c>
      <c r="F77" s="52" t="str">
        <f t="shared" si="74"/>
        <v>Dollars</v>
      </c>
      <c r="G77" s="52" t="str">
        <f t="shared" si="75"/>
        <v>Nominal</v>
      </c>
      <c r="H77" s="52" t="str">
        <f t="shared" si="76"/>
        <v>End_year</v>
      </c>
      <c r="J77" s="64">
        <v>0</v>
      </c>
      <c r="K77" s="60">
        <v>0</v>
      </c>
      <c r="L77" s="60">
        <v>0</v>
      </c>
      <c r="M77" s="93">
        <v>0</v>
      </c>
      <c r="N77" s="59">
        <v>0</v>
      </c>
      <c r="O77" s="60">
        <v>0</v>
      </c>
      <c r="P77" s="60">
        <v>0</v>
      </c>
      <c r="Q77" s="61">
        <v>0</v>
      </c>
      <c r="R77" s="94">
        <f>'[6]Actual RAB roll forward'!H29*R$173-R96</f>
        <v>0</v>
      </c>
      <c r="S77" s="59">
        <f>'[2]RAB roll forward'!H29*S$174</f>
        <v>0</v>
      </c>
      <c r="T77" s="60">
        <f>'[2]RAB roll forward'!I29*T$174</f>
        <v>0</v>
      </c>
      <c r="U77" s="60">
        <f>'[2]RAB roll forward'!J29*U$174</f>
        <v>0</v>
      </c>
      <c r="V77" s="60">
        <f>'[2]RAB roll forward'!K29*V$174</f>
        <v>0.10984530336443404</v>
      </c>
      <c r="W77" s="61">
        <f>'[2]RAB roll forward'!L29*W$174</f>
        <v>0.11273790614053361</v>
      </c>
      <c r="X77" s="59">
        <f>[7]Assets!G14*X$175-X96</f>
        <v>0.1235630611651985</v>
      </c>
      <c r="Y77" s="60">
        <f>[7]Assets!H14*Y$175-Y96</f>
        <v>0.13459282214054583</v>
      </c>
      <c r="Z77" s="60">
        <f>[7]Assets!I14*Z$175-Z96</f>
        <v>0.13905992437240616</v>
      </c>
      <c r="AA77" s="60">
        <f>[7]Assets!J14*AA$175-AA96</f>
        <v>0.13535648746234152</v>
      </c>
      <c r="AB77" s="61">
        <f>[7]Assets!K14*AB$175-AB96</f>
        <v>0.14931946779040653</v>
      </c>
    </row>
    <row r="78" spans="1:28" ht="12.3" x14ac:dyDescent="0.35">
      <c r="D78" s="15" t="str">
        <f t="shared" si="73"/>
        <v>Metering - Non-Network Other</v>
      </c>
      <c r="E78" s="52" t="s">
        <v>210</v>
      </c>
      <c r="F78" s="52" t="str">
        <f t="shared" si="74"/>
        <v>Dollars</v>
      </c>
      <c r="G78" s="52" t="str">
        <f t="shared" si="75"/>
        <v>Nominal</v>
      </c>
      <c r="H78" s="52" t="str">
        <f t="shared" si="76"/>
        <v>End_year</v>
      </c>
      <c r="J78" s="64">
        <v>0</v>
      </c>
      <c r="K78" s="60">
        <v>0</v>
      </c>
      <c r="L78" s="60">
        <v>0</v>
      </c>
      <c r="M78" s="93">
        <v>0</v>
      </c>
      <c r="N78" s="59">
        <v>0</v>
      </c>
      <c r="O78" s="60">
        <v>0</v>
      </c>
      <c r="P78" s="60">
        <v>0</v>
      </c>
      <c r="Q78" s="61">
        <v>0</v>
      </c>
      <c r="R78" s="94">
        <f>'[6]Actual RAB roll forward'!H30*R$173-R97</f>
        <v>0</v>
      </c>
      <c r="S78" s="59">
        <f>'[2]RAB roll forward'!H30*S$174</f>
        <v>3.2224178032246704E-2</v>
      </c>
      <c r="T78" s="60">
        <f>'[2]RAB roll forward'!I30*T$174</f>
        <v>0.22393025152618154</v>
      </c>
      <c r="U78" s="60">
        <f>'[2]RAB roll forward'!J30*U$174</f>
        <v>1.5463864208129544E-2</v>
      </c>
      <c r="V78" s="60">
        <f>'[2]RAB roll forward'!K30*V$174</f>
        <v>0</v>
      </c>
      <c r="W78" s="61">
        <f>'[2]RAB roll forward'!L30*W$174</f>
        <v>0</v>
      </c>
      <c r="X78" s="59">
        <f>[7]Assets!G15*X$175-X97</f>
        <v>0</v>
      </c>
      <c r="Y78" s="60">
        <f>[7]Assets!H15*Y$175-Y97</f>
        <v>0</v>
      </c>
      <c r="Z78" s="60">
        <f>[7]Assets!I15*Z$175-Z97</f>
        <v>0</v>
      </c>
      <c r="AA78" s="60">
        <f>[7]Assets!J15*AA$175-AA97</f>
        <v>0</v>
      </c>
      <c r="AB78" s="61">
        <f>[7]Assets!K15*AB$175-AB97</f>
        <v>0</v>
      </c>
    </row>
    <row r="79" spans="1:28" ht="12.3" x14ac:dyDescent="0.35">
      <c r="D79" s="15" t="str">
        <f t="shared" si="73"/>
        <v>Metering - Non-Network IT &amp; Communications</v>
      </c>
      <c r="E79" s="52" t="s">
        <v>210</v>
      </c>
      <c r="F79" s="52" t="str">
        <f t="shared" si="74"/>
        <v>Dollars</v>
      </c>
      <c r="G79" s="52" t="str">
        <f t="shared" si="75"/>
        <v>Nominal</v>
      </c>
      <c r="H79" s="52" t="str">
        <f t="shared" si="76"/>
        <v>End_year</v>
      </c>
      <c r="J79" s="64">
        <v>0</v>
      </c>
      <c r="K79" s="60">
        <v>0</v>
      </c>
      <c r="L79" s="60">
        <v>0</v>
      </c>
      <c r="M79" s="93">
        <v>0</v>
      </c>
      <c r="N79" s="59">
        <v>0</v>
      </c>
      <c r="O79" s="60">
        <v>0</v>
      </c>
      <c r="P79" s="60">
        <v>0</v>
      </c>
      <c r="Q79" s="61">
        <v>0</v>
      </c>
      <c r="R79" s="94">
        <f>'[6]Actual RAB roll forward'!H31*R$173-R98</f>
        <v>0</v>
      </c>
      <c r="S79" s="59">
        <f>'[2]RAB roll forward'!H31*S$174</f>
        <v>0</v>
      </c>
      <c r="T79" s="60">
        <f>'[2]RAB roll forward'!I31*T$174</f>
        <v>0</v>
      </c>
      <c r="U79" s="60">
        <f>'[2]RAB roll forward'!J31*U$174</f>
        <v>0</v>
      </c>
      <c r="V79" s="60">
        <f>'[2]RAB roll forward'!K31*V$174</f>
        <v>0</v>
      </c>
      <c r="W79" s="61">
        <f>'[2]RAB roll forward'!L31*W$174</f>
        <v>0</v>
      </c>
      <c r="X79" s="59">
        <f>[7]Assets!G16*X$175-X98</f>
        <v>0.12277680039416948</v>
      </c>
      <c r="Y79" s="60">
        <f>[7]Assets!H16*Y$175-Y98</f>
        <v>0</v>
      </c>
      <c r="Z79" s="60">
        <f>[7]Assets!I16*Z$175-Z98</f>
        <v>0</v>
      </c>
      <c r="AA79" s="60">
        <f>[7]Assets!J16*AA$175-AA98</f>
        <v>0</v>
      </c>
      <c r="AB79" s="61">
        <f>[7]Assets!K16*AB$175-AB98</f>
        <v>0</v>
      </c>
    </row>
    <row r="80" spans="1:28" ht="12.3" x14ac:dyDescent="0.35">
      <c r="D80" s="15" t="str">
        <f t="shared" si="73"/>
        <v>Fleet leases</v>
      </c>
      <c r="E80" s="52" t="s">
        <v>210</v>
      </c>
      <c r="F80" s="52" t="str">
        <f t="shared" si="74"/>
        <v>Dollars</v>
      </c>
      <c r="G80" s="52" t="str">
        <f t="shared" si="75"/>
        <v>Nominal</v>
      </c>
      <c r="H80" s="52" t="str">
        <f t="shared" si="76"/>
        <v>End_year</v>
      </c>
      <c r="J80" s="64">
        <v>0</v>
      </c>
      <c r="K80" s="60">
        <v>0</v>
      </c>
      <c r="L80" s="60">
        <v>0</v>
      </c>
      <c r="M80" s="93">
        <v>0</v>
      </c>
      <c r="N80" s="59">
        <v>0</v>
      </c>
      <c r="O80" s="60">
        <v>0</v>
      </c>
      <c r="P80" s="60">
        <v>0</v>
      </c>
      <c r="Q80" s="61">
        <v>0</v>
      </c>
      <c r="R80" s="94">
        <v>0</v>
      </c>
      <c r="S80" s="59">
        <v>0</v>
      </c>
      <c r="T80" s="60">
        <v>0</v>
      </c>
      <c r="U80" s="60">
        <v>0</v>
      </c>
      <c r="V80" s="60">
        <v>0</v>
      </c>
      <c r="W80" s="61">
        <v>0</v>
      </c>
      <c r="X80" s="59">
        <f>[7]Assets!G17*X$175-X99</f>
        <v>0.43678710451686259</v>
      </c>
      <c r="Y80" s="60">
        <f>[7]Assets!H17*Y$175-Y99</f>
        <v>9.3846973852573332E-2</v>
      </c>
      <c r="Z80" s="60">
        <f>[7]Assets!I17*Z$175-Z99</f>
        <v>4.0077060423593387E-2</v>
      </c>
      <c r="AA80" s="60">
        <f>[7]Assets!J17*AA$175-AA99</f>
        <v>0.19245560684718468</v>
      </c>
      <c r="AB80" s="61">
        <f>[7]Assets!K17*AB$175-AB99</f>
        <v>0.13060100139273592</v>
      </c>
    </row>
    <row r="81" spans="1:28" ht="12.3" x14ac:dyDescent="0.35">
      <c r="D81" s="15" t="str">
        <f t="shared" si="73"/>
        <v>[Spare]</v>
      </c>
      <c r="E81" s="52" t="s">
        <v>210</v>
      </c>
      <c r="F81" s="52" t="str">
        <f t="shared" si="74"/>
        <v>Dollars</v>
      </c>
      <c r="G81" s="52" t="str">
        <f t="shared" si="75"/>
        <v>Nominal</v>
      </c>
      <c r="H81" s="52" t="str">
        <f t="shared" si="76"/>
        <v>End_year</v>
      </c>
      <c r="J81" s="64">
        <v>0</v>
      </c>
      <c r="K81" s="60">
        <v>0</v>
      </c>
      <c r="L81" s="60">
        <v>0</v>
      </c>
      <c r="M81" s="93">
        <v>0</v>
      </c>
      <c r="N81" s="59">
        <v>0</v>
      </c>
      <c r="O81" s="60">
        <v>0</v>
      </c>
      <c r="P81" s="60">
        <v>0</v>
      </c>
      <c r="Q81" s="61">
        <v>0</v>
      </c>
      <c r="R81" s="94">
        <v>0</v>
      </c>
      <c r="S81" s="59">
        <v>0</v>
      </c>
      <c r="T81" s="60">
        <v>0</v>
      </c>
      <c r="U81" s="60">
        <v>0</v>
      </c>
      <c r="V81" s="60">
        <v>0</v>
      </c>
      <c r="W81" s="61">
        <v>0</v>
      </c>
      <c r="X81" s="59">
        <v>0</v>
      </c>
      <c r="Y81" s="60">
        <v>0</v>
      </c>
      <c r="Z81" s="60">
        <v>0</v>
      </c>
      <c r="AA81" s="60">
        <v>0</v>
      </c>
      <c r="AB81" s="61">
        <v>0</v>
      </c>
    </row>
    <row r="82" spans="1:28" ht="12.3" x14ac:dyDescent="0.35">
      <c r="D82" s="15" t="str">
        <f t="shared" si="73"/>
        <v>Equity Raising Costs</v>
      </c>
      <c r="E82" s="52" t="s">
        <v>210</v>
      </c>
      <c r="F82" s="52" t="str">
        <f t="shared" si="74"/>
        <v>Dollars</v>
      </c>
      <c r="G82" s="52" t="str">
        <f t="shared" si="75"/>
        <v>Nominal</v>
      </c>
      <c r="H82" s="52" t="str">
        <f t="shared" si="76"/>
        <v>End_year</v>
      </c>
      <c r="J82" s="64">
        <v>0</v>
      </c>
      <c r="K82" s="60">
        <v>0</v>
      </c>
      <c r="L82" s="60">
        <v>0</v>
      </c>
      <c r="M82" s="93">
        <v>0</v>
      </c>
      <c r="N82" s="59">
        <v>0</v>
      </c>
      <c r="O82" s="60">
        <v>0</v>
      </c>
      <c r="P82" s="60">
        <v>0</v>
      </c>
      <c r="Q82" s="61">
        <v>0</v>
      </c>
      <c r="R82" s="94">
        <v>0</v>
      </c>
      <c r="S82" s="59">
        <v>0</v>
      </c>
      <c r="T82" s="60">
        <v>0</v>
      </c>
      <c r="U82" s="60">
        <v>0</v>
      </c>
      <c r="V82" s="60">
        <v>0</v>
      </c>
      <c r="W82" s="61">
        <v>0</v>
      </c>
      <c r="X82" s="59">
        <f>[7]Assets!G40*X$175-X101</f>
        <v>0.16620313098234032</v>
      </c>
      <c r="Y82" s="60">
        <f>[7]Assets!H40*Y$175-Y101</f>
        <v>0</v>
      </c>
      <c r="Z82" s="60">
        <f>[7]Assets!I40*Z$175-Z101</f>
        <v>0</v>
      </c>
      <c r="AA82" s="60">
        <f>[7]Assets!J40*AA$175-AA101</f>
        <v>0</v>
      </c>
      <c r="AB82" s="61">
        <f>[7]Assets!K40*AB$175-AB101</f>
        <v>0</v>
      </c>
    </row>
    <row r="83" spans="1:28" x14ac:dyDescent="0.35">
      <c r="J83" s="56"/>
      <c r="K83" s="57"/>
      <c r="L83" s="57"/>
      <c r="M83" s="57"/>
      <c r="N83" s="56"/>
      <c r="O83" s="57"/>
      <c r="P83" s="57"/>
      <c r="Q83" s="58"/>
      <c r="R83" s="91"/>
      <c r="S83" s="56"/>
      <c r="T83" s="57"/>
      <c r="U83" s="57"/>
      <c r="V83" s="57"/>
      <c r="W83" s="58"/>
      <c r="X83" s="56"/>
      <c r="Y83" s="57"/>
      <c r="Z83" s="57"/>
      <c r="AA83" s="57"/>
      <c r="AB83" s="58"/>
    </row>
    <row r="84" spans="1:28" ht="12.3" x14ac:dyDescent="0.35">
      <c r="D84" s="51" t="str">
        <f>"Total "&amp;D72</f>
        <v>Total RAB Asset Class</v>
      </c>
      <c r="E84" s="47" t="s">
        <v>111</v>
      </c>
      <c r="F84" s="47" t="str">
        <f>F74</f>
        <v>Dollars</v>
      </c>
      <c r="G84" s="47" t="str">
        <f>G74</f>
        <v>Nominal</v>
      </c>
      <c r="H84" s="47" t="str">
        <f>H74</f>
        <v>End_year</v>
      </c>
      <c r="J84" s="62">
        <f t="shared" ref="J84:AB84" si="77">SUM(J74:J82)</f>
        <v>4.4828055227704125E-2</v>
      </c>
      <c r="K84" s="46">
        <f t="shared" si="77"/>
        <v>5.6536550080061317E-2</v>
      </c>
      <c r="L84" s="46">
        <f t="shared" si="77"/>
        <v>0.48574178250029793</v>
      </c>
      <c r="M84" s="46">
        <f t="shared" si="77"/>
        <v>0.56056035041745444</v>
      </c>
      <c r="N84" s="62">
        <f t="shared" si="77"/>
        <v>0.56618494069641001</v>
      </c>
      <c r="O84" s="46">
        <f t="shared" si="77"/>
        <v>0.32156159236489656</v>
      </c>
      <c r="P84" s="46">
        <f t="shared" si="77"/>
        <v>0.40278474979533263</v>
      </c>
      <c r="Q84" s="63">
        <f t="shared" si="77"/>
        <v>0.61698301505884334</v>
      </c>
      <c r="R84" s="92">
        <f t="shared" si="77"/>
        <v>0.6986838705668359</v>
      </c>
      <c r="S84" s="62">
        <f t="shared" si="77"/>
        <v>2.0878342798112111</v>
      </c>
      <c r="T84" s="46">
        <f t="shared" si="77"/>
        <v>3.2146773563803031</v>
      </c>
      <c r="U84" s="46">
        <f t="shared" si="77"/>
        <v>3.1769720531670393</v>
      </c>
      <c r="V84" s="46">
        <f t="shared" si="77"/>
        <v>2.0424371412012916</v>
      </c>
      <c r="W84" s="63">
        <f t="shared" si="77"/>
        <v>4.4123985391743981</v>
      </c>
      <c r="X84" s="62">
        <f t="shared" si="77"/>
        <v>7.1154904585087264</v>
      </c>
      <c r="Y84" s="46">
        <f t="shared" si="77"/>
        <v>4.0164571944341425</v>
      </c>
      <c r="Z84" s="46">
        <f t="shared" si="77"/>
        <v>4.1636961527891003</v>
      </c>
      <c r="AA84" s="46">
        <f t="shared" si="77"/>
        <v>8.3970235751616276</v>
      </c>
      <c r="AB84" s="63">
        <f t="shared" si="77"/>
        <v>4.2479324726906116</v>
      </c>
    </row>
    <row r="85" spans="1:28" s="6" customFormat="1" ht="11.25" customHeight="1" x14ac:dyDescent="0.35"/>
    <row r="86" spans="1:28" s="6" customFormat="1" ht="11.25" customHeight="1" x14ac:dyDescent="0.35">
      <c r="A86" s="49">
        <f>IF(SUM($J86:$AB86)&lt;&gt;0,1,0)</f>
        <v>0</v>
      </c>
      <c r="D86" s="15" t="s">
        <v>206</v>
      </c>
      <c r="J86" s="70">
        <f>IF(ISERROR(J84),1,0)</f>
        <v>0</v>
      </c>
      <c r="K86" s="70">
        <f t="shared" ref="K86:N86" si="78">IF(ISERROR(K84),1,0)</f>
        <v>0</v>
      </c>
      <c r="L86" s="70">
        <f t="shared" si="78"/>
        <v>0</v>
      </c>
      <c r="M86" s="70">
        <f t="shared" si="78"/>
        <v>0</v>
      </c>
      <c r="N86" s="70">
        <f t="shared" si="78"/>
        <v>0</v>
      </c>
      <c r="O86" s="70">
        <f>IF(ISERROR(O84),1,0)</f>
        <v>0</v>
      </c>
      <c r="P86" s="70">
        <f t="shared" ref="P86:S86" si="79">IF(ISERROR(P84),1,0)</f>
        <v>0</v>
      </c>
      <c r="Q86" s="70">
        <f t="shared" si="79"/>
        <v>0</v>
      </c>
      <c r="R86" s="70">
        <f t="shared" si="79"/>
        <v>0</v>
      </c>
      <c r="S86" s="70">
        <f t="shared" si="79"/>
        <v>0</v>
      </c>
      <c r="T86" s="70">
        <f>IF(ISERROR(T84),1,0)</f>
        <v>0</v>
      </c>
      <c r="U86" s="70">
        <f t="shared" ref="U86:X86" si="80">IF(ISERROR(U84),1,0)</f>
        <v>0</v>
      </c>
      <c r="V86" s="70">
        <f t="shared" si="80"/>
        <v>0</v>
      </c>
      <c r="W86" s="70">
        <f t="shared" si="80"/>
        <v>0</v>
      </c>
      <c r="X86" s="70">
        <f t="shared" si="80"/>
        <v>0</v>
      </c>
      <c r="Y86" s="70">
        <f>IF(ISERROR(Y84),1,0)</f>
        <v>0</v>
      </c>
      <c r="Z86" s="70">
        <f t="shared" ref="Z86:AB86" si="81">IF(ISERROR(Z84),1,0)</f>
        <v>0</v>
      </c>
      <c r="AA86" s="70">
        <f t="shared" si="81"/>
        <v>0</v>
      </c>
      <c r="AB86" s="70">
        <f t="shared" si="81"/>
        <v>0</v>
      </c>
    </row>
    <row r="87" spans="1:28" s="6" customFormat="1" ht="11.25" customHeight="1" x14ac:dyDescent="0.35">
      <c r="A87" s="49">
        <f>IF(SUM($J87:$AB87)&lt;&gt;0,1,0)</f>
        <v>0</v>
      </c>
      <c r="D87" s="84" t="s">
        <v>207</v>
      </c>
      <c r="J87" s="87" t="str">
        <f t="shared" ref="J87:Q87" si="82">NA</f>
        <v>N/A</v>
      </c>
      <c r="K87" s="86" t="str">
        <f t="shared" si="82"/>
        <v>N/A</v>
      </c>
      <c r="L87" s="86" t="str">
        <f t="shared" si="82"/>
        <v>N/A</v>
      </c>
      <c r="M87" s="88" t="str">
        <f t="shared" si="82"/>
        <v>N/A</v>
      </c>
      <c r="N87" s="86" t="str">
        <f t="shared" si="82"/>
        <v>N/A</v>
      </c>
      <c r="O87" s="86" t="str">
        <f t="shared" si="82"/>
        <v>N/A</v>
      </c>
      <c r="P87" s="86" t="str">
        <f t="shared" si="82"/>
        <v>N/A</v>
      </c>
      <c r="Q87" s="86" t="str">
        <f t="shared" si="82"/>
        <v>N/A</v>
      </c>
      <c r="R87" s="89">
        <f>IF(ROUND(SUM('[6]Actual RAB roll forward'!$H$709:$H$715)-R103-R84,3)=0,0,1)</f>
        <v>0</v>
      </c>
      <c r="S87" s="87">
        <f>IF(ROUND('[2]Total RAB roll forward'!H$39-Input_RAB_SCS!S116-Input_RAB_SCS!S143-S103-S84,3)=0,0,1)</f>
        <v>0</v>
      </c>
      <c r="T87" s="86">
        <f>IF(ROUND('[2]Total RAB roll forward'!I$39-Input_RAB_SCS!T116-Input_RAB_SCS!T143-T103-T84,3)=0,0,1)</f>
        <v>0</v>
      </c>
      <c r="U87" s="86">
        <f>IF(ROUND('[2]Total RAB roll forward'!J$39-Input_RAB_SCS!U116-Input_RAB_SCS!U143-U103-U84,3)=0,0,1)</f>
        <v>0</v>
      </c>
      <c r="V87" s="86">
        <f>IF(ROUND('[2]Total RAB roll forward'!K$39-Input_RAB_SCS!V116-Input_RAB_SCS!V143-V103-V84,3)=0,0,1)</f>
        <v>0</v>
      </c>
      <c r="W87" s="88">
        <f>IF(ROUND('[2]Total RAB roll forward'!L$39-Input_RAB_SCS!W116-Input_RAB_SCS!W143-W103-W84,3)=0,0,1)</f>
        <v>0</v>
      </c>
      <c r="X87" s="87">
        <f>IF(ROUND([7]Assets!G$875-X103-X84,2)=0,0,1)</f>
        <v>0</v>
      </c>
      <c r="Y87" s="86">
        <f>IF(ROUND([7]Assets!H$875-Y103-Y84,2)=0,0,1)</f>
        <v>0</v>
      </c>
      <c r="Z87" s="86">
        <f>IF(ROUND([7]Assets!I$875-Z103-Z84,2)=0,0,1)</f>
        <v>0</v>
      </c>
      <c r="AA87" s="86">
        <f>IF(ROUND([7]Assets!J$875-AA103-AA84,2)=0,0,1)</f>
        <v>0</v>
      </c>
      <c r="AB87" s="88">
        <f>IF(ROUND([7]Assets!K$875-AB103-AB84,2)=0,0,1)</f>
        <v>0</v>
      </c>
    </row>
    <row r="89" spans="1:28" s="13" customFormat="1" ht="14.1" x14ac:dyDescent="0.35">
      <c r="C89" s="109" t="s">
        <v>270</v>
      </c>
      <c r="D89" s="109"/>
    </row>
    <row r="90" spans="1:28" s="6" customFormat="1" ht="11.25" customHeight="1" x14ac:dyDescent="0.35">
      <c r="C90" s="108"/>
    </row>
    <row r="91" spans="1:28" ht="12.3" x14ac:dyDescent="0.35">
      <c r="D91" s="50" t="str">
        <f>D$16</f>
        <v>RAB Asset Class</v>
      </c>
      <c r="E91" s="45" t="str">
        <f>Lookup!E$20</f>
        <v>Source</v>
      </c>
      <c r="F91" s="45" t="str">
        <f>Lookup!F$20</f>
        <v>Unit</v>
      </c>
      <c r="G91" s="45" t="str">
        <f>Lookup!G$20</f>
        <v>Basis</v>
      </c>
      <c r="H91" s="45" t="str">
        <f>Lookup!H$20</f>
        <v>Timing</v>
      </c>
      <c r="J91" s="344" t="str">
        <f>J$10</f>
        <v>RY06</v>
      </c>
      <c r="K91" s="345" t="str">
        <f t="shared" ref="K91:AB91" si="83">K$10</f>
        <v>RY07</v>
      </c>
      <c r="L91" s="345" t="str">
        <f t="shared" si="83"/>
        <v>RY08</v>
      </c>
      <c r="M91" s="345" t="str">
        <f t="shared" si="83"/>
        <v>RY09</v>
      </c>
      <c r="N91" s="344" t="str">
        <f t="shared" si="83"/>
        <v>RY10</v>
      </c>
      <c r="O91" s="345" t="str">
        <f>O$10</f>
        <v>RY11</v>
      </c>
      <c r="P91" s="345" t="str">
        <f t="shared" si="83"/>
        <v>RY12</v>
      </c>
      <c r="Q91" s="346" t="str">
        <f t="shared" si="83"/>
        <v>RY13</v>
      </c>
      <c r="R91" s="348" t="str">
        <f t="shared" si="83"/>
        <v>RY14</v>
      </c>
      <c r="S91" s="344" t="str">
        <f t="shared" si="83"/>
        <v>RY15</v>
      </c>
      <c r="T91" s="345" t="str">
        <f>T$10</f>
        <v>RY16</v>
      </c>
      <c r="U91" s="345" t="str">
        <f t="shared" si="83"/>
        <v>RY17</v>
      </c>
      <c r="V91" s="345" t="str">
        <f t="shared" si="83"/>
        <v>RY18</v>
      </c>
      <c r="W91" s="346" t="str">
        <f t="shared" si="83"/>
        <v>RY19</v>
      </c>
      <c r="X91" s="344" t="str">
        <f t="shared" si="83"/>
        <v>RY20</v>
      </c>
      <c r="Y91" s="345" t="str">
        <f>Y$10</f>
        <v>RY21</v>
      </c>
      <c r="Z91" s="345" t="str">
        <f t="shared" si="83"/>
        <v>RY22</v>
      </c>
      <c r="AA91" s="345" t="str">
        <f t="shared" si="83"/>
        <v>RY23</v>
      </c>
      <c r="AB91" s="346" t="str">
        <f t="shared" si="83"/>
        <v>RY24</v>
      </c>
    </row>
    <row r="92" spans="1:28" x14ac:dyDescent="0.35">
      <c r="J92" s="56"/>
      <c r="K92" s="57"/>
      <c r="L92" s="57"/>
      <c r="M92" s="57"/>
      <c r="N92" s="56"/>
      <c r="O92" s="57"/>
      <c r="P92" s="57"/>
      <c r="Q92" s="58"/>
      <c r="R92" s="91"/>
      <c r="S92" s="56"/>
      <c r="T92" s="57"/>
      <c r="U92" s="57"/>
      <c r="V92" s="57"/>
      <c r="W92" s="58"/>
      <c r="X92" s="56"/>
      <c r="Y92" s="57"/>
      <c r="Z92" s="57"/>
      <c r="AA92" s="57"/>
      <c r="AB92" s="58"/>
    </row>
    <row r="93" spans="1:28" ht="12.3" x14ac:dyDescent="0.35">
      <c r="D93" s="15" t="str">
        <f t="shared" ref="D93:D101" si="84">D18</f>
        <v>Mechanical meters - General</v>
      </c>
      <c r="E93" s="52" t="s">
        <v>210</v>
      </c>
      <c r="F93" s="52" t="str">
        <f t="shared" ref="F93:F101" si="85">Dollars</f>
        <v>Dollars</v>
      </c>
      <c r="G93" s="52" t="str">
        <f t="shared" ref="G93:G101" si="86">Nominal</f>
        <v>Nominal</v>
      </c>
      <c r="H93" s="52" t="str">
        <f t="shared" ref="H93:H101" si="87">End_year</f>
        <v>End_year</v>
      </c>
      <c r="J93" s="64">
        <v>0</v>
      </c>
      <c r="K93" s="60">
        <v>0</v>
      </c>
      <c r="L93" s="60">
        <v>0</v>
      </c>
      <c r="M93" s="93">
        <v>0</v>
      </c>
      <c r="N93" s="349">
        <v>0</v>
      </c>
      <c r="O93" s="60">
        <v>0</v>
      </c>
      <c r="P93" s="60">
        <v>-1.9599349650555142E-3</v>
      </c>
      <c r="Q93" s="61">
        <v>0</v>
      </c>
      <c r="R93" s="94">
        <f>-[6]Input!H119*(1+[6]Input!$H$258)^0.5/'[6]Actual RAB roll forward'!$H$7*R$173</f>
        <v>-2.7984123417623983E-4</v>
      </c>
      <c r="S93" s="59">
        <v>0</v>
      </c>
      <c r="T93" s="60">
        <v>0</v>
      </c>
      <c r="U93" s="60">
        <v>0</v>
      </c>
      <c r="V93" s="60">
        <v>0</v>
      </c>
      <c r="W93" s="61">
        <v>0</v>
      </c>
      <c r="X93" s="59">
        <f>-'[7]PTRM input'!G75*(1+[7]WACC!G$19)^0.5*X$175</f>
        <v>0</v>
      </c>
      <c r="Y93" s="60">
        <f>-'[7]PTRM input'!H75*(1+[7]WACC!H$19)^0.5*Y$175</f>
        <v>0</v>
      </c>
      <c r="Z93" s="60">
        <f>-'[7]PTRM input'!I75*(1+[7]WACC!I$19)^0.5*Z$175</f>
        <v>0</v>
      </c>
      <c r="AA93" s="60">
        <f>-'[7]PTRM input'!J75*(1+[7]WACC!J$19)^0.5*AA$175</f>
        <v>0</v>
      </c>
      <c r="AB93" s="61">
        <f>-'[7]PTRM input'!K75*(1+[7]WACC!K$19)^0.5*AB$175</f>
        <v>0</v>
      </c>
    </row>
    <row r="94" spans="1:28" ht="12.3" x14ac:dyDescent="0.35">
      <c r="D94" s="15" t="str">
        <f t="shared" si="84"/>
        <v>Electronic Meters</v>
      </c>
      <c r="E94" s="52" t="s">
        <v>210</v>
      </c>
      <c r="F94" s="52" t="str">
        <f t="shared" si="85"/>
        <v>Dollars</v>
      </c>
      <c r="G94" s="52" t="str">
        <f t="shared" si="86"/>
        <v>Nominal</v>
      </c>
      <c r="H94" s="52" t="str">
        <f t="shared" si="87"/>
        <v>End_year</v>
      </c>
      <c r="J94" s="64">
        <v>0</v>
      </c>
      <c r="K94" s="60">
        <v>0</v>
      </c>
      <c r="L94" s="60">
        <v>0</v>
      </c>
      <c r="M94" s="93">
        <v>0</v>
      </c>
      <c r="N94" s="59">
        <v>0</v>
      </c>
      <c r="O94" s="60">
        <v>0</v>
      </c>
      <c r="P94" s="60">
        <v>0</v>
      </c>
      <c r="Q94" s="61">
        <v>0</v>
      </c>
      <c r="R94" s="94">
        <f>-[6]Input!H120*(1+[6]Input!$H$258)^0.5/'[6]Actual RAB roll forward'!$H$7*R$173</f>
        <v>-2.4213812824940836E-4</v>
      </c>
      <c r="S94" s="59">
        <v>0</v>
      </c>
      <c r="T94" s="60">
        <v>0</v>
      </c>
      <c r="U94" s="60">
        <v>0</v>
      </c>
      <c r="V94" s="60">
        <v>0</v>
      </c>
      <c r="W94" s="61">
        <v>0</v>
      </c>
      <c r="X94" s="59">
        <f>-'[7]PTRM input'!G76*(1+[7]WACC!G$19)^0.5*X$175</f>
        <v>0</v>
      </c>
      <c r="Y94" s="60">
        <f>-'[7]PTRM input'!H76*(1+[7]WACC!H$19)^0.5*Y$175</f>
        <v>0</v>
      </c>
      <c r="Z94" s="60">
        <f>-'[7]PTRM input'!I76*(1+[7]WACC!I$19)^0.5*Z$175</f>
        <v>0</v>
      </c>
      <c r="AA94" s="60">
        <f>-'[7]PTRM input'!J76*(1+[7]WACC!J$19)^0.5*AA$175</f>
        <v>0</v>
      </c>
      <c r="AB94" s="61">
        <f>-'[7]PTRM input'!K76*(1+[7]WACC!K$19)^0.5*AB$175</f>
        <v>0</v>
      </c>
    </row>
    <row r="95" spans="1:28" ht="12.3" x14ac:dyDescent="0.35">
      <c r="D95" s="15" t="str">
        <f t="shared" si="84"/>
        <v>Metering Communications</v>
      </c>
      <c r="E95" s="52" t="s">
        <v>210</v>
      </c>
      <c r="F95" s="52" t="str">
        <f t="shared" si="85"/>
        <v>Dollars</v>
      </c>
      <c r="G95" s="52" t="str">
        <f t="shared" si="86"/>
        <v>Nominal</v>
      </c>
      <c r="H95" s="52" t="str">
        <f t="shared" si="87"/>
        <v>End_year</v>
      </c>
      <c r="J95" s="64">
        <v>0</v>
      </c>
      <c r="K95" s="60">
        <v>0</v>
      </c>
      <c r="L95" s="60">
        <v>0</v>
      </c>
      <c r="M95" s="93">
        <v>0</v>
      </c>
      <c r="N95" s="59">
        <v>0</v>
      </c>
      <c r="O95" s="60">
        <v>0</v>
      </c>
      <c r="P95" s="60">
        <v>0</v>
      </c>
      <c r="Q95" s="61">
        <v>0</v>
      </c>
      <c r="R95" s="94">
        <f>-[6]Input!H121*(1+[6]Input!$H$258)^0.5/'[6]Actual RAB roll forward'!$H$7*R$173</f>
        <v>0</v>
      </c>
      <c r="S95" s="59">
        <v>0</v>
      </c>
      <c r="T95" s="60">
        <v>0</v>
      </c>
      <c r="U95" s="60">
        <v>0</v>
      </c>
      <c r="V95" s="60">
        <v>0</v>
      </c>
      <c r="W95" s="61">
        <v>0</v>
      </c>
      <c r="X95" s="59">
        <f>-'[7]PTRM input'!G77*(1+[7]WACC!G$19)^0.5*X$175</f>
        <v>0</v>
      </c>
      <c r="Y95" s="60">
        <f>-'[7]PTRM input'!H77*(1+[7]WACC!H$19)^0.5*Y$175</f>
        <v>0</v>
      </c>
      <c r="Z95" s="60">
        <f>-'[7]PTRM input'!I77*(1+[7]WACC!I$19)^0.5*Z$175</f>
        <v>0</v>
      </c>
      <c r="AA95" s="60">
        <f>-'[7]PTRM input'!J77*(1+[7]WACC!J$19)^0.5*AA$175</f>
        <v>0</v>
      </c>
      <c r="AB95" s="61">
        <f>-'[7]PTRM input'!K77*(1+[7]WACC!K$19)^0.5*AB$175</f>
        <v>0</v>
      </c>
    </row>
    <row r="96" spans="1:28" ht="12.3" x14ac:dyDescent="0.35">
      <c r="D96" s="15" t="str">
        <f t="shared" si="84"/>
        <v>Metering - Dedicated CTs and VTs</v>
      </c>
      <c r="E96" s="52" t="s">
        <v>210</v>
      </c>
      <c r="F96" s="52" t="str">
        <f t="shared" si="85"/>
        <v>Dollars</v>
      </c>
      <c r="G96" s="52" t="str">
        <f t="shared" si="86"/>
        <v>Nominal</v>
      </c>
      <c r="H96" s="52" t="str">
        <f t="shared" si="87"/>
        <v>End_year</v>
      </c>
      <c r="J96" s="64">
        <v>0</v>
      </c>
      <c r="K96" s="60">
        <v>0</v>
      </c>
      <c r="L96" s="60">
        <v>0</v>
      </c>
      <c r="M96" s="93">
        <v>0</v>
      </c>
      <c r="N96" s="59">
        <v>0</v>
      </c>
      <c r="O96" s="60">
        <v>0</v>
      </c>
      <c r="P96" s="60">
        <v>0</v>
      </c>
      <c r="Q96" s="61">
        <v>0</v>
      </c>
      <c r="R96" s="94">
        <f>-[6]Input!H122*(1+[6]Input!$H$258)^0.5/'[6]Actual RAB roll forward'!$H$7*R$173</f>
        <v>0</v>
      </c>
      <c r="S96" s="59">
        <v>0</v>
      </c>
      <c r="T96" s="60">
        <v>0</v>
      </c>
      <c r="U96" s="60">
        <v>0</v>
      </c>
      <c r="V96" s="60">
        <v>0</v>
      </c>
      <c r="W96" s="61">
        <v>0</v>
      </c>
      <c r="X96" s="59">
        <f>-'[7]PTRM input'!G78*(1+[7]WACC!G$19)^0.5*X$175</f>
        <v>0</v>
      </c>
      <c r="Y96" s="60">
        <f>-'[7]PTRM input'!H78*(1+[7]WACC!H$19)^0.5*Y$175</f>
        <v>0</v>
      </c>
      <c r="Z96" s="60">
        <f>-'[7]PTRM input'!I78*(1+[7]WACC!I$19)^0.5*Z$175</f>
        <v>0</v>
      </c>
      <c r="AA96" s="60">
        <f>-'[7]PTRM input'!J78*(1+[7]WACC!J$19)^0.5*AA$175</f>
        <v>0</v>
      </c>
      <c r="AB96" s="61">
        <f>-'[7]PTRM input'!K78*(1+[7]WACC!K$19)^0.5*AB$175</f>
        <v>0</v>
      </c>
    </row>
    <row r="97" spans="1:28" ht="12.3" x14ac:dyDescent="0.35">
      <c r="D97" s="15" t="str">
        <f t="shared" si="84"/>
        <v>Metering - Non-Network Other</v>
      </c>
      <c r="E97" s="52" t="s">
        <v>210</v>
      </c>
      <c r="F97" s="52" t="str">
        <f t="shared" si="85"/>
        <v>Dollars</v>
      </c>
      <c r="G97" s="52" t="str">
        <f t="shared" si="86"/>
        <v>Nominal</v>
      </c>
      <c r="H97" s="52" t="str">
        <f t="shared" si="87"/>
        <v>End_year</v>
      </c>
      <c r="J97" s="64">
        <v>0</v>
      </c>
      <c r="K97" s="60">
        <v>0</v>
      </c>
      <c r="L97" s="60">
        <v>0</v>
      </c>
      <c r="M97" s="93">
        <v>0</v>
      </c>
      <c r="N97" s="59">
        <v>0</v>
      </c>
      <c r="O97" s="60">
        <v>0</v>
      </c>
      <c r="P97" s="60">
        <v>0</v>
      </c>
      <c r="Q97" s="61">
        <v>0</v>
      </c>
      <c r="R97" s="94">
        <f>-[6]Input!H123*(1+[6]Input!$H$258)^0.5/'[6]Actual RAB roll forward'!$H$7*R$173</f>
        <v>0</v>
      </c>
      <c r="S97" s="59">
        <v>0</v>
      </c>
      <c r="T97" s="60">
        <v>0</v>
      </c>
      <c r="U97" s="60">
        <v>0</v>
      </c>
      <c r="V97" s="60">
        <v>0</v>
      </c>
      <c r="W97" s="61">
        <v>0</v>
      </c>
      <c r="X97" s="59">
        <f>-'[7]PTRM input'!G79*(1+[7]WACC!G$19)^0.5*X$175</f>
        <v>0</v>
      </c>
      <c r="Y97" s="60">
        <f>-'[7]PTRM input'!H79*(1+[7]WACC!H$19)^0.5*Y$175</f>
        <v>0</v>
      </c>
      <c r="Z97" s="60">
        <f>-'[7]PTRM input'!I79*(1+[7]WACC!I$19)^0.5*Z$175</f>
        <v>0</v>
      </c>
      <c r="AA97" s="60">
        <f>-'[7]PTRM input'!J79*(1+[7]WACC!J$19)^0.5*AA$175</f>
        <v>0</v>
      </c>
      <c r="AB97" s="61">
        <f>-'[7]PTRM input'!K79*(1+[7]WACC!K$19)^0.5*AB$175</f>
        <v>0</v>
      </c>
    </row>
    <row r="98" spans="1:28" ht="12.3" x14ac:dyDescent="0.35">
      <c r="D98" s="15" t="str">
        <f t="shared" si="84"/>
        <v>Metering - Non-Network IT &amp; Communications</v>
      </c>
      <c r="E98" s="52" t="s">
        <v>210</v>
      </c>
      <c r="F98" s="52" t="str">
        <f t="shared" si="85"/>
        <v>Dollars</v>
      </c>
      <c r="G98" s="52" t="str">
        <f t="shared" si="86"/>
        <v>Nominal</v>
      </c>
      <c r="H98" s="52" t="str">
        <f t="shared" si="87"/>
        <v>End_year</v>
      </c>
      <c r="J98" s="64">
        <v>0</v>
      </c>
      <c r="K98" s="60">
        <v>0</v>
      </c>
      <c r="L98" s="60">
        <v>0</v>
      </c>
      <c r="M98" s="93">
        <v>0</v>
      </c>
      <c r="N98" s="59">
        <v>0</v>
      </c>
      <c r="O98" s="60">
        <v>0</v>
      </c>
      <c r="P98" s="60">
        <v>0</v>
      </c>
      <c r="Q98" s="61">
        <v>0</v>
      </c>
      <c r="R98" s="94">
        <f>-[6]Input!H124*(1+[6]Input!$H$258)^0.5/'[6]Actual RAB roll forward'!$H$7*R$173</f>
        <v>0</v>
      </c>
      <c r="S98" s="59">
        <v>0</v>
      </c>
      <c r="T98" s="60">
        <v>0</v>
      </c>
      <c r="U98" s="60">
        <v>0</v>
      </c>
      <c r="V98" s="60">
        <v>0</v>
      </c>
      <c r="W98" s="61">
        <v>0</v>
      </c>
      <c r="X98" s="59">
        <f>-'[7]PTRM input'!G80*(1+[7]WACC!G$19)^0.5*X$175</f>
        <v>0</v>
      </c>
      <c r="Y98" s="60">
        <f>-'[7]PTRM input'!H80*(1+[7]WACC!H$19)^0.5*Y$175</f>
        <v>0</v>
      </c>
      <c r="Z98" s="60">
        <f>-'[7]PTRM input'!I80*(1+[7]WACC!I$19)^0.5*Z$175</f>
        <v>0</v>
      </c>
      <c r="AA98" s="60">
        <f>-'[7]PTRM input'!J80*(1+[7]WACC!J$19)^0.5*AA$175</f>
        <v>0</v>
      </c>
      <c r="AB98" s="61">
        <f>-'[7]PTRM input'!K80*(1+[7]WACC!K$19)^0.5*AB$175</f>
        <v>0</v>
      </c>
    </row>
    <row r="99" spans="1:28" ht="12.3" x14ac:dyDescent="0.35">
      <c r="D99" s="15" t="str">
        <f t="shared" si="84"/>
        <v>Fleet leases</v>
      </c>
      <c r="E99" s="52" t="s">
        <v>210</v>
      </c>
      <c r="F99" s="52" t="str">
        <f t="shared" si="85"/>
        <v>Dollars</v>
      </c>
      <c r="G99" s="52" t="str">
        <f t="shared" si="86"/>
        <v>Nominal</v>
      </c>
      <c r="H99" s="52" t="str">
        <f t="shared" si="87"/>
        <v>End_year</v>
      </c>
      <c r="J99" s="64">
        <v>0</v>
      </c>
      <c r="K99" s="60">
        <v>0</v>
      </c>
      <c r="L99" s="60">
        <v>0</v>
      </c>
      <c r="M99" s="93">
        <v>0</v>
      </c>
      <c r="N99" s="59">
        <v>0</v>
      </c>
      <c r="O99" s="60">
        <v>0</v>
      </c>
      <c r="P99" s="60">
        <v>0</v>
      </c>
      <c r="Q99" s="61">
        <v>0</v>
      </c>
      <c r="R99" s="94">
        <v>0</v>
      </c>
      <c r="S99" s="59">
        <v>0</v>
      </c>
      <c r="T99" s="60">
        <v>0</v>
      </c>
      <c r="U99" s="60">
        <v>0</v>
      </c>
      <c r="V99" s="60">
        <v>0</v>
      </c>
      <c r="W99" s="61">
        <v>0</v>
      </c>
      <c r="X99" s="59">
        <v>0</v>
      </c>
      <c r="Y99" s="60">
        <v>0</v>
      </c>
      <c r="Z99" s="60">
        <v>0</v>
      </c>
      <c r="AA99" s="60">
        <v>0</v>
      </c>
      <c r="AB99" s="61">
        <v>0</v>
      </c>
    </row>
    <row r="100" spans="1:28" ht="12.3" x14ac:dyDescent="0.35">
      <c r="D100" s="15" t="str">
        <f t="shared" si="84"/>
        <v>[Spare]</v>
      </c>
      <c r="E100" s="52" t="s">
        <v>210</v>
      </c>
      <c r="F100" s="52" t="str">
        <f t="shared" si="85"/>
        <v>Dollars</v>
      </c>
      <c r="G100" s="52" t="str">
        <f t="shared" si="86"/>
        <v>Nominal</v>
      </c>
      <c r="H100" s="52" t="str">
        <f t="shared" si="87"/>
        <v>End_year</v>
      </c>
      <c r="J100" s="64">
        <v>0</v>
      </c>
      <c r="K100" s="60">
        <v>0</v>
      </c>
      <c r="L100" s="60">
        <v>0</v>
      </c>
      <c r="M100" s="93">
        <v>0</v>
      </c>
      <c r="N100" s="59">
        <v>0</v>
      </c>
      <c r="O100" s="60">
        <v>0</v>
      </c>
      <c r="P100" s="60">
        <v>0</v>
      </c>
      <c r="Q100" s="61">
        <v>0</v>
      </c>
      <c r="R100" s="94">
        <v>0</v>
      </c>
      <c r="S100" s="59">
        <v>0</v>
      </c>
      <c r="T100" s="60">
        <v>0</v>
      </c>
      <c r="U100" s="60">
        <v>0</v>
      </c>
      <c r="V100" s="60">
        <v>0</v>
      </c>
      <c r="W100" s="61">
        <v>0</v>
      </c>
      <c r="X100" s="59">
        <v>0</v>
      </c>
      <c r="Y100" s="60">
        <v>0</v>
      </c>
      <c r="Z100" s="60">
        <v>0</v>
      </c>
      <c r="AA100" s="60">
        <v>0</v>
      </c>
      <c r="AB100" s="61">
        <v>0</v>
      </c>
    </row>
    <row r="101" spans="1:28" ht="12.3" x14ac:dyDescent="0.35">
      <c r="D101" s="15" t="str">
        <f t="shared" si="84"/>
        <v>Equity Raising Costs</v>
      </c>
      <c r="E101" s="52" t="s">
        <v>210</v>
      </c>
      <c r="F101" s="52" t="str">
        <f t="shared" si="85"/>
        <v>Dollars</v>
      </c>
      <c r="G101" s="52" t="str">
        <f t="shared" si="86"/>
        <v>Nominal</v>
      </c>
      <c r="H101" s="52" t="str">
        <f t="shared" si="87"/>
        <v>End_year</v>
      </c>
      <c r="J101" s="64">
        <v>0</v>
      </c>
      <c r="K101" s="60">
        <v>0</v>
      </c>
      <c r="L101" s="60">
        <v>0</v>
      </c>
      <c r="M101" s="93">
        <v>0</v>
      </c>
      <c r="N101" s="59">
        <v>0</v>
      </c>
      <c r="O101" s="60">
        <v>0</v>
      </c>
      <c r="P101" s="60">
        <v>0</v>
      </c>
      <c r="Q101" s="61">
        <v>0</v>
      </c>
      <c r="R101" s="94">
        <v>0</v>
      </c>
      <c r="S101" s="59">
        <v>0</v>
      </c>
      <c r="T101" s="60">
        <v>0</v>
      </c>
      <c r="U101" s="60">
        <v>0</v>
      </c>
      <c r="V101" s="60">
        <v>0</v>
      </c>
      <c r="W101" s="61">
        <v>0</v>
      </c>
      <c r="X101" s="59">
        <v>0</v>
      </c>
      <c r="Y101" s="60">
        <v>0</v>
      </c>
      <c r="Z101" s="60">
        <v>0</v>
      </c>
      <c r="AA101" s="60">
        <v>0</v>
      </c>
      <c r="AB101" s="61">
        <v>0</v>
      </c>
    </row>
    <row r="102" spans="1:28" x14ac:dyDescent="0.35">
      <c r="J102" s="56"/>
      <c r="K102" s="57"/>
      <c r="L102" s="57"/>
      <c r="M102" s="57"/>
      <c r="N102" s="56"/>
      <c r="O102" s="57"/>
      <c r="P102" s="57"/>
      <c r="Q102" s="58"/>
      <c r="R102" s="91"/>
      <c r="S102" s="56"/>
      <c r="T102" s="57"/>
      <c r="U102" s="57"/>
      <c r="V102" s="57"/>
      <c r="W102" s="58"/>
      <c r="X102" s="56"/>
      <c r="Y102" s="57"/>
      <c r="Z102" s="57"/>
      <c r="AA102" s="57"/>
      <c r="AB102" s="58"/>
    </row>
    <row r="103" spans="1:28" ht="12.3" x14ac:dyDescent="0.35">
      <c r="D103" s="51" t="str">
        <f>"Total "&amp;D91</f>
        <v>Total RAB Asset Class</v>
      </c>
      <c r="E103" s="47" t="s">
        <v>111</v>
      </c>
      <c r="F103" s="47" t="str">
        <f>F93</f>
        <v>Dollars</v>
      </c>
      <c r="G103" s="47" t="str">
        <f>G93</f>
        <v>Nominal</v>
      </c>
      <c r="H103" s="47" t="str">
        <f>H93</f>
        <v>End_year</v>
      </c>
      <c r="J103" s="62">
        <f t="shared" ref="J103:AB103" si="88">SUM(J93:J101)</f>
        <v>0</v>
      </c>
      <c r="K103" s="46">
        <f t="shared" si="88"/>
        <v>0</v>
      </c>
      <c r="L103" s="46">
        <f t="shared" si="88"/>
        <v>0</v>
      </c>
      <c r="M103" s="46">
        <f t="shared" si="88"/>
        <v>0</v>
      </c>
      <c r="N103" s="62">
        <f t="shared" si="88"/>
        <v>0</v>
      </c>
      <c r="O103" s="46">
        <f t="shared" si="88"/>
        <v>0</v>
      </c>
      <c r="P103" s="46">
        <f t="shared" si="88"/>
        <v>-1.9599349650555142E-3</v>
      </c>
      <c r="Q103" s="63">
        <f t="shared" si="88"/>
        <v>0</v>
      </c>
      <c r="R103" s="92">
        <f t="shared" si="88"/>
        <v>-5.2197936242564819E-4</v>
      </c>
      <c r="S103" s="62">
        <f t="shared" si="88"/>
        <v>0</v>
      </c>
      <c r="T103" s="46">
        <f t="shared" si="88"/>
        <v>0</v>
      </c>
      <c r="U103" s="46">
        <f t="shared" si="88"/>
        <v>0</v>
      </c>
      <c r="V103" s="46">
        <f t="shared" si="88"/>
        <v>0</v>
      </c>
      <c r="W103" s="63">
        <f t="shared" si="88"/>
        <v>0</v>
      </c>
      <c r="X103" s="62">
        <f t="shared" si="88"/>
        <v>0</v>
      </c>
      <c r="Y103" s="46">
        <f t="shared" si="88"/>
        <v>0</v>
      </c>
      <c r="Z103" s="46">
        <f t="shared" si="88"/>
        <v>0</v>
      </c>
      <c r="AA103" s="46">
        <f t="shared" si="88"/>
        <v>0</v>
      </c>
      <c r="AB103" s="63">
        <f t="shared" si="88"/>
        <v>0</v>
      </c>
    </row>
    <row r="104" spans="1:28" s="6" customFormat="1" ht="11.25" customHeight="1" x14ac:dyDescent="0.35"/>
    <row r="105" spans="1:28" s="6" customFormat="1" ht="11.25" customHeight="1" x14ac:dyDescent="0.35">
      <c r="A105" s="49">
        <f>IF(SUM($J105:$AB105)&lt;&gt;0,1,0)</f>
        <v>0</v>
      </c>
      <c r="D105" s="15" t="s">
        <v>206</v>
      </c>
      <c r="J105" s="70">
        <f>IF(ISERROR(J103),1,0)</f>
        <v>0</v>
      </c>
      <c r="K105" s="70">
        <f t="shared" ref="K105:N105" si="89">IF(ISERROR(K103),1,0)</f>
        <v>0</v>
      </c>
      <c r="L105" s="70">
        <f t="shared" si="89"/>
        <v>0</v>
      </c>
      <c r="M105" s="70">
        <f t="shared" si="89"/>
        <v>0</v>
      </c>
      <c r="N105" s="70">
        <f t="shared" si="89"/>
        <v>0</v>
      </c>
      <c r="O105" s="70">
        <f>IF(ISERROR(O103),1,0)</f>
        <v>0</v>
      </c>
      <c r="P105" s="70">
        <f t="shared" ref="P105:S105" si="90">IF(ISERROR(P103),1,0)</f>
        <v>0</v>
      </c>
      <c r="Q105" s="70">
        <f t="shared" si="90"/>
        <v>0</v>
      </c>
      <c r="R105" s="70">
        <f t="shared" si="90"/>
        <v>0</v>
      </c>
      <c r="S105" s="70">
        <f t="shared" si="90"/>
        <v>0</v>
      </c>
      <c r="T105" s="70">
        <f>IF(ISERROR(T103),1,0)</f>
        <v>0</v>
      </c>
      <c r="U105" s="70">
        <f t="shared" ref="U105:X105" si="91">IF(ISERROR(U103),1,0)</f>
        <v>0</v>
      </c>
      <c r="V105" s="70">
        <f t="shared" si="91"/>
        <v>0</v>
      </c>
      <c r="W105" s="70">
        <f t="shared" si="91"/>
        <v>0</v>
      </c>
      <c r="X105" s="70">
        <f t="shared" si="91"/>
        <v>0</v>
      </c>
      <c r="Y105" s="70">
        <f>IF(ISERROR(Y103),1,0)</f>
        <v>0</v>
      </c>
      <c r="Z105" s="70">
        <f t="shared" ref="Z105:AB105" si="92">IF(ISERROR(Z103),1,0)</f>
        <v>0</v>
      </c>
      <c r="AA105" s="70">
        <f t="shared" si="92"/>
        <v>0</v>
      </c>
      <c r="AB105" s="70">
        <f t="shared" si="92"/>
        <v>0</v>
      </c>
    </row>
    <row r="106" spans="1:28" s="6" customFormat="1" ht="11.25" customHeight="1" x14ac:dyDescent="0.35">
      <c r="A106" s="49">
        <f>IF(SUM($J106:$AB106)&lt;&gt;0,1,0)</f>
        <v>0</v>
      </c>
      <c r="D106" s="84" t="s">
        <v>207</v>
      </c>
      <c r="J106" s="87" t="str">
        <f t="shared" ref="J106:Q106" si="93">NA</f>
        <v>N/A</v>
      </c>
      <c r="K106" s="86" t="str">
        <f t="shared" si="93"/>
        <v>N/A</v>
      </c>
      <c r="L106" s="86" t="str">
        <f t="shared" si="93"/>
        <v>N/A</v>
      </c>
      <c r="M106" s="88" t="str">
        <f t="shared" si="93"/>
        <v>N/A</v>
      </c>
      <c r="N106" s="86" t="str">
        <f t="shared" si="93"/>
        <v>N/A</v>
      </c>
      <c r="O106" s="86" t="str">
        <f t="shared" si="93"/>
        <v>N/A</v>
      </c>
      <c r="P106" s="86" t="str">
        <f t="shared" si="93"/>
        <v>N/A</v>
      </c>
      <c r="Q106" s="86" t="str">
        <f t="shared" si="93"/>
        <v>N/A</v>
      </c>
      <c r="R106" s="89">
        <f>IF(ROUND(-([6]Input!$H$150*(1+[6]Input!$H$258)^0.5*'[6]Actual RAB roll forward'!$H$7)-(Input_RAB_SCS!R143+R103),1)=0,0,1)</f>
        <v>0</v>
      </c>
      <c r="S106" s="87" t="str">
        <f>NA</f>
        <v>N/A</v>
      </c>
      <c r="T106" s="86" t="str">
        <f>NA</f>
        <v>N/A</v>
      </c>
      <c r="U106" s="86" t="str">
        <f>NA</f>
        <v>N/A</v>
      </c>
      <c r="V106" s="86" t="str">
        <f>NA</f>
        <v>N/A</v>
      </c>
      <c r="W106" s="88" t="str">
        <f>NA</f>
        <v>N/A</v>
      </c>
      <c r="X106" s="87">
        <f>IF(ROUND(('[7]PTRM input'!G105*(1+[7]WACC!G$19)^0.5*[7]Assets!G$7)-X103,2)=0,0,1)</f>
        <v>0</v>
      </c>
      <c r="Y106" s="86">
        <f>IF(ROUND(('[7]PTRM input'!H105*(1+[7]WACC!H$19)^0.5*[7]Assets!H$7)-Y103,2)=0,0,1)</f>
        <v>0</v>
      </c>
      <c r="Z106" s="86">
        <f>IF(ROUND(('[7]PTRM input'!I105*(1+[7]WACC!I$19)^0.5*[7]Assets!I$7)-Z103,2)=0,0,1)</f>
        <v>0</v>
      </c>
      <c r="AA106" s="86">
        <f>IF(ROUND(('[7]PTRM input'!J105*(1+[7]WACC!J$19)^0.5*[7]Assets!J$7)-AA103,2)=0,0,1)</f>
        <v>0</v>
      </c>
      <c r="AB106" s="88">
        <f>IF(ROUND(('[7]PTRM input'!K105*(1+[7]WACC!K$19)^0.5*[7]Assets!K$7)-AB103,2)=0,0,1)</f>
        <v>0</v>
      </c>
    </row>
    <row r="108" spans="1:28" s="13" customFormat="1" ht="14.1" x14ac:dyDescent="0.35">
      <c r="C108" s="13" t="s">
        <v>176</v>
      </c>
    </row>
    <row r="109" spans="1:28" s="6" customFormat="1" ht="11.25" customHeight="1" x14ac:dyDescent="0.35"/>
    <row r="110" spans="1:28" ht="12.3" x14ac:dyDescent="0.35">
      <c r="D110" s="50" t="str">
        <f>D$16</f>
        <v>RAB Asset Class</v>
      </c>
      <c r="E110" s="45" t="str">
        <f>Lookup!E$20</f>
        <v>Source</v>
      </c>
      <c r="F110" s="45" t="str">
        <f>Lookup!F$20</f>
        <v>Unit</v>
      </c>
      <c r="G110" s="45" t="str">
        <f>Lookup!G$20</f>
        <v>Basis</v>
      </c>
      <c r="H110" s="45" t="str">
        <f>Lookup!H$20</f>
        <v>Timing</v>
      </c>
      <c r="J110" s="54" t="str">
        <f>J$10</f>
        <v>RY06</v>
      </c>
      <c r="K110" s="45" t="str">
        <f t="shared" ref="K110:AB110" si="94">K$10</f>
        <v>RY07</v>
      </c>
      <c r="L110" s="45" t="str">
        <f t="shared" si="94"/>
        <v>RY08</v>
      </c>
      <c r="M110" s="45" t="str">
        <f t="shared" si="94"/>
        <v>RY09</v>
      </c>
      <c r="N110" s="54" t="str">
        <f t="shared" si="94"/>
        <v>RY10</v>
      </c>
      <c r="O110" s="45" t="str">
        <f>O$10</f>
        <v>RY11</v>
      </c>
      <c r="P110" s="45" t="str">
        <f t="shared" si="94"/>
        <v>RY12</v>
      </c>
      <c r="Q110" s="55" t="str">
        <f t="shared" si="94"/>
        <v>RY13</v>
      </c>
      <c r="R110" s="54" t="str">
        <f t="shared" si="94"/>
        <v>RY14</v>
      </c>
      <c r="S110" s="45" t="str">
        <f t="shared" si="94"/>
        <v>RY15</v>
      </c>
      <c r="T110" s="45" t="str">
        <f>T$10</f>
        <v>RY16</v>
      </c>
      <c r="U110" s="45" t="str">
        <f t="shared" si="94"/>
        <v>RY17</v>
      </c>
      <c r="V110" s="45" t="str">
        <f t="shared" si="94"/>
        <v>RY18</v>
      </c>
      <c r="W110" s="55" t="str">
        <f t="shared" si="94"/>
        <v>RY19</v>
      </c>
      <c r="X110" s="54" t="str">
        <f t="shared" si="94"/>
        <v>RY20</v>
      </c>
      <c r="Y110" s="45" t="str">
        <f>Y$10</f>
        <v>RY21</v>
      </c>
      <c r="Z110" s="45" t="str">
        <f t="shared" si="94"/>
        <v>RY22</v>
      </c>
      <c r="AA110" s="45" t="str">
        <f t="shared" si="94"/>
        <v>RY23</v>
      </c>
      <c r="AB110" s="55" t="str">
        <f t="shared" si="94"/>
        <v>RY24</v>
      </c>
    </row>
    <row r="111" spans="1:28" x14ac:dyDescent="0.35">
      <c r="J111" s="56"/>
      <c r="K111" s="57"/>
      <c r="L111" s="57"/>
      <c r="M111" s="57"/>
      <c r="N111" s="56"/>
      <c r="O111" s="57"/>
      <c r="P111" s="57"/>
      <c r="Q111" s="58"/>
      <c r="R111" s="56"/>
      <c r="S111" s="57"/>
      <c r="T111" s="57"/>
      <c r="U111" s="57"/>
      <c r="V111" s="57"/>
      <c r="W111" s="58"/>
      <c r="X111" s="56"/>
      <c r="Y111" s="57"/>
      <c r="Z111" s="57"/>
      <c r="AA111" s="57"/>
      <c r="AB111" s="58"/>
    </row>
    <row r="112" spans="1:28" ht="12.3" x14ac:dyDescent="0.35">
      <c r="D112" s="15" t="str">
        <f t="shared" ref="D112:D120" si="95">D18</f>
        <v>Mechanical meters - General</v>
      </c>
      <c r="E112" s="52" t="s">
        <v>111</v>
      </c>
      <c r="F112" s="52" t="str">
        <f t="shared" ref="F112:F120" si="96">Dollars</f>
        <v>Dollars</v>
      </c>
      <c r="G112" s="52" t="str">
        <f t="shared" ref="G112:G120" si="97">Nominal</f>
        <v>Nominal</v>
      </c>
      <c r="H112" s="52" t="str">
        <f t="shared" ref="H112:H120" si="98">End_year</f>
        <v>End_year</v>
      </c>
      <c r="J112" s="66">
        <f>J18+J36+J55+J74+J93</f>
        <v>0.91452970375209763</v>
      </c>
      <c r="K112" s="67">
        <f t="shared" ref="K112:AB112" si="99">K18+K36+K55+K74+K93</f>
        <v>0.97761416734929307</v>
      </c>
      <c r="L112" s="67">
        <f t="shared" si="99"/>
        <v>1.4837142301446968</v>
      </c>
      <c r="M112" s="67">
        <f t="shared" si="99"/>
        <v>2.0496727716923524</v>
      </c>
      <c r="N112" s="66">
        <f t="shared" si="99"/>
        <v>2.6383563492206012</v>
      </c>
      <c r="O112" s="67">
        <f t="shared" si="99"/>
        <v>3.0072855901043312</v>
      </c>
      <c r="P112" s="67">
        <f t="shared" si="99"/>
        <v>3.4178864973694418</v>
      </c>
      <c r="Q112" s="68">
        <f t="shared" si="99"/>
        <v>4.0802493072798489</v>
      </c>
      <c r="R112" s="66">
        <f t="shared" si="99"/>
        <v>4.0240680801536897</v>
      </c>
      <c r="S112" s="67">
        <f t="shared" si="99"/>
        <v>5.4687320149032015</v>
      </c>
      <c r="T112" s="67">
        <f t="shared" si="99"/>
        <v>7.805312355979571</v>
      </c>
      <c r="U112" s="67">
        <f t="shared" si="99"/>
        <v>10.333956453831531</v>
      </c>
      <c r="V112" s="67">
        <f t="shared" si="99"/>
        <v>9.6673038066240409</v>
      </c>
      <c r="W112" s="68">
        <f t="shared" si="99"/>
        <v>8.8663989438442652</v>
      </c>
      <c r="X112" s="66">
        <f t="shared" si="99"/>
        <v>9.5214930439810015</v>
      </c>
      <c r="Y112" s="67">
        <f t="shared" si="99"/>
        <v>9.1233366504007432</v>
      </c>
      <c r="Z112" s="67">
        <f t="shared" si="99"/>
        <v>8.7002720156537166</v>
      </c>
      <c r="AA112" s="67">
        <f t="shared" si="99"/>
        <v>8.2513252691250027</v>
      </c>
      <c r="AB112" s="68">
        <f t="shared" si="99"/>
        <v>7.7754899560046162</v>
      </c>
    </row>
    <row r="113" spans="1:28" ht="12.3" x14ac:dyDescent="0.35">
      <c r="D113" s="15" t="str">
        <f t="shared" si="95"/>
        <v>Electronic Meters</v>
      </c>
      <c r="E113" s="52" t="s">
        <v>111</v>
      </c>
      <c r="F113" s="52" t="str">
        <f t="shared" si="96"/>
        <v>Dollars</v>
      </c>
      <c r="G113" s="52" t="str">
        <f t="shared" si="97"/>
        <v>Nominal</v>
      </c>
      <c r="H113" s="52" t="str">
        <f t="shared" si="98"/>
        <v>End_year</v>
      </c>
      <c r="J113" s="66">
        <f t="shared" ref="J113:AB113" si="100">J19+J37+J56+J75+J94</f>
        <v>2.9133651811792345</v>
      </c>
      <c r="K113" s="67">
        <f t="shared" si="100"/>
        <v>2.9857683395280672</v>
      </c>
      <c r="L113" s="67">
        <f t="shared" si="100"/>
        <v>3.1133358089998207</v>
      </c>
      <c r="M113" s="67">
        <f t="shared" si="100"/>
        <v>3.1891867367938365</v>
      </c>
      <c r="N113" s="66">
        <f t="shared" si="100"/>
        <v>3.2822765118137642</v>
      </c>
      <c r="O113" s="67">
        <f t="shared" si="100"/>
        <v>3.3891573646144222</v>
      </c>
      <c r="P113" s="67">
        <f t="shared" si="100"/>
        <v>3.4443216757373429</v>
      </c>
      <c r="Q113" s="68">
        <f t="shared" si="100"/>
        <v>3.5305159118669058</v>
      </c>
      <c r="R113" s="66">
        <f t="shared" si="100"/>
        <v>3.4819040008341102</v>
      </c>
      <c r="S113" s="67">
        <f t="shared" si="100"/>
        <v>2.9532708214489163</v>
      </c>
      <c r="T113" s="67">
        <f t="shared" si="100"/>
        <v>2.3639244421659118</v>
      </c>
      <c r="U113" s="67">
        <f t="shared" si="100"/>
        <v>1.7230131908017026</v>
      </c>
      <c r="V113" s="67">
        <f t="shared" si="100"/>
        <v>2.9037276109771581</v>
      </c>
      <c r="W113" s="68">
        <f t="shared" si="100"/>
        <v>6.3779648117128964</v>
      </c>
      <c r="X113" s="66">
        <f t="shared" si="100"/>
        <v>8.8440442886951551</v>
      </c>
      <c r="Y113" s="67">
        <f t="shared" si="100"/>
        <v>11.945250284083034</v>
      </c>
      <c r="Z113" s="67">
        <f t="shared" si="100"/>
        <v>15.04568188762474</v>
      </c>
      <c r="AA113" s="67">
        <f t="shared" si="100"/>
        <v>17.529515618079582</v>
      </c>
      <c r="AB113" s="68">
        <f t="shared" si="100"/>
        <v>20.20572205353335</v>
      </c>
    </row>
    <row r="114" spans="1:28" ht="12.3" x14ac:dyDescent="0.35">
      <c r="D114" s="15" t="str">
        <f t="shared" si="95"/>
        <v>Metering Communications</v>
      </c>
      <c r="E114" s="52" t="s">
        <v>111</v>
      </c>
      <c r="F114" s="52" t="str">
        <f t="shared" si="96"/>
        <v>Dollars</v>
      </c>
      <c r="G114" s="52" t="str">
        <f t="shared" si="97"/>
        <v>Nominal</v>
      </c>
      <c r="H114" s="52" t="str">
        <f t="shared" si="98"/>
        <v>End_year</v>
      </c>
      <c r="J114" s="66">
        <f t="shared" ref="J114:AB114" si="101">J20+J38+J57+J76+J95</f>
        <v>0</v>
      </c>
      <c r="K114" s="67">
        <f t="shared" si="101"/>
        <v>0</v>
      </c>
      <c r="L114" s="67">
        <f t="shared" si="101"/>
        <v>0</v>
      </c>
      <c r="M114" s="67">
        <f t="shared" si="101"/>
        <v>0</v>
      </c>
      <c r="N114" s="66">
        <f t="shared" si="101"/>
        <v>0</v>
      </c>
      <c r="O114" s="67">
        <f t="shared" si="101"/>
        <v>0</v>
      </c>
      <c r="P114" s="67">
        <f t="shared" si="101"/>
        <v>0</v>
      </c>
      <c r="Q114" s="68">
        <f t="shared" si="101"/>
        <v>0</v>
      </c>
      <c r="R114" s="66">
        <f t="shared" si="101"/>
        <v>0</v>
      </c>
      <c r="S114" s="67">
        <f t="shared" si="101"/>
        <v>0</v>
      </c>
      <c r="T114" s="67">
        <f t="shared" si="101"/>
        <v>0</v>
      </c>
      <c r="U114" s="67">
        <f t="shared" si="101"/>
        <v>0</v>
      </c>
      <c r="V114" s="67">
        <f t="shared" si="101"/>
        <v>0</v>
      </c>
      <c r="W114" s="68">
        <f t="shared" si="101"/>
        <v>0</v>
      </c>
      <c r="X114" s="66">
        <f t="shared" si="101"/>
        <v>3.0240180560711871</v>
      </c>
      <c r="Y114" s="67">
        <f t="shared" si="101"/>
        <v>3.0846894307407582</v>
      </c>
      <c r="Z114" s="67">
        <f t="shared" si="101"/>
        <v>3.1385288398725515</v>
      </c>
      <c r="AA114" s="67">
        <f t="shared" si="101"/>
        <v>7.6690558271448932</v>
      </c>
      <c r="AB114" s="68">
        <f t="shared" si="101"/>
        <v>7.488836948657287</v>
      </c>
    </row>
    <row r="115" spans="1:28" ht="12.3" x14ac:dyDescent="0.35">
      <c r="D115" s="15" t="str">
        <f t="shared" si="95"/>
        <v>Metering - Dedicated CTs and VTs</v>
      </c>
      <c r="E115" s="52" t="s">
        <v>111</v>
      </c>
      <c r="F115" s="52" t="str">
        <f t="shared" si="96"/>
        <v>Dollars</v>
      </c>
      <c r="G115" s="52" t="str">
        <f t="shared" si="97"/>
        <v>Nominal</v>
      </c>
      <c r="H115" s="52" t="str">
        <f t="shared" si="98"/>
        <v>End_year</v>
      </c>
      <c r="J115" s="66">
        <f t="shared" ref="J115:AB115" si="102">J21+J39+J58+J77+J96</f>
        <v>0</v>
      </c>
      <c r="K115" s="67">
        <f t="shared" si="102"/>
        <v>0</v>
      </c>
      <c r="L115" s="67">
        <f t="shared" si="102"/>
        <v>0</v>
      </c>
      <c r="M115" s="67">
        <f t="shared" si="102"/>
        <v>0</v>
      </c>
      <c r="N115" s="66">
        <f t="shared" si="102"/>
        <v>0</v>
      </c>
      <c r="O115" s="67">
        <f t="shared" si="102"/>
        <v>0</v>
      </c>
      <c r="P115" s="67">
        <f t="shared" si="102"/>
        <v>0</v>
      </c>
      <c r="Q115" s="68">
        <f t="shared" si="102"/>
        <v>0</v>
      </c>
      <c r="R115" s="66">
        <f t="shared" si="102"/>
        <v>0</v>
      </c>
      <c r="S115" s="67">
        <f t="shared" si="102"/>
        <v>0</v>
      </c>
      <c r="T115" s="67">
        <f t="shared" si="102"/>
        <v>0</v>
      </c>
      <c r="U115" s="67">
        <f t="shared" si="102"/>
        <v>0</v>
      </c>
      <c r="V115" s="67">
        <f t="shared" si="102"/>
        <v>0.10984530336443404</v>
      </c>
      <c r="W115" s="68">
        <f t="shared" si="102"/>
        <v>0.22524682042874938</v>
      </c>
      <c r="X115" s="66">
        <f t="shared" si="102"/>
        <v>0.33838033712924115</v>
      </c>
      <c r="Y115" s="67">
        <f t="shared" si="102"/>
        <v>0.45646432451632235</v>
      </c>
      <c r="Z115" s="67">
        <f t="shared" si="102"/>
        <v>0.57208908076110965</v>
      </c>
      <c r="AA115" s="67">
        <f t="shared" si="102"/>
        <v>0.67648201670223429</v>
      </c>
      <c r="AB115" s="68">
        <f t="shared" si="102"/>
        <v>0.78703953330576626</v>
      </c>
    </row>
    <row r="116" spans="1:28" ht="12.3" x14ac:dyDescent="0.35">
      <c r="D116" s="15" t="str">
        <f t="shared" si="95"/>
        <v>Metering - Non-Network Other</v>
      </c>
      <c r="E116" s="52" t="s">
        <v>111</v>
      </c>
      <c r="F116" s="52" t="str">
        <f t="shared" si="96"/>
        <v>Dollars</v>
      </c>
      <c r="G116" s="52" t="str">
        <f t="shared" si="97"/>
        <v>Nominal</v>
      </c>
      <c r="H116" s="52" t="str">
        <f t="shared" si="98"/>
        <v>End_year</v>
      </c>
      <c r="J116" s="66">
        <f t="shared" ref="J116:AB116" si="103">J22+J40+J59+J78+J97</f>
        <v>0</v>
      </c>
      <c r="K116" s="67">
        <f t="shared" si="103"/>
        <v>0</v>
      </c>
      <c r="L116" s="67">
        <f t="shared" si="103"/>
        <v>0</v>
      </c>
      <c r="M116" s="67">
        <f t="shared" si="103"/>
        <v>0</v>
      </c>
      <c r="N116" s="66">
        <f t="shared" si="103"/>
        <v>0</v>
      </c>
      <c r="O116" s="67">
        <f t="shared" si="103"/>
        <v>0</v>
      </c>
      <c r="P116" s="67">
        <f t="shared" si="103"/>
        <v>0</v>
      </c>
      <c r="Q116" s="68">
        <f t="shared" si="103"/>
        <v>0</v>
      </c>
      <c r="R116" s="66">
        <f t="shared" si="103"/>
        <v>0</v>
      </c>
      <c r="S116" s="67">
        <f t="shared" si="103"/>
        <v>3.2224178032246704E-2</v>
      </c>
      <c r="T116" s="67">
        <f t="shared" si="103"/>
        <v>0.25657684387720303</v>
      </c>
      <c r="U116" s="67">
        <f t="shared" si="103"/>
        <v>0.27749474450786094</v>
      </c>
      <c r="V116" s="67">
        <f t="shared" si="103"/>
        <v>0.28422364424343649</v>
      </c>
      <c r="W116" s="68">
        <f t="shared" si="103"/>
        <v>0.29111571136343128</v>
      </c>
      <c r="X116" s="66">
        <f t="shared" si="103"/>
        <v>0.42955469620569814</v>
      </c>
      <c r="Y116" s="67">
        <f t="shared" si="103"/>
        <v>0.39979256056294177</v>
      </c>
      <c r="Z116" s="67">
        <f t="shared" si="103"/>
        <v>0.36833445705458512</v>
      </c>
      <c r="AA116" s="67">
        <f t="shared" si="103"/>
        <v>0.3351156356773477</v>
      </c>
      <c r="AB116" s="68">
        <f t="shared" si="103"/>
        <v>0.30006920344711424</v>
      </c>
    </row>
    <row r="117" spans="1:28" ht="12.3" x14ac:dyDescent="0.35">
      <c r="D117" s="15" t="str">
        <f t="shared" si="95"/>
        <v>Metering - Non-Network IT &amp; Communications</v>
      </c>
      <c r="E117" s="52" t="s">
        <v>111</v>
      </c>
      <c r="F117" s="52" t="str">
        <f t="shared" si="96"/>
        <v>Dollars</v>
      </c>
      <c r="G117" s="52" t="str">
        <f t="shared" si="97"/>
        <v>Nominal</v>
      </c>
      <c r="H117" s="52" t="str">
        <f t="shared" si="98"/>
        <v>End_year</v>
      </c>
      <c r="J117" s="66">
        <f t="shared" ref="J117:AB117" si="104">J23+J41+J60+J79+J98</f>
        <v>0</v>
      </c>
      <c r="K117" s="67">
        <f t="shared" si="104"/>
        <v>0</v>
      </c>
      <c r="L117" s="67">
        <f t="shared" si="104"/>
        <v>0</v>
      </c>
      <c r="M117" s="67">
        <f t="shared" si="104"/>
        <v>0</v>
      </c>
      <c r="N117" s="66">
        <f t="shared" si="104"/>
        <v>0</v>
      </c>
      <c r="O117" s="67">
        <f t="shared" si="104"/>
        <v>0</v>
      </c>
      <c r="P117" s="67">
        <f t="shared" si="104"/>
        <v>0</v>
      </c>
      <c r="Q117" s="68">
        <f t="shared" si="104"/>
        <v>0</v>
      </c>
      <c r="R117" s="66">
        <f t="shared" si="104"/>
        <v>0</v>
      </c>
      <c r="S117" s="67">
        <f t="shared" si="104"/>
        <v>0</v>
      </c>
      <c r="T117" s="67">
        <f t="shared" si="104"/>
        <v>0</v>
      </c>
      <c r="U117" s="67">
        <f t="shared" si="104"/>
        <v>0</v>
      </c>
      <c r="V117" s="67">
        <f t="shared" si="104"/>
        <v>0</v>
      </c>
      <c r="W117" s="68">
        <f t="shared" si="104"/>
        <v>0</v>
      </c>
      <c r="X117" s="66">
        <f t="shared" si="104"/>
        <v>0.12277680039416948</v>
      </c>
      <c r="Y117" s="67">
        <f t="shared" si="104"/>
        <v>0.11317858552103917</v>
      </c>
      <c r="Z117" s="67">
        <f t="shared" si="104"/>
        <v>0.10304268831920063</v>
      </c>
      <c r="AA117" s="67">
        <f t="shared" si="104"/>
        <v>9.2348676310362948E-2</v>
      </c>
      <c r="AB117" s="68">
        <f t="shared" si="104"/>
        <v>8.1075442250388235E-2</v>
      </c>
    </row>
    <row r="118" spans="1:28" ht="12.3" x14ac:dyDescent="0.35">
      <c r="D118" s="15" t="str">
        <f t="shared" si="95"/>
        <v>Fleet leases</v>
      </c>
      <c r="E118" s="52" t="s">
        <v>111</v>
      </c>
      <c r="F118" s="52" t="str">
        <f t="shared" si="96"/>
        <v>Dollars</v>
      </c>
      <c r="G118" s="52" t="str">
        <f t="shared" si="97"/>
        <v>Nominal</v>
      </c>
      <c r="H118" s="52" t="str">
        <f t="shared" si="98"/>
        <v>End_year</v>
      </c>
      <c r="J118" s="66">
        <f t="shared" ref="J118:AB118" si="105">J24+J42+J61+J80+J99</f>
        <v>0</v>
      </c>
      <c r="K118" s="67">
        <f t="shared" si="105"/>
        <v>0</v>
      </c>
      <c r="L118" s="67">
        <f t="shared" si="105"/>
        <v>0</v>
      </c>
      <c r="M118" s="67">
        <f t="shared" si="105"/>
        <v>0</v>
      </c>
      <c r="N118" s="66">
        <f t="shared" si="105"/>
        <v>0</v>
      </c>
      <c r="O118" s="67">
        <f t="shared" si="105"/>
        <v>0</v>
      </c>
      <c r="P118" s="67">
        <f t="shared" si="105"/>
        <v>0</v>
      </c>
      <c r="Q118" s="68">
        <f t="shared" si="105"/>
        <v>0</v>
      </c>
      <c r="R118" s="66">
        <f t="shared" si="105"/>
        <v>0</v>
      </c>
      <c r="S118" s="67">
        <f t="shared" si="105"/>
        <v>0</v>
      </c>
      <c r="T118" s="67">
        <f t="shared" si="105"/>
        <v>0</v>
      </c>
      <c r="U118" s="67">
        <f t="shared" si="105"/>
        <v>0</v>
      </c>
      <c r="V118" s="67">
        <f t="shared" si="105"/>
        <v>0</v>
      </c>
      <c r="W118" s="68">
        <f t="shared" si="105"/>
        <v>0</v>
      </c>
      <c r="X118" s="66">
        <f t="shared" si="105"/>
        <v>0.43678710451686259</v>
      </c>
      <c r="Y118" s="67">
        <f t="shared" si="105"/>
        <v>0.46229416712222376</v>
      </c>
      <c r="Z118" s="67">
        <f t="shared" si="105"/>
        <v>0.41577682966803486</v>
      </c>
      <c r="AA118" s="67">
        <f t="shared" si="105"/>
        <v>0.51089612235349169</v>
      </c>
      <c r="AB118" s="68">
        <f t="shared" si="105"/>
        <v>0.509084072112164</v>
      </c>
    </row>
    <row r="119" spans="1:28" ht="12.3" x14ac:dyDescent="0.35">
      <c r="D119" s="15" t="str">
        <f t="shared" si="95"/>
        <v>[Spare]</v>
      </c>
      <c r="E119" s="52" t="s">
        <v>111</v>
      </c>
      <c r="F119" s="52" t="str">
        <f t="shared" si="96"/>
        <v>Dollars</v>
      </c>
      <c r="G119" s="52" t="str">
        <f t="shared" si="97"/>
        <v>Nominal</v>
      </c>
      <c r="H119" s="52" t="str">
        <f t="shared" si="98"/>
        <v>End_year</v>
      </c>
      <c r="J119" s="66">
        <f t="shared" ref="J119:AB119" si="106">J25+J43+J62+J81+J100</f>
        <v>0</v>
      </c>
      <c r="K119" s="67">
        <f t="shared" si="106"/>
        <v>0</v>
      </c>
      <c r="L119" s="67">
        <f t="shared" si="106"/>
        <v>0</v>
      </c>
      <c r="M119" s="67">
        <f t="shared" si="106"/>
        <v>0</v>
      </c>
      <c r="N119" s="66">
        <f t="shared" si="106"/>
        <v>0</v>
      </c>
      <c r="O119" s="67">
        <f t="shared" si="106"/>
        <v>0</v>
      </c>
      <c r="P119" s="67">
        <f t="shared" si="106"/>
        <v>0</v>
      </c>
      <c r="Q119" s="68">
        <f t="shared" si="106"/>
        <v>0</v>
      </c>
      <c r="R119" s="66">
        <f t="shared" si="106"/>
        <v>0</v>
      </c>
      <c r="S119" s="67">
        <f t="shared" si="106"/>
        <v>0</v>
      </c>
      <c r="T119" s="67">
        <f t="shared" si="106"/>
        <v>0</v>
      </c>
      <c r="U119" s="67">
        <f t="shared" si="106"/>
        <v>0</v>
      </c>
      <c r="V119" s="67">
        <f t="shared" si="106"/>
        <v>0</v>
      </c>
      <c r="W119" s="68">
        <f t="shared" si="106"/>
        <v>0</v>
      </c>
      <c r="X119" s="66">
        <f t="shared" si="106"/>
        <v>0</v>
      </c>
      <c r="Y119" s="67">
        <f t="shared" si="106"/>
        <v>0</v>
      </c>
      <c r="Z119" s="67">
        <f t="shared" si="106"/>
        <v>0</v>
      </c>
      <c r="AA119" s="67">
        <f t="shared" si="106"/>
        <v>0</v>
      </c>
      <c r="AB119" s="68">
        <f t="shared" si="106"/>
        <v>0</v>
      </c>
    </row>
    <row r="120" spans="1:28" ht="12.3" x14ac:dyDescent="0.35">
      <c r="D120" s="15" t="str">
        <f t="shared" si="95"/>
        <v>Equity Raising Costs</v>
      </c>
      <c r="E120" s="52" t="s">
        <v>111</v>
      </c>
      <c r="F120" s="52" t="str">
        <f t="shared" si="96"/>
        <v>Dollars</v>
      </c>
      <c r="G120" s="52" t="str">
        <f t="shared" si="97"/>
        <v>Nominal</v>
      </c>
      <c r="H120" s="52" t="str">
        <f t="shared" si="98"/>
        <v>End_year</v>
      </c>
      <c r="J120" s="66">
        <f t="shared" ref="J120:AB120" si="107">J26+J44+J63+J82+J101</f>
        <v>0</v>
      </c>
      <c r="K120" s="67">
        <f t="shared" si="107"/>
        <v>0</v>
      </c>
      <c r="L120" s="67">
        <f t="shared" si="107"/>
        <v>0</v>
      </c>
      <c r="M120" s="67">
        <f t="shared" si="107"/>
        <v>0</v>
      </c>
      <c r="N120" s="66">
        <f t="shared" si="107"/>
        <v>0</v>
      </c>
      <c r="O120" s="67">
        <f t="shared" si="107"/>
        <v>0</v>
      </c>
      <c r="P120" s="67">
        <f t="shared" si="107"/>
        <v>0</v>
      </c>
      <c r="Q120" s="68">
        <f t="shared" si="107"/>
        <v>0</v>
      </c>
      <c r="R120" s="66">
        <f t="shared" si="107"/>
        <v>0</v>
      </c>
      <c r="S120" s="67">
        <f t="shared" si="107"/>
        <v>0</v>
      </c>
      <c r="T120" s="67">
        <f t="shared" si="107"/>
        <v>0</v>
      </c>
      <c r="U120" s="67">
        <f t="shared" si="107"/>
        <v>0</v>
      </c>
      <c r="V120" s="67">
        <f t="shared" si="107"/>
        <v>0</v>
      </c>
      <c r="W120" s="68">
        <f t="shared" si="107"/>
        <v>0</v>
      </c>
      <c r="X120" s="66">
        <f t="shared" si="107"/>
        <v>0.16620313098234032</v>
      </c>
      <c r="Y120" s="67">
        <f t="shared" si="107"/>
        <v>0.13618667886845484</v>
      </c>
      <c r="Z120" s="67">
        <f t="shared" si="107"/>
        <v>0.1046167763484607</v>
      </c>
      <c r="AA120" s="67">
        <f t="shared" si="107"/>
        <v>7.1435734697112979E-2</v>
      </c>
      <c r="AB120" s="68">
        <f t="shared" si="107"/>
        <v>3.6583980862105271E-2</v>
      </c>
    </row>
    <row r="121" spans="1:28" x14ac:dyDescent="0.35">
      <c r="J121" s="56"/>
      <c r="K121" s="57"/>
      <c r="L121" s="57"/>
      <c r="M121" s="57"/>
      <c r="N121" s="56"/>
      <c r="O121" s="57"/>
      <c r="P121" s="57"/>
      <c r="Q121" s="58"/>
      <c r="R121" s="56"/>
      <c r="S121" s="57"/>
      <c r="T121" s="57"/>
      <c r="U121" s="57"/>
      <c r="V121" s="57"/>
      <c r="W121" s="58"/>
      <c r="X121" s="56"/>
      <c r="Y121" s="57"/>
      <c r="Z121" s="57"/>
      <c r="AA121" s="57"/>
      <c r="AB121" s="58"/>
    </row>
    <row r="122" spans="1:28" ht="12.3" x14ac:dyDescent="0.35">
      <c r="D122" s="51" t="str">
        <f>"Total "&amp;D110</f>
        <v>Total RAB Asset Class</v>
      </c>
      <c r="E122" s="47" t="s">
        <v>111</v>
      </c>
      <c r="F122" s="47" t="str">
        <f>F112</f>
        <v>Dollars</v>
      </c>
      <c r="G122" s="47" t="str">
        <f>G112</f>
        <v>Nominal</v>
      </c>
      <c r="H122" s="47" t="str">
        <f>H112</f>
        <v>End_year</v>
      </c>
      <c r="J122" s="62">
        <f t="shared" ref="J122:AB122" si="108">SUM(J112:J120)</f>
        <v>3.8278948849313323</v>
      </c>
      <c r="K122" s="46">
        <f t="shared" si="108"/>
        <v>3.9633825068773603</v>
      </c>
      <c r="L122" s="46">
        <f t="shared" si="108"/>
        <v>4.5970500391445173</v>
      </c>
      <c r="M122" s="46">
        <f t="shared" si="108"/>
        <v>5.2388595084861889</v>
      </c>
      <c r="N122" s="62">
        <f t="shared" si="108"/>
        <v>5.920632861034365</v>
      </c>
      <c r="O122" s="46">
        <f t="shared" si="108"/>
        <v>6.3964429547187533</v>
      </c>
      <c r="P122" s="46">
        <f t="shared" si="108"/>
        <v>6.8622081731067848</v>
      </c>
      <c r="Q122" s="63">
        <f t="shared" si="108"/>
        <v>7.6107652191467547</v>
      </c>
      <c r="R122" s="62">
        <f t="shared" si="108"/>
        <v>7.5059720809877994</v>
      </c>
      <c r="S122" s="46">
        <f t="shared" si="108"/>
        <v>8.4542270143843634</v>
      </c>
      <c r="T122" s="46">
        <f t="shared" si="108"/>
        <v>10.425813642022687</v>
      </c>
      <c r="U122" s="46">
        <f t="shared" si="108"/>
        <v>12.334464389141095</v>
      </c>
      <c r="V122" s="46">
        <f t="shared" si="108"/>
        <v>12.96510036520907</v>
      </c>
      <c r="W122" s="63">
        <f t="shared" si="108"/>
        <v>15.760726287349343</v>
      </c>
      <c r="X122" s="62">
        <f t="shared" si="108"/>
        <v>22.883257457975656</v>
      </c>
      <c r="Y122" s="46">
        <f t="shared" si="108"/>
        <v>25.721192681815516</v>
      </c>
      <c r="Z122" s="46">
        <f t="shared" si="108"/>
        <v>28.448342575302394</v>
      </c>
      <c r="AA122" s="46">
        <f t="shared" si="108"/>
        <v>35.136174900090033</v>
      </c>
      <c r="AB122" s="63">
        <f t="shared" si="108"/>
        <v>37.18390119017279</v>
      </c>
    </row>
    <row r="123" spans="1:28" s="6" customFormat="1" ht="11.25" customHeight="1" x14ac:dyDescent="0.35">
      <c r="R123" s="376"/>
    </row>
    <row r="124" spans="1:28" s="6" customFormat="1" ht="11.25" customHeight="1" x14ac:dyDescent="0.35">
      <c r="A124" s="49">
        <f>IF(SUM($J124:$AB124)&lt;&gt;0,1,0)</f>
        <v>0</v>
      </c>
      <c r="D124" s="15" t="s">
        <v>206</v>
      </c>
      <c r="J124" s="70">
        <f t="shared" ref="J124:N124" si="109">IF(ISERROR(J122),1,0)</f>
        <v>0</v>
      </c>
      <c r="K124" s="70">
        <f t="shared" si="109"/>
        <v>0</v>
      </c>
      <c r="L124" s="70">
        <f t="shared" si="109"/>
        <v>0</v>
      </c>
      <c r="M124" s="70">
        <f t="shared" si="109"/>
        <v>0</v>
      </c>
      <c r="N124" s="70">
        <f t="shared" si="109"/>
        <v>0</v>
      </c>
      <c r="O124" s="70">
        <f>IF(ISERROR(O122),1,0)</f>
        <v>0</v>
      </c>
      <c r="P124" s="70">
        <f t="shared" ref="P124:S124" si="110">IF(ISERROR(P122),1,0)</f>
        <v>0</v>
      </c>
      <c r="Q124" s="70">
        <f t="shared" si="110"/>
        <v>0</v>
      </c>
      <c r="R124" s="70">
        <f t="shared" si="110"/>
        <v>0</v>
      </c>
      <c r="S124" s="70">
        <f t="shared" si="110"/>
        <v>0</v>
      </c>
      <c r="T124" s="70">
        <f>IF(ISERROR(T122),1,0)</f>
        <v>0</v>
      </c>
      <c r="U124" s="70">
        <f t="shared" ref="U124:X124" si="111">IF(ISERROR(U122),1,0)</f>
        <v>0</v>
      </c>
      <c r="V124" s="70">
        <f t="shared" si="111"/>
        <v>0</v>
      </c>
      <c r="W124" s="70">
        <f t="shared" si="111"/>
        <v>0</v>
      </c>
      <c r="X124" s="70">
        <f t="shared" si="111"/>
        <v>0</v>
      </c>
      <c r="Y124" s="70">
        <f>IF(ISERROR(Y122),1,0)</f>
        <v>0</v>
      </c>
      <c r="Z124" s="70">
        <f t="shared" ref="Z124:AB124" si="112">IF(ISERROR(Z122),1,0)</f>
        <v>0</v>
      </c>
      <c r="AA124" s="70">
        <f t="shared" si="112"/>
        <v>0</v>
      </c>
      <c r="AB124" s="70">
        <f t="shared" si="112"/>
        <v>0</v>
      </c>
    </row>
    <row r="126" spans="1:28" s="13" customFormat="1" ht="14.1" x14ac:dyDescent="0.35">
      <c r="C126" s="109" t="s">
        <v>479</v>
      </c>
    </row>
    <row r="127" spans="1:28" s="6" customFormat="1" ht="11.25" customHeight="1" x14ac:dyDescent="0.35"/>
    <row r="128" spans="1:28" ht="12.3" x14ac:dyDescent="0.35">
      <c r="D128" s="50" t="str">
        <f>D$16</f>
        <v>RAB Asset Class</v>
      </c>
      <c r="E128" s="45" t="str">
        <f>Lookup!E$20</f>
        <v>Source</v>
      </c>
      <c r="F128" s="45" t="str">
        <f>Lookup!F$20</f>
        <v>Unit</v>
      </c>
      <c r="G128" s="45" t="str">
        <f>Lookup!G$20</f>
        <v>Basis</v>
      </c>
      <c r="H128" s="45" t="str">
        <f>Lookup!H$20</f>
        <v>Timing</v>
      </c>
      <c r="J128" s="54" t="str">
        <f>J$10</f>
        <v>RY06</v>
      </c>
      <c r="K128" s="45" t="str">
        <f t="shared" ref="K128:AB128" si="113">K$10</f>
        <v>RY07</v>
      </c>
      <c r="L128" s="45" t="str">
        <f t="shared" si="113"/>
        <v>RY08</v>
      </c>
      <c r="M128" s="345" t="str">
        <f t="shared" si="113"/>
        <v>RY09</v>
      </c>
      <c r="N128" s="54" t="str">
        <f t="shared" si="113"/>
        <v>RY10</v>
      </c>
      <c r="O128" s="45" t="str">
        <f>O$10</f>
        <v>RY11</v>
      </c>
      <c r="P128" s="45" t="str">
        <f t="shared" si="113"/>
        <v>RY12</v>
      </c>
      <c r="Q128" s="346" t="str">
        <f t="shared" si="113"/>
        <v>RY13</v>
      </c>
      <c r="R128" s="54" t="str">
        <f t="shared" si="113"/>
        <v>RY14</v>
      </c>
      <c r="S128" s="45" t="str">
        <f t="shared" si="113"/>
        <v>RY15</v>
      </c>
      <c r="T128" s="45" t="str">
        <f>T$10</f>
        <v>RY16</v>
      </c>
      <c r="U128" s="45" t="str">
        <f t="shared" si="113"/>
        <v>RY17</v>
      </c>
      <c r="V128" s="45" t="str">
        <f t="shared" si="113"/>
        <v>RY18</v>
      </c>
      <c r="W128" s="346" t="str">
        <f t="shared" si="113"/>
        <v>RY19</v>
      </c>
      <c r="X128" s="54" t="str">
        <f t="shared" si="113"/>
        <v>RY20</v>
      </c>
      <c r="Y128" s="45" t="str">
        <f>Y$10</f>
        <v>RY21</v>
      </c>
      <c r="Z128" s="45" t="str">
        <f t="shared" si="113"/>
        <v>RY22</v>
      </c>
      <c r="AA128" s="45" t="str">
        <f t="shared" si="113"/>
        <v>RY23</v>
      </c>
      <c r="AB128" s="55" t="str">
        <f t="shared" si="113"/>
        <v>RY24</v>
      </c>
    </row>
    <row r="129" spans="1:28" x14ac:dyDescent="0.35">
      <c r="J129" s="56"/>
      <c r="K129" s="57"/>
      <c r="L129" s="57"/>
      <c r="M129" s="57"/>
      <c r="N129" s="56"/>
      <c r="O129" s="57"/>
      <c r="P129" s="57"/>
      <c r="Q129" s="58"/>
      <c r="R129" s="56"/>
      <c r="S129" s="57"/>
      <c r="T129" s="57"/>
      <c r="U129" s="57"/>
      <c r="V129" s="57"/>
      <c r="W129" s="58"/>
      <c r="X129" s="56"/>
      <c r="Y129" s="57"/>
      <c r="Z129" s="57"/>
      <c r="AA129" s="57"/>
      <c r="AB129" s="58"/>
    </row>
    <row r="130" spans="1:28" ht="12.3" x14ac:dyDescent="0.35">
      <c r="D130" s="15" t="str">
        <f t="shared" ref="D130:D138" si="114">D18</f>
        <v>Mechanical meters - General</v>
      </c>
      <c r="E130" s="52" t="s">
        <v>210</v>
      </c>
      <c r="F130" s="52" t="str">
        <f t="shared" ref="F130:F138" si="115">Dollars</f>
        <v>Dollars</v>
      </c>
      <c r="G130" s="52" t="str">
        <f t="shared" ref="G130:G138" si="116">Nominal</f>
        <v>Nominal</v>
      </c>
      <c r="H130" s="52" t="str">
        <f t="shared" ref="H130:H138" si="117">End_year</f>
        <v>End_year</v>
      </c>
      <c r="J130" s="355"/>
      <c r="K130" s="356"/>
      <c r="L130" s="356"/>
      <c r="M130" s="357"/>
      <c r="N130" s="358"/>
      <c r="O130" s="356"/>
      <c r="P130" s="356"/>
      <c r="Q130" s="359"/>
      <c r="R130" s="64">
        <v>0</v>
      </c>
      <c r="S130" s="372">
        <v>0</v>
      </c>
      <c r="T130" s="60">
        <v>0</v>
      </c>
      <c r="U130" s="60">
        <v>0</v>
      </c>
      <c r="V130" s="60">
        <v>0</v>
      </c>
      <c r="W130" s="61">
        <f>('[2]Total RAB roll forward'!L248+'[2]Total RAB roll forward'!L280+'[2]Total RAB roll forward'!L312)/'[2]RAB roll forward'!$L$7*W$174</f>
        <v>1.0292845177022818</v>
      </c>
      <c r="X130" s="59">
        <v>0</v>
      </c>
      <c r="Y130" s="60">
        <v>0</v>
      </c>
      <c r="Z130" s="60">
        <v>0</v>
      </c>
      <c r="AA130" s="60">
        <v>0</v>
      </c>
      <c r="AB130" s="61">
        <v>0</v>
      </c>
    </row>
    <row r="131" spans="1:28" ht="12.3" x14ac:dyDescent="0.35">
      <c r="D131" s="15" t="str">
        <f t="shared" si="114"/>
        <v>Electronic Meters</v>
      </c>
      <c r="E131" s="52" t="s">
        <v>210</v>
      </c>
      <c r="F131" s="52" t="str">
        <f t="shared" si="115"/>
        <v>Dollars</v>
      </c>
      <c r="G131" s="52" t="str">
        <f t="shared" si="116"/>
        <v>Nominal</v>
      </c>
      <c r="H131" s="52" t="str">
        <f t="shared" si="117"/>
        <v>End_year</v>
      </c>
      <c r="J131" s="355"/>
      <c r="K131" s="356"/>
      <c r="L131" s="356"/>
      <c r="M131" s="357"/>
      <c r="N131" s="358"/>
      <c r="O131" s="356"/>
      <c r="P131" s="356"/>
      <c r="Q131" s="359"/>
      <c r="R131" s="64">
        <v>0</v>
      </c>
      <c r="S131" s="372">
        <v>0</v>
      </c>
      <c r="T131" s="60">
        <v>0</v>
      </c>
      <c r="U131" s="60">
        <v>0</v>
      </c>
      <c r="V131" s="60">
        <v>0</v>
      </c>
      <c r="W131" s="61">
        <f>('[2]Total RAB roll forward'!L249+'[2]Total RAB roll forward'!L281+'[2]Total RAB roll forward'!L313)/'[2]RAB roll forward'!$L$7*W$174</f>
        <v>-0.44537591711066071</v>
      </c>
      <c r="X131" s="59">
        <v>0</v>
      </c>
      <c r="Y131" s="60">
        <v>0</v>
      </c>
      <c r="Z131" s="60">
        <v>0</v>
      </c>
      <c r="AA131" s="60">
        <v>0</v>
      </c>
      <c r="AB131" s="61">
        <v>0</v>
      </c>
    </row>
    <row r="132" spans="1:28" ht="12.3" x14ac:dyDescent="0.35">
      <c r="D132" s="15" t="str">
        <f t="shared" si="114"/>
        <v>Metering Communications</v>
      </c>
      <c r="E132" s="52" t="s">
        <v>210</v>
      </c>
      <c r="F132" s="52" t="str">
        <f t="shared" si="115"/>
        <v>Dollars</v>
      </c>
      <c r="G132" s="52" t="str">
        <f t="shared" si="116"/>
        <v>Nominal</v>
      </c>
      <c r="H132" s="52" t="str">
        <f t="shared" si="117"/>
        <v>End_year</v>
      </c>
      <c r="J132" s="355"/>
      <c r="K132" s="356"/>
      <c r="L132" s="356"/>
      <c r="M132" s="357"/>
      <c r="N132" s="358"/>
      <c r="O132" s="356"/>
      <c r="P132" s="356"/>
      <c r="Q132" s="359"/>
      <c r="R132" s="64">
        <v>0</v>
      </c>
      <c r="S132" s="372">
        <v>0</v>
      </c>
      <c r="T132" s="60">
        <v>0</v>
      </c>
      <c r="U132" s="60">
        <v>0</v>
      </c>
      <c r="V132" s="60">
        <v>0</v>
      </c>
      <c r="W132" s="61">
        <f>('[2]Total RAB roll forward'!L250+'[2]Total RAB roll forward'!L282+'[2]Total RAB roll forward'!L314)/'[2]RAB roll forward'!$L$7*W$174</f>
        <v>0</v>
      </c>
      <c r="X132" s="59">
        <v>0</v>
      </c>
      <c r="Y132" s="60">
        <v>0</v>
      </c>
      <c r="Z132" s="60">
        <v>0</v>
      </c>
      <c r="AA132" s="60">
        <v>0</v>
      </c>
      <c r="AB132" s="61">
        <v>0</v>
      </c>
    </row>
    <row r="133" spans="1:28" ht="12.3" x14ac:dyDescent="0.35">
      <c r="D133" s="15" t="str">
        <f t="shared" si="114"/>
        <v>Metering - Dedicated CTs and VTs</v>
      </c>
      <c r="E133" s="52" t="s">
        <v>210</v>
      </c>
      <c r="F133" s="52" t="str">
        <f t="shared" si="115"/>
        <v>Dollars</v>
      </c>
      <c r="G133" s="52" t="str">
        <f t="shared" si="116"/>
        <v>Nominal</v>
      </c>
      <c r="H133" s="52" t="str">
        <f t="shared" si="117"/>
        <v>End_year</v>
      </c>
      <c r="J133" s="355"/>
      <c r="K133" s="356"/>
      <c r="L133" s="356"/>
      <c r="M133" s="357"/>
      <c r="N133" s="358"/>
      <c r="O133" s="356"/>
      <c r="P133" s="356"/>
      <c r="Q133" s="359"/>
      <c r="R133" s="64">
        <v>0</v>
      </c>
      <c r="S133" s="372">
        <v>0</v>
      </c>
      <c r="T133" s="60">
        <v>0</v>
      </c>
      <c r="U133" s="60">
        <v>0</v>
      </c>
      <c r="V133" s="60">
        <v>0</v>
      </c>
      <c r="W133" s="61">
        <f>('[2]Total RAB roll forward'!L251+'[2]Total RAB roll forward'!L283+'[2]Total RAB roll forward'!L315)/'[2]RAB roll forward'!$L$7*W$174</f>
        <v>0</v>
      </c>
      <c r="X133" s="59">
        <v>0</v>
      </c>
      <c r="Y133" s="60">
        <v>0</v>
      </c>
      <c r="Z133" s="60">
        <v>0</v>
      </c>
      <c r="AA133" s="60">
        <v>0</v>
      </c>
      <c r="AB133" s="61">
        <v>0</v>
      </c>
    </row>
    <row r="134" spans="1:28" ht="12.3" x14ac:dyDescent="0.35">
      <c r="D134" s="15" t="str">
        <f t="shared" si="114"/>
        <v>Metering - Non-Network Other</v>
      </c>
      <c r="E134" s="52" t="s">
        <v>210</v>
      </c>
      <c r="F134" s="52" t="str">
        <f t="shared" si="115"/>
        <v>Dollars</v>
      </c>
      <c r="G134" s="52" t="str">
        <f t="shared" si="116"/>
        <v>Nominal</v>
      </c>
      <c r="H134" s="52" t="str">
        <f t="shared" si="117"/>
        <v>End_year</v>
      </c>
      <c r="J134" s="355"/>
      <c r="K134" s="356"/>
      <c r="L134" s="356"/>
      <c r="M134" s="357"/>
      <c r="N134" s="358"/>
      <c r="O134" s="356"/>
      <c r="P134" s="356"/>
      <c r="Q134" s="359"/>
      <c r="R134" s="64">
        <v>0</v>
      </c>
      <c r="S134" s="372">
        <v>0</v>
      </c>
      <c r="T134" s="60">
        <v>0</v>
      </c>
      <c r="U134" s="60">
        <v>0</v>
      </c>
      <c r="V134" s="60">
        <v>0</v>
      </c>
      <c r="W134" s="61">
        <f>('[2]Total RAB roll forward'!L252+'[2]Total RAB roll forward'!L284+'[2]Total RAB roll forward'!L316)/'[2]RAB roll forward'!$L$7*W$174</f>
        <v>0.16656782361774333</v>
      </c>
      <c r="X134" s="59">
        <v>0</v>
      </c>
      <c r="Y134" s="60">
        <v>0</v>
      </c>
      <c r="Z134" s="60">
        <v>0</v>
      </c>
      <c r="AA134" s="60">
        <v>0</v>
      </c>
      <c r="AB134" s="61">
        <v>0</v>
      </c>
    </row>
    <row r="135" spans="1:28" ht="12.3" x14ac:dyDescent="0.35">
      <c r="D135" s="15" t="str">
        <f t="shared" si="114"/>
        <v>Metering - Non-Network IT &amp; Communications</v>
      </c>
      <c r="E135" s="52" t="s">
        <v>210</v>
      </c>
      <c r="F135" s="52" t="str">
        <f t="shared" si="115"/>
        <v>Dollars</v>
      </c>
      <c r="G135" s="52" t="str">
        <f t="shared" si="116"/>
        <v>Nominal</v>
      </c>
      <c r="H135" s="52" t="str">
        <f t="shared" si="117"/>
        <v>End_year</v>
      </c>
      <c r="J135" s="355"/>
      <c r="K135" s="356"/>
      <c r="L135" s="356"/>
      <c r="M135" s="357"/>
      <c r="N135" s="358"/>
      <c r="O135" s="356"/>
      <c r="P135" s="356"/>
      <c r="Q135" s="359"/>
      <c r="R135" s="64">
        <v>0</v>
      </c>
      <c r="S135" s="372">
        <v>0</v>
      </c>
      <c r="T135" s="60">
        <v>0</v>
      </c>
      <c r="U135" s="60">
        <v>0</v>
      </c>
      <c r="V135" s="60">
        <v>0</v>
      </c>
      <c r="W135" s="61">
        <f>('[2]Total RAB roll forward'!L253+'[2]Total RAB roll forward'!L285+'[2]Total RAB roll forward'!L317)/'[2]RAB roll forward'!$L$7*W$174</f>
        <v>0</v>
      </c>
      <c r="X135" s="59">
        <v>0</v>
      </c>
      <c r="Y135" s="60">
        <v>0</v>
      </c>
      <c r="Z135" s="60">
        <v>0</v>
      </c>
      <c r="AA135" s="60">
        <v>0</v>
      </c>
      <c r="AB135" s="61">
        <v>0</v>
      </c>
    </row>
    <row r="136" spans="1:28" ht="12.3" x14ac:dyDescent="0.35">
      <c r="D136" s="15" t="str">
        <f t="shared" si="114"/>
        <v>Fleet leases</v>
      </c>
      <c r="E136" s="52" t="s">
        <v>210</v>
      </c>
      <c r="F136" s="52" t="str">
        <f t="shared" si="115"/>
        <v>Dollars</v>
      </c>
      <c r="G136" s="52" t="str">
        <f t="shared" si="116"/>
        <v>Nominal</v>
      </c>
      <c r="H136" s="52" t="str">
        <f t="shared" si="117"/>
        <v>End_year</v>
      </c>
      <c r="J136" s="355"/>
      <c r="K136" s="356"/>
      <c r="L136" s="356"/>
      <c r="M136" s="357"/>
      <c r="N136" s="358"/>
      <c r="O136" s="356"/>
      <c r="P136" s="356"/>
      <c r="Q136" s="359"/>
      <c r="R136" s="64">
        <v>0</v>
      </c>
      <c r="S136" s="372">
        <v>0</v>
      </c>
      <c r="T136" s="60">
        <v>0</v>
      </c>
      <c r="U136" s="60">
        <v>0</v>
      </c>
      <c r="V136" s="60">
        <v>0</v>
      </c>
      <c r="W136" s="61">
        <v>0</v>
      </c>
      <c r="X136" s="59">
        <v>0</v>
      </c>
      <c r="Y136" s="60">
        <v>0</v>
      </c>
      <c r="Z136" s="60">
        <v>0</v>
      </c>
      <c r="AA136" s="60">
        <v>0</v>
      </c>
      <c r="AB136" s="61">
        <v>0</v>
      </c>
    </row>
    <row r="137" spans="1:28" ht="12.3" x14ac:dyDescent="0.35">
      <c r="D137" s="15" t="str">
        <f t="shared" si="114"/>
        <v>[Spare]</v>
      </c>
      <c r="E137" s="52" t="s">
        <v>210</v>
      </c>
      <c r="F137" s="52" t="str">
        <f t="shared" si="115"/>
        <v>Dollars</v>
      </c>
      <c r="G137" s="52" t="str">
        <f t="shared" si="116"/>
        <v>Nominal</v>
      </c>
      <c r="H137" s="52" t="str">
        <f t="shared" si="117"/>
        <v>End_year</v>
      </c>
      <c r="J137" s="355"/>
      <c r="K137" s="356"/>
      <c r="L137" s="356"/>
      <c r="M137" s="357"/>
      <c r="N137" s="358"/>
      <c r="O137" s="356"/>
      <c r="P137" s="356"/>
      <c r="Q137" s="359"/>
      <c r="R137" s="64">
        <v>0</v>
      </c>
      <c r="S137" s="372">
        <v>0</v>
      </c>
      <c r="T137" s="60">
        <v>0</v>
      </c>
      <c r="U137" s="60">
        <v>0</v>
      </c>
      <c r="V137" s="60">
        <v>0</v>
      </c>
      <c r="W137" s="61">
        <v>0</v>
      </c>
      <c r="X137" s="59">
        <v>0</v>
      </c>
      <c r="Y137" s="60">
        <v>0</v>
      </c>
      <c r="Z137" s="60">
        <v>0</v>
      </c>
      <c r="AA137" s="60">
        <v>0</v>
      </c>
      <c r="AB137" s="61">
        <v>0</v>
      </c>
    </row>
    <row r="138" spans="1:28" ht="12.3" x14ac:dyDescent="0.35">
      <c r="D138" s="15" t="str">
        <f t="shared" si="114"/>
        <v>Equity Raising Costs</v>
      </c>
      <c r="E138" s="52" t="s">
        <v>210</v>
      </c>
      <c r="F138" s="52" t="str">
        <f t="shared" si="115"/>
        <v>Dollars</v>
      </c>
      <c r="G138" s="52" t="str">
        <f t="shared" si="116"/>
        <v>Nominal</v>
      </c>
      <c r="H138" s="52" t="str">
        <f t="shared" si="117"/>
        <v>End_year</v>
      </c>
      <c r="J138" s="355"/>
      <c r="K138" s="356"/>
      <c r="L138" s="356"/>
      <c r="M138" s="357"/>
      <c r="N138" s="358"/>
      <c r="O138" s="356"/>
      <c r="P138" s="356"/>
      <c r="Q138" s="359"/>
      <c r="R138" s="64">
        <v>0</v>
      </c>
      <c r="S138" s="372">
        <v>0</v>
      </c>
      <c r="T138" s="60">
        <v>0</v>
      </c>
      <c r="U138" s="60">
        <v>0</v>
      </c>
      <c r="V138" s="60">
        <v>0</v>
      </c>
      <c r="W138" s="61">
        <v>0</v>
      </c>
      <c r="X138" s="59">
        <v>0</v>
      </c>
      <c r="Y138" s="60">
        <v>0</v>
      </c>
      <c r="Z138" s="60">
        <v>0</v>
      </c>
      <c r="AA138" s="60">
        <v>0</v>
      </c>
      <c r="AB138" s="61">
        <v>0</v>
      </c>
    </row>
    <row r="139" spans="1:28" x14ac:dyDescent="0.35">
      <c r="J139" s="56"/>
      <c r="K139" s="57"/>
      <c r="L139" s="57"/>
      <c r="M139" s="57"/>
      <c r="N139" s="56"/>
      <c r="O139" s="57"/>
      <c r="P139" s="57"/>
      <c r="Q139" s="58"/>
      <c r="R139" s="56"/>
      <c r="S139" s="57"/>
      <c r="T139" s="57"/>
      <c r="U139" s="57"/>
      <c r="V139" s="57"/>
      <c r="W139" s="58"/>
      <c r="X139" s="56"/>
      <c r="Y139" s="57"/>
      <c r="Z139" s="57"/>
      <c r="AA139" s="57"/>
      <c r="AB139" s="58"/>
    </row>
    <row r="140" spans="1:28" ht="12.3" x14ac:dyDescent="0.35">
      <c r="D140" s="51" t="str">
        <f>"Total "&amp;D128</f>
        <v>Total RAB Asset Class</v>
      </c>
      <c r="E140" s="47" t="s">
        <v>111</v>
      </c>
      <c r="F140" s="47" t="str">
        <f>F130</f>
        <v>Dollars</v>
      </c>
      <c r="G140" s="47" t="str">
        <f>G130</f>
        <v>Nominal</v>
      </c>
      <c r="H140" s="47" t="str">
        <f>H130</f>
        <v>End_year</v>
      </c>
      <c r="J140" s="62">
        <f t="shared" ref="J140:AB140" si="118">SUM(J130:J138)</f>
        <v>0</v>
      </c>
      <c r="K140" s="46">
        <f t="shared" si="118"/>
        <v>0</v>
      </c>
      <c r="L140" s="46">
        <f t="shared" si="118"/>
        <v>0</v>
      </c>
      <c r="M140" s="46">
        <f t="shared" si="118"/>
        <v>0</v>
      </c>
      <c r="N140" s="62">
        <f t="shared" si="118"/>
        <v>0</v>
      </c>
      <c r="O140" s="46">
        <f t="shared" si="118"/>
        <v>0</v>
      </c>
      <c r="P140" s="46">
        <f t="shared" si="118"/>
        <v>0</v>
      </c>
      <c r="Q140" s="63">
        <f t="shared" si="118"/>
        <v>0</v>
      </c>
      <c r="R140" s="62">
        <f t="shared" si="118"/>
        <v>0</v>
      </c>
      <c r="S140" s="46">
        <f t="shared" si="118"/>
        <v>0</v>
      </c>
      <c r="T140" s="46">
        <f t="shared" si="118"/>
        <v>0</v>
      </c>
      <c r="U140" s="46">
        <f t="shared" si="118"/>
        <v>0</v>
      </c>
      <c r="V140" s="46">
        <f t="shared" si="118"/>
        <v>0</v>
      </c>
      <c r="W140" s="63">
        <f t="shared" si="118"/>
        <v>0.75047642420936445</v>
      </c>
      <c r="X140" s="62">
        <f t="shared" si="118"/>
        <v>0</v>
      </c>
      <c r="Y140" s="46">
        <f t="shared" si="118"/>
        <v>0</v>
      </c>
      <c r="Z140" s="46">
        <f t="shared" si="118"/>
        <v>0</v>
      </c>
      <c r="AA140" s="46">
        <f t="shared" si="118"/>
        <v>0</v>
      </c>
      <c r="AB140" s="63">
        <f t="shared" si="118"/>
        <v>0</v>
      </c>
    </row>
    <row r="141" spans="1:28" s="6" customFormat="1" ht="11.25" customHeight="1" x14ac:dyDescent="0.35">
      <c r="R141" s="376"/>
    </row>
    <row r="142" spans="1:28" s="6" customFormat="1" ht="11.25" customHeight="1" x14ac:dyDescent="0.35">
      <c r="A142" s="49">
        <f>IF(SUM($J142:$AB142)&lt;&gt;0,1,0)</f>
        <v>0</v>
      </c>
      <c r="D142" s="15" t="s">
        <v>206</v>
      </c>
      <c r="J142" s="70">
        <f>IF(ISERROR(J140),1,0)</f>
        <v>0</v>
      </c>
      <c r="K142" s="70">
        <f t="shared" ref="K142:N142" si="119">IF(ISERROR(K140),1,0)</f>
        <v>0</v>
      </c>
      <c r="L142" s="70">
        <f t="shared" si="119"/>
        <v>0</v>
      </c>
      <c r="M142" s="70">
        <f t="shared" si="119"/>
        <v>0</v>
      </c>
      <c r="N142" s="70">
        <f t="shared" si="119"/>
        <v>0</v>
      </c>
      <c r="O142" s="70">
        <f>IF(ISERROR(O140),1,0)</f>
        <v>0</v>
      </c>
      <c r="P142" s="70">
        <f t="shared" ref="P142:S142" si="120">IF(ISERROR(P140),1,0)</f>
        <v>0</v>
      </c>
      <c r="Q142" s="70">
        <f t="shared" si="120"/>
        <v>0</v>
      </c>
      <c r="R142" s="70">
        <f t="shared" si="120"/>
        <v>0</v>
      </c>
      <c r="S142" s="70">
        <f t="shared" si="120"/>
        <v>0</v>
      </c>
      <c r="T142" s="70">
        <f>IF(ISERROR(T140),1,0)</f>
        <v>0</v>
      </c>
      <c r="U142" s="70">
        <f t="shared" ref="U142:X142" si="121">IF(ISERROR(U140),1,0)</f>
        <v>0</v>
      </c>
      <c r="V142" s="70">
        <f t="shared" si="121"/>
        <v>0</v>
      </c>
      <c r="W142" s="70">
        <f t="shared" si="121"/>
        <v>0</v>
      </c>
      <c r="X142" s="70">
        <f t="shared" si="121"/>
        <v>0</v>
      </c>
      <c r="Y142" s="70">
        <f>IF(ISERROR(Y140),1,0)</f>
        <v>0</v>
      </c>
      <c r="Z142" s="70">
        <f t="shared" ref="Z142:AB142" si="122">IF(ISERROR(Z140),1,0)</f>
        <v>0</v>
      </c>
      <c r="AA142" s="70">
        <f t="shared" si="122"/>
        <v>0</v>
      </c>
      <c r="AB142" s="70">
        <f t="shared" si="122"/>
        <v>0</v>
      </c>
    </row>
    <row r="143" spans="1:28" s="6" customFormat="1" ht="11.25" customHeight="1" x14ac:dyDescent="0.35">
      <c r="A143" s="49">
        <f>IF(SUM($J143:$AB143)&lt;&gt;0,1,0)</f>
        <v>0</v>
      </c>
      <c r="D143" s="84" t="s">
        <v>207</v>
      </c>
      <c r="J143" s="137" t="str">
        <f t="shared" ref="J143:Q143" si="123">NA</f>
        <v>N/A</v>
      </c>
      <c r="K143" s="130" t="str">
        <f t="shared" si="123"/>
        <v>N/A</v>
      </c>
      <c r="L143" s="130" t="str">
        <f t="shared" si="123"/>
        <v>N/A</v>
      </c>
      <c r="M143" s="138" t="str">
        <f t="shared" si="123"/>
        <v>N/A</v>
      </c>
      <c r="N143" s="86" t="str">
        <f t="shared" si="123"/>
        <v>N/A</v>
      </c>
      <c r="O143" s="86" t="str">
        <f t="shared" si="123"/>
        <v>N/A</v>
      </c>
      <c r="P143" s="86" t="str">
        <f t="shared" si="123"/>
        <v>N/A</v>
      </c>
      <c r="Q143" s="88" t="str">
        <f t="shared" si="123"/>
        <v>N/A</v>
      </c>
      <c r="R143" s="87">
        <f>IF(ROUND('[2]Total RAB roll forward'!G$233+'[2]Total RAB roll forward'!G$265+'[2]Total RAB roll forward'!H$297-Input_RAB_SCS!R196-R140,3)=0,0,1)</f>
        <v>0</v>
      </c>
      <c r="S143" s="86">
        <f>IF(ROUND('[2]Total RAB roll forward'!H$233+'[2]Total RAB roll forward'!H$265+'[2]Total RAB roll forward'!I$297-Input_RAB_SCS!S196-S140,3)=0,0,1)</f>
        <v>0</v>
      </c>
      <c r="T143" s="86">
        <f>IF(ROUND('[2]Total RAB roll forward'!I$233+'[2]Total RAB roll forward'!I$265+'[2]Total RAB roll forward'!J$297-Input_RAB_SCS!T196-T140,3)=0,0,1)</f>
        <v>0</v>
      </c>
      <c r="U143" s="86">
        <f>IF(ROUND('[2]Total RAB roll forward'!J$233+'[2]Total RAB roll forward'!J$265+'[2]Total RAB roll forward'!K$297-Input_RAB_SCS!U196-U140,3)=0,0,1)</f>
        <v>0</v>
      </c>
      <c r="V143" s="86">
        <f>IF(ROUND('[2]Total RAB roll forward'!K$233+'[2]Total RAB roll forward'!K$265+'[2]Total RAB roll forward'!L$297-Input_RAB_SCS!V196-V140,3)=0,0,1)</f>
        <v>0</v>
      </c>
      <c r="W143" s="88">
        <f>IF(ROUND('[2]Total RAB roll forward'!L$233+'[2]Total RAB roll forward'!L$265+'[2]Total RAB roll forward'!M$297-Input_RAB_SCS!W196-W140,3)=0,0,1)</f>
        <v>0</v>
      </c>
      <c r="X143" s="137" t="str">
        <f>NA</f>
        <v>N/A</v>
      </c>
      <c r="Y143" s="130" t="str">
        <f>NA</f>
        <v>N/A</v>
      </c>
      <c r="Z143" s="130" t="str">
        <f>NA</f>
        <v>N/A</v>
      </c>
      <c r="AA143" s="130" t="str">
        <f>NA</f>
        <v>N/A</v>
      </c>
      <c r="AB143" s="138" t="str">
        <f>NA</f>
        <v>N/A</v>
      </c>
    </row>
    <row r="145" spans="3:28" s="13" customFormat="1" ht="14.1" x14ac:dyDescent="0.35">
      <c r="C145" s="13" t="s">
        <v>211</v>
      </c>
    </row>
    <row r="146" spans="3:28" s="6" customFormat="1" ht="11.25" customHeight="1" x14ac:dyDescent="0.35"/>
    <row r="147" spans="3:28" ht="12.3" x14ac:dyDescent="0.35">
      <c r="D147" s="50" t="str">
        <f>D$16</f>
        <v>RAB Asset Class</v>
      </c>
      <c r="E147" s="45" t="str">
        <f>Lookup!E$20</f>
        <v>Source</v>
      </c>
      <c r="F147" s="45" t="str">
        <f>Lookup!F$20</f>
        <v>Unit</v>
      </c>
      <c r="G147" s="45" t="str">
        <f>Lookup!G$20</f>
        <v>Basis</v>
      </c>
      <c r="H147" s="45" t="str">
        <f>Lookup!H$20</f>
        <v>Timing</v>
      </c>
      <c r="J147" s="54" t="str">
        <f>J$10</f>
        <v>RY06</v>
      </c>
      <c r="K147" s="45" t="str">
        <f t="shared" ref="K147:AB147" si="124">K$10</f>
        <v>RY07</v>
      </c>
      <c r="L147" s="45" t="str">
        <f t="shared" si="124"/>
        <v>RY08</v>
      </c>
      <c r="M147" s="45" t="str">
        <f t="shared" si="124"/>
        <v>RY09</v>
      </c>
      <c r="N147" s="54" t="str">
        <f t="shared" si="124"/>
        <v>RY10</v>
      </c>
      <c r="O147" s="45" t="str">
        <f>O$10</f>
        <v>RY11</v>
      </c>
      <c r="P147" s="45" t="str">
        <f t="shared" si="124"/>
        <v>RY12</v>
      </c>
      <c r="Q147" s="55" t="str">
        <f t="shared" si="124"/>
        <v>RY13</v>
      </c>
      <c r="R147" s="54" t="str">
        <f t="shared" si="124"/>
        <v>RY14</v>
      </c>
      <c r="S147" s="45" t="str">
        <f t="shared" si="124"/>
        <v>RY15</v>
      </c>
      <c r="T147" s="45" t="str">
        <f>T$10</f>
        <v>RY16</v>
      </c>
      <c r="U147" s="45" t="str">
        <f t="shared" si="124"/>
        <v>RY17</v>
      </c>
      <c r="V147" s="45" t="str">
        <f t="shared" si="124"/>
        <v>RY18</v>
      </c>
      <c r="W147" s="55" t="str">
        <f t="shared" si="124"/>
        <v>RY19</v>
      </c>
      <c r="X147" s="54" t="str">
        <f t="shared" si="124"/>
        <v>RY20</v>
      </c>
      <c r="Y147" s="45" t="str">
        <f>Y$10</f>
        <v>RY21</v>
      </c>
      <c r="Z147" s="45" t="str">
        <f t="shared" si="124"/>
        <v>RY22</v>
      </c>
      <c r="AA147" s="45" t="str">
        <f t="shared" si="124"/>
        <v>RY23</v>
      </c>
      <c r="AB147" s="55" t="str">
        <f t="shared" si="124"/>
        <v>RY24</v>
      </c>
    </row>
    <row r="148" spans="3:28" x14ac:dyDescent="0.35">
      <c r="J148" s="56"/>
      <c r="K148" s="57"/>
      <c r="L148" s="57"/>
      <c r="M148" s="57"/>
      <c r="N148" s="56"/>
      <c r="O148" s="57"/>
      <c r="P148" s="57"/>
      <c r="Q148" s="58"/>
      <c r="R148" s="56"/>
      <c r="S148" s="57"/>
      <c r="T148" s="57"/>
      <c r="U148" s="57"/>
      <c r="V148" s="57"/>
      <c r="W148" s="58"/>
      <c r="X148" s="56"/>
      <c r="Y148" s="57"/>
      <c r="Z148" s="57"/>
      <c r="AA148" s="57"/>
      <c r="AB148" s="58"/>
    </row>
    <row r="149" spans="3:28" ht="12.3" x14ac:dyDescent="0.35">
      <c r="D149" s="15" t="str">
        <f t="shared" ref="D149:D157" si="125">D18</f>
        <v>Mechanical meters - General</v>
      </c>
      <c r="E149" s="52" t="s">
        <v>111</v>
      </c>
      <c r="F149" s="52" t="str">
        <f t="shared" ref="F149:F157" si="126">Dollars</f>
        <v>Dollars</v>
      </c>
      <c r="G149" s="52" t="str">
        <f t="shared" ref="G149:G157" si="127">Nominal</f>
        <v>Nominal</v>
      </c>
      <c r="H149" s="52" t="str">
        <f t="shared" ref="H149:H157" si="128">End_year</f>
        <v>End_year</v>
      </c>
      <c r="J149" s="66">
        <f t="shared" ref="J149:P149" si="129">K18</f>
        <v>0.91452970375209763</v>
      </c>
      <c r="K149" s="67">
        <f t="shared" si="129"/>
        <v>0.97761416734929307</v>
      </c>
      <c r="L149" s="67">
        <f t="shared" si="129"/>
        <v>1.4837142301446968</v>
      </c>
      <c r="M149" s="67">
        <f t="shared" si="129"/>
        <v>2.0496727716923524</v>
      </c>
      <c r="N149" s="66">
        <f t="shared" si="129"/>
        <v>2.6383563492206012</v>
      </c>
      <c r="O149" s="67">
        <f t="shared" si="129"/>
        <v>3.0072855901043312</v>
      </c>
      <c r="P149" s="67">
        <f t="shared" si="129"/>
        <v>3.4178864973694418</v>
      </c>
      <c r="Q149" s="68">
        <f>R18</f>
        <v>4.0802493072798489</v>
      </c>
      <c r="R149" s="66">
        <f t="shared" ref="R149:AB149" si="130">R112+R130</f>
        <v>4.0240680801536897</v>
      </c>
      <c r="S149" s="67">
        <f t="shared" si="130"/>
        <v>5.4687320149032015</v>
      </c>
      <c r="T149" s="67">
        <f t="shared" si="130"/>
        <v>7.805312355979571</v>
      </c>
      <c r="U149" s="67">
        <f t="shared" si="130"/>
        <v>10.333956453831531</v>
      </c>
      <c r="V149" s="67">
        <f t="shared" si="130"/>
        <v>9.6673038066240409</v>
      </c>
      <c r="W149" s="68">
        <f t="shared" si="130"/>
        <v>9.8956834615465468</v>
      </c>
      <c r="X149" s="66">
        <f t="shared" si="130"/>
        <v>9.5214930439810015</v>
      </c>
      <c r="Y149" s="67">
        <f t="shared" si="130"/>
        <v>9.1233366504007432</v>
      </c>
      <c r="Z149" s="67">
        <f t="shared" si="130"/>
        <v>8.7002720156537166</v>
      </c>
      <c r="AA149" s="67">
        <f t="shared" si="130"/>
        <v>8.2513252691250027</v>
      </c>
      <c r="AB149" s="68">
        <f t="shared" si="130"/>
        <v>7.7754899560046162</v>
      </c>
    </row>
    <row r="150" spans="3:28" ht="12.3" x14ac:dyDescent="0.35">
      <c r="D150" s="15" t="str">
        <f t="shared" si="125"/>
        <v>Electronic Meters</v>
      </c>
      <c r="E150" s="52" t="s">
        <v>111</v>
      </c>
      <c r="F150" s="52" t="str">
        <f t="shared" si="126"/>
        <v>Dollars</v>
      </c>
      <c r="G150" s="52" t="str">
        <f t="shared" si="127"/>
        <v>Nominal</v>
      </c>
      <c r="H150" s="52" t="str">
        <f t="shared" si="128"/>
        <v>End_year</v>
      </c>
      <c r="J150" s="66">
        <f t="shared" ref="J150:Q150" si="131">K19</f>
        <v>2.9133651811792345</v>
      </c>
      <c r="K150" s="67">
        <f t="shared" si="131"/>
        <v>2.9857683395280672</v>
      </c>
      <c r="L150" s="67">
        <f t="shared" si="131"/>
        <v>3.1133358089998207</v>
      </c>
      <c r="M150" s="67">
        <f t="shared" si="131"/>
        <v>3.1891867367938365</v>
      </c>
      <c r="N150" s="66">
        <f t="shared" si="131"/>
        <v>3.2822765118137642</v>
      </c>
      <c r="O150" s="67">
        <f t="shared" si="131"/>
        <v>3.3891573646144222</v>
      </c>
      <c r="P150" s="67">
        <f t="shared" si="131"/>
        <v>3.4443216757373429</v>
      </c>
      <c r="Q150" s="68">
        <f t="shared" si="131"/>
        <v>3.5305159118669058</v>
      </c>
      <c r="R150" s="66">
        <f t="shared" ref="R150:AB150" si="132">R113+R131</f>
        <v>3.4819040008341102</v>
      </c>
      <c r="S150" s="67">
        <f t="shared" si="132"/>
        <v>2.9532708214489163</v>
      </c>
      <c r="T150" s="67">
        <f t="shared" si="132"/>
        <v>2.3639244421659118</v>
      </c>
      <c r="U150" s="67">
        <f t="shared" si="132"/>
        <v>1.7230131908017026</v>
      </c>
      <c r="V150" s="67">
        <f t="shared" si="132"/>
        <v>2.9037276109771581</v>
      </c>
      <c r="W150" s="68">
        <f t="shared" si="132"/>
        <v>5.9325888946022358</v>
      </c>
      <c r="X150" s="66">
        <f t="shared" si="132"/>
        <v>8.8440442886951551</v>
      </c>
      <c r="Y150" s="67">
        <f t="shared" si="132"/>
        <v>11.945250284083034</v>
      </c>
      <c r="Z150" s="67">
        <f t="shared" si="132"/>
        <v>15.04568188762474</v>
      </c>
      <c r="AA150" s="67">
        <f t="shared" si="132"/>
        <v>17.529515618079582</v>
      </c>
      <c r="AB150" s="68">
        <f t="shared" si="132"/>
        <v>20.20572205353335</v>
      </c>
    </row>
    <row r="151" spans="3:28" ht="12.3" x14ac:dyDescent="0.35">
      <c r="D151" s="15" t="str">
        <f t="shared" si="125"/>
        <v>Metering Communications</v>
      </c>
      <c r="E151" s="52" t="s">
        <v>111</v>
      </c>
      <c r="F151" s="52" t="str">
        <f t="shared" si="126"/>
        <v>Dollars</v>
      </c>
      <c r="G151" s="52" t="str">
        <f t="shared" si="127"/>
        <v>Nominal</v>
      </c>
      <c r="H151" s="52" t="str">
        <f t="shared" si="128"/>
        <v>End_year</v>
      </c>
      <c r="J151" s="66">
        <f t="shared" ref="J151:Q151" si="133">K20</f>
        <v>0</v>
      </c>
      <c r="K151" s="67">
        <f t="shared" si="133"/>
        <v>0</v>
      </c>
      <c r="L151" s="67">
        <f t="shared" si="133"/>
        <v>0</v>
      </c>
      <c r="M151" s="67">
        <f t="shared" si="133"/>
        <v>0</v>
      </c>
      <c r="N151" s="66">
        <f t="shared" si="133"/>
        <v>0</v>
      </c>
      <c r="O151" s="67">
        <f t="shared" si="133"/>
        <v>0</v>
      </c>
      <c r="P151" s="67">
        <f t="shared" si="133"/>
        <v>0</v>
      </c>
      <c r="Q151" s="68">
        <f t="shared" si="133"/>
        <v>0</v>
      </c>
      <c r="R151" s="66">
        <f t="shared" ref="R151:AB151" si="134">R114+R132</f>
        <v>0</v>
      </c>
      <c r="S151" s="67">
        <f t="shared" si="134"/>
        <v>0</v>
      </c>
      <c r="T151" s="67">
        <f t="shared" si="134"/>
        <v>0</v>
      </c>
      <c r="U151" s="67">
        <f t="shared" si="134"/>
        <v>0</v>
      </c>
      <c r="V151" s="67">
        <f t="shared" si="134"/>
        <v>0</v>
      </c>
      <c r="W151" s="68">
        <f t="shared" si="134"/>
        <v>0</v>
      </c>
      <c r="X151" s="66">
        <f t="shared" si="134"/>
        <v>3.0240180560711871</v>
      </c>
      <c r="Y151" s="67">
        <f t="shared" si="134"/>
        <v>3.0846894307407582</v>
      </c>
      <c r="Z151" s="67">
        <f t="shared" si="134"/>
        <v>3.1385288398725515</v>
      </c>
      <c r="AA151" s="67">
        <f t="shared" si="134"/>
        <v>7.6690558271448932</v>
      </c>
      <c r="AB151" s="68">
        <f t="shared" si="134"/>
        <v>7.488836948657287</v>
      </c>
    </row>
    <row r="152" spans="3:28" ht="12.3" x14ac:dyDescent="0.35">
      <c r="D152" s="15" t="str">
        <f t="shared" si="125"/>
        <v>Metering - Dedicated CTs and VTs</v>
      </c>
      <c r="E152" s="52" t="s">
        <v>111</v>
      </c>
      <c r="F152" s="52" t="str">
        <f t="shared" si="126"/>
        <v>Dollars</v>
      </c>
      <c r="G152" s="52" t="str">
        <f t="shared" si="127"/>
        <v>Nominal</v>
      </c>
      <c r="H152" s="52" t="str">
        <f t="shared" si="128"/>
        <v>End_year</v>
      </c>
      <c r="J152" s="66">
        <f t="shared" ref="J152:Q152" si="135">K21</f>
        <v>0</v>
      </c>
      <c r="K152" s="67">
        <f t="shared" si="135"/>
        <v>0</v>
      </c>
      <c r="L152" s="67">
        <f t="shared" si="135"/>
        <v>0</v>
      </c>
      <c r="M152" s="67">
        <f t="shared" si="135"/>
        <v>0</v>
      </c>
      <c r="N152" s="66">
        <f t="shared" si="135"/>
        <v>0</v>
      </c>
      <c r="O152" s="67">
        <f t="shared" si="135"/>
        <v>0</v>
      </c>
      <c r="P152" s="67">
        <f t="shared" si="135"/>
        <v>0</v>
      </c>
      <c r="Q152" s="68">
        <f t="shared" si="135"/>
        <v>0</v>
      </c>
      <c r="R152" s="66">
        <f t="shared" ref="R152:AB152" si="136">R115+R133</f>
        <v>0</v>
      </c>
      <c r="S152" s="67">
        <f t="shared" si="136"/>
        <v>0</v>
      </c>
      <c r="T152" s="67">
        <f t="shared" si="136"/>
        <v>0</v>
      </c>
      <c r="U152" s="67">
        <f t="shared" si="136"/>
        <v>0</v>
      </c>
      <c r="V152" s="67">
        <f t="shared" si="136"/>
        <v>0.10984530336443404</v>
      </c>
      <c r="W152" s="68">
        <f t="shared" si="136"/>
        <v>0.22524682042874938</v>
      </c>
      <c r="X152" s="66">
        <f t="shared" si="136"/>
        <v>0.33838033712924115</v>
      </c>
      <c r="Y152" s="67">
        <f t="shared" si="136"/>
        <v>0.45646432451632235</v>
      </c>
      <c r="Z152" s="67">
        <f t="shared" si="136"/>
        <v>0.57208908076110965</v>
      </c>
      <c r="AA152" s="67">
        <f t="shared" si="136"/>
        <v>0.67648201670223429</v>
      </c>
      <c r="AB152" s="68">
        <f t="shared" si="136"/>
        <v>0.78703953330576626</v>
      </c>
    </row>
    <row r="153" spans="3:28" ht="12.3" x14ac:dyDescent="0.35">
      <c r="D153" s="15" t="str">
        <f t="shared" si="125"/>
        <v>Metering - Non-Network Other</v>
      </c>
      <c r="E153" s="52" t="s">
        <v>111</v>
      </c>
      <c r="F153" s="52" t="str">
        <f t="shared" si="126"/>
        <v>Dollars</v>
      </c>
      <c r="G153" s="52" t="str">
        <f t="shared" si="127"/>
        <v>Nominal</v>
      </c>
      <c r="H153" s="52" t="str">
        <f t="shared" si="128"/>
        <v>End_year</v>
      </c>
      <c r="J153" s="66">
        <f t="shared" ref="J153:Q153" si="137">K22</f>
        <v>0</v>
      </c>
      <c r="K153" s="67">
        <f t="shared" si="137"/>
        <v>0</v>
      </c>
      <c r="L153" s="67">
        <f t="shared" si="137"/>
        <v>0</v>
      </c>
      <c r="M153" s="67">
        <f t="shared" si="137"/>
        <v>0</v>
      </c>
      <c r="N153" s="66">
        <f t="shared" si="137"/>
        <v>0</v>
      </c>
      <c r="O153" s="67">
        <f t="shared" si="137"/>
        <v>0</v>
      </c>
      <c r="P153" s="67">
        <f t="shared" si="137"/>
        <v>0</v>
      </c>
      <c r="Q153" s="68">
        <f t="shared" si="137"/>
        <v>0</v>
      </c>
      <c r="R153" s="66">
        <f t="shared" ref="R153:AB153" si="138">R116+R134</f>
        <v>0</v>
      </c>
      <c r="S153" s="67">
        <f t="shared" si="138"/>
        <v>3.2224178032246704E-2</v>
      </c>
      <c r="T153" s="67">
        <f t="shared" si="138"/>
        <v>0.25657684387720303</v>
      </c>
      <c r="U153" s="67">
        <f t="shared" si="138"/>
        <v>0.27749474450786094</v>
      </c>
      <c r="V153" s="67">
        <f t="shared" si="138"/>
        <v>0.28422364424343649</v>
      </c>
      <c r="W153" s="68">
        <f t="shared" si="138"/>
        <v>0.45768353498117464</v>
      </c>
      <c r="X153" s="66">
        <f t="shared" si="138"/>
        <v>0.42955469620569814</v>
      </c>
      <c r="Y153" s="67">
        <f t="shared" si="138"/>
        <v>0.39979256056294177</v>
      </c>
      <c r="Z153" s="67">
        <f t="shared" si="138"/>
        <v>0.36833445705458512</v>
      </c>
      <c r="AA153" s="67">
        <f t="shared" si="138"/>
        <v>0.3351156356773477</v>
      </c>
      <c r="AB153" s="68">
        <f t="shared" si="138"/>
        <v>0.30006920344711424</v>
      </c>
    </row>
    <row r="154" spans="3:28" ht="12.3" x14ac:dyDescent="0.35">
      <c r="D154" s="15" t="str">
        <f t="shared" si="125"/>
        <v>Metering - Non-Network IT &amp; Communications</v>
      </c>
      <c r="E154" s="52" t="s">
        <v>111</v>
      </c>
      <c r="F154" s="52" t="str">
        <f t="shared" si="126"/>
        <v>Dollars</v>
      </c>
      <c r="G154" s="52" t="str">
        <f t="shared" si="127"/>
        <v>Nominal</v>
      </c>
      <c r="H154" s="52" t="str">
        <f t="shared" si="128"/>
        <v>End_year</v>
      </c>
      <c r="J154" s="66">
        <f t="shared" ref="J154:Q154" si="139">K23</f>
        <v>0</v>
      </c>
      <c r="K154" s="67">
        <f t="shared" si="139"/>
        <v>0</v>
      </c>
      <c r="L154" s="67">
        <f t="shared" si="139"/>
        <v>0</v>
      </c>
      <c r="M154" s="67">
        <f t="shared" si="139"/>
        <v>0</v>
      </c>
      <c r="N154" s="66">
        <f t="shared" si="139"/>
        <v>0</v>
      </c>
      <c r="O154" s="67">
        <f t="shared" si="139"/>
        <v>0</v>
      </c>
      <c r="P154" s="67">
        <f t="shared" si="139"/>
        <v>0</v>
      </c>
      <c r="Q154" s="68">
        <f t="shared" si="139"/>
        <v>0</v>
      </c>
      <c r="R154" s="66">
        <f t="shared" ref="R154:AB154" si="140">R117+R135</f>
        <v>0</v>
      </c>
      <c r="S154" s="67">
        <f t="shared" si="140"/>
        <v>0</v>
      </c>
      <c r="T154" s="67">
        <f t="shared" si="140"/>
        <v>0</v>
      </c>
      <c r="U154" s="67">
        <f t="shared" si="140"/>
        <v>0</v>
      </c>
      <c r="V154" s="67">
        <f t="shared" si="140"/>
        <v>0</v>
      </c>
      <c r="W154" s="68">
        <f t="shared" si="140"/>
        <v>0</v>
      </c>
      <c r="X154" s="66">
        <f t="shared" si="140"/>
        <v>0.12277680039416948</v>
      </c>
      <c r="Y154" s="67">
        <f t="shared" si="140"/>
        <v>0.11317858552103917</v>
      </c>
      <c r="Z154" s="67">
        <f t="shared" si="140"/>
        <v>0.10304268831920063</v>
      </c>
      <c r="AA154" s="67">
        <f t="shared" si="140"/>
        <v>9.2348676310362948E-2</v>
      </c>
      <c r="AB154" s="68">
        <f t="shared" si="140"/>
        <v>8.1075442250388235E-2</v>
      </c>
    </row>
    <row r="155" spans="3:28" ht="12.3" x14ac:dyDescent="0.35">
      <c r="D155" s="15" t="str">
        <f t="shared" si="125"/>
        <v>Fleet leases</v>
      </c>
      <c r="E155" s="52" t="s">
        <v>111</v>
      </c>
      <c r="F155" s="52" t="str">
        <f t="shared" si="126"/>
        <v>Dollars</v>
      </c>
      <c r="G155" s="52" t="str">
        <f t="shared" si="127"/>
        <v>Nominal</v>
      </c>
      <c r="H155" s="52" t="str">
        <f t="shared" si="128"/>
        <v>End_year</v>
      </c>
      <c r="J155" s="66">
        <f t="shared" ref="J155:Q155" si="141">K24</f>
        <v>0</v>
      </c>
      <c r="K155" s="67">
        <f t="shared" si="141"/>
        <v>0</v>
      </c>
      <c r="L155" s="67">
        <f t="shared" si="141"/>
        <v>0</v>
      </c>
      <c r="M155" s="67">
        <f t="shared" si="141"/>
        <v>0</v>
      </c>
      <c r="N155" s="66">
        <f t="shared" si="141"/>
        <v>0</v>
      </c>
      <c r="O155" s="67">
        <f t="shared" si="141"/>
        <v>0</v>
      </c>
      <c r="P155" s="67">
        <f t="shared" si="141"/>
        <v>0</v>
      </c>
      <c r="Q155" s="68">
        <f t="shared" si="141"/>
        <v>0</v>
      </c>
      <c r="R155" s="66">
        <f t="shared" ref="R155:AB155" si="142">R118+R136</f>
        <v>0</v>
      </c>
      <c r="S155" s="67">
        <f t="shared" si="142"/>
        <v>0</v>
      </c>
      <c r="T155" s="67">
        <f t="shared" si="142"/>
        <v>0</v>
      </c>
      <c r="U155" s="67">
        <f t="shared" si="142"/>
        <v>0</v>
      </c>
      <c r="V155" s="67">
        <f t="shared" si="142"/>
        <v>0</v>
      </c>
      <c r="W155" s="68">
        <f t="shared" si="142"/>
        <v>0</v>
      </c>
      <c r="X155" s="66">
        <f t="shared" si="142"/>
        <v>0.43678710451686259</v>
      </c>
      <c r="Y155" s="67">
        <f t="shared" si="142"/>
        <v>0.46229416712222376</v>
      </c>
      <c r="Z155" s="67">
        <f t="shared" si="142"/>
        <v>0.41577682966803486</v>
      </c>
      <c r="AA155" s="67">
        <f t="shared" si="142"/>
        <v>0.51089612235349169</v>
      </c>
      <c r="AB155" s="68">
        <f t="shared" si="142"/>
        <v>0.509084072112164</v>
      </c>
    </row>
    <row r="156" spans="3:28" ht="12.3" x14ac:dyDescent="0.35">
      <c r="D156" s="15" t="str">
        <f t="shared" si="125"/>
        <v>[Spare]</v>
      </c>
      <c r="E156" s="52" t="s">
        <v>111</v>
      </c>
      <c r="F156" s="52" t="str">
        <f t="shared" si="126"/>
        <v>Dollars</v>
      </c>
      <c r="G156" s="52" t="str">
        <f t="shared" si="127"/>
        <v>Nominal</v>
      </c>
      <c r="H156" s="52" t="str">
        <f t="shared" si="128"/>
        <v>End_year</v>
      </c>
      <c r="J156" s="66">
        <f t="shared" ref="J156:Q156" si="143">K25</f>
        <v>0</v>
      </c>
      <c r="K156" s="67">
        <f t="shared" si="143"/>
        <v>0</v>
      </c>
      <c r="L156" s="67">
        <f t="shared" si="143"/>
        <v>0</v>
      </c>
      <c r="M156" s="67">
        <f t="shared" si="143"/>
        <v>0</v>
      </c>
      <c r="N156" s="66">
        <f t="shared" si="143"/>
        <v>0</v>
      </c>
      <c r="O156" s="67">
        <f t="shared" si="143"/>
        <v>0</v>
      </c>
      <c r="P156" s="67">
        <f t="shared" si="143"/>
        <v>0</v>
      </c>
      <c r="Q156" s="68">
        <f t="shared" si="143"/>
        <v>0</v>
      </c>
      <c r="R156" s="66">
        <f t="shared" ref="R156:AB156" si="144">R119+R137</f>
        <v>0</v>
      </c>
      <c r="S156" s="67">
        <f t="shared" si="144"/>
        <v>0</v>
      </c>
      <c r="T156" s="67">
        <f t="shared" si="144"/>
        <v>0</v>
      </c>
      <c r="U156" s="67">
        <f t="shared" si="144"/>
        <v>0</v>
      </c>
      <c r="V156" s="67">
        <f t="shared" si="144"/>
        <v>0</v>
      </c>
      <c r="W156" s="68">
        <f t="shared" si="144"/>
        <v>0</v>
      </c>
      <c r="X156" s="66">
        <f t="shared" si="144"/>
        <v>0</v>
      </c>
      <c r="Y156" s="67">
        <f t="shared" si="144"/>
        <v>0</v>
      </c>
      <c r="Z156" s="67">
        <f t="shared" si="144"/>
        <v>0</v>
      </c>
      <c r="AA156" s="67">
        <f t="shared" si="144"/>
        <v>0</v>
      </c>
      <c r="AB156" s="68">
        <f t="shared" si="144"/>
        <v>0</v>
      </c>
    </row>
    <row r="157" spans="3:28" ht="12.3" x14ac:dyDescent="0.35">
      <c r="D157" s="15" t="str">
        <f t="shared" si="125"/>
        <v>Equity Raising Costs</v>
      </c>
      <c r="E157" s="52" t="s">
        <v>111</v>
      </c>
      <c r="F157" s="52" t="str">
        <f t="shared" si="126"/>
        <v>Dollars</v>
      </c>
      <c r="G157" s="52" t="str">
        <f t="shared" si="127"/>
        <v>Nominal</v>
      </c>
      <c r="H157" s="52" t="str">
        <f t="shared" si="128"/>
        <v>End_year</v>
      </c>
      <c r="J157" s="66">
        <f t="shared" ref="J157:Q157" si="145">K26</f>
        <v>0</v>
      </c>
      <c r="K157" s="67">
        <f t="shared" si="145"/>
        <v>0</v>
      </c>
      <c r="L157" s="67">
        <f t="shared" si="145"/>
        <v>0</v>
      </c>
      <c r="M157" s="67">
        <f t="shared" si="145"/>
        <v>0</v>
      </c>
      <c r="N157" s="66">
        <f t="shared" si="145"/>
        <v>0</v>
      </c>
      <c r="O157" s="67">
        <f t="shared" si="145"/>
        <v>0</v>
      </c>
      <c r="P157" s="67">
        <f t="shared" si="145"/>
        <v>0</v>
      </c>
      <c r="Q157" s="68">
        <f t="shared" si="145"/>
        <v>0</v>
      </c>
      <c r="R157" s="66">
        <f t="shared" ref="R157:AB157" si="146">R120+R138</f>
        <v>0</v>
      </c>
      <c r="S157" s="67">
        <f t="shared" si="146"/>
        <v>0</v>
      </c>
      <c r="T157" s="67">
        <f t="shared" si="146"/>
        <v>0</v>
      </c>
      <c r="U157" s="67">
        <f t="shared" si="146"/>
        <v>0</v>
      </c>
      <c r="V157" s="67">
        <f t="shared" si="146"/>
        <v>0</v>
      </c>
      <c r="W157" s="68">
        <f t="shared" si="146"/>
        <v>0</v>
      </c>
      <c r="X157" s="66">
        <f t="shared" si="146"/>
        <v>0.16620313098234032</v>
      </c>
      <c r="Y157" s="67">
        <f t="shared" si="146"/>
        <v>0.13618667886845484</v>
      </c>
      <c r="Z157" s="67">
        <f t="shared" si="146"/>
        <v>0.1046167763484607</v>
      </c>
      <c r="AA157" s="67">
        <f t="shared" si="146"/>
        <v>7.1435734697112979E-2</v>
      </c>
      <c r="AB157" s="68">
        <f t="shared" si="146"/>
        <v>3.6583980862105271E-2</v>
      </c>
    </row>
    <row r="158" spans="3:28" x14ac:dyDescent="0.35">
      <c r="J158" s="56"/>
      <c r="K158" s="57"/>
      <c r="L158" s="57"/>
      <c r="M158" s="57"/>
      <c r="N158" s="56"/>
      <c r="O158" s="57"/>
      <c r="P158" s="57"/>
      <c r="Q158" s="58"/>
      <c r="R158" s="56"/>
      <c r="S158" s="57"/>
      <c r="T158" s="57"/>
      <c r="U158" s="57"/>
      <c r="V158" s="57"/>
      <c r="W158" s="58"/>
      <c r="X158" s="56"/>
      <c r="Y158" s="57"/>
      <c r="Z158" s="57"/>
      <c r="AA158" s="57"/>
      <c r="AB158" s="58"/>
    </row>
    <row r="159" spans="3:28" ht="12.3" x14ac:dyDescent="0.35">
      <c r="D159" s="51" t="str">
        <f>"Total "&amp;D147</f>
        <v>Total RAB Asset Class</v>
      </c>
      <c r="E159" s="47" t="s">
        <v>111</v>
      </c>
      <c r="F159" s="47" t="str">
        <f>F149</f>
        <v>Dollars</v>
      </c>
      <c r="G159" s="47" t="str">
        <f>G149</f>
        <v>Nominal</v>
      </c>
      <c r="H159" s="47" t="str">
        <f>H149</f>
        <v>End_year</v>
      </c>
      <c r="J159" s="62">
        <f t="shared" ref="J159:AB159" si="147">SUM(J149:J157)</f>
        <v>3.8278948849313323</v>
      </c>
      <c r="K159" s="46">
        <f t="shared" si="147"/>
        <v>3.9633825068773603</v>
      </c>
      <c r="L159" s="46">
        <f t="shared" si="147"/>
        <v>4.5970500391445173</v>
      </c>
      <c r="M159" s="141">
        <f t="shared" si="147"/>
        <v>5.2388595084861889</v>
      </c>
      <c r="N159" s="62">
        <f t="shared" si="147"/>
        <v>5.920632861034365</v>
      </c>
      <c r="O159" s="46">
        <f t="shared" si="147"/>
        <v>6.3964429547187533</v>
      </c>
      <c r="P159" s="46">
        <f t="shared" si="147"/>
        <v>6.8622081731067848</v>
      </c>
      <c r="Q159" s="63">
        <f t="shared" si="147"/>
        <v>7.6107652191467547</v>
      </c>
      <c r="R159" s="62">
        <f t="shared" si="147"/>
        <v>7.5059720809877994</v>
      </c>
      <c r="S159" s="46">
        <f t="shared" si="147"/>
        <v>8.4542270143843634</v>
      </c>
      <c r="T159" s="46">
        <f t="shared" si="147"/>
        <v>10.425813642022687</v>
      </c>
      <c r="U159" s="46">
        <f t="shared" si="147"/>
        <v>12.334464389141095</v>
      </c>
      <c r="V159" s="46">
        <f t="shared" si="147"/>
        <v>12.96510036520907</v>
      </c>
      <c r="W159" s="63">
        <f t="shared" si="147"/>
        <v>16.51120271155871</v>
      </c>
      <c r="X159" s="62">
        <f t="shared" si="147"/>
        <v>22.883257457975656</v>
      </c>
      <c r="Y159" s="46">
        <f t="shared" si="147"/>
        <v>25.721192681815516</v>
      </c>
      <c r="Z159" s="46">
        <f t="shared" si="147"/>
        <v>28.448342575302394</v>
      </c>
      <c r="AA159" s="46">
        <f t="shared" si="147"/>
        <v>35.136174900090033</v>
      </c>
      <c r="AB159" s="63">
        <f t="shared" si="147"/>
        <v>37.18390119017279</v>
      </c>
    </row>
    <row r="160" spans="3:28" s="6" customFormat="1" ht="11.25" customHeight="1" x14ac:dyDescent="0.35">
      <c r="R160" s="376"/>
    </row>
    <row r="161" spans="1:28" s="6" customFormat="1" ht="11.25" customHeight="1" x14ac:dyDescent="0.35">
      <c r="A161" s="49">
        <f>IF(SUM($J161:$AB161)&lt;&gt;0,1,0)</f>
        <v>0</v>
      </c>
      <c r="D161" s="15" t="s">
        <v>206</v>
      </c>
      <c r="J161" s="70">
        <f>IF(ROUND(SUM(J28,J46,J65,J84,J103,J140)-J159,5)&lt;&gt;0,1,0)</f>
        <v>0</v>
      </c>
      <c r="K161" s="70">
        <f t="shared" ref="K161:AB161" si="148">IF(ROUND(SUM(K28,K46,K65,K84,K103,K140)-K159,5)&lt;&gt;0,1,0)</f>
        <v>0</v>
      </c>
      <c r="L161" s="70">
        <f t="shared" si="148"/>
        <v>0</v>
      </c>
      <c r="M161" s="70">
        <f t="shared" si="148"/>
        <v>0</v>
      </c>
      <c r="N161" s="70">
        <f t="shared" si="148"/>
        <v>0</v>
      </c>
      <c r="O161" s="70">
        <f t="shared" si="148"/>
        <v>0</v>
      </c>
      <c r="P161" s="70">
        <f t="shared" si="148"/>
        <v>0</v>
      </c>
      <c r="Q161" s="70">
        <f t="shared" si="148"/>
        <v>0</v>
      </c>
      <c r="R161" s="70">
        <f t="shared" si="148"/>
        <v>0</v>
      </c>
      <c r="S161" s="70">
        <f t="shared" si="148"/>
        <v>0</v>
      </c>
      <c r="T161" s="70">
        <f t="shared" si="148"/>
        <v>0</v>
      </c>
      <c r="U161" s="70">
        <f t="shared" si="148"/>
        <v>0</v>
      </c>
      <c r="V161" s="70">
        <f t="shared" si="148"/>
        <v>0</v>
      </c>
      <c r="W161" s="70">
        <f t="shared" si="148"/>
        <v>0</v>
      </c>
      <c r="X161" s="70">
        <f t="shared" si="148"/>
        <v>0</v>
      </c>
      <c r="Y161" s="70">
        <f t="shared" si="148"/>
        <v>0</v>
      </c>
      <c r="Z161" s="70">
        <f t="shared" si="148"/>
        <v>0</v>
      </c>
      <c r="AA161" s="70">
        <f t="shared" si="148"/>
        <v>0</v>
      </c>
      <c r="AB161" s="70">
        <f t="shared" si="148"/>
        <v>0</v>
      </c>
    </row>
    <row r="162" spans="1:28" s="85" customFormat="1" ht="11.25" customHeight="1" x14ac:dyDescent="0.35">
      <c r="A162" s="83">
        <f>IF(SUM($J162:$AB162)&lt;&gt;0,1,0)</f>
        <v>0</v>
      </c>
      <c r="D162" s="84" t="s">
        <v>207</v>
      </c>
      <c r="J162" s="137" t="str">
        <f t="shared" ref="J162:Q162" si="149">NA</f>
        <v>N/A</v>
      </c>
      <c r="K162" s="130" t="str">
        <f t="shared" si="149"/>
        <v>N/A</v>
      </c>
      <c r="L162" s="130" t="str">
        <f t="shared" si="149"/>
        <v>N/A</v>
      </c>
      <c r="M162" s="138" t="str">
        <f t="shared" si="149"/>
        <v>N/A</v>
      </c>
      <c r="N162" s="137" t="str">
        <f t="shared" si="149"/>
        <v>N/A</v>
      </c>
      <c r="O162" s="130" t="str">
        <f t="shared" si="149"/>
        <v>N/A</v>
      </c>
      <c r="P162" s="130" t="str">
        <f t="shared" si="149"/>
        <v>N/A</v>
      </c>
      <c r="Q162" s="138" t="str">
        <f t="shared" si="149"/>
        <v>N/A</v>
      </c>
      <c r="R162" s="137">
        <f>IF(ROUND(SUM('[2]Total RAB roll forward'!G$216:G$222)+SUM('[2]Total RAB roll forward'!G$248:G$254)+SUM('[2]Total RAB roll forward'!G$280:G$286)+SUM('[2]Total RAB roll forward'!G$312:G$318)-R159,2)&lt;&gt;0,1,0)</f>
        <v>0</v>
      </c>
      <c r="S162" s="130">
        <f>IF(ROUND(SUM('[2]Total RAB roll forward'!H$216:H$222)+SUM('[2]Total RAB roll forward'!H$248:H$254)+SUM('[2]Total RAB roll forward'!H$280:H$286)+SUM('[2]Total RAB roll forward'!H$312:H$318)-S159,2)&lt;&gt;0,1,0)</f>
        <v>0</v>
      </c>
      <c r="T162" s="130">
        <f>IF(ROUND(SUM('[2]Total RAB roll forward'!I$216:I$222)+SUM('[2]Total RAB roll forward'!I$248:I$254)+SUM('[2]Total RAB roll forward'!I$280:I$286)+SUM('[2]Total RAB roll forward'!I$312:I$318)-T159,2)&lt;&gt;0,1,0)</f>
        <v>0</v>
      </c>
      <c r="U162" s="130">
        <f>IF(ROUND(SUM('[2]Total RAB roll forward'!J$216:J$222)+SUM('[2]Total RAB roll forward'!J$248:J$254)+SUM('[2]Total RAB roll forward'!J$280:J$286)+SUM('[2]Total RAB roll forward'!J$312:J$318)-U159,2)&lt;&gt;0,1,0)</f>
        <v>0</v>
      </c>
      <c r="V162" s="130">
        <f>IF(ROUND(SUM('[2]Total RAB roll forward'!K$216:K$222)+SUM('[2]Total RAB roll forward'!K$248:K$254)+SUM('[2]Total RAB roll forward'!K$280:K$286)+SUM('[2]Total RAB roll forward'!K$312:K$318)-V159,2)&lt;&gt;0,1,0)</f>
        <v>0</v>
      </c>
      <c r="W162" s="138">
        <f>IF(ROUND(SUM('[2]Total RAB roll forward'!L$216:L$222)+SUM('[2]Total RAB roll forward'!L$248:L$254)+SUM('[2]Total RAB roll forward'!L$280:L$286)+SUM('[2]Total RAB roll forward'!L$312:L$318)-W159,2)&lt;&gt;0,1,0)</f>
        <v>0</v>
      </c>
      <c r="X162" s="137">
        <f>IF(ROUND([7]Assets!G878-X159,1)&lt;&gt;0,1,0)</f>
        <v>0</v>
      </c>
      <c r="Y162" s="130">
        <f>IF(ROUND([7]Assets!H878-Y159,1)&lt;&gt;0,1,0)</f>
        <v>0</v>
      </c>
      <c r="Z162" s="130">
        <f>IF(ROUND([7]Assets!I878-Z159,1)&lt;&gt;0,1,0)</f>
        <v>0</v>
      </c>
      <c r="AA162" s="130">
        <f>IF(ROUND([7]Assets!J878-AA159,1)&lt;&gt;0,1,0)</f>
        <v>0</v>
      </c>
      <c r="AB162" s="138">
        <f>IF(ROUND([7]Assets!K878-AB159,1)&lt;&gt;0,1,0)</f>
        <v>0</v>
      </c>
    </row>
    <row r="163" spans="1:28" s="6" customFormat="1" ht="11.25" customHeight="1" x14ac:dyDescent="0.35">
      <c r="A163" s="49">
        <f>IF(SUM($J163:$AB163)&lt;&gt;0,1,0)</f>
        <v>0</v>
      </c>
      <c r="D163" s="15" t="s">
        <v>477</v>
      </c>
      <c r="J163" s="70">
        <f>IF(COUNTIF(J149:J157,"&lt;"&amp;0)&gt;0,1,0)</f>
        <v>0</v>
      </c>
      <c r="K163" s="70">
        <f t="shared" ref="K163:AB163" si="150">IF(COUNTIF(K149:K157,"&lt;"&amp;0)&gt;0,1,0)</f>
        <v>0</v>
      </c>
      <c r="L163" s="70">
        <f t="shared" si="150"/>
        <v>0</v>
      </c>
      <c r="M163" s="70">
        <f t="shared" si="150"/>
        <v>0</v>
      </c>
      <c r="N163" s="70">
        <f t="shared" si="150"/>
        <v>0</v>
      </c>
      <c r="O163" s="70">
        <f t="shared" si="150"/>
        <v>0</v>
      </c>
      <c r="P163" s="70">
        <f t="shared" si="150"/>
        <v>0</v>
      </c>
      <c r="Q163" s="70">
        <f t="shared" si="150"/>
        <v>0</v>
      </c>
      <c r="R163" s="70">
        <f t="shared" si="150"/>
        <v>0</v>
      </c>
      <c r="S163" s="70">
        <f t="shared" si="150"/>
        <v>0</v>
      </c>
      <c r="T163" s="70">
        <f t="shared" si="150"/>
        <v>0</v>
      </c>
      <c r="U163" s="70">
        <f t="shared" si="150"/>
        <v>0</v>
      </c>
      <c r="V163" s="70">
        <f t="shared" si="150"/>
        <v>0</v>
      </c>
      <c r="W163" s="70">
        <f t="shared" si="150"/>
        <v>0</v>
      </c>
      <c r="X163" s="70">
        <f t="shared" si="150"/>
        <v>0</v>
      </c>
      <c r="Y163" s="70">
        <f t="shared" si="150"/>
        <v>0</v>
      </c>
      <c r="Z163" s="70">
        <f t="shared" si="150"/>
        <v>0</v>
      </c>
      <c r="AA163" s="70">
        <f t="shared" si="150"/>
        <v>0</v>
      </c>
      <c r="AB163" s="70">
        <f t="shared" si="150"/>
        <v>0</v>
      </c>
    </row>
    <row r="165" spans="1:28" s="107" customFormat="1" ht="15" x14ac:dyDescent="0.35">
      <c r="B165" s="107" t="s">
        <v>462</v>
      </c>
      <c r="H165" s="4"/>
    </row>
    <row r="166" spans="1:28" s="96" customFormat="1" x14ac:dyDescent="0.35">
      <c r="H166" s="7"/>
    </row>
    <row r="167" spans="1:28" s="96" customFormat="1" ht="12.3" x14ac:dyDescent="0.35">
      <c r="D167" s="110" t="s">
        <v>463</v>
      </c>
      <c r="E167" s="111" t="str">
        <f>Lookup!E$20</f>
        <v>Source</v>
      </c>
      <c r="F167" s="111" t="str">
        <f>Lookup!F$20</f>
        <v>Unit</v>
      </c>
      <c r="G167" s="111" t="str">
        <f>Lookup!G$20</f>
        <v>Basis</v>
      </c>
      <c r="H167" s="45" t="str">
        <f>Lookup!H$20</f>
        <v>Timing</v>
      </c>
      <c r="J167" s="112" t="str">
        <f>J$10</f>
        <v>RY06</v>
      </c>
      <c r="K167" s="111" t="str">
        <f t="shared" ref="K167:AB167" si="151">K$10</f>
        <v>RY07</v>
      </c>
      <c r="L167" s="111" t="str">
        <f t="shared" si="151"/>
        <v>RY08</v>
      </c>
      <c r="M167" s="111" t="str">
        <f t="shared" si="151"/>
        <v>RY09</v>
      </c>
      <c r="N167" s="112" t="str">
        <f t="shared" si="151"/>
        <v>RY10</v>
      </c>
      <c r="O167" s="111" t="str">
        <f>O$10</f>
        <v>RY11</v>
      </c>
      <c r="P167" s="111" t="str">
        <f t="shared" si="151"/>
        <v>RY12</v>
      </c>
      <c r="Q167" s="113" t="str">
        <f t="shared" si="151"/>
        <v>RY13</v>
      </c>
      <c r="R167" s="112" t="str">
        <f t="shared" si="151"/>
        <v>RY14</v>
      </c>
      <c r="S167" s="111" t="str">
        <f t="shared" si="151"/>
        <v>RY15</v>
      </c>
      <c r="T167" s="111" t="str">
        <f>T$10</f>
        <v>RY16</v>
      </c>
      <c r="U167" s="111" t="str">
        <f t="shared" si="151"/>
        <v>RY17</v>
      </c>
      <c r="V167" s="111" t="str">
        <f t="shared" si="151"/>
        <v>RY18</v>
      </c>
      <c r="W167" s="113" t="str">
        <f t="shared" si="151"/>
        <v>RY19</v>
      </c>
      <c r="X167" s="112" t="str">
        <f t="shared" si="151"/>
        <v>RY20</v>
      </c>
      <c r="Y167" s="111" t="str">
        <f>Y$10</f>
        <v>RY21</v>
      </c>
      <c r="Z167" s="111" t="str">
        <f t="shared" si="151"/>
        <v>RY22</v>
      </c>
      <c r="AA167" s="111" t="str">
        <f t="shared" si="151"/>
        <v>RY23</v>
      </c>
      <c r="AB167" s="113" t="str">
        <f t="shared" si="151"/>
        <v>RY24</v>
      </c>
    </row>
    <row r="168" spans="1:28" s="96" customFormat="1" x14ac:dyDescent="0.35">
      <c r="H168" s="7"/>
      <c r="J168" s="114"/>
      <c r="K168" s="115"/>
      <c r="L168" s="115"/>
      <c r="M168" s="115"/>
      <c r="N168" s="114"/>
      <c r="O168" s="115"/>
      <c r="P168" s="115"/>
      <c r="Q168" s="117"/>
      <c r="R168" s="114"/>
      <c r="S168" s="115"/>
      <c r="T168" s="115"/>
      <c r="U168" s="115"/>
      <c r="V168" s="115"/>
      <c r="W168" s="117"/>
      <c r="X168" s="114"/>
      <c r="Y168" s="115"/>
      <c r="Z168" s="115"/>
      <c r="AA168" s="115"/>
      <c r="AB168" s="117"/>
    </row>
    <row r="169" spans="1:28" s="96" customFormat="1" ht="12.3" x14ac:dyDescent="0.35">
      <c r="D169" s="101" t="str">
        <f>Input_Inflation!D$18</f>
        <v>CPI Input</v>
      </c>
      <c r="E169" s="119" t="str">
        <f>Input_Inflation!E$18</f>
        <v>ABS/RBA</v>
      </c>
      <c r="F169" s="119" t="str">
        <f>Input_Inflation!F$18</f>
        <v>Percent</v>
      </c>
      <c r="G169" s="119" t="str">
        <f>Input_Inflation!G$18</f>
        <v>N/A</v>
      </c>
      <c r="H169" s="52" t="str">
        <f>Input_Inflation!H$18</f>
        <v>N/A</v>
      </c>
      <c r="J169" s="334">
        <f>Input_Inflation!N$18</f>
        <v>2.923264311814866E-2</v>
      </c>
      <c r="K169" s="335">
        <f>Input_Inflation!O$18</f>
        <v>2.485207100591702E-2</v>
      </c>
      <c r="L169" s="335">
        <f>Input_Inflation!P$18</f>
        <v>4.2725173210161671E-2</v>
      </c>
      <c r="M169" s="335">
        <f>Input_Inflation!Q$18</f>
        <v>2.4363233665559259E-2</v>
      </c>
      <c r="N169" s="334">
        <f>Input_Inflation!R$18</f>
        <v>2.9189189189189113E-2</v>
      </c>
      <c r="O169" s="335">
        <f>Input_Inflation!S$18</f>
        <v>3.2563025210083918E-2</v>
      </c>
      <c r="P169" s="335">
        <f>Input_Inflation!T$18</f>
        <v>1.6276703967446737E-2</v>
      </c>
      <c r="Q169" s="336">
        <f>Input_Inflation!U$18</f>
        <v>2.5025025025025016E-2</v>
      </c>
      <c r="R169" s="334">
        <f>Input_Inflation!V$18</f>
        <v>2.4498886414253906E-2</v>
      </c>
      <c r="S169" s="335">
        <f>Input_Inflation!W$18</f>
        <v>1.3282732447817747E-2</v>
      </c>
      <c r="T169" s="335">
        <f>Input_Inflation!X$18</f>
        <v>1.3108614232209881E-2</v>
      </c>
      <c r="U169" s="335">
        <f>Input_Inflation!Y$18</f>
        <v>2.1256931608133023E-2</v>
      </c>
      <c r="V169" s="335">
        <f>Input_Inflation!Z$18</f>
        <v>2.4248746575396662E-2</v>
      </c>
      <c r="W169" s="336">
        <f>Input_Inflation!AA$18</f>
        <v>2.4248746575396662E-2</v>
      </c>
      <c r="X169" s="334">
        <f>Input_Inflation!AB$18</f>
        <v>2.4248746575396662E-2</v>
      </c>
      <c r="Y169" s="335">
        <f>Input_Inflation!AC$18</f>
        <v>2.4248746575396662E-2</v>
      </c>
      <c r="Z169" s="335">
        <f>Input_Inflation!AD$18</f>
        <v>2.4248746575396662E-2</v>
      </c>
      <c r="AA169" s="335">
        <f>Input_Inflation!AE$18</f>
        <v>2.4248746575396662E-2</v>
      </c>
      <c r="AB169" s="336">
        <f>Input_Inflation!AF$18</f>
        <v>2.4248746575396662E-2</v>
      </c>
    </row>
    <row r="170" spans="1:28" s="96" customFormat="1" x14ac:dyDescent="0.35">
      <c r="H170" s="7"/>
      <c r="N170" s="140"/>
      <c r="R170" s="115"/>
    </row>
    <row r="171" spans="1:28" s="96" customFormat="1" ht="12.3" x14ac:dyDescent="0.35">
      <c r="D171" s="101" t="str">
        <f>Input_Inflation!D$28</f>
        <v>Real 2002 to Nominal</v>
      </c>
      <c r="E171" s="119" t="str">
        <f>Input_Inflation!E$28</f>
        <v>Calculated</v>
      </c>
      <c r="F171" s="119" t="str">
        <f>Input_Inflation!F$28</f>
        <v>Factor</v>
      </c>
      <c r="G171" s="119" t="str">
        <f>Input_Inflation!G$28</f>
        <v>N/A</v>
      </c>
      <c r="H171" s="52" t="str">
        <f>Input_Inflation!H$28</f>
        <v>N/A</v>
      </c>
      <c r="J171" s="341">
        <f>Input_Inflation!N$28</f>
        <v>1.1103810775295664</v>
      </c>
      <c r="K171" s="342">
        <f>Input_Inflation!O$28</f>
        <v>1.1379763469119579</v>
      </c>
      <c r="L171" s="342">
        <f>Input_Inflation!P$28</f>
        <v>1.1865965834428382</v>
      </c>
      <c r="M171" s="342">
        <f>Input_Inflation!Q$28</f>
        <v>1.2155059132720103</v>
      </c>
      <c r="N171" s="341">
        <f>Input_Inflation!R$28</f>
        <v>1.2509855453350851</v>
      </c>
      <c r="O171" s="342">
        <f>Input_Inflation!S$28</f>
        <v>1.2917214191852822</v>
      </c>
      <c r="P171" s="342">
        <f>Input_Inflation!T$28</f>
        <v>1.3127463863337712</v>
      </c>
      <c r="Q171" s="343">
        <f>Input_Inflation!U$28</f>
        <v>1.345597897503285</v>
      </c>
      <c r="R171" s="341">
        <f>Input_Inflation!V$28</f>
        <v>1.3785635475534768</v>
      </c>
      <c r="S171" s="342">
        <f>Input_Inflation!W$28</f>
        <v>1.396874638317944</v>
      </c>
      <c r="T171" s="342">
        <f>Input_Inflation!X$28</f>
        <v>1.4151857290824117</v>
      </c>
      <c r="U171" s="342">
        <f>Input_Inflation!Y$28</f>
        <v>1.4452682353383224</v>
      </c>
      <c r="V171" s="342">
        <f>Input_Inflation!Z$28</f>
        <v>1.4803141785105121</v>
      </c>
      <c r="W171" s="343">
        <f>Input_Inflation!AA$28</f>
        <v>1.5162099418771799</v>
      </c>
      <c r="X171" s="341">
        <f>Input_Inflation!AB$28</f>
        <v>1.5529761325128566</v>
      </c>
      <c r="Y171" s="342">
        <f>Input_Inflation!AC$28</f>
        <v>1.5906338571878005</v>
      </c>
      <c r="Z171" s="342">
        <f>Input_Inflation!AD$28</f>
        <v>1.6292047344849931</v>
      </c>
      <c r="AA171" s="342">
        <f>Input_Inflation!AE$28</f>
        <v>1.6687109072109561</v>
      </c>
      <c r="AB171" s="343">
        <f>Input_Inflation!AF$28</f>
        <v>1.7091750551075149</v>
      </c>
    </row>
    <row r="172" spans="1:28" s="96" customFormat="1" ht="12.3" x14ac:dyDescent="0.35">
      <c r="D172" s="101" t="str">
        <f>Input_Inflation!D$29</f>
        <v>Real 2009 to Nominal</v>
      </c>
      <c r="E172" s="119" t="str">
        <f>Input_Inflation!E$29</f>
        <v>Calculated</v>
      </c>
      <c r="F172" s="119" t="str">
        <f>Input_Inflation!F$29</f>
        <v>Factor</v>
      </c>
      <c r="G172" s="119" t="str">
        <f>Input_Inflation!G$29</f>
        <v>N/A</v>
      </c>
      <c r="H172" s="52" t="str">
        <f>Input_Inflation!H$29</f>
        <v>N/A</v>
      </c>
      <c r="J172" s="341">
        <f>Input_Inflation!N$29</f>
        <v>0</v>
      </c>
      <c r="K172" s="342">
        <f>Input_Inflation!O$29</f>
        <v>0</v>
      </c>
      <c r="L172" s="342">
        <f>Input_Inflation!P$29</f>
        <v>0</v>
      </c>
      <c r="M172" s="342">
        <f>Input_Inflation!Q$29</f>
        <v>1</v>
      </c>
      <c r="N172" s="341">
        <f>Input_Inflation!R$29</f>
        <v>1.0291891891891891</v>
      </c>
      <c r="O172" s="342">
        <f>Input_Inflation!S$29</f>
        <v>1.0627027027027025</v>
      </c>
      <c r="P172" s="342">
        <f>Input_Inflation!T$29</f>
        <v>1.0799999999999998</v>
      </c>
      <c r="Q172" s="343">
        <f>Input_Inflation!U$29</f>
        <v>1.1070270270270268</v>
      </c>
      <c r="R172" s="341">
        <f>Input_Inflation!V$29</f>
        <v>1.134147956419671</v>
      </c>
      <c r="S172" s="342">
        <f>Input_Inflation!W$29</f>
        <v>1.1492125402810327</v>
      </c>
      <c r="T172" s="342">
        <f>Input_Inflation!X$29</f>
        <v>1.1642771241423948</v>
      </c>
      <c r="U172" s="342">
        <f>Input_Inflation!Y$29</f>
        <v>1.1890260833432036</v>
      </c>
      <c r="V172" s="342">
        <f>Input_Inflation!Z$29</f>
        <v>1.2178584755097295</v>
      </c>
      <c r="W172" s="343">
        <f>Input_Inflation!AA$29</f>
        <v>1.2473900170470638</v>
      </c>
      <c r="X172" s="341">
        <f>Input_Inflation!AB$29</f>
        <v>1.2776376614511178</v>
      </c>
      <c r="Y172" s="342">
        <f>Input_Inflation!AC$29</f>
        <v>1.3086187733188284</v>
      </c>
      <c r="Z172" s="342">
        <f>Input_Inflation!AD$29</f>
        <v>1.3403511383168432</v>
      </c>
      <c r="AA172" s="342">
        <f>Input_Inflation!AE$29</f>
        <v>1.3728529733919328</v>
      </c>
      <c r="AB172" s="343">
        <f>Input_Inflation!AF$29</f>
        <v>1.4061429372289935</v>
      </c>
    </row>
    <row r="173" spans="1:28" s="96" customFormat="1" ht="12.3" x14ac:dyDescent="0.35">
      <c r="D173" s="101" t="s">
        <v>475</v>
      </c>
      <c r="E173" s="119" t="s">
        <v>111</v>
      </c>
      <c r="F173" s="119" t="str">
        <f>Factor</f>
        <v>Factor</v>
      </c>
      <c r="G173" s="119" t="str">
        <f>NA</f>
        <v>N/A</v>
      </c>
      <c r="H173" s="52" t="str">
        <f>NA</f>
        <v>N/A</v>
      </c>
      <c r="J173" s="341">
        <f>Input_Inflation!N41</f>
        <v>0</v>
      </c>
      <c r="K173" s="342">
        <f>Input_Inflation!O41</f>
        <v>0</v>
      </c>
      <c r="L173" s="342">
        <f>Input_Inflation!P41</f>
        <v>0</v>
      </c>
      <c r="M173" s="342">
        <f>Input_Inflation!Q41</f>
        <v>0</v>
      </c>
      <c r="N173" s="341">
        <f>Input_Inflation!R41</f>
        <v>0</v>
      </c>
      <c r="O173" s="342">
        <f>Input_Inflation!S41</f>
        <v>0</v>
      </c>
      <c r="P173" s="342">
        <f>Input_Inflation!T41</f>
        <v>0</v>
      </c>
      <c r="Q173" s="343">
        <f>Input_Inflation!U41</f>
        <v>1</v>
      </c>
      <c r="R173" s="341">
        <f>Input_Inflation!V41</f>
        <v>1.0176000000000001</v>
      </c>
      <c r="S173" s="342">
        <f>Input_Inflation!W41</f>
        <v>0</v>
      </c>
      <c r="T173" s="342">
        <f>Input_Inflation!X41</f>
        <v>0</v>
      </c>
      <c r="U173" s="342">
        <f>Input_Inflation!Y41</f>
        <v>0</v>
      </c>
      <c r="V173" s="342">
        <f>Input_Inflation!Z41</f>
        <v>0</v>
      </c>
      <c r="W173" s="343">
        <f>Input_Inflation!AA41</f>
        <v>0</v>
      </c>
      <c r="X173" s="341">
        <f>Input_Inflation!AB41</f>
        <v>0</v>
      </c>
      <c r="Y173" s="342">
        <f>Input_Inflation!AC41</f>
        <v>0</v>
      </c>
      <c r="Z173" s="342">
        <f>Input_Inflation!AD41</f>
        <v>0</v>
      </c>
      <c r="AA173" s="342">
        <f>Input_Inflation!AE41</f>
        <v>0</v>
      </c>
      <c r="AB173" s="343">
        <f>Input_Inflation!AF41</f>
        <v>0</v>
      </c>
    </row>
    <row r="174" spans="1:28" s="96" customFormat="1" ht="12.3" x14ac:dyDescent="0.35">
      <c r="D174" s="101" t="str">
        <f>Input_Inflation!D$31</f>
        <v>Real 2014 to Nominal - Lagged</v>
      </c>
      <c r="E174" s="119" t="str">
        <f>Input_Inflation!E$31</f>
        <v>Calculated</v>
      </c>
      <c r="F174" s="119" t="str">
        <f>Input_Inflation!F$31</f>
        <v>Factor</v>
      </c>
      <c r="G174" s="119" t="str">
        <f>Input_Inflation!G$31</f>
        <v>N/A</v>
      </c>
      <c r="H174" s="52" t="str">
        <f>Input_Inflation!H$31</f>
        <v>N/A</v>
      </c>
      <c r="J174" s="341">
        <f>Input_Inflation!N$31</f>
        <v>0</v>
      </c>
      <c r="K174" s="342">
        <f>Input_Inflation!O$31</f>
        <v>0</v>
      </c>
      <c r="L174" s="342">
        <f>Input_Inflation!P$31</f>
        <v>0</v>
      </c>
      <c r="M174" s="342">
        <f>Input_Inflation!Q$31</f>
        <v>0</v>
      </c>
      <c r="N174" s="341">
        <f>Input_Inflation!R$31</f>
        <v>0</v>
      </c>
      <c r="O174" s="342">
        <f>Input_Inflation!S$31</f>
        <v>0</v>
      </c>
      <c r="P174" s="342">
        <f>Input_Inflation!T$31</f>
        <v>0</v>
      </c>
      <c r="Q174" s="343">
        <f>Input_Inflation!U$31</f>
        <v>0</v>
      </c>
      <c r="R174" s="341">
        <f>Input_Inflation!V$31</f>
        <v>1</v>
      </c>
      <c r="S174" s="342">
        <f>Input_Inflation!W$31</f>
        <v>1.0244988864142539</v>
      </c>
      <c r="T174" s="342">
        <f>Input_Inflation!X$31</f>
        <v>1.0381070310155818</v>
      </c>
      <c r="U174" s="342">
        <f>Input_Inflation!Y$31</f>
        <v>1.0517151756169099</v>
      </c>
      <c r="V174" s="342">
        <f>Input_Inflation!Z$31</f>
        <v>1.0740714131762341</v>
      </c>
      <c r="W174" s="343">
        <f>Input_Inflation!AA$31</f>
        <v>1.1001162986782227</v>
      </c>
      <c r="X174" s="341">
        <f>Input_Inflation!AB$31</f>
        <v>1.1267927400083344</v>
      </c>
      <c r="Y174" s="342">
        <f>Input_Inflation!AC$31</f>
        <v>1.1541160516037934</v>
      </c>
      <c r="Z174" s="342">
        <f>Input_Inflation!AD$31</f>
        <v>1.1821019192577311</v>
      </c>
      <c r="AA174" s="342">
        <f>Input_Inflation!AE$31</f>
        <v>1.2107664091241019</v>
      </c>
      <c r="AB174" s="343">
        <f>Input_Inflation!AF$31</f>
        <v>1.2401259769409554</v>
      </c>
    </row>
    <row r="175" spans="1:28" s="96" customFormat="1" ht="12.3" x14ac:dyDescent="0.35">
      <c r="D175" s="101" t="str">
        <f>Input_Inflation!D$32</f>
        <v>Real 2019 to Nominal</v>
      </c>
      <c r="E175" s="119" t="str">
        <f>Input_Inflation!E$32</f>
        <v>Calculated</v>
      </c>
      <c r="F175" s="119" t="str">
        <f>Input_Inflation!F$32</f>
        <v>Factor</v>
      </c>
      <c r="G175" s="119" t="str">
        <f>Input_Inflation!G$32</f>
        <v>N/A</v>
      </c>
      <c r="H175" s="52" t="str">
        <f>Input_Inflation!H$32</f>
        <v>N/A</v>
      </c>
      <c r="J175" s="341">
        <f>Input_Inflation!N$32</f>
        <v>0</v>
      </c>
      <c r="K175" s="342">
        <f>Input_Inflation!O$32</f>
        <v>0</v>
      </c>
      <c r="L175" s="342">
        <f>Input_Inflation!P$32</f>
        <v>0</v>
      </c>
      <c r="M175" s="342">
        <f>Input_Inflation!Q$32</f>
        <v>0</v>
      </c>
      <c r="N175" s="341">
        <f>Input_Inflation!R$32</f>
        <v>0</v>
      </c>
      <c r="O175" s="342">
        <f>Input_Inflation!S$32</f>
        <v>0</v>
      </c>
      <c r="P175" s="342">
        <f>Input_Inflation!T$32</f>
        <v>0</v>
      </c>
      <c r="Q175" s="343">
        <f>Input_Inflation!U$32</f>
        <v>0</v>
      </c>
      <c r="R175" s="341">
        <f>Input_Inflation!V$32</f>
        <v>0</v>
      </c>
      <c r="S175" s="342">
        <f>Input_Inflation!W$32</f>
        <v>0</v>
      </c>
      <c r="T175" s="342">
        <f>Input_Inflation!X$32</f>
        <v>0</v>
      </c>
      <c r="U175" s="342">
        <f>Input_Inflation!Y$32</f>
        <v>0</v>
      </c>
      <c r="V175" s="342">
        <f>Input_Inflation!Z$32</f>
        <v>0</v>
      </c>
      <c r="W175" s="343">
        <f>Input_Inflation!AA$32</f>
        <v>1</v>
      </c>
      <c r="X175" s="341">
        <f>Input_Inflation!AB$32</f>
        <v>1.0242487465753967</v>
      </c>
      <c r="Y175" s="342">
        <f>Input_Inflation!AC$32</f>
        <v>1.0490854948612711</v>
      </c>
      <c r="Z175" s="342">
        <f>Input_Inflation!AD$32</f>
        <v>1.0745245031620867</v>
      </c>
      <c r="AA175" s="342">
        <f>Input_Inflation!AE$32</f>
        <v>1.1005803755283181</v>
      </c>
      <c r="AB175" s="343">
        <f>Input_Inflation!AF$32</f>
        <v>1.1272680701403592</v>
      </c>
    </row>
    <row r="176" spans="1:28" s="96" customFormat="1" x14ac:dyDescent="0.35">
      <c r="H176" s="7"/>
      <c r="R176" s="115"/>
    </row>
    <row r="177" spans="2:8" s="107" customFormat="1" ht="15" x14ac:dyDescent="0.35">
      <c r="B177" s="107" t="s">
        <v>33</v>
      </c>
      <c r="H177" s="4"/>
    </row>
  </sheetData>
  <conditionalFormatting sqref="B2">
    <cfRule type="cellIs" dxfId="18" priority="1" operator="notEqual">
      <formula>"No Errors Found"</formula>
    </cfRule>
  </conditionalFormatting>
  <hyperlinks>
    <hyperlink ref="B3:E3" location="TOC!A1" display="TOC!A1"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sheetPr>
  <dimension ref="A1:U44"/>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33203125" defaultRowHeight="10.199999999999999" outlineLevelRow="1" x14ac:dyDescent="0.35"/>
  <cols>
    <col min="1" max="1" width="3.33203125" style="7" customWidth="1"/>
    <col min="2" max="3" width="2.796875" style="7" customWidth="1"/>
    <col min="4" max="4" width="37.46484375" style="7" customWidth="1"/>
    <col min="5" max="5" width="18" style="7" customWidth="1"/>
    <col min="6" max="6" width="9.1328125" style="7" customWidth="1"/>
    <col min="7" max="7" width="12" style="7" customWidth="1"/>
    <col min="8" max="8" width="10" style="7" customWidth="1"/>
    <col min="9" max="9" width="10.796875" style="7" customWidth="1"/>
    <col min="10" max="21" width="12.796875" style="7" customWidth="1"/>
    <col min="22" max="22" width="4.33203125" style="7" customWidth="1"/>
    <col min="23" max="24" width="10.796875" style="7" customWidth="1"/>
    <col min="25" max="16384" width="9.33203125" style="7"/>
  </cols>
  <sheetData>
    <row r="1" spans="1:21" ht="18.899999999999999" x14ac:dyDescent="0.35">
      <c r="A1" s="49">
        <f>IF(SUM($A11:$A44)&gt;0,1,0)</f>
        <v>0</v>
      </c>
      <c r="B1" s="5" t="s">
        <v>178</v>
      </c>
    </row>
    <row r="2" spans="1:21" x14ac:dyDescent="0.35">
      <c r="B2" s="18" t="str">
        <f>Title_Msg</f>
        <v>No Errors Found</v>
      </c>
    </row>
    <row r="3" spans="1:21" x14ac:dyDescent="0.35">
      <c r="B3" s="37" t="str">
        <f>TOC!B1</f>
        <v>Table of Contents</v>
      </c>
      <c r="C3" s="35"/>
      <c r="D3" s="35"/>
      <c r="E3" s="35"/>
    </row>
    <row r="4" spans="1:21" ht="12.3" x14ac:dyDescent="0.35">
      <c r="B4" s="34" t="str">
        <f>Model_Name</f>
        <v>Power and Water Corporation (PWC) - RAB Allocation - EB RIN - DRAFT</v>
      </c>
    </row>
    <row r="5" spans="1:21" ht="12.3" hidden="1" outlineLevel="1" x14ac:dyDescent="0.35">
      <c r="B5" s="15" t="str">
        <f>Lookup!B15</f>
        <v>Period Start Date</v>
      </c>
      <c r="J5" s="42">
        <f>Lookup!J15</f>
        <v>38534</v>
      </c>
      <c r="K5" s="42">
        <f>Lookup!K15</f>
        <v>38899</v>
      </c>
      <c r="L5" s="42">
        <f>Lookup!L15</f>
        <v>39264</v>
      </c>
      <c r="M5" s="42">
        <f>Lookup!M15</f>
        <v>39630</v>
      </c>
      <c r="N5" s="42">
        <f>Lookup!N15</f>
        <v>39995</v>
      </c>
      <c r="O5" s="42">
        <f>Lookup!O15</f>
        <v>40360</v>
      </c>
      <c r="P5" s="42">
        <f>Lookup!P15</f>
        <v>40725</v>
      </c>
      <c r="Q5" s="42">
        <f>Lookup!Q15</f>
        <v>41091</v>
      </c>
      <c r="R5" s="42">
        <f>Lookup!R15</f>
        <v>41456</v>
      </c>
      <c r="S5" s="42">
        <f>Lookup!S15</f>
        <v>41821</v>
      </c>
      <c r="T5" s="42">
        <f>Lookup!T15</f>
        <v>42186</v>
      </c>
      <c r="U5" s="42">
        <f>Lookup!U15</f>
        <v>42552</v>
      </c>
    </row>
    <row r="6" spans="1:21" ht="12.3" hidden="1" outlineLevel="1" x14ac:dyDescent="0.35">
      <c r="B6" s="15" t="str">
        <f>Lookup!B16</f>
        <v>Period End Date</v>
      </c>
      <c r="J6" s="42">
        <f>Lookup!J16</f>
        <v>38898</v>
      </c>
      <c r="K6" s="42">
        <f>Lookup!K16</f>
        <v>39263</v>
      </c>
      <c r="L6" s="42">
        <f>Lookup!L16</f>
        <v>39629</v>
      </c>
      <c r="M6" s="42">
        <f>Lookup!M16</f>
        <v>39994</v>
      </c>
      <c r="N6" s="42">
        <f>Lookup!N16</f>
        <v>40359</v>
      </c>
      <c r="O6" s="42">
        <f>Lookup!O16</f>
        <v>40724</v>
      </c>
      <c r="P6" s="42">
        <f>Lookup!P16</f>
        <v>41090</v>
      </c>
      <c r="Q6" s="42">
        <f>Lookup!Q16</f>
        <v>41455</v>
      </c>
      <c r="R6" s="42">
        <f>Lookup!R16</f>
        <v>41820</v>
      </c>
      <c r="S6" s="42">
        <f>Lookup!S16</f>
        <v>42185</v>
      </c>
      <c r="T6" s="42">
        <f>Lookup!T16</f>
        <v>42551</v>
      </c>
      <c r="U6" s="42">
        <f>Lookup!U16</f>
        <v>42916</v>
      </c>
    </row>
    <row r="7" spans="1:21" ht="12.3" hidden="1" outlineLevel="1" x14ac:dyDescent="0.35">
      <c r="B7" s="15" t="str">
        <f>Lookup!B17</f>
        <v>Period Counter</v>
      </c>
      <c r="J7" s="43">
        <f>Lookup!J17</f>
        <v>1</v>
      </c>
      <c r="K7" s="43">
        <f>Lookup!K17</f>
        <v>2</v>
      </c>
      <c r="L7" s="43">
        <f>Lookup!L17</f>
        <v>3</v>
      </c>
      <c r="M7" s="43">
        <f>Lookup!M17</f>
        <v>4</v>
      </c>
      <c r="N7" s="43">
        <f>Lookup!N17</f>
        <v>5</v>
      </c>
      <c r="O7" s="43">
        <f>Lookup!O17</f>
        <v>6</v>
      </c>
      <c r="P7" s="43">
        <f>Lookup!P17</f>
        <v>7</v>
      </c>
      <c r="Q7" s="43">
        <f>Lookup!Q17</f>
        <v>8</v>
      </c>
      <c r="R7" s="43">
        <f>Lookup!R17</f>
        <v>9</v>
      </c>
      <c r="S7" s="43">
        <f>Lookup!S17</f>
        <v>10</v>
      </c>
      <c r="T7" s="43">
        <f>Lookup!T17</f>
        <v>11</v>
      </c>
      <c r="U7" s="43">
        <f>Lookup!U17</f>
        <v>12</v>
      </c>
    </row>
    <row r="8" spans="1:21" ht="12.3" hidden="1" outlineLevel="1" x14ac:dyDescent="0.35">
      <c r="B8" s="15" t="str">
        <f>Lookup!B18</f>
        <v>Year</v>
      </c>
      <c r="J8" s="44">
        <f>Lookup!J18</f>
        <v>2006</v>
      </c>
      <c r="K8" s="44">
        <f>Lookup!K18</f>
        <v>2007</v>
      </c>
      <c r="L8" s="44">
        <f>Lookup!L18</f>
        <v>2008</v>
      </c>
      <c r="M8" s="44">
        <f>Lookup!M18</f>
        <v>2009</v>
      </c>
      <c r="N8" s="44">
        <f>Lookup!N18</f>
        <v>2010</v>
      </c>
      <c r="O8" s="44">
        <f>Lookup!O18</f>
        <v>2011</v>
      </c>
      <c r="P8" s="44">
        <f>Lookup!P18</f>
        <v>2012</v>
      </c>
      <c r="Q8" s="44">
        <f>Lookup!Q18</f>
        <v>2013</v>
      </c>
      <c r="R8" s="44">
        <f>Lookup!R18</f>
        <v>2014</v>
      </c>
      <c r="S8" s="44">
        <f>Lookup!S18</f>
        <v>2015</v>
      </c>
      <c r="T8" s="44">
        <f>Lookup!T18</f>
        <v>2016</v>
      </c>
      <c r="U8" s="44">
        <f>Lookup!U18</f>
        <v>2017</v>
      </c>
    </row>
    <row r="9" spans="1:21" ht="12.3" hidden="1" outlineLevel="1" x14ac:dyDescent="0.35">
      <c r="B9" s="15" t="str">
        <f>Lookup!B19</f>
        <v>Period Type</v>
      </c>
      <c r="J9" s="44" t="str">
        <f>Lookup!J19</f>
        <v>Actual</v>
      </c>
      <c r="K9" s="44" t="str">
        <f>Lookup!K19</f>
        <v>Actual</v>
      </c>
      <c r="L9" s="44" t="str">
        <f>Lookup!L19</f>
        <v>Actual</v>
      </c>
      <c r="M9" s="44" t="str">
        <f>Lookup!M19</f>
        <v>Base Year</v>
      </c>
      <c r="N9" s="44" t="str">
        <f>Lookup!N19</f>
        <v>Forecast</v>
      </c>
      <c r="O9" s="44" t="str">
        <f>Lookup!O19</f>
        <v>Forecast</v>
      </c>
      <c r="P9" s="44" t="str">
        <f>Lookup!P19</f>
        <v>Forecast</v>
      </c>
      <c r="Q9" s="44" t="str">
        <f>Lookup!Q19</f>
        <v>Forecast</v>
      </c>
      <c r="R9" s="44" t="str">
        <f>Lookup!R19</f>
        <v>Forecast</v>
      </c>
      <c r="S9" s="44" t="str">
        <f>Lookup!S19</f>
        <v>Forecast</v>
      </c>
      <c r="T9" s="44" t="str">
        <f>Lookup!T19</f>
        <v>Forecast</v>
      </c>
      <c r="U9" s="44" t="str">
        <f>Lookup!U19</f>
        <v>Forecast</v>
      </c>
    </row>
    <row r="10" spans="1:21" ht="12.3" collapsed="1" x14ac:dyDescent="0.35">
      <c r="B10" s="10" t="str">
        <f>Lookup!B20</f>
        <v>Regulatory Year</v>
      </c>
      <c r="E10" s="41" t="str">
        <f>Lookup!E20</f>
        <v>Source</v>
      </c>
      <c r="F10" s="41" t="str">
        <f>Lookup!F20</f>
        <v>Unit</v>
      </c>
      <c r="G10" s="41" t="str">
        <f>Lookup!G20</f>
        <v>Basis</v>
      </c>
      <c r="H10" s="41" t="str">
        <f>Lookup!H20</f>
        <v>Timing</v>
      </c>
      <c r="I10" s="41"/>
      <c r="J10" s="41" t="str">
        <f>Lookup!J20</f>
        <v>RY06</v>
      </c>
      <c r="K10" s="41" t="str">
        <f>Lookup!K20</f>
        <v>RY07</v>
      </c>
      <c r="L10" s="41" t="str">
        <f>Lookup!L20</f>
        <v>RY08</v>
      </c>
      <c r="M10" s="41" t="str">
        <f>Lookup!M20</f>
        <v>RY09</v>
      </c>
      <c r="N10" s="41" t="str">
        <f>Lookup!N20</f>
        <v>RY10</v>
      </c>
      <c r="O10" s="41" t="str">
        <f>Lookup!O20</f>
        <v>RY11</v>
      </c>
      <c r="P10" s="41" t="str">
        <f>Lookup!P20</f>
        <v>RY12</v>
      </c>
      <c r="Q10" s="41" t="str">
        <f>Lookup!Q20</f>
        <v>RY13</v>
      </c>
      <c r="R10" s="41" t="str">
        <f>Lookup!R20</f>
        <v>RY14</v>
      </c>
      <c r="S10" s="41" t="str">
        <f>Lookup!S20</f>
        <v>RY15</v>
      </c>
      <c r="T10" s="41" t="str">
        <f>Lookup!T20</f>
        <v>RY16</v>
      </c>
      <c r="U10" s="41" t="str">
        <f>Lookup!U20</f>
        <v>RY17</v>
      </c>
    </row>
    <row r="12" spans="1:21" s="4" customFormat="1" ht="15" x14ac:dyDescent="0.35">
      <c r="B12" s="4" t="s">
        <v>179</v>
      </c>
    </row>
    <row r="13" spans="1:21" s="6" customFormat="1" ht="4.5" customHeight="1" x14ac:dyDescent="0.35"/>
    <row r="14" spans="1:21" s="13" customFormat="1" ht="14.1" x14ac:dyDescent="0.35">
      <c r="C14" s="13" t="s">
        <v>183</v>
      </c>
    </row>
    <row r="15" spans="1:21" s="6" customFormat="1" ht="11.25" customHeight="1" x14ac:dyDescent="0.35">
      <c r="I15" s="45" t="s">
        <v>250</v>
      </c>
    </row>
    <row r="16" spans="1:21" s="6" customFormat="1" ht="11.25" customHeight="1" x14ac:dyDescent="0.35">
      <c r="D16" s="16" t="s">
        <v>181</v>
      </c>
      <c r="I16" s="78">
        <f>IF(SUM(J38:U38)=0,0,SUM(J25:U25)/SUM(J38:U38))</f>
        <v>-2.6573546176508187E-2</v>
      </c>
      <c r="J16" s="76">
        <f>IF(J38=0,0,J25/J38)</f>
        <v>0</v>
      </c>
      <c r="K16" s="76">
        <f t="shared" ref="K16:U16" si="0">IF(K38=0,0,K25/K38)</f>
        <v>0</v>
      </c>
      <c r="L16" s="76">
        <f t="shared" si="0"/>
        <v>0</v>
      </c>
      <c r="M16" s="76">
        <f t="shared" si="0"/>
        <v>0.20552625871368566</v>
      </c>
      <c r="N16" s="76">
        <f t="shared" si="0"/>
        <v>0.15013751980817683</v>
      </c>
      <c r="O16" s="76">
        <f t="shared" si="0"/>
        <v>2.1943598324730682E-2</v>
      </c>
      <c r="P16" s="76">
        <f t="shared" si="0"/>
        <v>-0.14430489389083631</v>
      </c>
      <c r="Q16" s="76">
        <f t="shared" si="0"/>
        <v>-9.3185312167134729E-2</v>
      </c>
      <c r="R16" s="76">
        <f t="shared" si="0"/>
        <v>9.2351954404191375E-2</v>
      </c>
      <c r="S16" s="76">
        <f t="shared" si="0"/>
        <v>-3.7794857763694387E-2</v>
      </c>
      <c r="T16" s="76">
        <f t="shared" si="0"/>
        <v>-0.13261588403377728</v>
      </c>
      <c r="U16" s="76">
        <f t="shared" si="0"/>
        <v>-0.30212644175919701</v>
      </c>
    </row>
    <row r="17" spans="1:21" s="6" customFormat="1" ht="11.25" customHeight="1" x14ac:dyDescent="0.35"/>
    <row r="18" spans="1:21" s="13" customFormat="1" ht="14.1" x14ac:dyDescent="0.35">
      <c r="C18" s="13" t="s">
        <v>186</v>
      </c>
    </row>
    <row r="19" spans="1:21" s="6" customFormat="1" ht="11.25" customHeight="1" x14ac:dyDescent="0.35"/>
    <row r="20" spans="1:21" ht="12.3" x14ac:dyDescent="0.35">
      <c r="D20" s="50" t="s">
        <v>109</v>
      </c>
      <c r="E20" s="45" t="str">
        <f>Lookup!E$20</f>
        <v>Source</v>
      </c>
      <c r="F20" s="45" t="str">
        <f>Lookup!F$20</f>
        <v>Unit</v>
      </c>
      <c r="G20" s="45" t="str">
        <f>Lookup!G$20</f>
        <v>Basis</v>
      </c>
      <c r="H20" s="45" t="str">
        <f>Lookup!H$20</f>
        <v>Timing</v>
      </c>
      <c r="J20" s="54" t="str">
        <f>J$10</f>
        <v>RY06</v>
      </c>
      <c r="K20" s="45" t="str">
        <f t="shared" ref="K20:U20" si="1">K$10</f>
        <v>RY07</v>
      </c>
      <c r="L20" s="45" t="str">
        <f t="shared" si="1"/>
        <v>RY08</v>
      </c>
      <c r="M20" s="45" t="str">
        <f t="shared" si="1"/>
        <v>RY09</v>
      </c>
      <c r="N20" s="45" t="str">
        <f t="shared" si="1"/>
        <v>RY10</v>
      </c>
      <c r="O20" s="45" t="str">
        <f>O$10</f>
        <v>RY11</v>
      </c>
      <c r="P20" s="45" t="str">
        <f t="shared" si="1"/>
        <v>RY12</v>
      </c>
      <c r="Q20" s="45" t="str">
        <f t="shared" si="1"/>
        <v>RY13</v>
      </c>
      <c r="R20" s="55" t="str">
        <f t="shared" si="1"/>
        <v>RY14</v>
      </c>
      <c r="S20" s="54" t="str">
        <f t="shared" si="1"/>
        <v>RY15</v>
      </c>
      <c r="T20" s="45" t="str">
        <f>T$10</f>
        <v>RY16</v>
      </c>
      <c r="U20" s="45" t="str">
        <f t="shared" si="1"/>
        <v>RY17</v>
      </c>
    </row>
    <row r="21" spans="1:21" x14ac:dyDescent="0.35">
      <c r="J21" s="56"/>
      <c r="K21" s="57"/>
      <c r="L21" s="57"/>
      <c r="M21" s="57"/>
      <c r="N21" s="57"/>
      <c r="O21" s="57"/>
      <c r="P21" s="57"/>
      <c r="Q21" s="57"/>
      <c r="R21" s="58"/>
      <c r="S21" s="56"/>
      <c r="T21" s="57"/>
      <c r="U21" s="57"/>
    </row>
    <row r="22" spans="1:21" ht="12.3" x14ac:dyDescent="0.35">
      <c r="D22" s="26" t="s">
        <v>180</v>
      </c>
      <c r="E22" s="52" t="s">
        <v>245</v>
      </c>
      <c r="F22" s="52" t="str">
        <f t="shared" ref="F22:F23" si="2">Dollars</f>
        <v>Dollars</v>
      </c>
      <c r="G22" s="52" t="str">
        <f t="shared" ref="G22:G23" si="3">Nominal</f>
        <v>Nominal</v>
      </c>
      <c r="H22" s="52" t="str">
        <f t="shared" ref="H22:H23" si="4">Mid_year</f>
        <v>Mid year</v>
      </c>
      <c r="J22" s="64">
        <v>0</v>
      </c>
      <c r="K22" s="60">
        <v>0</v>
      </c>
      <c r="L22" s="60">
        <v>0</v>
      </c>
      <c r="M22" s="60">
        <v>9.706738640864927</v>
      </c>
      <c r="N22" s="60">
        <v>6.4508044190668734</v>
      </c>
      <c r="O22" s="60">
        <v>6.1281130000000026</v>
      </c>
      <c r="P22" s="60">
        <v>5.5469329620853038</v>
      </c>
      <c r="Q22" s="60">
        <v>6.4646123981042676</v>
      </c>
      <c r="R22" s="65">
        <v>8.9884622197314368</v>
      </c>
      <c r="S22" s="59">
        <v>7.9383555730173763</v>
      </c>
      <c r="T22" s="60">
        <v>5.9930295320853135</v>
      </c>
      <c r="U22" s="60">
        <v>3.3126484609636648</v>
      </c>
    </row>
    <row r="23" spans="1:21" ht="12.3" x14ac:dyDescent="0.35">
      <c r="D23" s="26" t="s">
        <v>187</v>
      </c>
      <c r="E23" s="52" t="s">
        <v>246</v>
      </c>
      <c r="F23" s="52" t="str">
        <f t="shared" si="2"/>
        <v>Dollars</v>
      </c>
      <c r="G23" s="52" t="str">
        <f t="shared" si="3"/>
        <v>Nominal</v>
      </c>
      <c r="H23" s="52" t="str">
        <f t="shared" si="4"/>
        <v>Mid year</v>
      </c>
      <c r="J23" s="64">
        <v>0</v>
      </c>
      <c r="K23" s="60">
        <v>0</v>
      </c>
      <c r="L23" s="60">
        <v>0</v>
      </c>
      <c r="M23" s="60">
        <v>-5.7214733500000001</v>
      </c>
      <c r="N23" s="60">
        <v>-2.6918157300000005</v>
      </c>
      <c r="O23" s="60">
        <v>-5.5756959699999999</v>
      </c>
      <c r="P23" s="60">
        <v>-8.3802773800000008</v>
      </c>
      <c r="Q23" s="60">
        <v>-9.3442136000000016</v>
      </c>
      <c r="R23" s="65">
        <v>-6.9774154900000003</v>
      </c>
      <c r="S23" s="59">
        <v>-9.0889411300000003</v>
      </c>
      <c r="T23" s="60">
        <v>-9.1425037299999996</v>
      </c>
      <c r="U23" s="60">
        <v>-9.3495670099999995</v>
      </c>
    </row>
    <row r="24" spans="1:21" x14ac:dyDescent="0.35">
      <c r="J24" s="56"/>
      <c r="K24" s="57"/>
      <c r="L24" s="57"/>
      <c r="M24" s="57"/>
      <c r="N24" s="57"/>
      <c r="O24" s="57"/>
      <c r="P24" s="57"/>
      <c r="Q24" s="57"/>
      <c r="R24" s="58"/>
      <c r="S24" s="56"/>
      <c r="T24" s="57"/>
      <c r="U24" s="57"/>
    </row>
    <row r="25" spans="1:21" ht="12.3" x14ac:dyDescent="0.35">
      <c r="D25" s="51" t="s">
        <v>188</v>
      </c>
      <c r="E25" s="47" t="s">
        <v>111</v>
      </c>
      <c r="F25" s="47" t="str">
        <f>F22</f>
        <v>Dollars</v>
      </c>
      <c r="G25" s="47" t="str">
        <f>G22</f>
        <v>Nominal</v>
      </c>
      <c r="H25" s="47" t="str">
        <f>H22</f>
        <v>Mid year</v>
      </c>
      <c r="J25" s="62">
        <f t="shared" ref="J25:U25" si="5">SUM(J22:J23)</f>
        <v>0</v>
      </c>
      <c r="K25" s="46">
        <f t="shared" si="5"/>
        <v>0</v>
      </c>
      <c r="L25" s="46">
        <f t="shared" si="5"/>
        <v>0</v>
      </c>
      <c r="M25" s="46">
        <f t="shared" si="5"/>
        <v>3.9852652908649269</v>
      </c>
      <c r="N25" s="46">
        <f t="shared" si="5"/>
        <v>3.7589886890668729</v>
      </c>
      <c r="O25" s="46">
        <f t="shared" si="5"/>
        <v>0.55241703000000264</v>
      </c>
      <c r="P25" s="46">
        <f t="shared" si="5"/>
        <v>-2.8333444179146969</v>
      </c>
      <c r="Q25" s="46">
        <f t="shared" si="5"/>
        <v>-2.879601201895734</v>
      </c>
      <c r="R25" s="63">
        <f t="shared" si="5"/>
        <v>2.0110467297314365</v>
      </c>
      <c r="S25" s="62">
        <f t="shared" si="5"/>
        <v>-1.150585556982624</v>
      </c>
      <c r="T25" s="46">
        <f t="shared" si="5"/>
        <v>-3.1494741979146861</v>
      </c>
      <c r="U25" s="46">
        <f t="shared" si="5"/>
        <v>-6.0369185490363346</v>
      </c>
    </row>
    <row r="26" spans="1:21" s="6" customFormat="1" ht="11.25" customHeight="1" x14ac:dyDescent="0.35"/>
    <row r="27" spans="1:21" s="6" customFormat="1" ht="11.25" customHeight="1" x14ac:dyDescent="0.35">
      <c r="A27" s="49">
        <f>IF(SUM($J27:$U27)&lt;&gt;0,1,0)</f>
        <v>0</v>
      </c>
      <c r="D27" s="15" t="s">
        <v>182</v>
      </c>
      <c r="J27" s="70">
        <f t="shared" ref="J27:U27" si="6">IF(ISERROR(J25),1,0)</f>
        <v>0</v>
      </c>
      <c r="K27" s="70">
        <f t="shared" si="6"/>
        <v>0</v>
      </c>
      <c r="L27" s="70">
        <f t="shared" si="6"/>
        <v>0</v>
      </c>
      <c r="M27" s="70">
        <f t="shared" si="6"/>
        <v>0</v>
      </c>
      <c r="N27" s="70">
        <f t="shared" si="6"/>
        <v>0</v>
      </c>
      <c r="O27" s="70">
        <f t="shared" si="6"/>
        <v>0</v>
      </c>
      <c r="P27" s="70">
        <f t="shared" si="6"/>
        <v>0</v>
      </c>
      <c r="Q27" s="70">
        <f t="shared" si="6"/>
        <v>0</v>
      </c>
      <c r="R27" s="70">
        <f t="shared" si="6"/>
        <v>0</v>
      </c>
      <c r="S27" s="70">
        <f t="shared" si="6"/>
        <v>0</v>
      </c>
      <c r="T27" s="70">
        <f t="shared" si="6"/>
        <v>0</v>
      </c>
      <c r="U27" s="70">
        <f t="shared" si="6"/>
        <v>0</v>
      </c>
    </row>
    <row r="28" spans="1:21" s="6" customFormat="1" ht="11.25" customHeight="1" x14ac:dyDescent="0.35">
      <c r="L28" s="10"/>
      <c r="Q28" s="10"/>
    </row>
    <row r="29" spans="1:21" s="13" customFormat="1" ht="14.1" x14ac:dyDescent="0.35">
      <c r="C29" s="13" t="s">
        <v>268</v>
      </c>
    </row>
    <row r="30" spans="1:21" s="6" customFormat="1" ht="11.25" customHeight="1" x14ac:dyDescent="0.35"/>
    <row r="31" spans="1:21" ht="12.3" x14ac:dyDescent="0.35">
      <c r="D31" s="50" t="s">
        <v>109</v>
      </c>
      <c r="E31" s="45" t="str">
        <f>Lookup!E$20</f>
        <v>Source</v>
      </c>
      <c r="F31" s="45" t="str">
        <f>Lookup!F$20</f>
        <v>Unit</v>
      </c>
      <c r="G31" s="45" t="str">
        <f>Lookup!G$20</f>
        <v>Basis</v>
      </c>
      <c r="H31" s="45" t="str">
        <f>Lookup!H$20</f>
        <v>Timing</v>
      </c>
      <c r="J31" s="54" t="str">
        <f>J$10</f>
        <v>RY06</v>
      </c>
      <c r="K31" s="45" t="str">
        <f t="shared" ref="K31:U31" si="7">K$10</f>
        <v>RY07</v>
      </c>
      <c r="L31" s="45" t="str">
        <f t="shared" si="7"/>
        <v>RY08</v>
      </c>
      <c r="M31" s="45" t="str">
        <f t="shared" si="7"/>
        <v>RY09</v>
      </c>
      <c r="N31" s="45" t="str">
        <f t="shared" si="7"/>
        <v>RY10</v>
      </c>
      <c r="O31" s="45" t="str">
        <f>O$10</f>
        <v>RY11</v>
      </c>
      <c r="P31" s="45" t="str">
        <f t="shared" si="7"/>
        <v>RY12</v>
      </c>
      <c r="Q31" s="45" t="str">
        <f t="shared" si="7"/>
        <v>RY13</v>
      </c>
      <c r="R31" s="55" t="str">
        <f t="shared" si="7"/>
        <v>RY14</v>
      </c>
      <c r="S31" s="54" t="str">
        <f t="shared" si="7"/>
        <v>RY15</v>
      </c>
      <c r="T31" s="45" t="str">
        <f>T$10</f>
        <v>RY16</v>
      </c>
      <c r="U31" s="45" t="str">
        <f t="shared" si="7"/>
        <v>RY17</v>
      </c>
    </row>
    <row r="32" spans="1:21" x14ac:dyDescent="0.35">
      <c r="J32" s="56"/>
      <c r="K32" s="57"/>
      <c r="L32" s="57"/>
      <c r="M32" s="57"/>
      <c r="N32" s="57"/>
      <c r="O32" s="57"/>
      <c r="P32" s="57"/>
      <c r="Q32" s="57"/>
      <c r="R32" s="58"/>
      <c r="S32" s="56"/>
      <c r="T32" s="57"/>
      <c r="U32" s="57"/>
    </row>
    <row r="33" spans="1:21" ht="12.3" x14ac:dyDescent="0.35">
      <c r="D33" s="26" t="s">
        <v>266</v>
      </c>
      <c r="E33" s="52" t="s">
        <v>196</v>
      </c>
      <c r="F33" s="52" t="str">
        <f t="shared" ref="F33:F36" si="8">Dollars</f>
        <v>Dollars</v>
      </c>
      <c r="G33" s="52" t="str">
        <f t="shared" ref="G33:G36" si="9">Nominal</f>
        <v>Nominal</v>
      </c>
      <c r="H33" s="52" t="str">
        <f t="shared" ref="H33:H36" si="10">Mid_year</f>
        <v>Mid year</v>
      </c>
      <c r="J33" s="64">
        <v>0</v>
      </c>
      <c r="K33" s="60">
        <v>0</v>
      </c>
      <c r="L33" s="60">
        <v>0</v>
      </c>
      <c r="M33" s="60">
        <f>Input_RAB_SCS!M99</f>
        <v>12.181350319566928</v>
      </c>
      <c r="N33" s="60">
        <f>Input_RAB_SCS!N99</f>
        <v>12.406675272708666</v>
      </c>
      <c r="O33" s="60">
        <f>Input_RAB_SCS!O99</f>
        <v>12.890129907698144</v>
      </c>
      <c r="P33" s="60">
        <f>Input_RAB_SCS!P99</f>
        <v>14.655414350523726</v>
      </c>
      <c r="Q33" s="60">
        <f>Input_RAB_SCS!Q99</f>
        <v>25.982364711597128</v>
      </c>
      <c r="R33" s="65">
        <f>Input_RAB_SCS!R99</f>
        <v>16.600578960978812</v>
      </c>
      <c r="S33" s="59">
        <f>Input_RAB_SCS!S99</f>
        <v>15.067805371660075</v>
      </c>
      <c r="T33" s="60">
        <f>Input_RAB_SCS!T99</f>
        <v>10.185156410091212</v>
      </c>
      <c r="U33" s="60">
        <f>Input_RAB_SCS!U99</f>
        <v>9.6264506030752521</v>
      </c>
    </row>
    <row r="34" spans="1:21" ht="12.3" x14ac:dyDescent="0.35">
      <c r="D34" s="26" t="s">
        <v>451</v>
      </c>
      <c r="E34" s="52" t="s">
        <v>196</v>
      </c>
      <c r="F34" s="52" t="str">
        <f t="shared" si="8"/>
        <v>Dollars</v>
      </c>
      <c r="G34" s="52" t="str">
        <f t="shared" si="9"/>
        <v>Nominal</v>
      </c>
      <c r="H34" s="52" t="str">
        <f t="shared" si="10"/>
        <v>Mid year</v>
      </c>
      <c r="J34" s="64">
        <v>0</v>
      </c>
      <c r="K34" s="60">
        <v>0</v>
      </c>
      <c r="L34" s="60">
        <v>0</v>
      </c>
      <c r="M34" s="60">
        <f>Input_RAB_SCS!M101</f>
        <v>0</v>
      </c>
      <c r="N34" s="60">
        <f>Input_RAB_SCS!N101</f>
        <v>0</v>
      </c>
      <c r="O34" s="60">
        <f>Input_RAB_SCS!O101</f>
        <v>0</v>
      </c>
      <c r="P34" s="60">
        <f>Input_RAB_SCS!P101</f>
        <v>0</v>
      </c>
      <c r="Q34" s="60">
        <f>Input_RAB_SCS!Q101</f>
        <v>0</v>
      </c>
      <c r="R34" s="65">
        <f>Input_RAB_SCS!R101</f>
        <v>9.7901082675392586E-3</v>
      </c>
      <c r="S34" s="59">
        <f>Input_RAB_SCS!S101</f>
        <v>1.845242940979605</v>
      </c>
      <c r="T34" s="60">
        <f>Input_RAB_SCS!T101</f>
        <v>1.8793855289481671</v>
      </c>
      <c r="U34" s="60">
        <f>Input_RAB_SCS!U101</f>
        <v>1.7205042819852123</v>
      </c>
    </row>
    <row r="35" spans="1:21" ht="12.3" x14ac:dyDescent="0.35">
      <c r="D35" s="26" t="s">
        <v>267</v>
      </c>
      <c r="E35" s="52" t="s">
        <v>196</v>
      </c>
      <c r="F35" s="52" t="str">
        <f t="shared" si="8"/>
        <v>Dollars</v>
      </c>
      <c r="G35" s="52" t="str">
        <f t="shared" si="9"/>
        <v>Nominal</v>
      </c>
      <c r="H35" s="52" t="str">
        <f t="shared" si="10"/>
        <v>Mid year</v>
      </c>
      <c r="J35" s="64">
        <v>0</v>
      </c>
      <c r="K35" s="60">
        <v>0</v>
      </c>
      <c r="L35" s="60">
        <v>0</v>
      </c>
      <c r="M35" s="60">
        <f>Input_RAB_SCS!M102</f>
        <v>2.2142683556118805</v>
      </c>
      <c r="N35" s="60">
        <f>Input_RAB_SCS!N102</f>
        <v>12.630295458322083</v>
      </c>
      <c r="O35" s="60">
        <f>Input_RAB_SCS!O102</f>
        <v>12.284275029227013</v>
      </c>
      <c r="P35" s="60">
        <f>Input_RAB_SCS!P102</f>
        <v>4.9790162049504652</v>
      </c>
      <c r="Q35" s="60">
        <f>Input_RAB_SCS!Q102</f>
        <v>4.9195138669814025</v>
      </c>
      <c r="R35" s="65">
        <f>Input_RAB_SCS!R102</f>
        <v>4.3922376868375999</v>
      </c>
      <c r="S35" s="59">
        <f>Input_RAB_SCS!S102</f>
        <v>8.536768905097718</v>
      </c>
      <c r="T35" s="60">
        <f>Input_RAB_SCS!T102</f>
        <v>5.8470152011595493</v>
      </c>
      <c r="U35" s="60">
        <f>Input_RAB_SCS!U102</f>
        <v>3.4471765743363849</v>
      </c>
    </row>
    <row r="36" spans="1:21" ht="12.3" x14ac:dyDescent="0.35">
      <c r="D36" s="26" t="s">
        <v>409</v>
      </c>
      <c r="E36" s="52" t="s">
        <v>196</v>
      </c>
      <c r="F36" s="52" t="str">
        <f t="shared" si="8"/>
        <v>Dollars</v>
      </c>
      <c r="G36" s="52" t="str">
        <f t="shared" si="9"/>
        <v>Nominal</v>
      </c>
      <c r="H36" s="52" t="str">
        <f t="shared" si="10"/>
        <v>Mid year</v>
      </c>
      <c r="J36" s="64">
        <v>0</v>
      </c>
      <c r="K36" s="60">
        <v>0</v>
      </c>
      <c r="L36" s="60">
        <v>0</v>
      </c>
      <c r="M36" s="60">
        <f>Input_RAB_SCS!M103</f>
        <v>4.9949220557587264</v>
      </c>
      <c r="N36" s="60">
        <f>Input_RAB_SCS!N103</f>
        <v>0</v>
      </c>
      <c r="O36" s="60">
        <f>Input_RAB_SCS!O103</f>
        <v>0</v>
      </c>
      <c r="P36" s="60">
        <f>Input_RAB_SCS!P103</f>
        <v>0</v>
      </c>
      <c r="Q36" s="60">
        <f>Input_RAB_SCS!Q103</f>
        <v>0</v>
      </c>
      <c r="R36" s="65">
        <f>Input_RAB_SCS!R103</f>
        <v>0.77329114132065246</v>
      </c>
      <c r="S36" s="59">
        <f>Input_RAB_SCS!S103</f>
        <v>4.9930955238967991</v>
      </c>
      <c r="T36" s="60">
        <f>Input_RAB_SCS!T103</f>
        <v>5.8372887907493949</v>
      </c>
      <c r="U36" s="60">
        <f>Input_RAB_SCS!U103</f>
        <v>5.1872992087865128</v>
      </c>
    </row>
    <row r="37" spans="1:21" x14ac:dyDescent="0.35">
      <c r="J37" s="56"/>
      <c r="K37" s="57"/>
      <c r="L37" s="57"/>
      <c r="M37" s="57"/>
      <c r="N37" s="57"/>
      <c r="O37" s="57"/>
      <c r="P37" s="57"/>
      <c r="Q37" s="57"/>
      <c r="R37" s="58"/>
      <c r="S37" s="56"/>
      <c r="T37" s="57"/>
      <c r="U37" s="57"/>
    </row>
    <row r="38" spans="1:21" ht="12.3" x14ac:dyDescent="0.35">
      <c r="D38" s="51" t="s">
        <v>189</v>
      </c>
      <c r="E38" s="47" t="s">
        <v>111</v>
      </c>
      <c r="F38" s="47" t="str">
        <f>F33</f>
        <v>Dollars</v>
      </c>
      <c r="G38" s="47" t="str">
        <f>G33</f>
        <v>Nominal</v>
      </c>
      <c r="H38" s="47" t="str">
        <f>H33</f>
        <v>Mid year</v>
      </c>
      <c r="J38" s="62">
        <f>SUM(J33:J36)</f>
        <v>0</v>
      </c>
      <c r="K38" s="46">
        <f t="shared" ref="K38:U38" si="11">SUM(K33:K36)</f>
        <v>0</v>
      </c>
      <c r="L38" s="46">
        <f t="shared" si="11"/>
        <v>0</v>
      </c>
      <c r="M38" s="46">
        <f t="shared" si="11"/>
        <v>19.390540730937534</v>
      </c>
      <c r="N38" s="46">
        <f t="shared" si="11"/>
        <v>25.036970731030749</v>
      </c>
      <c r="O38" s="46">
        <f t="shared" si="11"/>
        <v>25.174404936925157</v>
      </c>
      <c r="P38" s="46">
        <f t="shared" si="11"/>
        <v>19.634430555474189</v>
      </c>
      <c r="Q38" s="46">
        <f t="shared" si="11"/>
        <v>30.901878578578533</v>
      </c>
      <c r="R38" s="63">
        <f t="shared" si="11"/>
        <v>21.775897897404601</v>
      </c>
      <c r="S38" s="62">
        <f t="shared" si="11"/>
        <v>30.442912741634196</v>
      </c>
      <c r="T38" s="46">
        <f t="shared" si="11"/>
        <v>23.748845930948324</v>
      </c>
      <c r="U38" s="46">
        <f t="shared" si="11"/>
        <v>19.981430668183364</v>
      </c>
    </row>
    <row r="39" spans="1:21" s="6" customFormat="1" ht="11.25" customHeight="1" x14ac:dyDescent="0.35"/>
    <row r="40" spans="1:21" s="6" customFormat="1" ht="11.25" customHeight="1" x14ac:dyDescent="0.35">
      <c r="A40" s="49">
        <f>IF(SUM($J40:$U40)&lt;&gt;0,1,0)</f>
        <v>0</v>
      </c>
      <c r="D40" s="15" t="s">
        <v>114</v>
      </c>
      <c r="J40" s="70">
        <f>IF(ISERROR(J38),1,0)</f>
        <v>0</v>
      </c>
      <c r="K40" s="70">
        <f t="shared" ref="K40:N40" si="12">IF(ISERROR(K38),1,0)</f>
        <v>0</v>
      </c>
      <c r="L40" s="70">
        <f t="shared" si="12"/>
        <v>0</v>
      </c>
      <c r="M40" s="70">
        <f t="shared" si="12"/>
        <v>0</v>
      </c>
      <c r="N40" s="70">
        <f t="shared" si="12"/>
        <v>0</v>
      </c>
      <c r="O40" s="70">
        <f>IF(ISERROR(O38),1,0)</f>
        <v>0</v>
      </c>
      <c r="P40" s="70">
        <f t="shared" ref="P40:S40" si="13">IF(ISERROR(P38),1,0)</f>
        <v>0</v>
      </c>
      <c r="Q40" s="70">
        <f t="shared" si="13"/>
        <v>0</v>
      </c>
      <c r="R40" s="70">
        <f t="shared" si="13"/>
        <v>0</v>
      </c>
      <c r="S40" s="70">
        <f t="shared" si="13"/>
        <v>0</v>
      </c>
      <c r="T40" s="70">
        <f>IF(ISERROR(T38),1,0)</f>
        <v>0</v>
      </c>
      <c r="U40" s="70">
        <f t="shared" ref="U40" si="14">IF(ISERROR(U38),1,0)</f>
        <v>0</v>
      </c>
    </row>
    <row r="41" spans="1:21" s="6" customFormat="1" ht="11.25" customHeight="1" x14ac:dyDescent="0.35">
      <c r="L41" s="10"/>
      <c r="Q41" s="10"/>
    </row>
    <row r="42" spans="1:21" s="6" customFormat="1" ht="11.25" customHeight="1" x14ac:dyDescent="0.35">
      <c r="D42" s="319" t="s">
        <v>446</v>
      </c>
      <c r="L42" s="10"/>
      <c r="Q42" s="10"/>
    </row>
    <row r="43" spans="1:21" s="6" customFormat="1" ht="11.25" customHeight="1" x14ac:dyDescent="0.35">
      <c r="L43" s="10"/>
      <c r="Q43" s="10"/>
    </row>
    <row r="44" spans="1:21" s="4" customFormat="1" ht="15" x14ac:dyDescent="0.35">
      <c r="B44" s="4" t="s">
        <v>33</v>
      </c>
    </row>
  </sheetData>
  <conditionalFormatting sqref="B2">
    <cfRule type="cellIs" dxfId="17" priority="1" operator="notEqual">
      <formula>"No Errors Found"</formula>
    </cfRule>
  </conditionalFormatting>
  <hyperlinks>
    <hyperlink ref="B3:E3" location="TOC!A1" display="TOC!A1" xr:uid="{00000000-0004-0000-06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A8D32-A0AE-4165-A2B6-D3041622A563}">
  <sheetPr>
    <tabColor theme="4" tint="0.79998168889431442"/>
  </sheetPr>
  <dimension ref="A1:X86"/>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33203125" defaultRowHeight="10.199999999999999" outlineLevelRow="1" x14ac:dyDescent="0.35"/>
  <cols>
    <col min="1" max="1" width="3.33203125" style="7" customWidth="1"/>
    <col min="2" max="3" width="2.796875" style="7" customWidth="1"/>
    <col min="4" max="4" width="48.46484375" style="7" customWidth="1"/>
    <col min="5" max="5" width="18" style="7" customWidth="1"/>
    <col min="6" max="6" width="9.1328125" style="7" customWidth="1"/>
    <col min="7" max="7" width="12" style="7" customWidth="1"/>
    <col min="8" max="8" width="10" style="7" customWidth="1"/>
    <col min="9" max="9" width="4.1328125" style="7" customWidth="1"/>
    <col min="10" max="22" width="13.1328125" style="7" customWidth="1"/>
    <col min="23" max="23" width="4" style="7" customWidth="1"/>
    <col min="24" max="26" width="13.1328125" style="7" customWidth="1"/>
    <col min="27" max="16384" width="9.33203125" style="7"/>
  </cols>
  <sheetData>
    <row r="1" spans="1:21" ht="18.899999999999999" x14ac:dyDescent="0.35">
      <c r="A1" s="49">
        <f>IF(SUM($A11:$A86)&gt;0,1,0)</f>
        <v>0</v>
      </c>
      <c r="B1" s="5" t="s">
        <v>452</v>
      </c>
    </row>
    <row r="2" spans="1:21" x14ac:dyDescent="0.35">
      <c r="B2" s="18" t="str">
        <f>Title_Msg</f>
        <v>No Errors Found</v>
      </c>
    </row>
    <row r="3" spans="1:21" x14ac:dyDescent="0.35">
      <c r="B3" s="37" t="str">
        <f>TOC!B1</f>
        <v>Table of Contents</v>
      </c>
      <c r="C3" s="35"/>
      <c r="D3" s="35"/>
      <c r="E3" s="35"/>
    </row>
    <row r="4" spans="1:21" ht="12.3" x14ac:dyDescent="0.35">
      <c r="B4" s="34" t="str">
        <f>Model_Name</f>
        <v>Power and Water Corporation (PWC) - RAB Allocation - EB RIN - DRAFT</v>
      </c>
    </row>
    <row r="5" spans="1:21" ht="12.3" hidden="1" outlineLevel="1" x14ac:dyDescent="0.35">
      <c r="B5" s="15" t="str">
        <f>Lookup!B15</f>
        <v>Period Start Date</v>
      </c>
      <c r="J5" s="42">
        <f>Lookup!J15</f>
        <v>38534</v>
      </c>
      <c r="K5" s="42">
        <f>Lookup!K15</f>
        <v>38899</v>
      </c>
      <c r="L5" s="42">
        <f>Lookup!L15</f>
        <v>39264</v>
      </c>
      <c r="M5" s="42">
        <f>Lookup!M15</f>
        <v>39630</v>
      </c>
      <c r="N5" s="42">
        <f>Lookup!N15</f>
        <v>39995</v>
      </c>
      <c r="O5" s="42">
        <f>Lookup!O15</f>
        <v>40360</v>
      </c>
      <c r="P5" s="42">
        <f>Lookup!P15</f>
        <v>40725</v>
      </c>
      <c r="Q5" s="42">
        <f>Lookup!Q15</f>
        <v>41091</v>
      </c>
      <c r="R5" s="42">
        <f>Lookup!R15</f>
        <v>41456</v>
      </c>
      <c r="S5" s="42">
        <f>Lookup!S15</f>
        <v>41821</v>
      </c>
      <c r="T5" s="42">
        <f>Lookup!T15</f>
        <v>42186</v>
      </c>
      <c r="U5" s="42">
        <f>Lookup!U15</f>
        <v>42552</v>
      </c>
    </row>
    <row r="6" spans="1:21" ht="12.3" hidden="1" outlineLevel="1" x14ac:dyDescent="0.35">
      <c r="B6" s="15" t="str">
        <f>Lookup!B16</f>
        <v>Period End Date</v>
      </c>
      <c r="J6" s="42">
        <f>Lookup!J16</f>
        <v>38898</v>
      </c>
      <c r="K6" s="42">
        <f>Lookup!K16</f>
        <v>39263</v>
      </c>
      <c r="L6" s="42">
        <f>Lookup!L16</f>
        <v>39629</v>
      </c>
      <c r="M6" s="42">
        <f>Lookup!M16</f>
        <v>39994</v>
      </c>
      <c r="N6" s="42">
        <f>Lookup!N16</f>
        <v>40359</v>
      </c>
      <c r="O6" s="42">
        <f>Lookup!O16</f>
        <v>40724</v>
      </c>
      <c r="P6" s="42">
        <f>Lookup!P16</f>
        <v>41090</v>
      </c>
      <c r="Q6" s="42">
        <f>Lookup!Q16</f>
        <v>41455</v>
      </c>
      <c r="R6" s="42">
        <f>Lookup!R16</f>
        <v>41820</v>
      </c>
      <c r="S6" s="42">
        <f>Lookup!S16</f>
        <v>42185</v>
      </c>
      <c r="T6" s="42">
        <f>Lookup!T16</f>
        <v>42551</v>
      </c>
      <c r="U6" s="42">
        <f>Lookup!U16</f>
        <v>42916</v>
      </c>
    </row>
    <row r="7" spans="1:21" ht="12.3" hidden="1" outlineLevel="1" x14ac:dyDescent="0.35">
      <c r="B7" s="15" t="str">
        <f>Lookup!B17</f>
        <v>Period Counter</v>
      </c>
      <c r="J7" s="43">
        <f>Lookup!J17</f>
        <v>1</v>
      </c>
      <c r="K7" s="43">
        <f>Lookup!K17</f>
        <v>2</v>
      </c>
      <c r="L7" s="43">
        <f>Lookup!L17</f>
        <v>3</v>
      </c>
      <c r="M7" s="43">
        <f>Lookup!M17</f>
        <v>4</v>
      </c>
      <c r="N7" s="43">
        <f>Lookup!N17</f>
        <v>5</v>
      </c>
      <c r="O7" s="43">
        <f>Lookup!O17</f>
        <v>6</v>
      </c>
      <c r="P7" s="43">
        <f>Lookup!P17</f>
        <v>7</v>
      </c>
      <c r="Q7" s="43">
        <f>Lookup!Q17</f>
        <v>8</v>
      </c>
      <c r="R7" s="43">
        <f>Lookup!R17</f>
        <v>9</v>
      </c>
      <c r="S7" s="43">
        <f>Lookup!S17</f>
        <v>10</v>
      </c>
      <c r="T7" s="43">
        <f>Lookup!T17</f>
        <v>11</v>
      </c>
      <c r="U7" s="43">
        <f>Lookup!U17</f>
        <v>12</v>
      </c>
    </row>
    <row r="8" spans="1:21" ht="12.3" hidden="1" outlineLevel="1" x14ac:dyDescent="0.35">
      <c r="B8" s="15" t="str">
        <f>Lookup!B18</f>
        <v>Year</v>
      </c>
      <c r="J8" s="44">
        <f>Lookup!J18</f>
        <v>2006</v>
      </c>
      <c r="K8" s="44">
        <f>Lookup!K18</f>
        <v>2007</v>
      </c>
      <c r="L8" s="44">
        <f>Lookup!L18</f>
        <v>2008</v>
      </c>
      <c r="M8" s="44">
        <f>Lookup!M18</f>
        <v>2009</v>
      </c>
      <c r="N8" s="44">
        <f>Lookup!N18</f>
        <v>2010</v>
      </c>
      <c r="O8" s="44">
        <f>Lookup!O18</f>
        <v>2011</v>
      </c>
      <c r="P8" s="44">
        <f>Lookup!P18</f>
        <v>2012</v>
      </c>
      <c r="Q8" s="44">
        <f>Lookup!Q18</f>
        <v>2013</v>
      </c>
      <c r="R8" s="44">
        <f>Lookup!R18</f>
        <v>2014</v>
      </c>
      <c r="S8" s="44">
        <f>Lookup!S18</f>
        <v>2015</v>
      </c>
      <c r="T8" s="44">
        <f>Lookup!T18</f>
        <v>2016</v>
      </c>
      <c r="U8" s="44">
        <f>Lookup!U18</f>
        <v>2017</v>
      </c>
    </row>
    <row r="9" spans="1:21" ht="12.3" hidden="1" outlineLevel="1" x14ac:dyDescent="0.35">
      <c r="B9" s="15" t="str">
        <f>Lookup!B19</f>
        <v>Period Type</v>
      </c>
      <c r="J9" s="44" t="str">
        <f>Lookup!J19</f>
        <v>Actual</v>
      </c>
      <c r="K9" s="44" t="str">
        <f>Lookup!K19</f>
        <v>Actual</v>
      </c>
      <c r="L9" s="44" t="str">
        <f>Lookup!L19</f>
        <v>Actual</v>
      </c>
      <c r="M9" s="44" t="str">
        <f>Lookup!M19</f>
        <v>Base Year</v>
      </c>
      <c r="N9" s="44" t="str">
        <f>Lookup!N19</f>
        <v>Forecast</v>
      </c>
      <c r="O9" s="44" t="str">
        <f>Lookup!O19</f>
        <v>Forecast</v>
      </c>
      <c r="P9" s="44" t="str">
        <f>Lookup!P19</f>
        <v>Forecast</v>
      </c>
      <c r="Q9" s="44" t="str">
        <f>Lookup!Q19</f>
        <v>Forecast</v>
      </c>
      <c r="R9" s="44" t="str">
        <f>Lookup!R19</f>
        <v>Forecast</v>
      </c>
      <c r="S9" s="44" t="str">
        <f>Lookup!S19</f>
        <v>Forecast</v>
      </c>
      <c r="T9" s="44" t="str">
        <f>Lookup!T19</f>
        <v>Forecast</v>
      </c>
      <c r="U9" s="44" t="str">
        <f>Lookup!U19</f>
        <v>Forecast</v>
      </c>
    </row>
    <row r="10" spans="1:21" ht="12.3" collapsed="1" x14ac:dyDescent="0.35">
      <c r="B10" s="10" t="str">
        <f>Lookup!B20</f>
        <v>Regulatory Year</v>
      </c>
      <c r="E10" s="41" t="str">
        <f>Lookup!E20</f>
        <v>Source</v>
      </c>
      <c r="F10" s="41" t="str">
        <f>Lookup!F20</f>
        <v>Unit</v>
      </c>
      <c r="G10" s="41" t="str">
        <f>Lookup!G20</f>
        <v>Basis</v>
      </c>
      <c r="H10" s="41" t="str">
        <f>Lookup!H20</f>
        <v>Timing</v>
      </c>
      <c r="I10" s="41"/>
      <c r="J10" s="41" t="str">
        <f>Lookup!J20</f>
        <v>RY06</v>
      </c>
      <c r="K10" s="41" t="str">
        <f>Lookup!K20</f>
        <v>RY07</v>
      </c>
      <c r="L10" s="41" t="str">
        <f>Lookup!L20</f>
        <v>RY08</v>
      </c>
      <c r="M10" s="41" t="str">
        <f>Lookup!M20</f>
        <v>RY09</v>
      </c>
      <c r="N10" s="41" t="str">
        <f>Lookup!N20</f>
        <v>RY10</v>
      </c>
      <c r="O10" s="41" t="str">
        <f>Lookup!O20</f>
        <v>RY11</v>
      </c>
      <c r="P10" s="41" t="str">
        <f>Lookup!P20</f>
        <v>RY12</v>
      </c>
      <c r="Q10" s="41" t="str">
        <f>Lookup!Q20</f>
        <v>RY13</v>
      </c>
      <c r="R10" s="41" t="str">
        <f>Lookup!R20</f>
        <v>RY14</v>
      </c>
      <c r="S10" s="41" t="str">
        <f>Lookup!S20</f>
        <v>RY15</v>
      </c>
      <c r="T10" s="41" t="str">
        <f>Lookup!T20</f>
        <v>RY16</v>
      </c>
      <c r="U10" s="41" t="str">
        <f>Lookup!U20</f>
        <v>RY17</v>
      </c>
    </row>
    <row r="12" spans="1:21" s="4" customFormat="1" ht="15" x14ac:dyDescent="0.35">
      <c r="B12" s="4" t="s">
        <v>424</v>
      </c>
    </row>
    <row r="13" spans="1:21" s="6" customFormat="1" ht="4.5" customHeight="1" x14ac:dyDescent="0.35"/>
    <row r="14" spans="1:21" s="13" customFormat="1" ht="14.1" x14ac:dyDescent="0.35">
      <c r="C14" s="13" t="s">
        <v>453</v>
      </c>
    </row>
    <row r="15" spans="1:21" s="6" customFormat="1" ht="11.25" customHeight="1" x14ac:dyDescent="0.35"/>
    <row r="16" spans="1:21" s="6" customFormat="1" ht="11.25" customHeight="1" x14ac:dyDescent="0.35">
      <c r="D16" s="279" t="s">
        <v>109</v>
      </c>
      <c r="E16" s="280" t="str">
        <f>Lookup!E$20</f>
        <v>Source</v>
      </c>
      <c r="F16" s="280" t="str">
        <f>Lookup!F$20</f>
        <v>Unit</v>
      </c>
      <c r="G16" s="280" t="str">
        <f>Lookup!G$20</f>
        <v>Basis</v>
      </c>
      <c r="H16" s="280" t="str">
        <f>Lookup!H$20</f>
        <v>Timing</v>
      </c>
      <c r="U16" s="280" t="str">
        <f>U$10</f>
        <v>RY17</v>
      </c>
    </row>
    <row r="17" spans="1:21" s="6" customFormat="1" ht="11.25" customHeight="1" x14ac:dyDescent="0.35">
      <c r="D17" s="265"/>
      <c r="E17" s="265"/>
      <c r="F17" s="265"/>
      <c r="G17" s="265"/>
      <c r="H17" s="265"/>
      <c r="U17" s="281"/>
    </row>
    <row r="18" spans="1:21" s="6" customFormat="1" ht="11.25" customHeight="1" x14ac:dyDescent="0.35">
      <c r="D18" s="270" t="str">
        <f>Lookup!$D$103</f>
        <v>Overhead network assets less than 33kV</v>
      </c>
      <c r="E18" s="282" t="s">
        <v>111</v>
      </c>
      <c r="F18" s="282" t="s">
        <v>262</v>
      </c>
      <c r="G18" s="282" t="str">
        <f t="shared" ref="G18:H27" si="0">NA</f>
        <v>N/A</v>
      </c>
      <c r="H18" s="282" t="str">
        <f t="shared" si="0"/>
        <v>N/A</v>
      </c>
      <c r="U18" s="290">
        <f t="shared" ref="U18:U23" si="1">AVERAGE(J39:V39)</f>
        <v>49.792725031645205</v>
      </c>
    </row>
    <row r="19" spans="1:21" s="6" customFormat="1" ht="11.25" customHeight="1" x14ac:dyDescent="0.35">
      <c r="D19" s="270" t="str">
        <f>Lookup!$D$104</f>
        <v>Underground network assets less than 33kV</v>
      </c>
      <c r="E19" s="282" t="s">
        <v>111</v>
      </c>
      <c r="F19" s="282" t="s">
        <v>262</v>
      </c>
      <c r="G19" s="282" t="str">
        <f t="shared" si="0"/>
        <v>N/A</v>
      </c>
      <c r="H19" s="282" t="str">
        <f t="shared" si="0"/>
        <v>N/A</v>
      </c>
      <c r="U19" s="290">
        <f t="shared" si="1"/>
        <v>52.300284796833004</v>
      </c>
    </row>
    <row r="20" spans="1:21" s="6" customFormat="1" ht="11.25" customHeight="1" x14ac:dyDescent="0.35">
      <c r="D20" s="270" t="str">
        <f>Lookup!$D$105</f>
        <v>Distribution substations and transformers</v>
      </c>
      <c r="E20" s="282" t="s">
        <v>111</v>
      </c>
      <c r="F20" s="282" t="s">
        <v>262</v>
      </c>
      <c r="G20" s="282" t="str">
        <f t="shared" si="0"/>
        <v>N/A</v>
      </c>
      <c r="H20" s="282" t="str">
        <f t="shared" si="0"/>
        <v>N/A</v>
      </c>
      <c r="U20" s="290">
        <f t="shared" si="1"/>
        <v>44.555321903731347</v>
      </c>
    </row>
    <row r="21" spans="1:21" s="6" customFormat="1" ht="11.25" customHeight="1" x14ac:dyDescent="0.35">
      <c r="D21" s="270" t="str">
        <f>Lookup!$D$106</f>
        <v>Overhead network assets 33kV and above</v>
      </c>
      <c r="E21" s="282" t="s">
        <v>111</v>
      </c>
      <c r="F21" s="282" t="s">
        <v>262</v>
      </c>
      <c r="G21" s="282" t="str">
        <f t="shared" si="0"/>
        <v>N/A</v>
      </c>
      <c r="H21" s="282" t="str">
        <f t="shared" si="0"/>
        <v>N/A</v>
      </c>
      <c r="U21" s="290">
        <f t="shared" si="1"/>
        <v>54.343924174110775</v>
      </c>
    </row>
    <row r="22" spans="1:21" s="6" customFormat="1" ht="11.25" customHeight="1" x14ac:dyDescent="0.35">
      <c r="D22" s="270" t="str">
        <f>Lookup!$D$107</f>
        <v>Underground network assets 33kV and above</v>
      </c>
      <c r="E22" s="282" t="s">
        <v>111</v>
      </c>
      <c r="F22" s="282" t="s">
        <v>262</v>
      </c>
      <c r="G22" s="282" t="str">
        <f t="shared" si="0"/>
        <v>N/A</v>
      </c>
      <c r="H22" s="282" t="str">
        <f t="shared" si="0"/>
        <v>N/A</v>
      </c>
      <c r="U22" s="290">
        <f t="shared" si="1"/>
        <v>49.613725933874562</v>
      </c>
    </row>
    <row r="23" spans="1:21" s="6" customFormat="1" ht="11.25" customHeight="1" x14ac:dyDescent="0.35">
      <c r="D23" s="270" t="str">
        <f>Lookup!$D$108</f>
        <v>Zone substations and transformers</v>
      </c>
      <c r="E23" s="282" t="s">
        <v>111</v>
      </c>
      <c r="F23" s="282" t="s">
        <v>262</v>
      </c>
      <c r="G23" s="282" t="str">
        <f t="shared" si="0"/>
        <v>N/A</v>
      </c>
      <c r="H23" s="282" t="str">
        <f t="shared" si="0"/>
        <v>N/A</v>
      </c>
      <c r="U23" s="290">
        <f t="shared" si="1"/>
        <v>45.619061322390586</v>
      </c>
    </row>
    <row r="24" spans="1:21" s="6" customFormat="1" ht="11.25" customHeight="1" x14ac:dyDescent="0.35">
      <c r="D24" s="270" t="str">
        <f>Lookup!$D$109</f>
        <v>Easements</v>
      </c>
      <c r="E24" s="282" t="s">
        <v>111</v>
      </c>
      <c r="F24" s="282" t="s">
        <v>262</v>
      </c>
      <c r="G24" s="282" t="str">
        <f t="shared" si="0"/>
        <v>N/A</v>
      </c>
      <c r="H24" s="282" t="str">
        <f t="shared" si="0"/>
        <v>N/A</v>
      </c>
      <c r="U24" s="290" t="str">
        <f>NA</f>
        <v>N/A</v>
      </c>
    </row>
    <row r="25" spans="1:21" s="6" customFormat="1" ht="11.25" customHeight="1" x14ac:dyDescent="0.35">
      <c r="D25" s="270" t="str">
        <f>Lookup!$D$110</f>
        <v>Meters</v>
      </c>
      <c r="E25" s="282" t="s">
        <v>111</v>
      </c>
      <c r="F25" s="282" t="s">
        <v>262</v>
      </c>
      <c r="G25" s="282" t="str">
        <f t="shared" si="0"/>
        <v>N/A</v>
      </c>
      <c r="H25" s="282" t="str">
        <f t="shared" si="0"/>
        <v>N/A</v>
      </c>
      <c r="U25" s="290">
        <f>AVERAGE(J46,M46,P46:S46)</f>
        <v>16</v>
      </c>
    </row>
    <row r="26" spans="1:21" s="6" customFormat="1" ht="11.25" customHeight="1" x14ac:dyDescent="0.35">
      <c r="D26" s="270" t="str">
        <f>Lookup!$D$111</f>
        <v>“Other” asset items with long lives</v>
      </c>
      <c r="E26" s="282" t="s">
        <v>111</v>
      </c>
      <c r="F26" s="282" t="s">
        <v>262</v>
      </c>
      <c r="G26" s="282" t="str">
        <f t="shared" si="0"/>
        <v>N/A</v>
      </c>
      <c r="H26" s="282" t="str">
        <f t="shared" si="0"/>
        <v>N/A</v>
      </c>
      <c r="U26" s="290">
        <f>AVERAGE(J47:V47)</f>
        <v>29.023808433625259</v>
      </c>
    </row>
    <row r="27" spans="1:21" s="6" customFormat="1" ht="11.25" customHeight="1" x14ac:dyDescent="0.35">
      <c r="D27" s="270" t="str">
        <f>Lookup!$D$112</f>
        <v>“Other” asset items with short lives</v>
      </c>
      <c r="E27" s="282" t="s">
        <v>111</v>
      </c>
      <c r="F27" s="282" t="s">
        <v>262</v>
      </c>
      <c r="G27" s="282" t="str">
        <f t="shared" si="0"/>
        <v>N/A</v>
      </c>
      <c r="H27" s="282" t="str">
        <f t="shared" si="0"/>
        <v>N/A</v>
      </c>
      <c r="U27" s="290">
        <f>AVERAGE(J48:V48)</f>
        <v>6.9300161354856167</v>
      </c>
    </row>
    <row r="28" spans="1:21" s="6" customFormat="1" ht="11.25" customHeight="1" x14ac:dyDescent="0.35">
      <c r="D28" s="265"/>
      <c r="E28" s="265"/>
      <c r="F28" s="265"/>
      <c r="G28" s="265"/>
      <c r="H28" s="265"/>
      <c r="U28" s="281"/>
    </row>
    <row r="29" spans="1:21" s="6" customFormat="1" ht="11.25" customHeight="1" x14ac:dyDescent="0.35">
      <c r="D29" s="283" t="s">
        <v>110</v>
      </c>
      <c r="E29" s="284" t="s">
        <v>35</v>
      </c>
      <c r="F29" s="284" t="str">
        <f>F18</f>
        <v>Years</v>
      </c>
      <c r="G29" s="284" t="str">
        <f>G18</f>
        <v>N/A</v>
      </c>
      <c r="H29" s="284" t="str">
        <f>H18</f>
        <v>N/A</v>
      </c>
      <c r="U29" s="285" t="s">
        <v>35</v>
      </c>
    </row>
    <row r="30" spans="1:21" s="6" customFormat="1" ht="4.5" customHeight="1" x14ac:dyDescent="0.35"/>
    <row r="31" spans="1:21" s="6" customFormat="1" ht="11.25" customHeight="1" x14ac:dyDescent="0.35">
      <c r="A31" s="263">
        <f>IF(SUM($J31:$U31)&lt;&gt;0,1,0)</f>
        <v>0</v>
      </c>
      <c r="D31" s="270" t="s">
        <v>114</v>
      </c>
      <c r="E31" s="277"/>
      <c r="F31" s="277"/>
      <c r="G31" s="277"/>
      <c r="H31" s="277"/>
      <c r="U31" s="286">
        <f>IF(ISERROR(SUM(U18:U27)),1,0)</f>
        <v>0</v>
      </c>
    </row>
    <row r="32" spans="1:21" s="6" customFormat="1" ht="4.5" customHeight="1" x14ac:dyDescent="0.35"/>
    <row r="33" spans="2:24" s="4" customFormat="1" ht="15" x14ac:dyDescent="0.35">
      <c r="B33" s="4" t="s">
        <v>426</v>
      </c>
    </row>
    <row r="34" spans="2:24" s="6" customFormat="1" ht="11.25" customHeight="1" x14ac:dyDescent="0.35"/>
    <row r="35" spans="2:24" s="13" customFormat="1" ht="14.1" x14ac:dyDescent="0.35">
      <c r="C35" s="13" t="s">
        <v>425</v>
      </c>
    </row>
    <row r="36" spans="2:24" s="6" customFormat="1" ht="11.25" customHeight="1" x14ac:dyDescent="0.35"/>
    <row r="37" spans="2:24" s="6" customFormat="1" ht="38.1" customHeight="1" x14ac:dyDescent="0.35">
      <c r="D37" s="279" t="s">
        <v>109</v>
      </c>
      <c r="E37" s="280" t="str">
        <f>Lookup!E$20</f>
        <v>Source</v>
      </c>
      <c r="F37" s="280" t="str">
        <f>Lookup!F$20</f>
        <v>Unit</v>
      </c>
      <c r="G37" s="280" t="str">
        <f>Lookup!G$20</f>
        <v>Basis</v>
      </c>
      <c r="H37" s="280" t="str">
        <f>Lookup!H$20</f>
        <v>Timing</v>
      </c>
      <c r="J37" s="288" t="s">
        <v>411</v>
      </c>
      <c r="K37" s="288" t="s">
        <v>412</v>
      </c>
      <c r="L37" s="288" t="s">
        <v>413</v>
      </c>
      <c r="M37" s="288" t="s">
        <v>414</v>
      </c>
      <c r="N37" s="288" t="s">
        <v>415</v>
      </c>
      <c r="O37" s="288" t="s">
        <v>416</v>
      </c>
      <c r="P37" s="288" t="s">
        <v>417</v>
      </c>
      <c r="Q37" s="288" t="s">
        <v>418</v>
      </c>
      <c r="R37" s="288" t="s">
        <v>419</v>
      </c>
      <c r="S37" s="288" t="s">
        <v>420</v>
      </c>
      <c r="T37" s="288" t="s">
        <v>421</v>
      </c>
      <c r="U37" s="288" t="s">
        <v>422</v>
      </c>
      <c r="V37" s="288" t="s">
        <v>423</v>
      </c>
      <c r="X37" s="288" t="s">
        <v>429</v>
      </c>
    </row>
    <row r="38" spans="2:24" s="6" customFormat="1" ht="11.25" customHeight="1" x14ac:dyDescent="0.35">
      <c r="D38" s="265"/>
      <c r="E38" s="265"/>
      <c r="F38" s="265"/>
      <c r="G38" s="265"/>
      <c r="H38" s="265"/>
      <c r="J38" s="281"/>
      <c r="K38" s="281"/>
      <c r="L38" s="281"/>
      <c r="M38" s="281"/>
      <c r="N38" s="281"/>
      <c r="O38" s="281"/>
      <c r="P38" s="281"/>
      <c r="Q38" s="281"/>
      <c r="R38" s="281"/>
      <c r="S38" s="281"/>
      <c r="T38" s="281"/>
      <c r="U38" s="281"/>
      <c r="V38" s="281"/>
    </row>
    <row r="39" spans="2:24" s="6" customFormat="1" ht="11.25" customHeight="1" x14ac:dyDescent="0.35">
      <c r="D39" s="270" t="str">
        <f>Lookup!$D$103</f>
        <v>Overhead network assets less than 33kV</v>
      </c>
      <c r="E39" s="282" t="s">
        <v>263</v>
      </c>
      <c r="F39" s="282" t="s">
        <v>262</v>
      </c>
      <c r="G39" s="282" t="str">
        <f t="shared" ref="G39:H48" si="2">NA</f>
        <v>N/A</v>
      </c>
      <c r="H39" s="282" t="str">
        <f t="shared" si="2"/>
        <v>N/A</v>
      </c>
      <c r="J39" s="287">
        <v>35.6</v>
      </c>
      <c r="K39" s="287">
        <v>35</v>
      </c>
      <c r="L39" s="287">
        <v>63.8</v>
      </c>
      <c r="M39" s="287">
        <v>53</v>
      </c>
      <c r="N39" s="287">
        <v>55</v>
      </c>
      <c r="O39" s="287">
        <v>51</v>
      </c>
      <c r="P39" s="287">
        <v>59.76</v>
      </c>
      <c r="Q39" s="287">
        <v>48</v>
      </c>
      <c r="R39" s="287">
        <v>43.673471641195981</v>
      </c>
      <c r="S39" s="287">
        <v>53.19990879181978</v>
      </c>
      <c r="T39" s="287">
        <v>49</v>
      </c>
      <c r="U39" s="287">
        <v>55.272044978371888</v>
      </c>
      <c r="V39" s="287">
        <v>45</v>
      </c>
      <c r="X39" s="67">
        <f>AVERAGE(J39:V39)</f>
        <v>49.792725031645205</v>
      </c>
    </row>
    <row r="40" spans="2:24" s="6" customFormat="1" ht="11.25" customHeight="1" x14ac:dyDescent="0.35">
      <c r="D40" s="270" t="str">
        <f>Lookup!$D$104</f>
        <v>Underground network assets less than 33kV</v>
      </c>
      <c r="E40" s="282" t="s">
        <v>263</v>
      </c>
      <c r="F40" s="282" t="s">
        <v>262</v>
      </c>
      <c r="G40" s="282" t="str">
        <f t="shared" si="2"/>
        <v>N/A</v>
      </c>
      <c r="H40" s="282" t="str">
        <f t="shared" si="2"/>
        <v>N/A</v>
      </c>
      <c r="J40" s="287">
        <v>35.6</v>
      </c>
      <c r="K40" s="287">
        <v>60</v>
      </c>
      <c r="L40" s="287">
        <v>50</v>
      </c>
      <c r="M40" s="287">
        <v>54</v>
      </c>
      <c r="N40" s="287">
        <v>55</v>
      </c>
      <c r="O40" s="287">
        <v>51</v>
      </c>
      <c r="P40" s="287">
        <v>46.33</v>
      </c>
      <c r="Q40" s="287">
        <v>57</v>
      </c>
      <c r="R40" s="287">
        <v>60</v>
      </c>
      <c r="S40" s="287">
        <v>60.000000000000007</v>
      </c>
      <c r="T40" s="287">
        <v>49</v>
      </c>
      <c r="U40" s="287">
        <v>56.973702358829023</v>
      </c>
      <c r="V40" s="287">
        <v>45</v>
      </c>
      <c r="X40" s="67">
        <f t="shared" ref="X40:X48" si="3">AVERAGE(J40:V40)</f>
        <v>52.300284796833004</v>
      </c>
    </row>
    <row r="41" spans="2:24" s="6" customFormat="1" ht="11.25" customHeight="1" x14ac:dyDescent="0.35">
      <c r="D41" s="270" t="str">
        <f>Lookup!$D$105</f>
        <v>Distribution substations and transformers</v>
      </c>
      <c r="E41" s="282" t="s">
        <v>263</v>
      </c>
      <c r="F41" s="282" t="s">
        <v>262</v>
      </c>
      <c r="G41" s="282" t="str">
        <f t="shared" si="2"/>
        <v>N/A</v>
      </c>
      <c r="H41" s="282" t="str">
        <f t="shared" si="2"/>
        <v>N/A</v>
      </c>
      <c r="J41" s="287">
        <v>35.6</v>
      </c>
      <c r="K41" s="287">
        <v>40</v>
      </c>
      <c r="L41" s="287">
        <v>52.2</v>
      </c>
      <c r="M41" s="287">
        <v>45</v>
      </c>
      <c r="N41" s="287">
        <v>45</v>
      </c>
      <c r="O41" s="287">
        <v>51</v>
      </c>
      <c r="P41" s="287">
        <v>43.6</v>
      </c>
      <c r="Q41" s="287">
        <v>45</v>
      </c>
      <c r="R41" s="287">
        <v>39.477017602968004</v>
      </c>
      <c r="S41" s="287">
        <v>41.623425527498846</v>
      </c>
      <c r="T41" s="287">
        <v>49</v>
      </c>
      <c r="U41" s="287">
        <v>46.718741618040603</v>
      </c>
      <c r="V41" s="287">
        <v>45</v>
      </c>
      <c r="X41" s="67">
        <f t="shared" si="3"/>
        <v>44.555321903731347</v>
      </c>
    </row>
    <row r="42" spans="2:24" s="6" customFormat="1" ht="11.25" customHeight="1" x14ac:dyDescent="0.35">
      <c r="D42" s="270" t="str">
        <f>Lookup!$D$106</f>
        <v>Overhead network assets 33kV and above</v>
      </c>
      <c r="E42" s="282" t="s">
        <v>263</v>
      </c>
      <c r="F42" s="282" t="s">
        <v>262</v>
      </c>
      <c r="G42" s="282" t="str">
        <f t="shared" si="2"/>
        <v>N/A</v>
      </c>
      <c r="H42" s="282" t="str">
        <f t="shared" si="2"/>
        <v>N/A</v>
      </c>
      <c r="J42" s="287">
        <v>60</v>
      </c>
      <c r="K42" s="287">
        <v>50</v>
      </c>
      <c r="L42" s="287">
        <v>71.7</v>
      </c>
      <c r="M42" s="287">
        <v>55</v>
      </c>
      <c r="N42" s="287">
        <v>55.000000000000007</v>
      </c>
      <c r="O42" s="287">
        <v>51</v>
      </c>
      <c r="P42" s="287">
        <v>64</v>
      </c>
      <c r="Q42" s="287">
        <v>51</v>
      </c>
      <c r="R42" s="287">
        <v>50.54</v>
      </c>
      <c r="S42" s="287">
        <v>56.337140029823885</v>
      </c>
      <c r="T42" s="287">
        <v>49</v>
      </c>
      <c r="U42" s="287">
        <v>47.893874233616231</v>
      </c>
      <c r="V42" s="287">
        <v>45</v>
      </c>
      <c r="X42" s="67">
        <f t="shared" si="3"/>
        <v>54.343924174110775</v>
      </c>
    </row>
    <row r="43" spans="2:24" s="6" customFormat="1" ht="11.25" customHeight="1" x14ac:dyDescent="0.35">
      <c r="D43" s="270" t="str">
        <f>Lookup!$D$107</f>
        <v>Underground network assets 33kV and above</v>
      </c>
      <c r="E43" s="282" t="s">
        <v>263</v>
      </c>
      <c r="F43" s="282" t="s">
        <v>262</v>
      </c>
      <c r="G43" s="282" t="str">
        <f t="shared" si="2"/>
        <v>N/A</v>
      </c>
      <c r="H43" s="282" t="str">
        <f t="shared" si="2"/>
        <v>N/A</v>
      </c>
      <c r="J43" s="287">
        <v>60</v>
      </c>
      <c r="K43" s="287">
        <v>60</v>
      </c>
      <c r="L43" s="287">
        <v>50</v>
      </c>
      <c r="M43" s="287">
        <v>54</v>
      </c>
      <c r="N43" s="287">
        <v>55</v>
      </c>
      <c r="O43" s="287">
        <v>51</v>
      </c>
      <c r="P43" s="287">
        <v>40</v>
      </c>
      <c r="Q43" s="287">
        <v>45</v>
      </c>
      <c r="R43" s="287">
        <v>45</v>
      </c>
      <c r="S43" s="287">
        <v>45</v>
      </c>
      <c r="T43" s="287">
        <v>49</v>
      </c>
      <c r="U43" s="287">
        <v>45.978437140369294</v>
      </c>
      <c r="V43" s="287">
        <v>45</v>
      </c>
      <c r="X43" s="67">
        <f t="shared" si="3"/>
        <v>49.613725933874562</v>
      </c>
    </row>
    <row r="44" spans="2:24" s="6" customFormat="1" ht="11.25" customHeight="1" x14ac:dyDescent="0.35">
      <c r="D44" s="270" t="str">
        <f>Lookup!$D$108</f>
        <v>Zone substations and transformers</v>
      </c>
      <c r="E44" s="282" t="s">
        <v>263</v>
      </c>
      <c r="F44" s="282" t="s">
        <v>262</v>
      </c>
      <c r="G44" s="282" t="str">
        <f t="shared" si="2"/>
        <v>N/A</v>
      </c>
      <c r="H44" s="282" t="str">
        <f t="shared" si="2"/>
        <v>N/A</v>
      </c>
      <c r="J44" s="287">
        <v>60</v>
      </c>
      <c r="K44" s="287">
        <v>40</v>
      </c>
      <c r="L44" s="287">
        <v>45.9</v>
      </c>
      <c r="M44" s="287">
        <v>46</v>
      </c>
      <c r="N44" s="287">
        <v>45</v>
      </c>
      <c r="O44" s="287">
        <v>51</v>
      </c>
      <c r="P44" s="287">
        <v>33.54</v>
      </c>
      <c r="Q44" s="287">
        <v>41</v>
      </c>
      <c r="R44" s="287">
        <v>50.290734772279492</v>
      </c>
      <c r="S44" s="287">
        <v>45.288078470672716</v>
      </c>
      <c r="T44" s="287">
        <v>49</v>
      </c>
      <c r="U44" s="287">
        <v>46.028983948125422</v>
      </c>
      <c r="V44" s="287">
        <v>40</v>
      </c>
      <c r="X44" s="67">
        <f t="shared" si="3"/>
        <v>45.619061322390586</v>
      </c>
    </row>
    <row r="45" spans="2:24" s="6" customFormat="1" ht="11.25" customHeight="1" x14ac:dyDescent="0.35">
      <c r="D45" s="270" t="str">
        <f>Lookup!$D$109</f>
        <v>Easements</v>
      </c>
      <c r="E45" s="282" t="s">
        <v>263</v>
      </c>
      <c r="F45" s="282" t="s">
        <v>262</v>
      </c>
      <c r="G45" s="282" t="str">
        <f t="shared" si="2"/>
        <v>N/A</v>
      </c>
      <c r="H45" s="282" t="str">
        <f t="shared" si="2"/>
        <v>N/A</v>
      </c>
      <c r="J45" s="287"/>
      <c r="K45" s="287"/>
      <c r="L45" s="287"/>
      <c r="M45" s="287">
        <v>0</v>
      </c>
      <c r="N45" s="287">
        <v>0</v>
      </c>
      <c r="O45" s="287">
        <v>0</v>
      </c>
      <c r="P45" s="287">
        <v>0</v>
      </c>
      <c r="Q45" s="287">
        <v>0</v>
      </c>
      <c r="R45" s="287">
        <v>0</v>
      </c>
      <c r="S45" s="287">
        <v>0</v>
      </c>
      <c r="T45" s="287">
        <v>0</v>
      </c>
      <c r="U45" s="287">
        <v>0</v>
      </c>
      <c r="V45" s="287">
        <v>0</v>
      </c>
      <c r="X45" s="67">
        <f t="shared" si="3"/>
        <v>0</v>
      </c>
    </row>
    <row r="46" spans="2:24" s="6" customFormat="1" ht="11.25" customHeight="1" x14ac:dyDescent="0.35">
      <c r="D46" s="270" t="str">
        <f>Lookup!$D$110</f>
        <v>Meters</v>
      </c>
      <c r="E46" s="282" t="s">
        <v>263</v>
      </c>
      <c r="F46" s="282" t="s">
        <v>262</v>
      </c>
      <c r="G46" s="282" t="str">
        <f t="shared" si="2"/>
        <v>N/A</v>
      </c>
      <c r="H46" s="282" t="str">
        <f t="shared" si="2"/>
        <v>N/A</v>
      </c>
      <c r="J46" s="287">
        <v>5</v>
      </c>
      <c r="K46" s="287" t="s">
        <v>485</v>
      </c>
      <c r="L46" s="287">
        <v>0</v>
      </c>
      <c r="M46" s="287">
        <v>26</v>
      </c>
      <c r="N46" s="287">
        <v>0</v>
      </c>
      <c r="O46" s="287" t="s">
        <v>485</v>
      </c>
      <c r="P46" s="287">
        <v>10</v>
      </c>
      <c r="Q46" s="287">
        <v>15</v>
      </c>
      <c r="R46" s="287">
        <v>15</v>
      </c>
      <c r="S46" s="287">
        <v>25</v>
      </c>
      <c r="T46" s="287" t="s">
        <v>485</v>
      </c>
      <c r="U46" s="287">
        <v>0</v>
      </c>
      <c r="V46" s="287">
        <v>0</v>
      </c>
      <c r="X46" s="67">
        <f>AVERAGE(J46,M46,P46:S46)</f>
        <v>16</v>
      </c>
    </row>
    <row r="47" spans="2:24" s="6" customFormat="1" ht="11.25" customHeight="1" x14ac:dyDescent="0.35">
      <c r="D47" s="270" t="str">
        <f>Lookup!$D$111</f>
        <v>“Other” asset items with long lives</v>
      </c>
      <c r="E47" s="282" t="s">
        <v>263</v>
      </c>
      <c r="F47" s="282" t="s">
        <v>262</v>
      </c>
      <c r="G47" s="282" t="str">
        <f t="shared" si="2"/>
        <v>N/A</v>
      </c>
      <c r="H47" s="282" t="str">
        <f t="shared" si="2"/>
        <v>N/A</v>
      </c>
      <c r="J47" s="287">
        <v>7.5</v>
      </c>
      <c r="K47" s="287">
        <v>34</v>
      </c>
      <c r="L47" s="287">
        <v>20.565224499961353</v>
      </c>
      <c r="M47" s="287">
        <v>27</v>
      </c>
      <c r="N47" s="287">
        <v>17.891095106098437</v>
      </c>
      <c r="O47" s="287">
        <v>15</v>
      </c>
      <c r="P47" s="287">
        <v>60.224692870370554</v>
      </c>
      <c r="Q47" s="287">
        <v>36</v>
      </c>
      <c r="R47" s="287">
        <v>33.287261719778556</v>
      </c>
      <c r="S47" s="287">
        <v>46.377528642281433</v>
      </c>
      <c r="T47" s="287">
        <v>12</v>
      </c>
      <c r="U47" s="287">
        <v>27.463706798638018</v>
      </c>
      <c r="V47" s="287">
        <v>40</v>
      </c>
      <c r="X47" s="67">
        <f t="shared" si="3"/>
        <v>29.023808433625259</v>
      </c>
    </row>
    <row r="48" spans="2:24" s="6" customFormat="1" ht="11.25" customHeight="1" x14ac:dyDescent="0.35">
      <c r="D48" s="270" t="str">
        <f>Lookup!$D$112</f>
        <v>“Other” asset items with short lives</v>
      </c>
      <c r="E48" s="282" t="s">
        <v>263</v>
      </c>
      <c r="F48" s="282" t="s">
        <v>262</v>
      </c>
      <c r="G48" s="282" t="str">
        <f t="shared" si="2"/>
        <v>N/A</v>
      </c>
      <c r="H48" s="282" t="str">
        <f t="shared" si="2"/>
        <v>N/A</v>
      </c>
      <c r="J48" s="287">
        <v>5</v>
      </c>
      <c r="K48" s="287">
        <v>5</v>
      </c>
      <c r="L48" s="287">
        <v>5</v>
      </c>
      <c r="M48" s="287">
        <v>7</v>
      </c>
      <c r="N48" s="287">
        <v>5.0000000000000009</v>
      </c>
      <c r="O48" s="287">
        <v>6</v>
      </c>
      <c r="P48" s="287">
        <v>17.675592285036839</v>
      </c>
      <c r="Q48" s="287">
        <v>7</v>
      </c>
      <c r="R48" s="287">
        <v>7.9000986411533018</v>
      </c>
      <c r="S48" s="287">
        <v>7.2285620647407587</v>
      </c>
      <c r="T48" s="287">
        <v>6</v>
      </c>
      <c r="U48" s="287">
        <v>6.285956770382108</v>
      </c>
      <c r="V48" s="287">
        <v>5</v>
      </c>
      <c r="X48" s="67">
        <f t="shared" si="3"/>
        <v>6.9300161354856167</v>
      </c>
    </row>
    <row r="49" spans="1:24" s="6" customFormat="1" ht="11.25" customHeight="1" x14ac:dyDescent="0.35">
      <c r="D49" s="265"/>
      <c r="E49" s="265"/>
      <c r="F49" s="265"/>
      <c r="G49" s="265"/>
      <c r="H49" s="265"/>
    </row>
    <row r="50" spans="1:24" s="6" customFormat="1" ht="11.25" customHeight="1" x14ac:dyDescent="0.35">
      <c r="A50" s="263">
        <f>IF(SUM($J50:$V50)&lt;&gt;0,1,0)</f>
        <v>0</v>
      </c>
      <c r="D50" s="270" t="s">
        <v>114</v>
      </c>
      <c r="E50" s="277"/>
      <c r="F50" s="277"/>
      <c r="G50" s="277"/>
      <c r="H50" s="277"/>
      <c r="J50" s="286">
        <f t="shared" ref="J50:V50" si="4">IF(ISERROR(SUM(J39:J48)),1,0)</f>
        <v>0</v>
      </c>
      <c r="K50" s="286">
        <f t="shared" si="4"/>
        <v>0</v>
      </c>
      <c r="L50" s="286">
        <f t="shared" si="4"/>
        <v>0</v>
      </c>
      <c r="M50" s="286">
        <f t="shared" si="4"/>
        <v>0</v>
      </c>
      <c r="N50" s="286">
        <f t="shared" si="4"/>
        <v>0</v>
      </c>
      <c r="O50" s="286">
        <f t="shared" si="4"/>
        <v>0</v>
      </c>
      <c r="P50" s="286">
        <f t="shared" si="4"/>
        <v>0</v>
      </c>
      <c r="Q50" s="286">
        <f t="shared" si="4"/>
        <v>0</v>
      </c>
      <c r="R50" s="286">
        <f t="shared" si="4"/>
        <v>0</v>
      </c>
      <c r="S50" s="286">
        <f t="shared" si="4"/>
        <v>0</v>
      </c>
      <c r="T50" s="286">
        <f t="shared" si="4"/>
        <v>0</v>
      </c>
      <c r="U50" s="286">
        <f t="shared" si="4"/>
        <v>0</v>
      </c>
      <c r="V50" s="286">
        <f t="shared" si="4"/>
        <v>0</v>
      </c>
    </row>
    <row r="51" spans="1:24" s="6" customFormat="1" ht="11.25" customHeight="1" x14ac:dyDescent="0.35"/>
    <row r="52" spans="1:24" s="13" customFormat="1" ht="14.1" x14ac:dyDescent="0.35">
      <c r="C52" s="13" t="s">
        <v>427</v>
      </c>
    </row>
    <row r="53" spans="1:24" s="6" customFormat="1" ht="11.25" customHeight="1" x14ac:dyDescent="0.35"/>
    <row r="54" spans="1:24" s="6" customFormat="1" ht="39" customHeight="1" x14ac:dyDescent="0.35">
      <c r="D54" s="279" t="s">
        <v>109</v>
      </c>
      <c r="E54" s="280" t="str">
        <f>Lookup!E$20</f>
        <v>Source</v>
      </c>
      <c r="F54" s="280" t="str">
        <f>Lookup!F$20</f>
        <v>Unit</v>
      </c>
      <c r="G54" s="280" t="str">
        <f>Lookup!G$20</f>
        <v>Basis</v>
      </c>
      <c r="H54" s="280" t="str">
        <f>Lookup!H$20</f>
        <v>Timing</v>
      </c>
      <c r="J54" s="288" t="s">
        <v>411</v>
      </c>
      <c r="K54" s="288" t="s">
        <v>412</v>
      </c>
      <c r="L54" s="288" t="s">
        <v>413</v>
      </c>
      <c r="M54" s="288" t="s">
        <v>414</v>
      </c>
      <c r="N54" s="288" t="s">
        <v>415</v>
      </c>
      <c r="O54" s="288" t="s">
        <v>416</v>
      </c>
      <c r="P54" s="288" t="s">
        <v>417</v>
      </c>
      <c r="Q54" s="288" t="s">
        <v>418</v>
      </c>
      <c r="R54" s="288" t="s">
        <v>419</v>
      </c>
      <c r="S54" s="288" t="s">
        <v>420</v>
      </c>
      <c r="T54" s="288" t="s">
        <v>421</v>
      </c>
      <c r="U54" s="288" t="s">
        <v>422</v>
      </c>
      <c r="V54" s="288" t="s">
        <v>423</v>
      </c>
      <c r="X54" s="288" t="s">
        <v>430</v>
      </c>
    </row>
    <row r="55" spans="1:24" s="6" customFormat="1" ht="11.25" customHeight="1" x14ac:dyDescent="0.35">
      <c r="D55" s="265"/>
      <c r="E55" s="265"/>
      <c r="F55" s="265"/>
      <c r="G55" s="265"/>
      <c r="H55" s="265"/>
      <c r="J55" s="281"/>
      <c r="K55" s="281"/>
      <c r="L55" s="281"/>
      <c r="M55" s="281"/>
      <c r="N55" s="281"/>
      <c r="O55" s="281"/>
      <c r="P55" s="281"/>
      <c r="Q55" s="281"/>
      <c r="R55" s="281"/>
      <c r="S55" s="281"/>
      <c r="T55" s="281"/>
      <c r="U55" s="281"/>
      <c r="V55" s="281"/>
    </row>
    <row r="56" spans="1:24" s="6" customFormat="1" ht="11.25" customHeight="1" x14ac:dyDescent="0.35">
      <c r="D56" s="270" t="str">
        <f>Lookup!$D$103</f>
        <v>Overhead network assets less than 33kV</v>
      </c>
      <c r="E56" s="282" t="s">
        <v>263</v>
      </c>
      <c r="F56" s="282" t="s">
        <v>262</v>
      </c>
      <c r="G56" s="282" t="str">
        <f t="shared" ref="G56:H65" si="5">NA</f>
        <v>N/A</v>
      </c>
      <c r="H56" s="282" t="str">
        <f t="shared" si="5"/>
        <v>N/A</v>
      </c>
      <c r="J56" s="287">
        <v>35.6</v>
      </c>
      <c r="K56" s="287">
        <v>35</v>
      </c>
      <c r="L56" s="287">
        <v>63.8</v>
      </c>
      <c r="M56" s="287">
        <v>53</v>
      </c>
      <c r="N56" s="287">
        <v>55</v>
      </c>
      <c r="O56" s="287">
        <v>51</v>
      </c>
      <c r="P56" s="287">
        <v>59.73</v>
      </c>
      <c r="Q56" s="287">
        <v>48</v>
      </c>
      <c r="R56" s="287">
        <v>44.897622339395035</v>
      </c>
      <c r="S56" s="287">
        <v>53.19990879181978</v>
      </c>
      <c r="T56" s="287">
        <v>49</v>
      </c>
      <c r="U56" s="287">
        <v>55.272044978371888</v>
      </c>
      <c r="V56" s="287">
        <v>45</v>
      </c>
      <c r="X56" s="67">
        <f>AVERAGE(J56:V56)</f>
        <v>49.884582777660519</v>
      </c>
    </row>
    <row r="57" spans="1:24" s="6" customFormat="1" ht="11.25" customHeight="1" x14ac:dyDescent="0.35">
      <c r="D57" s="270" t="str">
        <f>Lookup!$D$104</f>
        <v>Underground network assets less than 33kV</v>
      </c>
      <c r="E57" s="282" t="s">
        <v>263</v>
      </c>
      <c r="F57" s="282" t="s">
        <v>262</v>
      </c>
      <c r="G57" s="282" t="str">
        <f t="shared" si="5"/>
        <v>N/A</v>
      </c>
      <c r="H57" s="282" t="str">
        <f t="shared" si="5"/>
        <v>N/A</v>
      </c>
      <c r="J57" s="287">
        <v>35.6</v>
      </c>
      <c r="K57" s="287">
        <v>60</v>
      </c>
      <c r="L57" s="287">
        <v>50</v>
      </c>
      <c r="M57" s="287">
        <v>54</v>
      </c>
      <c r="N57" s="287">
        <v>55</v>
      </c>
      <c r="O57" s="287">
        <v>51</v>
      </c>
      <c r="P57" s="287">
        <v>46.94</v>
      </c>
      <c r="Q57" s="287">
        <v>57</v>
      </c>
      <c r="R57" s="287">
        <v>60</v>
      </c>
      <c r="S57" s="287">
        <v>60.000000000000007</v>
      </c>
      <c r="T57" s="287">
        <v>49</v>
      </c>
      <c r="U57" s="287">
        <v>56.973702358829023</v>
      </c>
      <c r="V57" s="287">
        <v>45</v>
      </c>
      <c r="X57" s="67">
        <f t="shared" ref="X57:X65" si="6">AVERAGE(J57:V57)</f>
        <v>52.347207873756084</v>
      </c>
    </row>
    <row r="58" spans="1:24" s="6" customFormat="1" ht="11.25" customHeight="1" x14ac:dyDescent="0.35">
      <c r="D58" s="270" t="str">
        <f>Lookup!$D$105</f>
        <v>Distribution substations and transformers</v>
      </c>
      <c r="E58" s="282" t="s">
        <v>263</v>
      </c>
      <c r="F58" s="282" t="s">
        <v>262</v>
      </c>
      <c r="G58" s="282" t="str">
        <f t="shared" si="5"/>
        <v>N/A</v>
      </c>
      <c r="H58" s="282" t="str">
        <f t="shared" si="5"/>
        <v>N/A</v>
      </c>
      <c r="J58" s="287">
        <v>35.6</v>
      </c>
      <c r="K58" s="287">
        <v>40</v>
      </c>
      <c r="L58" s="287">
        <v>52.2</v>
      </c>
      <c r="M58" s="287">
        <v>45</v>
      </c>
      <c r="N58" s="287">
        <v>45</v>
      </c>
      <c r="O58" s="287">
        <v>51</v>
      </c>
      <c r="P58" s="287">
        <v>43.6</v>
      </c>
      <c r="Q58" s="287">
        <v>45</v>
      </c>
      <c r="R58" s="287">
        <v>38.999816085861916</v>
      </c>
      <c r="S58" s="287">
        <v>41.623425527498846</v>
      </c>
      <c r="T58" s="287">
        <v>49</v>
      </c>
      <c r="U58" s="287">
        <v>46.718741618040603</v>
      </c>
      <c r="V58" s="287">
        <v>45</v>
      </c>
      <c r="X58" s="67">
        <f t="shared" si="6"/>
        <v>44.518614094723183</v>
      </c>
    </row>
    <row r="59" spans="1:24" s="6" customFormat="1" ht="11.25" customHeight="1" x14ac:dyDescent="0.35">
      <c r="D59" s="270" t="str">
        <f>Lookup!$D$106</f>
        <v>Overhead network assets 33kV and above</v>
      </c>
      <c r="E59" s="282" t="s">
        <v>263</v>
      </c>
      <c r="F59" s="282" t="s">
        <v>262</v>
      </c>
      <c r="G59" s="282" t="str">
        <f t="shared" si="5"/>
        <v>N/A</v>
      </c>
      <c r="H59" s="282" t="str">
        <f t="shared" si="5"/>
        <v>N/A</v>
      </c>
      <c r="J59" s="287">
        <v>60</v>
      </c>
      <c r="K59" s="287">
        <v>50</v>
      </c>
      <c r="L59" s="287">
        <v>71.7</v>
      </c>
      <c r="M59" s="287">
        <v>55</v>
      </c>
      <c r="N59" s="287">
        <v>55.000000000000007</v>
      </c>
      <c r="O59" s="287">
        <v>51</v>
      </c>
      <c r="P59" s="287">
        <v>64</v>
      </c>
      <c r="Q59" s="287">
        <v>51</v>
      </c>
      <c r="R59" s="287">
        <v>50.54</v>
      </c>
      <c r="S59" s="287">
        <v>56.337140029823885</v>
      </c>
      <c r="T59" s="287">
        <v>49</v>
      </c>
      <c r="U59" s="287">
        <v>47.893874233616231</v>
      </c>
      <c r="V59" s="287">
        <v>45</v>
      </c>
      <c r="X59" s="67">
        <f t="shared" si="6"/>
        <v>54.343924174110775</v>
      </c>
    </row>
    <row r="60" spans="1:24" s="6" customFormat="1" ht="11.25" customHeight="1" x14ac:dyDescent="0.35">
      <c r="D60" s="270" t="str">
        <f>Lookup!$D$107</f>
        <v>Underground network assets 33kV and above</v>
      </c>
      <c r="E60" s="282" t="s">
        <v>263</v>
      </c>
      <c r="F60" s="282" t="s">
        <v>262</v>
      </c>
      <c r="G60" s="282" t="str">
        <f t="shared" si="5"/>
        <v>N/A</v>
      </c>
      <c r="H60" s="282" t="str">
        <f t="shared" si="5"/>
        <v>N/A</v>
      </c>
      <c r="J60" s="287">
        <v>60</v>
      </c>
      <c r="K60" s="287">
        <v>60</v>
      </c>
      <c r="L60" s="287">
        <v>50</v>
      </c>
      <c r="M60" s="287">
        <v>54</v>
      </c>
      <c r="N60" s="287">
        <v>55</v>
      </c>
      <c r="O60" s="287">
        <v>51</v>
      </c>
      <c r="P60" s="287">
        <v>40</v>
      </c>
      <c r="Q60" s="287">
        <v>45</v>
      </c>
      <c r="R60" s="287">
        <v>45</v>
      </c>
      <c r="S60" s="287">
        <v>45</v>
      </c>
      <c r="T60" s="287">
        <v>49</v>
      </c>
      <c r="U60" s="287">
        <v>45.978437140369294</v>
      </c>
      <c r="V60" s="287">
        <v>45</v>
      </c>
      <c r="X60" s="67">
        <f t="shared" si="6"/>
        <v>49.613725933874562</v>
      </c>
    </row>
    <row r="61" spans="1:24" s="6" customFormat="1" ht="11.25" customHeight="1" x14ac:dyDescent="0.35">
      <c r="D61" s="270" t="str">
        <f>Lookup!$D$108</f>
        <v>Zone substations and transformers</v>
      </c>
      <c r="E61" s="282" t="s">
        <v>263</v>
      </c>
      <c r="F61" s="282" t="s">
        <v>262</v>
      </c>
      <c r="G61" s="282" t="str">
        <f t="shared" si="5"/>
        <v>N/A</v>
      </c>
      <c r="H61" s="282" t="str">
        <f t="shared" si="5"/>
        <v>N/A</v>
      </c>
      <c r="J61" s="287">
        <v>60</v>
      </c>
      <c r="K61" s="287">
        <v>40</v>
      </c>
      <c r="L61" s="287">
        <v>45.9</v>
      </c>
      <c r="M61" s="287">
        <v>46</v>
      </c>
      <c r="N61" s="287">
        <v>45</v>
      </c>
      <c r="O61" s="287">
        <v>51</v>
      </c>
      <c r="P61" s="287">
        <v>33.54</v>
      </c>
      <c r="Q61" s="287">
        <v>41</v>
      </c>
      <c r="R61" s="287">
        <v>50.427583473183553</v>
      </c>
      <c r="S61" s="287">
        <v>45.288078470672716</v>
      </c>
      <c r="T61" s="287">
        <v>49</v>
      </c>
      <c r="U61" s="287">
        <v>46.028983948125422</v>
      </c>
      <c r="V61" s="287">
        <v>40</v>
      </c>
      <c r="X61" s="67">
        <f t="shared" si="6"/>
        <v>45.629588145537056</v>
      </c>
    </row>
    <row r="62" spans="1:24" s="6" customFormat="1" ht="11.25" customHeight="1" x14ac:dyDescent="0.35">
      <c r="D62" s="270" t="str">
        <f>Lookup!$D$109</f>
        <v>Easements</v>
      </c>
      <c r="E62" s="282" t="s">
        <v>263</v>
      </c>
      <c r="F62" s="282" t="s">
        <v>262</v>
      </c>
      <c r="G62" s="282" t="str">
        <f t="shared" si="5"/>
        <v>N/A</v>
      </c>
      <c r="H62" s="282" t="str">
        <f t="shared" si="5"/>
        <v>N/A</v>
      </c>
      <c r="J62" s="287">
        <v>0</v>
      </c>
      <c r="K62" s="287">
        <v>0</v>
      </c>
      <c r="L62" s="287">
        <v>0</v>
      </c>
      <c r="M62" s="287">
        <v>0</v>
      </c>
      <c r="N62" s="287">
        <v>0</v>
      </c>
      <c r="O62" s="287">
        <v>0</v>
      </c>
      <c r="P62" s="287">
        <v>0</v>
      </c>
      <c r="Q62" s="287">
        <v>0</v>
      </c>
      <c r="R62" s="287">
        <v>0</v>
      </c>
      <c r="S62" s="287">
        <v>0</v>
      </c>
      <c r="T62" s="287">
        <v>0</v>
      </c>
      <c r="U62" s="287">
        <v>0</v>
      </c>
      <c r="V62" s="287">
        <v>0</v>
      </c>
      <c r="X62" s="67">
        <f t="shared" si="6"/>
        <v>0</v>
      </c>
    </row>
    <row r="63" spans="1:24" s="6" customFormat="1" ht="11.25" customHeight="1" x14ac:dyDescent="0.35">
      <c r="D63" s="270" t="str">
        <f>Lookup!$D$110</f>
        <v>Meters</v>
      </c>
      <c r="E63" s="282" t="s">
        <v>263</v>
      </c>
      <c r="F63" s="282" t="s">
        <v>262</v>
      </c>
      <c r="G63" s="282" t="str">
        <f t="shared" si="5"/>
        <v>N/A</v>
      </c>
      <c r="H63" s="282" t="str">
        <f t="shared" si="5"/>
        <v>N/A</v>
      </c>
      <c r="J63" s="287">
        <v>0</v>
      </c>
      <c r="K63" s="287" t="s">
        <v>486</v>
      </c>
      <c r="L63" s="287">
        <v>0</v>
      </c>
      <c r="M63" s="287">
        <v>26</v>
      </c>
      <c r="N63" s="287">
        <v>0</v>
      </c>
      <c r="O63" s="287" t="s">
        <v>486</v>
      </c>
      <c r="P63" s="287">
        <v>0</v>
      </c>
      <c r="Q63" s="287">
        <v>15</v>
      </c>
      <c r="R63" s="287">
        <v>15</v>
      </c>
      <c r="S63" s="287">
        <v>25</v>
      </c>
      <c r="T63" s="287" t="s">
        <v>486</v>
      </c>
      <c r="U63" s="287">
        <v>0</v>
      </c>
      <c r="V63" s="287">
        <v>20</v>
      </c>
      <c r="X63" s="67">
        <f>AVERAGE(J63,M63,P63:S63)</f>
        <v>13.5</v>
      </c>
    </row>
    <row r="64" spans="1:24" s="6" customFormat="1" ht="11.25" customHeight="1" x14ac:dyDescent="0.35">
      <c r="D64" s="270" t="str">
        <f>Lookup!$D$111</f>
        <v>“Other” asset items with long lives</v>
      </c>
      <c r="E64" s="282" t="s">
        <v>263</v>
      </c>
      <c r="F64" s="282" t="s">
        <v>262</v>
      </c>
      <c r="G64" s="282" t="str">
        <f t="shared" si="5"/>
        <v>N/A</v>
      </c>
      <c r="H64" s="282" t="str">
        <f t="shared" si="5"/>
        <v>N/A</v>
      </c>
      <c r="J64" s="287">
        <v>0</v>
      </c>
      <c r="K64" s="287">
        <v>40</v>
      </c>
      <c r="L64" s="287">
        <v>10</v>
      </c>
      <c r="M64" s="287">
        <v>27</v>
      </c>
      <c r="N64" s="287">
        <v>17.891095106098437</v>
      </c>
      <c r="O64" s="287">
        <v>15</v>
      </c>
      <c r="P64" s="287">
        <v>60.224692870370554</v>
      </c>
      <c r="Q64" s="287">
        <v>10</v>
      </c>
      <c r="R64" s="287">
        <v>33.286990538116406</v>
      </c>
      <c r="S64" s="287">
        <v>46.377528642281433</v>
      </c>
      <c r="T64" s="287">
        <v>12</v>
      </c>
      <c r="U64" s="287">
        <v>27.463706798638018</v>
      </c>
      <c r="V64" s="287">
        <v>40</v>
      </c>
      <c r="X64" s="67">
        <f t="shared" si="6"/>
        <v>26.095693381192685</v>
      </c>
    </row>
    <row r="65" spans="1:24" s="6" customFormat="1" ht="11.25" customHeight="1" x14ac:dyDescent="0.35">
      <c r="D65" s="270" t="str">
        <f>Lookup!$D$112</f>
        <v>“Other” asset items with short lives</v>
      </c>
      <c r="E65" s="282" t="s">
        <v>263</v>
      </c>
      <c r="F65" s="282" t="s">
        <v>262</v>
      </c>
      <c r="G65" s="282" t="str">
        <f t="shared" si="5"/>
        <v>N/A</v>
      </c>
      <c r="H65" s="282" t="str">
        <f t="shared" si="5"/>
        <v>N/A</v>
      </c>
      <c r="J65" s="287">
        <v>0</v>
      </c>
      <c r="K65" s="287">
        <v>5</v>
      </c>
      <c r="L65" s="287">
        <v>5</v>
      </c>
      <c r="M65" s="287">
        <v>7</v>
      </c>
      <c r="N65" s="287">
        <v>5.0000000000000009</v>
      </c>
      <c r="O65" s="287">
        <v>6</v>
      </c>
      <c r="P65" s="287">
        <v>17.675592285036839</v>
      </c>
      <c r="Q65" s="287">
        <v>7</v>
      </c>
      <c r="R65" s="287">
        <v>7.9000986411533018</v>
      </c>
      <c r="S65" s="287">
        <v>7.2285620647407587</v>
      </c>
      <c r="T65" s="287">
        <v>6</v>
      </c>
      <c r="U65" s="287">
        <v>6.285956770382108</v>
      </c>
      <c r="V65" s="287">
        <v>5</v>
      </c>
      <c r="X65" s="67">
        <f t="shared" si="6"/>
        <v>6.5454007508702325</v>
      </c>
    </row>
    <row r="66" spans="1:24" s="6" customFormat="1" ht="11.25" customHeight="1" x14ac:dyDescent="0.35">
      <c r="D66" s="265"/>
      <c r="E66" s="265"/>
      <c r="F66" s="265"/>
      <c r="G66" s="265"/>
      <c r="H66" s="265"/>
    </row>
    <row r="67" spans="1:24" s="6" customFormat="1" ht="11.25" customHeight="1" x14ac:dyDescent="0.35">
      <c r="A67" s="263">
        <f>IF(SUM($J67:$V67)&lt;&gt;0,1,0)</f>
        <v>0</v>
      </c>
      <c r="D67" s="270" t="s">
        <v>114</v>
      </c>
      <c r="E67" s="277"/>
      <c r="F67" s="277"/>
      <c r="G67" s="277"/>
      <c r="H67" s="277"/>
      <c r="J67" s="286">
        <f t="shared" ref="J67:V67" si="7">IF(ISERROR(SUM(J56:J65)),1,0)</f>
        <v>0</v>
      </c>
      <c r="K67" s="286">
        <f t="shared" si="7"/>
        <v>0</v>
      </c>
      <c r="L67" s="286">
        <f t="shared" si="7"/>
        <v>0</v>
      </c>
      <c r="M67" s="286">
        <f t="shared" si="7"/>
        <v>0</v>
      </c>
      <c r="N67" s="286">
        <f t="shared" si="7"/>
        <v>0</v>
      </c>
      <c r="O67" s="286">
        <f t="shared" si="7"/>
        <v>0</v>
      </c>
      <c r="P67" s="286">
        <f t="shared" si="7"/>
        <v>0</v>
      </c>
      <c r="Q67" s="286">
        <f t="shared" si="7"/>
        <v>0</v>
      </c>
      <c r="R67" s="286">
        <f t="shared" si="7"/>
        <v>0</v>
      </c>
      <c r="S67" s="286">
        <f t="shared" si="7"/>
        <v>0</v>
      </c>
      <c r="T67" s="286">
        <f t="shared" si="7"/>
        <v>0</v>
      </c>
      <c r="U67" s="286">
        <f t="shared" si="7"/>
        <v>0</v>
      </c>
      <c r="V67" s="286">
        <f t="shared" si="7"/>
        <v>0</v>
      </c>
    </row>
    <row r="68" spans="1:24" s="6" customFormat="1" ht="11.25" customHeight="1" x14ac:dyDescent="0.35"/>
    <row r="69" spans="1:24" s="13" customFormat="1" ht="14.1" x14ac:dyDescent="0.35">
      <c r="C69" s="13" t="s">
        <v>428</v>
      </c>
    </row>
    <row r="70" spans="1:24" s="6" customFormat="1" ht="11.25" customHeight="1" x14ac:dyDescent="0.35"/>
    <row r="71" spans="1:24" s="6" customFormat="1" ht="36.6" customHeight="1" x14ac:dyDescent="0.35">
      <c r="D71" s="279" t="s">
        <v>109</v>
      </c>
      <c r="E71" s="280" t="str">
        <f>Lookup!E$20</f>
        <v>Source</v>
      </c>
      <c r="F71" s="280" t="str">
        <f>Lookup!F$20</f>
        <v>Unit</v>
      </c>
      <c r="G71" s="280" t="str">
        <f>Lookup!G$20</f>
        <v>Basis</v>
      </c>
      <c r="H71" s="280" t="str">
        <f>Lookup!H$20</f>
        <v>Timing</v>
      </c>
      <c r="J71" s="288" t="s">
        <v>411</v>
      </c>
      <c r="K71" s="288" t="s">
        <v>412</v>
      </c>
      <c r="L71" s="288" t="s">
        <v>413</v>
      </c>
      <c r="M71" s="288" t="s">
        <v>414</v>
      </c>
      <c r="N71" s="288" t="s">
        <v>415</v>
      </c>
      <c r="O71" s="288" t="s">
        <v>416</v>
      </c>
      <c r="P71" s="288" t="s">
        <v>417</v>
      </c>
      <c r="Q71" s="288" t="s">
        <v>418</v>
      </c>
      <c r="R71" s="288" t="s">
        <v>419</v>
      </c>
      <c r="S71" s="288" t="s">
        <v>420</v>
      </c>
      <c r="T71" s="288" t="s">
        <v>421</v>
      </c>
      <c r="U71" s="288" t="s">
        <v>422</v>
      </c>
      <c r="V71" s="288" t="s">
        <v>423</v>
      </c>
      <c r="X71" s="288" t="s">
        <v>431</v>
      </c>
    </row>
    <row r="72" spans="1:24" s="6" customFormat="1" ht="11.25" customHeight="1" x14ac:dyDescent="0.35">
      <c r="D72" s="265"/>
      <c r="E72" s="265"/>
      <c r="F72" s="265"/>
      <c r="G72" s="265"/>
      <c r="H72" s="265"/>
      <c r="J72" s="281"/>
      <c r="K72" s="281"/>
      <c r="L72" s="281"/>
      <c r="M72" s="281"/>
      <c r="N72" s="281"/>
      <c r="O72" s="281"/>
      <c r="P72" s="281"/>
      <c r="Q72" s="281"/>
      <c r="R72" s="281"/>
      <c r="S72" s="281"/>
      <c r="T72" s="281"/>
      <c r="U72" s="281"/>
      <c r="V72" s="281"/>
    </row>
    <row r="73" spans="1:24" s="6" customFormat="1" ht="11.25" customHeight="1" x14ac:dyDescent="0.35">
      <c r="D73" s="270" t="str">
        <f>Lookup!$D$103</f>
        <v>Overhead network assets less than 33kV</v>
      </c>
      <c r="E73" s="282" t="s">
        <v>263</v>
      </c>
      <c r="F73" s="282" t="s">
        <v>262</v>
      </c>
      <c r="G73" s="282" t="str">
        <f t="shared" ref="G73:H82" si="8">NA</f>
        <v>N/A</v>
      </c>
      <c r="H73" s="282" t="str">
        <f t="shared" si="8"/>
        <v>N/A</v>
      </c>
      <c r="J73" s="287">
        <v>0</v>
      </c>
      <c r="K73" s="287">
        <v>0</v>
      </c>
      <c r="L73" s="287">
        <v>0</v>
      </c>
      <c r="M73" s="287">
        <v>0</v>
      </c>
      <c r="N73" s="287">
        <v>0</v>
      </c>
      <c r="O73" s="287" t="s">
        <v>487</v>
      </c>
      <c r="P73" s="287">
        <v>0</v>
      </c>
      <c r="Q73" s="287">
        <v>47</v>
      </c>
      <c r="R73" s="287">
        <v>0</v>
      </c>
      <c r="S73" s="287">
        <v>0</v>
      </c>
      <c r="T73" s="287" t="s">
        <v>487</v>
      </c>
      <c r="U73" s="287">
        <v>0</v>
      </c>
      <c r="V73" s="287">
        <v>0</v>
      </c>
      <c r="X73" s="67" t="str">
        <f t="shared" ref="X73:X79" si="9">NA</f>
        <v>N/A</v>
      </c>
    </row>
    <row r="74" spans="1:24" s="6" customFormat="1" ht="11.25" customHeight="1" x14ac:dyDescent="0.35">
      <c r="D74" s="270" t="str">
        <f>Lookup!$D$104</f>
        <v>Underground network assets less than 33kV</v>
      </c>
      <c r="E74" s="282" t="s">
        <v>263</v>
      </c>
      <c r="F74" s="282" t="s">
        <v>262</v>
      </c>
      <c r="G74" s="282" t="str">
        <f t="shared" si="8"/>
        <v>N/A</v>
      </c>
      <c r="H74" s="282" t="str">
        <f t="shared" si="8"/>
        <v>N/A</v>
      </c>
      <c r="J74" s="287">
        <v>0</v>
      </c>
      <c r="K74" s="287">
        <v>0</v>
      </c>
      <c r="L74" s="287">
        <v>0</v>
      </c>
      <c r="M74" s="287">
        <v>0</v>
      </c>
      <c r="N74" s="287">
        <v>0</v>
      </c>
      <c r="O74" s="287" t="s">
        <v>488</v>
      </c>
      <c r="P74" s="287">
        <v>0</v>
      </c>
      <c r="Q74" s="287">
        <v>60</v>
      </c>
      <c r="R74" s="287">
        <v>0</v>
      </c>
      <c r="S74" s="287">
        <v>0</v>
      </c>
      <c r="T74" s="287" t="s">
        <v>488</v>
      </c>
      <c r="U74" s="287">
        <v>0</v>
      </c>
      <c r="V74" s="287">
        <v>0</v>
      </c>
      <c r="X74" s="67" t="str">
        <f t="shared" si="9"/>
        <v>N/A</v>
      </c>
    </row>
    <row r="75" spans="1:24" s="6" customFormat="1" ht="11.25" customHeight="1" x14ac:dyDescent="0.35">
      <c r="D75" s="270" t="str">
        <f>Lookup!$D$105</f>
        <v>Distribution substations and transformers</v>
      </c>
      <c r="E75" s="282" t="s">
        <v>263</v>
      </c>
      <c r="F75" s="282" t="s">
        <v>262</v>
      </c>
      <c r="G75" s="282" t="str">
        <f t="shared" si="8"/>
        <v>N/A</v>
      </c>
      <c r="H75" s="282" t="str">
        <f t="shared" si="8"/>
        <v>N/A</v>
      </c>
      <c r="J75" s="287">
        <v>0</v>
      </c>
      <c r="K75" s="287">
        <v>0</v>
      </c>
      <c r="L75" s="287">
        <v>0</v>
      </c>
      <c r="M75" s="287">
        <v>0</v>
      </c>
      <c r="N75" s="287">
        <v>0</v>
      </c>
      <c r="O75" s="287" t="s">
        <v>488</v>
      </c>
      <c r="P75" s="287">
        <v>0</v>
      </c>
      <c r="Q75" s="287">
        <v>45</v>
      </c>
      <c r="R75" s="287">
        <v>0</v>
      </c>
      <c r="S75" s="287">
        <v>0</v>
      </c>
      <c r="T75" s="287" t="s">
        <v>488</v>
      </c>
      <c r="U75" s="287">
        <v>0</v>
      </c>
      <c r="V75" s="287">
        <v>0</v>
      </c>
      <c r="X75" s="67" t="str">
        <f t="shared" si="9"/>
        <v>N/A</v>
      </c>
    </row>
    <row r="76" spans="1:24" s="6" customFormat="1" ht="11.25" customHeight="1" x14ac:dyDescent="0.35">
      <c r="D76" s="270" t="str">
        <f>Lookup!$D$106</f>
        <v>Overhead network assets 33kV and above</v>
      </c>
      <c r="E76" s="282" t="s">
        <v>263</v>
      </c>
      <c r="F76" s="282" t="s">
        <v>262</v>
      </c>
      <c r="G76" s="282" t="str">
        <f t="shared" si="8"/>
        <v>N/A</v>
      </c>
      <c r="H76" s="282" t="str">
        <f t="shared" si="8"/>
        <v>N/A</v>
      </c>
      <c r="J76" s="287">
        <v>0</v>
      </c>
      <c r="K76" s="287">
        <v>0</v>
      </c>
      <c r="L76" s="287">
        <v>0</v>
      </c>
      <c r="M76" s="287">
        <v>0</v>
      </c>
      <c r="N76" s="287">
        <v>0</v>
      </c>
      <c r="O76" s="287" t="s">
        <v>488</v>
      </c>
      <c r="P76" s="287">
        <v>0</v>
      </c>
      <c r="Q76" s="287">
        <v>0</v>
      </c>
      <c r="R76" s="287">
        <v>0</v>
      </c>
      <c r="S76" s="287">
        <v>0</v>
      </c>
      <c r="T76" s="287" t="s">
        <v>488</v>
      </c>
      <c r="U76" s="287">
        <v>0</v>
      </c>
      <c r="V76" s="287">
        <v>0</v>
      </c>
      <c r="X76" s="67" t="str">
        <f t="shared" si="9"/>
        <v>N/A</v>
      </c>
    </row>
    <row r="77" spans="1:24" s="6" customFormat="1" ht="11.25" customHeight="1" x14ac:dyDescent="0.35">
      <c r="D77" s="270" t="str">
        <f>Lookup!$D$107</f>
        <v>Underground network assets 33kV and above</v>
      </c>
      <c r="E77" s="282" t="s">
        <v>263</v>
      </c>
      <c r="F77" s="282" t="s">
        <v>262</v>
      </c>
      <c r="G77" s="282" t="str">
        <f t="shared" si="8"/>
        <v>N/A</v>
      </c>
      <c r="H77" s="282" t="str">
        <f t="shared" si="8"/>
        <v>N/A</v>
      </c>
      <c r="J77" s="287">
        <v>0</v>
      </c>
      <c r="K77" s="287">
        <v>0</v>
      </c>
      <c r="L77" s="287">
        <v>0</v>
      </c>
      <c r="M77" s="287">
        <v>0</v>
      </c>
      <c r="N77" s="287">
        <v>0</v>
      </c>
      <c r="O77" s="287" t="s">
        <v>488</v>
      </c>
      <c r="P77" s="287">
        <v>0</v>
      </c>
      <c r="Q77" s="287">
        <v>45</v>
      </c>
      <c r="R77" s="287">
        <v>0</v>
      </c>
      <c r="S77" s="287">
        <v>0</v>
      </c>
      <c r="T77" s="287" t="s">
        <v>488</v>
      </c>
      <c r="U77" s="287">
        <v>0</v>
      </c>
      <c r="V77" s="287">
        <v>0</v>
      </c>
      <c r="X77" s="67" t="str">
        <f t="shared" si="9"/>
        <v>N/A</v>
      </c>
    </row>
    <row r="78" spans="1:24" s="6" customFormat="1" ht="11.25" customHeight="1" x14ac:dyDescent="0.35">
      <c r="D78" s="270" t="str">
        <f>Lookup!$D$108</f>
        <v>Zone substations and transformers</v>
      </c>
      <c r="E78" s="282" t="s">
        <v>263</v>
      </c>
      <c r="F78" s="282" t="s">
        <v>262</v>
      </c>
      <c r="G78" s="282" t="str">
        <f t="shared" si="8"/>
        <v>N/A</v>
      </c>
      <c r="H78" s="282" t="str">
        <f t="shared" si="8"/>
        <v>N/A</v>
      </c>
      <c r="J78" s="287">
        <v>0</v>
      </c>
      <c r="K78" s="287">
        <v>0</v>
      </c>
      <c r="L78" s="287">
        <v>0</v>
      </c>
      <c r="M78" s="287">
        <v>0</v>
      </c>
      <c r="N78" s="287">
        <v>0</v>
      </c>
      <c r="O78" s="287" t="s">
        <v>488</v>
      </c>
      <c r="P78" s="287">
        <v>0</v>
      </c>
      <c r="Q78" s="287">
        <v>36</v>
      </c>
      <c r="R78" s="287">
        <v>0</v>
      </c>
      <c r="S78" s="287">
        <v>0</v>
      </c>
      <c r="T78" s="287" t="s">
        <v>488</v>
      </c>
      <c r="U78" s="287">
        <v>0</v>
      </c>
      <c r="V78" s="287">
        <v>0</v>
      </c>
      <c r="X78" s="67" t="str">
        <f t="shared" si="9"/>
        <v>N/A</v>
      </c>
    </row>
    <row r="79" spans="1:24" s="6" customFormat="1" ht="11.25" customHeight="1" x14ac:dyDescent="0.35">
      <c r="D79" s="270" t="str">
        <f>Lookup!$D$109</f>
        <v>Easements</v>
      </c>
      <c r="E79" s="282" t="s">
        <v>263</v>
      </c>
      <c r="F79" s="282" t="s">
        <v>262</v>
      </c>
      <c r="G79" s="282" t="str">
        <f t="shared" si="8"/>
        <v>N/A</v>
      </c>
      <c r="H79" s="282" t="str">
        <f t="shared" si="8"/>
        <v>N/A</v>
      </c>
      <c r="J79" s="287"/>
      <c r="K79" s="287"/>
      <c r="L79" s="287"/>
      <c r="M79" s="287"/>
      <c r="N79" s="287"/>
      <c r="O79" s="287"/>
      <c r="P79" s="287"/>
      <c r="Q79" s="287"/>
      <c r="R79" s="287"/>
      <c r="S79" s="287"/>
      <c r="T79" s="287"/>
      <c r="U79" s="287"/>
      <c r="V79" s="287"/>
      <c r="X79" s="67" t="str">
        <f t="shared" si="9"/>
        <v>N/A</v>
      </c>
    </row>
    <row r="80" spans="1:24" s="6" customFormat="1" ht="11.25" customHeight="1" x14ac:dyDescent="0.35">
      <c r="D80" s="270" t="str">
        <f>Lookup!$D$110</f>
        <v>Meters</v>
      </c>
      <c r="E80" s="282" t="s">
        <v>263</v>
      </c>
      <c r="F80" s="282" t="s">
        <v>262</v>
      </c>
      <c r="G80" s="282" t="str">
        <f t="shared" si="8"/>
        <v>N/A</v>
      </c>
      <c r="H80" s="282" t="str">
        <f t="shared" si="8"/>
        <v>N/A</v>
      </c>
      <c r="J80" s="287">
        <v>15</v>
      </c>
      <c r="K80" s="287">
        <v>15</v>
      </c>
      <c r="L80" s="287">
        <v>0</v>
      </c>
      <c r="M80" s="287">
        <v>15</v>
      </c>
      <c r="N80" s="287">
        <v>15</v>
      </c>
      <c r="O80" s="287">
        <v>14</v>
      </c>
      <c r="P80" s="287">
        <v>15</v>
      </c>
      <c r="Q80" s="287">
        <v>15</v>
      </c>
      <c r="R80" s="287">
        <v>14.999999999999998</v>
      </c>
      <c r="S80" s="287">
        <v>25</v>
      </c>
      <c r="T80" s="287">
        <v>14</v>
      </c>
      <c r="U80" s="287">
        <v>20.022914707341258</v>
      </c>
      <c r="V80" s="287">
        <v>20</v>
      </c>
      <c r="X80" s="67">
        <f>AVERAGE(M80:U80,J80:K80)</f>
        <v>16.183901337031024</v>
      </c>
    </row>
    <row r="81" spans="1:24" s="6" customFormat="1" ht="11.25" customHeight="1" x14ac:dyDescent="0.35">
      <c r="D81" s="270" t="str">
        <f>Lookup!$D$111</f>
        <v>“Other” asset items with long lives</v>
      </c>
      <c r="E81" s="282" t="s">
        <v>263</v>
      </c>
      <c r="F81" s="282" t="s">
        <v>262</v>
      </c>
      <c r="G81" s="282" t="str">
        <f t="shared" si="8"/>
        <v>N/A</v>
      </c>
      <c r="H81" s="282" t="str">
        <f t="shared" si="8"/>
        <v>N/A</v>
      </c>
      <c r="J81" s="287">
        <v>20</v>
      </c>
      <c r="K81" s="287">
        <v>20</v>
      </c>
      <c r="L81" s="287">
        <v>30.89802954770775</v>
      </c>
      <c r="M81" s="287">
        <v>27</v>
      </c>
      <c r="N81" s="287">
        <v>15</v>
      </c>
      <c r="O81" s="287">
        <v>26</v>
      </c>
      <c r="P81" s="287">
        <v>31.1</v>
      </c>
      <c r="Q81" s="287">
        <v>20</v>
      </c>
      <c r="R81" s="287">
        <v>22.054367780472937</v>
      </c>
      <c r="S81" s="287">
        <v>46.377528642281433</v>
      </c>
      <c r="T81" s="287">
        <v>23</v>
      </c>
      <c r="U81" s="287">
        <v>18.820880661092382</v>
      </c>
      <c r="V81" s="287">
        <v>0</v>
      </c>
      <c r="X81" s="67">
        <f>AVERAGE(J81:U81)</f>
        <v>25.020900552629541</v>
      </c>
    </row>
    <row r="82" spans="1:24" s="6" customFormat="1" ht="11.25" customHeight="1" x14ac:dyDescent="0.35">
      <c r="D82" s="270" t="str">
        <f>Lookup!$D$112</f>
        <v>“Other” asset items with short lives</v>
      </c>
      <c r="E82" s="282" t="s">
        <v>263</v>
      </c>
      <c r="F82" s="282" t="s">
        <v>262</v>
      </c>
      <c r="G82" s="282" t="str">
        <f t="shared" si="8"/>
        <v>N/A</v>
      </c>
      <c r="H82" s="282" t="str">
        <f t="shared" si="8"/>
        <v>N/A</v>
      </c>
      <c r="J82" s="287">
        <v>0</v>
      </c>
      <c r="K82" s="287">
        <v>5</v>
      </c>
      <c r="L82" s="287">
        <v>0</v>
      </c>
      <c r="M82" s="287">
        <v>7</v>
      </c>
      <c r="N82" s="287">
        <v>0</v>
      </c>
      <c r="O82" s="287" t="s">
        <v>488</v>
      </c>
      <c r="P82" s="287">
        <v>7</v>
      </c>
      <c r="Q82" s="287">
        <v>0</v>
      </c>
      <c r="R82" s="287">
        <v>7.8092160448044128</v>
      </c>
      <c r="S82" s="287">
        <v>7.2285620647407587</v>
      </c>
      <c r="T82" s="287" t="s">
        <v>488</v>
      </c>
      <c r="U82" s="287">
        <v>5</v>
      </c>
      <c r="V82" s="287">
        <v>0</v>
      </c>
      <c r="X82" s="67">
        <f>AVERAGE(K82,M82,P82,R82:S82,U82)</f>
        <v>6.5062963515908621</v>
      </c>
    </row>
    <row r="83" spans="1:24" s="6" customFormat="1" ht="11.25" customHeight="1" x14ac:dyDescent="0.35">
      <c r="D83" s="265"/>
      <c r="E83" s="265"/>
      <c r="F83" s="265"/>
      <c r="G83" s="265"/>
      <c r="H83" s="265"/>
    </row>
    <row r="84" spans="1:24" s="6" customFormat="1" ht="11.25" customHeight="1" x14ac:dyDescent="0.35">
      <c r="A84" s="263">
        <f>IF(SUM($J84:$V84)&lt;&gt;0,1,0)</f>
        <v>0</v>
      </c>
      <c r="D84" s="270" t="s">
        <v>114</v>
      </c>
      <c r="E84" s="277"/>
      <c r="F84" s="277"/>
      <c r="G84" s="277"/>
      <c r="H84" s="277"/>
      <c r="J84" s="286">
        <f t="shared" ref="J84:V84" si="10">IF(ISERROR(SUM(J73:J82)),1,0)</f>
        <v>0</v>
      </c>
      <c r="K84" s="286">
        <f t="shared" si="10"/>
        <v>0</v>
      </c>
      <c r="L84" s="286">
        <f t="shared" si="10"/>
        <v>0</v>
      </c>
      <c r="M84" s="286">
        <f t="shared" si="10"/>
        <v>0</v>
      </c>
      <c r="N84" s="286">
        <f t="shared" si="10"/>
        <v>0</v>
      </c>
      <c r="O84" s="286">
        <f t="shared" si="10"/>
        <v>0</v>
      </c>
      <c r="P84" s="286">
        <f t="shared" si="10"/>
        <v>0</v>
      </c>
      <c r="Q84" s="286">
        <f t="shared" si="10"/>
        <v>0</v>
      </c>
      <c r="R84" s="286">
        <f t="shared" si="10"/>
        <v>0</v>
      </c>
      <c r="S84" s="286">
        <f t="shared" si="10"/>
        <v>0</v>
      </c>
      <c r="T84" s="286">
        <f t="shared" si="10"/>
        <v>0</v>
      </c>
      <c r="U84" s="286">
        <f t="shared" si="10"/>
        <v>0</v>
      </c>
      <c r="V84" s="286">
        <f t="shared" si="10"/>
        <v>0</v>
      </c>
    </row>
    <row r="85" spans="1:24" s="6" customFormat="1" ht="11.25" customHeight="1" x14ac:dyDescent="0.35"/>
    <row r="86" spans="1:24" s="4" customFormat="1" ht="15" x14ac:dyDescent="0.35">
      <c r="B86" s="4" t="s">
        <v>33</v>
      </c>
    </row>
  </sheetData>
  <conditionalFormatting sqref="B2">
    <cfRule type="cellIs" dxfId="16" priority="1" operator="notEqual">
      <formula>"No Errors Found"</formula>
    </cfRule>
  </conditionalFormatting>
  <hyperlinks>
    <hyperlink ref="B3:E3" location="TOC!A1" display="TOC!A1" xr:uid="{9360EBA6-893F-4272-BC58-827122D9A4FB}"/>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sheetPr>
  <dimension ref="A1:U91"/>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33203125" defaultRowHeight="10.199999999999999" outlineLevelRow="1" x14ac:dyDescent="0.35"/>
  <cols>
    <col min="1" max="1" width="3.33203125" style="265" customWidth="1"/>
    <col min="2" max="3" width="2.796875" style="265" customWidth="1"/>
    <col min="4" max="4" width="45.46484375" style="265" customWidth="1"/>
    <col min="5" max="5" width="15" style="265" bestFit="1" customWidth="1"/>
    <col min="6" max="6" width="9.1328125" style="265" customWidth="1"/>
    <col min="7" max="7" width="12" style="265" customWidth="1"/>
    <col min="8" max="8" width="10" style="265" customWidth="1"/>
    <col min="9" max="20" width="3.59765625" style="265" customWidth="1"/>
    <col min="21" max="21" width="12.796875" style="265" customWidth="1"/>
    <col min="22" max="22" width="6.46484375" style="265" customWidth="1"/>
    <col min="23" max="23" width="10.796875" style="265" customWidth="1"/>
    <col min="24" max="24" width="13.796875" style="265" customWidth="1"/>
    <col min="25" max="32" width="11.59765625" style="265" customWidth="1"/>
    <col min="33" max="33" width="13.796875" style="265" customWidth="1"/>
    <col min="34" max="35" width="11.59765625" style="265" customWidth="1"/>
    <col min="36" max="36" width="14.1328125" style="265" customWidth="1"/>
    <col min="37" max="16384" width="9.33203125" style="265"/>
  </cols>
  <sheetData>
    <row r="1" spans="1:21" ht="18.899999999999999" x14ac:dyDescent="0.35">
      <c r="A1" s="263">
        <f>IF(SUM($A11:$A91)&gt;0,1,0)</f>
        <v>0</v>
      </c>
      <c r="B1" s="264" t="s">
        <v>184</v>
      </c>
    </row>
    <row r="2" spans="1:21" x14ac:dyDescent="0.35">
      <c r="B2" s="266" t="str">
        <f>Title_Msg</f>
        <v>No Errors Found</v>
      </c>
    </row>
    <row r="3" spans="1:21" x14ac:dyDescent="0.35">
      <c r="B3" s="267" t="str">
        <f>TOC!B1</f>
        <v>Table of Contents</v>
      </c>
      <c r="C3" s="268"/>
      <c r="D3" s="268"/>
      <c r="E3" s="268"/>
    </row>
    <row r="4" spans="1:21" ht="12.3" x14ac:dyDescent="0.35">
      <c r="B4" s="269" t="str">
        <f>Model_Name</f>
        <v>Power and Water Corporation (PWC) - RAB Allocation - EB RIN - DRAFT</v>
      </c>
    </row>
    <row r="5" spans="1:21" ht="12.3" hidden="1" outlineLevel="1" x14ac:dyDescent="0.35">
      <c r="B5" s="270" t="str">
        <f>Lookup!B15</f>
        <v>Period Start Date</v>
      </c>
      <c r="U5" s="271">
        <f>Lookup!U15</f>
        <v>42552</v>
      </c>
    </row>
    <row r="6" spans="1:21" ht="12.3" hidden="1" outlineLevel="1" x14ac:dyDescent="0.35">
      <c r="B6" s="270" t="str">
        <f>Lookup!B16</f>
        <v>Period End Date</v>
      </c>
      <c r="U6" s="271">
        <f>Lookup!U16</f>
        <v>42916</v>
      </c>
    </row>
    <row r="7" spans="1:21" ht="12.3" hidden="1" outlineLevel="1" x14ac:dyDescent="0.35">
      <c r="B7" s="270" t="str">
        <f>Lookup!B17</f>
        <v>Period Counter</v>
      </c>
      <c r="U7" s="272">
        <f>Lookup!U17</f>
        <v>12</v>
      </c>
    </row>
    <row r="8" spans="1:21" ht="12.3" hidden="1" outlineLevel="1" x14ac:dyDescent="0.35">
      <c r="B8" s="270" t="str">
        <f>Lookup!B18</f>
        <v>Year</v>
      </c>
      <c r="U8" s="273">
        <f>Lookup!U18</f>
        <v>2017</v>
      </c>
    </row>
    <row r="9" spans="1:21" ht="12.3" hidden="1" outlineLevel="1" x14ac:dyDescent="0.35">
      <c r="B9" s="270" t="str">
        <f>Lookup!B19</f>
        <v>Period Type</v>
      </c>
      <c r="U9" s="273" t="str">
        <f>Lookup!U19</f>
        <v>Forecast</v>
      </c>
    </row>
    <row r="10" spans="1:21" ht="12.3" collapsed="1" x14ac:dyDescent="0.35">
      <c r="B10" s="274" t="str">
        <f>Lookup!B20</f>
        <v>Regulatory Year</v>
      </c>
      <c r="E10" s="275" t="str">
        <f>Lookup!E20</f>
        <v>Source</v>
      </c>
      <c r="F10" s="275" t="str">
        <f>Lookup!F20</f>
        <v>Unit</v>
      </c>
      <c r="G10" s="275" t="str">
        <f>Lookup!G20</f>
        <v>Basis</v>
      </c>
      <c r="H10" s="275" t="str">
        <f>Lookup!H20</f>
        <v>Timing</v>
      </c>
      <c r="I10" s="275"/>
      <c r="U10" s="275" t="str">
        <f>Lookup!U20</f>
        <v>RY17</v>
      </c>
    </row>
    <row r="12" spans="1:21" s="276" customFormat="1" ht="15" x14ac:dyDescent="0.35">
      <c r="B12" s="276" t="s">
        <v>185</v>
      </c>
    </row>
    <row r="13" spans="1:21" s="277" customFormat="1" ht="4.5" customHeight="1" x14ac:dyDescent="0.35"/>
    <row r="14" spans="1:21" s="278" customFormat="1" ht="14.1" x14ac:dyDescent="0.35">
      <c r="C14" s="278" t="s">
        <v>269</v>
      </c>
    </row>
    <row r="15" spans="1:21" s="277" customFormat="1" ht="11.25" customHeight="1" x14ac:dyDescent="0.35"/>
    <row r="16" spans="1:21" ht="12.3" x14ac:dyDescent="0.35">
      <c r="D16" s="279" t="s">
        <v>109</v>
      </c>
      <c r="E16" s="280" t="str">
        <f>Lookup!E$20</f>
        <v>Source</v>
      </c>
      <c r="F16" s="280" t="str">
        <f>Lookup!F$20</f>
        <v>Unit</v>
      </c>
      <c r="G16" s="280" t="str">
        <f>Lookup!G$20</f>
        <v>Basis</v>
      </c>
      <c r="H16" s="280" t="str">
        <f>Lookup!H$20</f>
        <v>Timing</v>
      </c>
      <c r="U16" s="280" t="str">
        <f t="shared" ref="U16" si="0">U$10</f>
        <v>RY17</v>
      </c>
    </row>
    <row r="17" spans="1:21" x14ac:dyDescent="0.35">
      <c r="U17" s="281"/>
    </row>
    <row r="18" spans="1:21" ht="12.3" x14ac:dyDescent="0.35">
      <c r="D18" s="270" t="str">
        <f>Lookup!$D$103</f>
        <v>Overhead network assets less than 33kV</v>
      </c>
      <c r="E18" s="282" t="s">
        <v>478</v>
      </c>
      <c r="F18" s="282" t="str">
        <f t="shared" ref="F18:F21" si="1">Dollars</f>
        <v>Dollars</v>
      </c>
      <c r="G18" s="282" t="str">
        <f t="shared" ref="G18:G21" si="2">Nominal</f>
        <v>Nominal</v>
      </c>
      <c r="H18" s="282" t="str">
        <f t="shared" ref="H18:H21" si="3">Mid_year</f>
        <v>Mid year</v>
      </c>
      <c r="U18" s="287">
        <v>21841.46707476749</v>
      </c>
    </row>
    <row r="19" spans="1:21" ht="12.3" x14ac:dyDescent="0.35">
      <c r="D19" s="270" t="str">
        <f>Lookup!$D$104</f>
        <v>Underground network assets less than 33kV</v>
      </c>
      <c r="E19" s="282" t="str">
        <f>E18</f>
        <v>PWC</v>
      </c>
      <c r="F19" s="282" t="str">
        <f t="shared" si="1"/>
        <v>Dollars</v>
      </c>
      <c r="G19" s="282" t="str">
        <f t="shared" si="2"/>
        <v>Nominal</v>
      </c>
      <c r="H19" s="282" t="str">
        <f t="shared" si="3"/>
        <v>Mid year</v>
      </c>
      <c r="U19" s="287">
        <v>171354.67665874504</v>
      </c>
    </row>
    <row r="20" spans="1:21" ht="12.3" x14ac:dyDescent="0.35">
      <c r="D20" s="270" t="str">
        <f>Lookup!$D$106</f>
        <v>Overhead network assets 33kV and above</v>
      </c>
      <c r="E20" s="282" t="str">
        <f t="shared" ref="E20:E21" si="4">E19</f>
        <v>PWC</v>
      </c>
      <c r="F20" s="282" t="str">
        <f t="shared" si="1"/>
        <v>Dollars</v>
      </c>
      <c r="G20" s="282" t="str">
        <f t="shared" si="2"/>
        <v>Nominal</v>
      </c>
      <c r="H20" s="282" t="str">
        <f t="shared" si="3"/>
        <v>Mid year</v>
      </c>
      <c r="U20" s="287">
        <v>9936.1669176891737</v>
      </c>
    </row>
    <row r="21" spans="1:21" ht="12.3" x14ac:dyDescent="0.35">
      <c r="D21" s="270" t="str">
        <f>Lookup!$D$107</f>
        <v>Underground network assets 33kV and above</v>
      </c>
      <c r="E21" s="282" t="str">
        <f t="shared" si="4"/>
        <v>PWC</v>
      </c>
      <c r="F21" s="282" t="str">
        <f t="shared" si="1"/>
        <v>Dollars</v>
      </c>
      <c r="G21" s="282" t="str">
        <f t="shared" si="2"/>
        <v>Nominal</v>
      </c>
      <c r="H21" s="282" t="str">
        <f t="shared" si="3"/>
        <v>Mid year</v>
      </c>
      <c r="U21" s="287">
        <v>31053.806628761675</v>
      </c>
    </row>
    <row r="22" spans="1:21" x14ac:dyDescent="0.35">
      <c r="U22" s="281"/>
    </row>
    <row r="23" spans="1:21" ht="12.3" x14ac:dyDescent="0.35">
      <c r="D23" s="283" t="s">
        <v>110</v>
      </c>
      <c r="E23" s="284" t="s">
        <v>111</v>
      </c>
      <c r="F23" s="284" t="str">
        <f>F18</f>
        <v>Dollars</v>
      </c>
      <c r="G23" s="284" t="str">
        <f>G18</f>
        <v>Nominal</v>
      </c>
      <c r="H23" s="284" t="str">
        <f>H18</f>
        <v>Mid year</v>
      </c>
      <c r="U23" s="285" t="str">
        <f t="shared" ref="U23" si="5">NA</f>
        <v>N/A</v>
      </c>
    </row>
    <row r="24" spans="1:21" s="277" customFormat="1" ht="4.5" customHeight="1" x14ac:dyDescent="0.35"/>
    <row r="25" spans="1:21" s="277" customFormat="1" ht="11.25" customHeight="1" x14ac:dyDescent="0.35">
      <c r="A25" s="263">
        <f>IF(SUM($J25:$U25)&lt;&gt;0,1,0)</f>
        <v>0</v>
      </c>
      <c r="D25" s="270" t="s">
        <v>114</v>
      </c>
      <c r="U25" s="286">
        <f t="shared" ref="U25" si="6">IF(ISERROR(U23),1,0)</f>
        <v>0</v>
      </c>
    </row>
    <row r="26" spans="1:21" s="277" customFormat="1" ht="4.5" customHeight="1" x14ac:dyDescent="0.35"/>
    <row r="27" spans="1:21" s="278" customFormat="1" ht="14.1" x14ac:dyDescent="0.35">
      <c r="C27" s="278" t="s">
        <v>248</v>
      </c>
    </row>
    <row r="28" spans="1:21" s="277" customFormat="1" ht="11.25" customHeight="1" x14ac:dyDescent="0.35"/>
    <row r="29" spans="1:21" ht="12.3" x14ac:dyDescent="0.35">
      <c r="D29" s="279" t="s">
        <v>109</v>
      </c>
      <c r="E29" s="280" t="str">
        <f>Lookup!E$20</f>
        <v>Source</v>
      </c>
      <c r="F29" s="280" t="str">
        <f>Lookup!F$20</f>
        <v>Unit</v>
      </c>
      <c r="G29" s="280" t="str">
        <f>Lookup!G$20</f>
        <v>Basis</v>
      </c>
      <c r="H29" s="280" t="str">
        <f>Lookup!H$20</f>
        <v>Timing</v>
      </c>
      <c r="U29" s="280" t="str">
        <f t="shared" ref="U29" si="7">U$10</f>
        <v>RY17</v>
      </c>
    </row>
    <row r="30" spans="1:21" x14ac:dyDescent="0.35">
      <c r="U30" s="281"/>
    </row>
    <row r="31" spans="1:21" ht="12.3" x14ac:dyDescent="0.35">
      <c r="D31" s="270" t="str">
        <f>Lookup!$D$103</f>
        <v>Overhead network assets less than 33kV</v>
      </c>
      <c r="E31" s="282" t="s">
        <v>247</v>
      </c>
      <c r="F31" s="282" t="s">
        <v>116</v>
      </c>
      <c r="G31" s="282" t="str">
        <f t="shared" ref="G31:H34" si="8">NA</f>
        <v>N/A</v>
      </c>
      <c r="H31" s="282" t="str">
        <f t="shared" si="8"/>
        <v>N/A</v>
      </c>
      <c r="U31" s="287">
        <v>4667.9266079387562</v>
      </c>
    </row>
    <row r="32" spans="1:21" ht="12.3" x14ac:dyDescent="0.35">
      <c r="D32" s="270" t="str">
        <f>Lookup!$D$104</f>
        <v>Underground network assets less than 33kV</v>
      </c>
      <c r="E32" s="282" t="s">
        <v>247</v>
      </c>
      <c r="F32" s="282" t="s">
        <v>116</v>
      </c>
      <c r="G32" s="282" t="str">
        <f t="shared" si="8"/>
        <v>N/A</v>
      </c>
      <c r="H32" s="282" t="str">
        <f t="shared" si="8"/>
        <v>N/A</v>
      </c>
      <c r="U32" s="287">
        <v>1567.5252545837129</v>
      </c>
    </row>
    <row r="33" spans="1:21" ht="12.3" x14ac:dyDescent="0.35">
      <c r="D33" s="270" t="str">
        <f>Lookup!$D$106</f>
        <v>Overhead network assets 33kV and above</v>
      </c>
      <c r="E33" s="282" t="s">
        <v>247</v>
      </c>
      <c r="F33" s="282" t="s">
        <v>116</v>
      </c>
      <c r="G33" s="282" t="str">
        <f t="shared" si="8"/>
        <v>N/A</v>
      </c>
      <c r="H33" s="282" t="str">
        <f t="shared" si="8"/>
        <v>N/A</v>
      </c>
      <c r="U33" s="287">
        <v>737.13552975044047</v>
      </c>
    </row>
    <row r="34" spans="1:21" ht="12.3" x14ac:dyDescent="0.35">
      <c r="D34" s="270" t="str">
        <f>Lookup!$D$107</f>
        <v>Underground network assets 33kV and above</v>
      </c>
      <c r="E34" s="282" t="s">
        <v>247</v>
      </c>
      <c r="F34" s="282" t="s">
        <v>116</v>
      </c>
      <c r="G34" s="282" t="str">
        <f t="shared" si="8"/>
        <v>N/A</v>
      </c>
      <c r="H34" s="282" t="str">
        <f t="shared" si="8"/>
        <v>N/A</v>
      </c>
      <c r="U34" s="287">
        <v>42.21197469026</v>
      </c>
    </row>
    <row r="35" spans="1:21" x14ac:dyDescent="0.35">
      <c r="U35" s="281"/>
    </row>
    <row r="36" spans="1:21" ht="12.3" x14ac:dyDescent="0.35">
      <c r="D36" s="283" t="s">
        <v>110</v>
      </c>
      <c r="E36" s="284" t="s">
        <v>111</v>
      </c>
      <c r="F36" s="284" t="str">
        <f>F31</f>
        <v>Km</v>
      </c>
      <c r="G36" s="284" t="str">
        <f>G31</f>
        <v>N/A</v>
      </c>
      <c r="H36" s="284" t="str">
        <f>H31</f>
        <v>N/A</v>
      </c>
      <c r="U36" s="285">
        <f>SUM(U31:U34)</f>
        <v>7014.7993669631696</v>
      </c>
    </row>
    <row r="37" spans="1:21" s="277" customFormat="1" ht="4.5" customHeight="1" x14ac:dyDescent="0.35"/>
    <row r="38" spans="1:21" s="277" customFormat="1" ht="11.25" customHeight="1" x14ac:dyDescent="0.35">
      <c r="A38" s="263">
        <f>IF(SUM($J38:$U38)&lt;&gt;0,1,0)</f>
        <v>0</v>
      </c>
      <c r="D38" s="270" t="s">
        <v>114</v>
      </c>
      <c r="U38" s="286">
        <f t="shared" ref="U38" si="9">IF(ISERROR(U36),1,0)</f>
        <v>0</v>
      </c>
    </row>
    <row r="39" spans="1:21" s="277" customFormat="1" ht="4.5" customHeight="1" x14ac:dyDescent="0.35"/>
    <row r="40" spans="1:21" s="278" customFormat="1" ht="14.1" x14ac:dyDescent="0.35">
      <c r="C40" s="278" t="s">
        <v>249</v>
      </c>
    </row>
    <row r="41" spans="1:21" s="277" customFormat="1" ht="11.25" customHeight="1" x14ac:dyDescent="0.35"/>
    <row r="42" spans="1:21" ht="12.3" x14ac:dyDescent="0.35">
      <c r="D42" s="279" t="s">
        <v>109</v>
      </c>
      <c r="E42" s="280" t="str">
        <f>Lookup!E$20</f>
        <v>Source</v>
      </c>
      <c r="F42" s="280" t="str">
        <f>Lookup!F$20</f>
        <v>Unit</v>
      </c>
      <c r="G42" s="280" t="str">
        <f>Lookup!G$20</f>
        <v>Basis</v>
      </c>
      <c r="H42" s="280" t="str">
        <f>Lookup!H$20</f>
        <v>Timing</v>
      </c>
      <c r="U42" s="280" t="str">
        <f t="shared" ref="U42" si="10">U$10</f>
        <v>RY17</v>
      </c>
    </row>
    <row r="43" spans="1:21" x14ac:dyDescent="0.35">
      <c r="U43" s="281"/>
    </row>
    <row r="44" spans="1:21" ht="12.3" x14ac:dyDescent="0.35">
      <c r="D44" s="270" t="str">
        <f>Lookup!$D$103</f>
        <v>Overhead network assets less than 33kV</v>
      </c>
      <c r="E44" s="282" t="s">
        <v>247</v>
      </c>
      <c r="F44" s="282" t="s">
        <v>204</v>
      </c>
      <c r="G44" s="282" t="str">
        <f t="shared" ref="G44:H47" si="11">NA</f>
        <v>N/A</v>
      </c>
      <c r="H44" s="282" t="str">
        <f t="shared" si="11"/>
        <v>N/A</v>
      </c>
      <c r="U44" s="287">
        <v>17.21108301682106</v>
      </c>
    </row>
    <row r="45" spans="1:21" ht="12.3" x14ac:dyDescent="0.35">
      <c r="D45" s="270" t="str">
        <f>Lookup!$D$104</f>
        <v>Underground network assets less than 33kV</v>
      </c>
      <c r="E45" s="282" t="s">
        <v>247</v>
      </c>
      <c r="F45" s="282" t="s">
        <v>204</v>
      </c>
      <c r="G45" s="282" t="str">
        <f t="shared" si="11"/>
        <v>N/A</v>
      </c>
      <c r="H45" s="282" t="str">
        <f t="shared" si="11"/>
        <v>N/A</v>
      </c>
      <c r="U45" s="287">
        <v>20.839933648403903</v>
      </c>
    </row>
    <row r="46" spans="1:21" ht="12.3" x14ac:dyDescent="0.35">
      <c r="D46" s="270" t="str">
        <f>Lookup!$D$106</f>
        <v>Overhead network assets 33kV and above</v>
      </c>
      <c r="E46" s="282" t="s">
        <v>247</v>
      </c>
      <c r="F46" s="282" t="s">
        <v>204</v>
      </c>
      <c r="G46" s="282" t="str">
        <f t="shared" si="11"/>
        <v>N/A</v>
      </c>
      <c r="H46" s="282" t="str">
        <f t="shared" si="11"/>
        <v>N/A</v>
      </c>
      <c r="U46" s="287">
        <v>153.02016827670343</v>
      </c>
    </row>
    <row r="47" spans="1:21" ht="12.3" x14ac:dyDescent="0.35">
      <c r="D47" s="270" t="str">
        <f>Lookup!$D$107</f>
        <v>Underground network assets 33kV and above</v>
      </c>
      <c r="E47" s="282" t="s">
        <v>247</v>
      </c>
      <c r="F47" s="282" t="s">
        <v>204</v>
      </c>
      <c r="G47" s="282" t="str">
        <f t="shared" si="11"/>
        <v>N/A</v>
      </c>
      <c r="H47" s="282" t="str">
        <f t="shared" si="11"/>
        <v>N/A</v>
      </c>
      <c r="U47" s="287">
        <v>59.948319578930764</v>
      </c>
    </row>
    <row r="48" spans="1:21" x14ac:dyDescent="0.35">
      <c r="U48" s="281"/>
    </row>
    <row r="49" spans="1:21" ht="12.3" x14ac:dyDescent="0.35">
      <c r="D49" s="283" t="s">
        <v>110</v>
      </c>
      <c r="E49" s="284" t="s">
        <v>111</v>
      </c>
      <c r="F49" s="284" t="str">
        <f>F44</f>
        <v>MVA</v>
      </c>
      <c r="G49" s="284" t="str">
        <f>G44</f>
        <v>N/A</v>
      </c>
      <c r="H49" s="284" t="str">
        <f>H44</f>
        <v>N/A</v>
      </c>
      <c r="U49" s="285">
        <f>SUM(U44:U47)</f>
        <v>251.01950452085913</v>
      </c>
    </row>
    <row r="50" spans="1:21" s="277" customFormat="1" ht="4.5" customHeight="1" x14ac:dyDescent="0.35"/>
    <row r="51" spans="1:21" s="277" customFormat="1" ht="11.25" customHeight="1" x14ac:dyDescent="0.35">
      <c r="A51" s="263">
        <f>IF(SUM($J51:$U51)&lt;&gt;0,1,0)</f>
        <v>0</v>
      </c>
      <c r="D51" s="270" t="s">
        <v>114</v>
      </c>
      <c r="U51" s="286">
        <f t="shared" ref="U51" si="12">IF(ISERROR(U49),1,0)</f>
        <v>0</v>
      </c>
    </row>
    <row r="52" spans="1:21" s="277" customFormat="1" ht="4.5" customHeight="1" x14ac:dyDescent="0.35"/>
    <row r="53" spans="1:21" s="278" customFormat="1" ht="14.1" x14ac:dyDescent="0.35">
      <c r="C53" s="278" t="s">
        <v>251</v>
      </c>
    </row>
    <row r="54" spans="1:21" s="277" customFormat="1" ht="11.25" customHeight="1" x14ac:dyDescent="0.35"/>
    <row r="55" spans="1:21" ht="12.3" x14ac:dyDescent="0.35">
      <c r="D55" s="279" t="s">
        <v>109</v>
      </c>
      <c r="E55" s="280" t="str">
        <f>Lookup!E$20</f>
        <v>Source</v>
      </c>
      <c r="F55" s="280" t="str">
        <f>Lookup!F$20</f>
        <v>Unit</v>
      </c>
      <c r="G55" s="280" t="str">
        <f>Lookup!G$20</f>
        <v>Basis</v>
      </c>
      <c r="H55" s="280" t="str">
        <f>Lookup!H$20</f>
        <v>Timing</v>
      </c>
      <c r="U55" s="280" t="str">
        <f t="shared" ref="U55" si="13">U$10</f>
        <v>RY17</v>
      </c>
    </row>
    <row r="56" spans="1:21" x14ac:dyDescent="0.35">
      <c r="U56" s="281"/>
    </row>
    <row r="57" spans="1:21" ht="12.3" x14ac:dyDescent="0.35">
      <c r="C57" s="289">
        <f>N(C56)+1</f>
        <v>1</v>
      </c>
      <c r="D57" s="270" t="str">
        <f>Lookup!$D$103</f>
        <v>Overhead network assets less than 33kV</v>
      </c>
      <c r="E57" s="282" t="s">
        <v>263</v>
      </c>
      <c r="F57" s="282" t="s">
        <v>262</v>
      </c>
      <c r="G57" s="282" t="str">
        <f t="shared" ref="G57:H66" si="14">NA</f>
        <v>N/A</v>
      </c>
      <c r="H57" s="282" t="str">
        <f t="shared" si="14"/>
        <v>N/A</v>
      </c>
      <c r="U57" s="290">
        <f>'3.3 Assets (RAB)'!AA131</f>
        <v>24.321539217915245</v>
      </c>
    </row>
    <row r="58" spans="1:21" ht="12.3" x14ac:dyDescent="0.35">
      <c r="C58" s="289">
        <f t="shared" ref="C58:C66" si="15">N(C57)+1</f>
        <v>2</v>
      </c>
      <c r="D58" s="270" t="str">
        <f>Lookup!$D$104</f>
        <v>Underground network assets less than 33kV</v>
      </c>
      <c r="E58" s="282" t="s">
        <v>263</v>
      </c>
      <c r="F58" s="282" t="s">
        <v>262</v>
      </c>
      <c r="G58" s="282" t="str">
        <f t="shared" si="14"/>
        <v>N/A</v>
      </c>
      <c r="H58" s="282" t="str">
        <f t="shared" si="14"/>
        <v>N/A</v>
      </c>
      <c r="U58" s="290">
        <f>'3.3 Assets (RAB)'!AA132</f>
        <v>24.321478316570534</v>
      </c>
    </row>
    <row r="59" spans="1:21" ht="12.3" x14ac:dyDescent="0.35">
      <c r="C59" s="289">
        <f t="shared" si="15"/>
        <v>3</v>
      </c>
      <c r="D59" s="270" t="str">
        <f>Lookup!$D$105</f>
        <v>Distribution substations and transformers</v>
      </c>
      <c r="E59" s="282" t="s">
        <v>263</v>
      </c>
      <c r="F59" s="282" t="s">
        <v>262</v>
      </c>
      <c r="G59" s="282" t="str">
        <f t="shared" si="14"/>
        <v>N/A</v>
      </c>
      <c r="H59" s="282" t="str">
        <f t="shared" si="14"/>
        <v>N/A</v>
      </c>
      <c r="U59" s="290">
        <f>'3.3 Assets (RAB)'!AA133</f>
        <v>27.625996366173247</v>
      </c>
    </row>
    <row r="60" spans="1:21" ht="12.3" x14ac:dyDescent="0.35">
      <c r="C60" s="289">
        <f t="shared" si="15"/>
        <v>4</v>
      </c>
      <c r="D60" s="270" t="str">
        <f>Lookup!$D$106</f>
        <v>Overhead network assets 33kV and above</v>
      </c>
      <c r="E60" s="282" t="s">
        <v>263</v>
      </c>
      <c r="F60" s="282" t="s">
        <v>262</v>
      </c>
      <c r="G60" s="282" t="str">
        <f t="shared" si="14"/>
        <v>N/A</v>
      </c>
      <c r="H60" s="282" t="str">
        <f t="shared" si="14"/>
        <v>N/A</v>
      </c>
      <c r="U60" s="290">
        <f>'3.3 Assets (RAB)'!AA134</f>
        <v>28.032955981447742</v>
      </c>
    </row>
    <row r="61" spans="1:21" ht="12.3" x14ac:dyDescent="0.35">
      <c r="C61" s="289">
        <f t="shared" si="15"/>
        <v>5</v>
      </c>
      <c r="D61" s="270" t="str">
        <f>Lookup!$D$107</f>
        <v>Underground network assets 33kV and above</v>
      </c>
      <c r="E61" s="282" t="s">
        <v>263</v>
      </c>
      <c r="F61" s="282" t="s">
        <v>262</v>
      </c>
      <c r="G61" s="282" t="str">
        <f t="shared" si="14"/>
        <v>N/A</v>
      </c>
      <c r="H61" s="282" t="str">
        <f t="shared" si="14"/>
        <v>N/A</v>
      </c>
      <c r="U61" s="290">
        <f>'3.3 Assets (RAB)'!AA135</f>
        <v>28.032955981447738</v>
      </c>
    </row>
    <row r="62" spans="1:21" ht="12.3" x14ac:dyDescent="0.35">
      <c r="C62" s="289">
        <f t="shared" si="15"/>
        <v>6</v>
      </c>
      <c r="D62" s="270" t="str">
        <f>Lookup!$D$108</f>
        <v>Zone substations and transformers</v>
      </c>
      <c r="E62" s="282" t="s">
        <v>263</v>
      </c>
      <c r="F62" s="282" t="s">
        <v>262</v>
      </c>
      <c r="G62" s="282" t="str">
        <f t="shared" si="14"/>
        <v>N/A</v>
      </c>
      <c r="H62" s="282" t="str">
        <f t="shared" si="14"/>
        <v>N/A</v>
      </c>
      <c r="U62" s="290">
        <f>'3.3 Assets (RAB)'!AA136</f>
        <v>13.56155807084672</v>
      </c>
    </row>
    <row r="63" spans="1:21" ht="12.3" x14ac:dyDescent="0.35">
      <c r="C63" s="289">
        <f t="shared" si="15"/>
        <v>7</v>
      </c>
      <c r="D63" s="270" t="str">
        <f>Lookup!$D$109</f>
        <v>Easements</v>
      </c>
      <c r="E63" s="282" t="s">
        <v>263</v>
      </c>
      <c r="F63" s="282" t="s">
        <v>262</v>
      </c>
      <c r="G63" s="282" t="str">
        <f t="shared" si="14"/>
        <v>N/A</v>
      </c>
      <c r="H63" s="282" t="str">
        <f t="shared" si="14"/>
        <v>N/A</v>
      </c>
      <c r="U63" s="290" t="str">
        <f>'3.3 Assets (RAB)'!AA137</f>
        <v/>
      </c>
    </row>
    <row r="64" spans="1:21" ht="12.3" x14ac:dyDescent="0.35">
      <c r="C64" s="289">
        <f t="shared" si="15"/>
        <v>8</v>
      </c>
      <c r="D64" s="270" t="str">
        <f>Lookup!$D$110</f>
        <v>Meters</v>
      </c>
      <c r="E64" s="282" t="s">
        <v>263</v>
      </c>
      <c r="F64" s="282" t="s">
        <v>262</v>
      </c>
      <c r="G64" s="282" t="str">
        <f t="shared" si="14"/>
        <v>N/A</v>
      </c>
      <c r="H64" s="282" t="str">
        <f t="shared" si="14"/>
        <v>N/A</v>
      </c>
      <c r="U64" s="290">
        <f>'3.3 Assets (RAB)'!AA138</f>
        <v>9.800283268795237</v>
      </c>
    </row>
    <row r="65" spans="1:21" ht="12.3" x14ac:dyDescent="0.35">
      <c r="C65" s="289">
        <f t="shared" si="15"/>
        <v>9</v>
      </c>
      <c r="D65" s="270" t="str">
        <f>Lookup!$D$111</f>
        <v>“Other” asset items with long lives</v>
      </c>
      <c r="E65" s="282" t="s">
        <v>263</v>
      </c>
      <c r="F65" s="282" t="s">
        <v>262</v>
      </c>
      <c r="G65" s="282" t="str">
        <f t="shared" si="14"/>
        <v>N/A</v>
      </c>
      <c r="H65" s="282" t="str">
        <f t="shared" si="14"/>
        <v>N/A</v>
      </c>
      <c r="U65" s="290">
        <f>'3.3 Assets (RAB)'!AA139</f>
        <v>2.0669674762453107</v>
      </c>
    </row>
    <row r="66" spans="1:21" ht="12.3" x14ac:dyDescent="0.35">
      <c r="C66" s="289">
        <f t="shared" si="15"/>
        <v>10</v>
      </c>
      <c r="D66" s="270" t="str">
        <f>Lookup!$D$112</f>
        <v>“Other” asset items with short lives</v>
      </c>
      <c r="E66" s="282" t="s">
        <v>263</v>
      </c>
      <c r="F66" s="282" t="s">
        <v>262</v>
      </c>
      <c r="G66" s="282" t="str">
        <f t="shared" si="14"/>
        <v>N/A</v>
      </c>
      <c r="H66" s="282" t="str">
        <f t="shared" si="14"/>
        <v>N/A</v>
      </c>
      <c r="U66" s="290">
        <f>'3.3 Assets (RAB)'!AA140</f>
        <v>0</v>
      </c>
    </row>
    <row r="67" spans="1:21" x14ac:dyDescent="0.35">
      <c r="U67" s="281"/>
    </row>
    <row r="68" spans="1:21" ht="12.3" x14ac:dyDescent="0.35">
      <c r="D68" s="283" t="s">
        <v>110</v>
      </c>
      <c r="E68" s="284" t="s">
        <v>35</v>
      </c>
      <c r="F68" s="284" t="str">
        <f>F57</f>
        <v>Years</v>
      </c>
      <c r="G68" s="284" t="str">
        <f>G57</f>
        <v>N/A</v>
      </c>
      <c r="H68" s="284" t="str">
        <f>H57</f>
        <v>N/A</v>
      </c>
      <c r="U68" s="285" t="str">
        <f t="shared" ref="U68" si="16">NA</f>
        <v>N/A</v>
      </c>
    </row>
    <row r="69" spans="1:21" s="277" customFormat="1" ht="4.5" customHeight="1" x14ac:dyDescent="0.35"/>
    <row r="70" spans="1:21" s="277" customFormat="1" ht="11.25" customHeight="1" x14ac:dyDescent="0.35">
      <c r="A70" s="263">
        <f>IF(SUM($J70:$U70)&lt;&gt;0,1,0)</f>
        <v>0</v>
      </c>
      <c r="D70" s="270" t="s">
        <v>114</v>
      </c>
      <c r="U70" s="286">
        <f t="shared" ref="U70" si="17">IF(ISERROR(U68),1,0)</f>
        <v>0</v>
      </c>
    </row>
    <row r="71" spans="1:21" s="277" customFormat="1" ht="4.5" customHeight="1" x14ac:dyDescent="0.35"/>
    <row r="72" spans="1:21" s="278" customFormat="1" ht="14.1" x14ac:dyDescent="0.35">
      <c r="C72" s="278" t="s">
        <v>173</v>
      </c>
    </row>
    <row r="73" spans="1:21" s="277" customFormat="1" ht="11.25" customHeight="1" x14ac:dyDescent="0.35"/>
    <row r="74" spans="1:21" ht="12.3" x14ac:dyDescent="0.35">
      <c r="D74" s="279" t="s">
        <v>109</v>
      </c>
      <c r="E74" s="280" t="str">
        <f>Lookup!E$20</f>
        <v>Source</v>
      </c>
      <c r="F74" s="280" t="str">
        <f>Lookup!F$20</f>
        <v>Unit</v>
      </c>
      <c r="G74" s="280" t="str">
        <f>Lookup!G$20</f>
        <v>Basis</v>
      </c>
      <c r="H74" s="280" t="str">
        <f>Lookup!H$20</f>
        <v>Timing</v>
      </c>
      <c r="U74" s="280" t="str">
        <f t="shared" ref="U74" si="18">U$10</f>
        <v>RY17</v>
      </c>
    </row>
    <row r="75" spans="1:21" x14ac:dyDescent="0.35">
      <c r="U75" s="281"/>
    </row>
    <row r="76" spans="1:21" ht="12.3" x14ac:dyDescent="0.35">
      <c r="D76" s="270" t="str">
        <f>Lookup!$D$103</f>
        <v>Overhead network assets less than 33kV</v>
      </c>
      <c r="E76" s="282" t="s">
        <v>263</v>
      </c>
      <c r="F76" s="282" t="s">
        <v>262</v>
      </c>
      <c r="G76" s="282" t="str">
        <f t="shared" ref="G76:H85" si="19">NA</f>
        <v>N/A</v>
      </c>
      <c r="H76" s="282" t="str">
        <f t="shared" si="19"/>
        <v>N/A</v>
      </c>
      <c r="U76" s="290">
        <f>Input_AssetLives!U18</f>
        <v>49.792725031645205</v>
      </c>
    </row>
    <row r="77" spans="1:21" ht="12.3" x14ac:dyDescent="0.35">
      <c r="D77" s="270" t="str">
        <f>Lookup!$D$104</f>
        <v>Underground network assets less than 33kV</v>
      </c>
      <c r="E77" s="282" t="s">
        <v>263</v>
      </c>
      <c r="F77" s="282" t="s">
        <v>262</v>
      </c>
      <c r="G77" s="282" t="str">
        <f t="shared" si="19"/>
        <v>N/A</v>
      </c>
      <c r="H77" s="282" t="str">
        <f t="shared" si="19"/>
        <v>N/A</v>
      </c>
      <c r="U77" s="290">
        <f>Input_AssetLives!U19</f>
        <v>52.300284796833004</v>
      </c>
    </row>
    <row r="78" spans="1:21" ht="12.3" x14ac:dyDescent="0.35">
      <c r="D78" s="270" t="str">
        <f>Lookup!$D$105</f>
        <v>Distribution substations and transformers</v>
      </c>
      <c r="E78" s="282" t="s">
        <v>263</v>
      </c>
      <c r="F78" s="282" t="s">
        <v>262</v>
      </c>
      <c r="G78" s="282" t="str">
        <f t="shared" si="19"/>
        <v>N/A</v>
      </c>
      <c r="H78" s="282" t="str">
        <f t="shared" si="19"/>
        <v>N/A</v>
      </c>
      <c r="U78" s="290">
        <f>Input_AssetLives!U20</f>
        <v>44.555321903731347</v>
      </c>
    </row>
    <row r="79" spans="1:21" ht="12.3" x14ac:dyDescent="0.35">
      <c r="D79" s="270" t="str">
        <f>Lookup!$D$106</f>
        <v>Overhead network assets 33kV and above</v>
      </c>
      <c r="E79" s="282" t="s">
        <v>263</v>
      </c>
      <c r="F79" s="282" t="s">
        <v>262</v>
      </c>
      <c r="G79" s="282" t="str">
        <f t="shared" si="19"/>
        <v>N/A</v>
      </c>
      <c r="H79" s="282" t="str">
        <f t="shared" si="19"/>
        <v>N/A</v>
      </c>
      <c r="U79" s="290">
        <f>Input_AssetLives!U21</f>
        <v>54.343924174110775</v>
      </c>
    </row>
    <row r="80" spans="1:21" ht="12.3" x14ac:dyDescent="0.35">
      <c r="D80" s="270" t="str">
        <f>Lookup!$D$107</f>
        <v>Underground network assets 33kV and above</v>
      </c>
      <c r="E80" s="282" t="s">
        <v>263</v>
      </c>
      <c r="F80" s="282" t="s">
        <v>262</v>
      </c>
      <c r="G80" s="282" t="str">
        <f t="shared" si="19"/>
        <v>N/A</v>
      </c>
      <c r="H80" s="282" t="str">
        <f t="shared" si="19"/>
        <v>N/A</v>
      </c>
      <c r="U80" s="290">
        <f>Input_AssetLives!U22</f>
        <v>49.613725933874562</v>
      </c>
    </row>
    <row r="81" spans="1:21" ht="12.3" x14ac:dyDescent="0.35">
      <c r="D81" s="270" t="str">
        <f>Lookup!$D$108</f>
        <v>Zone substations and transformers</v>
      </c>
      <c r="E81" s="282" t="s">
        <v>263</v>
      </c>
      <c r="F81" s="282" t="s">
        <v>262</v>
      </c>
      <c r="G81" s="282" t="str">
        <f t="shared" si="19"/>
        <v>N/A</v>
      </c>
      <c r="H81" s="282" t="str">
        <f t="shared" si="19"/>
        <v>N/A</v>
      </c>
      <c r="U81" s="290">
        <f>Input_AssetLives!U23</f>
        <v>45.619061322390586</v>
      </c>
    </row>
    <row r="82" spans="1:21" ht="12.3" x14ac:dyDescent="0.35">
      <c r="D82" s="270" t="str">
        <f>Lookup!$D$109</f>
        <v>Easements</v>
      </c>
      <c r="E82" s="282" t="s">
        <v>263</v>
      </c>
      <c r="F82" s="282" t="s">
        <v>262</v>
      </c>
      <c r="G82" s="282" t="str">
        <f t="shared" si="19"/>
        <v>N/A</v>
      </c>
      <c r="H82" s="282" t="str">
        <f t="shared" si="19"/>
        <v>N/A</v>
      </c>
      <c r="U82" s="290" t="str">
        <f>Input_AssetLives!U24</f>
        <v>N/A</v>
      </c>
    </row>
    <row r="83" spans="1:21" ht="12.3" x14ac:dyDescent="0.35">
      <c r="D83" s="270" t="str">
        <f>Lookup!$D$110</f>
        <v>Meters</v>
      </c>
      <c r="E83" s="282" t="s">
        <v>263</v>
      </c>
      <c r="F83" s="282" t="s">
        <v>262</v>
      </c>
      <c r="G83" s="282" t="str">
        <f t="shared" si="19"/>
        <v>N/A</v>
      </c>
      <c r="H83" s="282" t="str">
        <f t="shared" si="19"/>
        <v>N/A</v>
      </c>
      <c r="U83" s="290">
        <f>Input_AssetLives!U25</f>
        <v>16</v>
      </c>
    </row>
    <row r="84" spans="1:21" ht="12.3" x14ac:dyDescent="0.35">
      <c r="D84" s="270" t="str">
        <f>Lookup!$D$111</f>
        <v>“Other” asset items with long lives</v>
      </c>
      <c r="E84" s="282" t="s">
        <v>263</v>
      </c>
      <c r="F84" s="282" t="s">
        <v>262</v>
      </c>
      <c r="G84" s="282" t="str">
        <f t="shared" si="19"/>
        <v>N/A</v>
      </c>
      <c r="H84" s="282" t="str">
        <f t="shared" si="19"/>
        <v>N/A</v>
      </c>
      <c r="U84" s="290">
        <f>Input_AssetLives!U26</f>
        <v>29.023808433625259</v>
      </c>
    </row>
    <row r="85" spans="1:21" ht="12.3" x14ac:dyDescent="0.35">
      <c r="D85" s="270" t="str">
        <f>Lookup!$D$112</f>
        <v>“Other” asset items with short lives</v>
      </c>
      <c r="E85" s="282" t="s">
        <v>263</v>
      </c>
      <c r="F85" s="282" t="s">
        <v>262</v>
      </c>
      <c r="G85" s="282" t="str">
        <f t="shared" si="19"/>
        <v>N/A</v>
      </c>
      <c r="H85" s="282" t="str">
        <f t="shared" si="19"/>
        <v>N/A</v>
      </c>
      <c r="U85" s="290">
        <f>Input_AssetLives!U27</f>
        <v>6.9300161354856167</v>
      </c>
    </row>
    <row r="86" spans="1:21" x14ac:dyDescent="0.35">
      <c r="U86" s="281"/>
    </row>
    <row r="87" spans="1:21" ht="12.3" x14ac:dyDescent="0.35">
      <c r="D87" s="283" t="s">
        <v>110</v>
      </c>
      <c r="E87" s="284" t="s">
        <v>35</v>
      </c>
      <c r="F87" s="284" t="str">
        <f>F76</f>
        <v>Years</v>
      </c>
      <c r="G87" s="284" t="str">
        <f>G76</f>
        <v>N/A</v>
      </c>
      <c r="H87" s="284" t="str">
        <f>H76</f>
        <v>N/A</v>
      </c>
      <c r="U87" s="285" t="str">
        <f t="shared" ref="U87" si="20">NA</f>
        <v>N/A</v>
      </c>
    </row>
    <row r="88" spans="1:21" s="277" customFormat="1" ht="4.5" customHeight="1" x14ac:dyDescent="0.35"/>
    <row r="89" spans="1:21" s="277" customFormat="1" ht="11.25" customHeight="1" x14ac:dyDescent="0.35">
      <c r="A89" s="263">
        <f>IF(SUM($J89:$U89)&lt;&gt;0,1,0)</f>
        <v>0</v>
      </c>
      <c r="D89" s="270" t="s">
        <v>114</v>
      </c>
      <c r="U89" s="286">
        <f t="shared" ref="U89" si="21">IF(ISERROR(U87),1,0)</f>
        <v>0</v>
      </c>
    </row>
    <row r="90" spans="1:21" s="277" customFormat="1" ht="4.5" customHeight="1" x14ac:dyDescent="0.35"/>
    <row r="91" spans="1:21" s="276" customFormat="1" ht="15" x14ac:dyDescent="0.35">
      <c r="B91" s="276" t="s">
        <v>33</v>
      </c>
    </row>
  </sheetData>
  <conditionalFormatting sqref="B2">
    <cfRule type="cellIs" dxfId="15" priority="1" operator="notEqual">
      <formula>"No Errors Found"</formula>
    </cfRule>
  </conditionalFormatting>
  <hyperlinks>
    <hyperlink ref="B3:E3" location="TOC!A1" display="TOC!A1"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N80"/>
  <sheetViews>
    <sheetView showGridLines="0" zoomScaleNormal="10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defaultColWidth="9.33203125" defaultRowHeight="10.199999999999999" x14ac:dyDescent="0.35"/>
  <cols>
    <col min="1" max="1" width="3.6640625" style="7" customWidth="1"/>
    <col min="2" max="2" width="2.796875" style="7" customWidth="1"/>
    <col min="3" max="3" width="5.46484375" style="7" customWidth="1"/>
    <col min="4" max="4" width="45.3984375" style="7" customWidth="1"/>
    <col min="5" max="14" width="15.6640625" style="7" customWidth="1"/>
    <col min="15" max="24" width="10.796875" style="7" customWidth="1"/>
    <col min="25" max="16384" width="9.33203125" style="7"/>
  </cols>
  <sheetData>
    <row r="1" spans="1:14" ht="18.899999999999999" x14ac:dyDescent="0.35">
      <c r="A1" s="49">
        <f>IF(SUM($A5:$A80)&lt;&gt;0,1,0)</f>
        <v>0</v>
      </c>
      <c r="B1" s="379" t="s">
        <v>449</v>
      </c>
    </row>
    <row r="2" spans="1:14" x14ac:dyDescent="0.35">
      <c r="B2" s="18" t="str">
        <f>Title_Msg</f>
        <v>No Errors Found</v>
      </c>
    </row>
    <row r="3" spans="1:14" x14ac:dyDescent="0.35">
      <c r="B3" s="37" t="str">
        <f>TOC!B1</f>
        <v>Table of Contents</v>
      </c>
      <c r="C3" s="35"/>
      <c r="D3" s="35"/>
      <c r="E3" s="35"/>
    </row>
    <row r="4" spans="1:14" ht="12.3" x14ac:dyDescent="0.35">
      <c r="B4" s="34" t="str">
        <f>Model_Name</f>
        <v>Power and Water Corporation (PWC) - RAB Allocation - EB RIN - DRAFT</v>
      </c>
    </row>
    <row r="6" spans="1:14" s="4" customFormat="1" ht="15" x14ac:dyDescent="0.35">
      <c r="B6" s="4" t="s">
        <v>120</v>
      </c>
    </row>
    <row r="7" spans="1:14" s="6" customFormat="1" ht="4.5" customHeight="1" x14ac:dyDescent="0.35"/>
    <row r="8" spans="1:14" s="13" customFormat="1" ht="14.1" x14ac:dyDescent="0.35">
      <c r="C8" s="13" t="s">
        <v>448</v>
      </c>
    </row>
    <row r="9" spans="1:14" s="6" customFormat="1" ht="11.25" customHeight="1" x14ac:dyDescent="0.35"/>
    <row r="10" spans="1:14" s="6" customFormat="1" ht="54" customHeight="1" x14ac:dyDescent="0.4">
      <c r="D10" s="79" t="s">
        <v>194</v>
      </c>
      <c r="E10" s="69" t="str">
        <f t="array" ref="E10:N10">TRANSPOSE(LU_EB_RIN_Assets)</f>
        <v>Overhead network assets less than 33kV</v>
      </c>
      <c r="F10" s="69" t="str">
        <v>Underground network assets less than 33kV</v>
      </c>
      <c r="G10" s="69" t="str">
        <v>Distribution substations and transformers</v>
      </c>
      <c r="H10" s="69" t="str">
        <v>Overhead network assets 33kV and above</v>
      </c>
      <c r="I10" s="69" t="str">
        <v>Underground network assets 33kV and above</v>
      </c>
      <c r="J10" s="69" t="str">
        <v>Zone substations and transformers</v>
      </c>
      <c r="K10" s="69" t="str">
        <v>Easements</v>
      </c>
      <c r="L10" s="153" t="str">
        <v>Meters</v>
      </c>
      <c r="M10" s="69" t="str">
        <v>“Other” asset items with long lives</v>
      </c>
      <c r="N10" s="69" t="str">
        <v>“Other” asset items with short lives</v>
      </c>
    </row>
    <row r="11" spans="1:14" s="6" customFormat="1" ht="12.3" x14ac:dyDescent="0.35">
      <c r="A11" s="53">
        <f>IF(SUM(E11:N11)&lt;&gt;1,1,0)</f>
        <v>0</v>
      </c>
      <c r="C11" s="381" t="s">
        <v>121</v>
      </c>
      <c r="D11" s="15" t="str">
        <f>Lookup!D71</f>
        <v>Substations</v>
      </c>
      <c r="E11" s="322">
        <v>0</v>
      </c>
      <c r="F11" s="322">
        <v>0</v>
      </c>
      <c r="G11" s="77">
        <v>0</v>
      </c>
      <c r="H11" s="77">
        <v>0</v>
      </c>
      <c r="I11" s="77">
        <v>0</v>
      </c>
      <c r="J11" s="77">
        <v>1</v>
      </c>
      <c r="K11" s="77">
        <v>0</v>
      </c>
      <c r="L11" s="77">
        <v>0</v>
      </c>
      <c r="M11" s="77">
        <v>0</v>
      </c>
      <c r="N11" s="77">
        <v>0</v>
      </c>
    </row>
    <row r="12" spans="1:14" s="6" customFormat="1" ht="12.3" x14ac:dyDescent="0.35">
      <c r="A12" s="53">
        <f t="shared" ref="A12:A27" si="0">IF(SUM(E12:N12)&lt;&gt;1,1,0)</f>
        <v>0</v>
      </c>
      <c r="C12" s="382"/>
      <c r="D12" s="15" t="str">
        <f>Lookup!D72</f>
        <v>Distribution Lines</v>
      </c>
      <c r="E12" s="324">
        <v>0.3255776834035452</v>
      </c>
      <c r="F12" s="325">
        <v>0.6744223165964548</v>
      </c>
      <c r="G12" s="321">
        <v>0</v>
      </c>
      <c r="H12" s="322">
        <v>0</v>
      </c>
      <c r="I12" s="322">
        <v>0</v>
      </c>
      <c r="J12" s="77">
        <v>0</v>
      </c>
      <c r="K12" s="77">
        <v>0</v>
      </c>
      <c r="L12" s="77">
        <v>0</v>
      </c>
      <c r="M12" s="77">
        <v>0</v>
      </c>
      <c r="N12" s="77">
        <v>0</v>
      </c>
    </row>
    <row r="13" spans="1:14" s="6" customFormat="1" ht="12.3" x14ac:dyDescent="0.35">
      <c r="A13" s="53">
        <f t="shared" si="0"/>
        <v>0</v>
      </c>
      <c r="C13" s="382"/>
      <c r="D13" s="15" t="str">
        <f>Lookup!D73</f>
        <v>Transmission Lines</v>
      </c>
      <c r="E13" s="371">
        <v>0</v>
      </c>
      <c r="F13" s="371">
        <v>0</v>
      </c>
      <c r="G13" s="326">
        <v>0</v>
      </c>
      <c r="H13" s="324">
        <v>0.66649517898784005</v>
      </c>
      <c r="I13" s="325">
        <v>0.33350482101216006</v>
      </c>
      <c r="J13" s="321">
        <v>0</v>
      </c>
      <c r="K13" s="77">
        <f t="shared" ref="K13:M13" si="1">K50</f>
        <v>0</v>
      </c>
      <c r="L13" s="77">
        <f t="shared" si="1"/>
        <v>0</v>
      </c>
      <c r="M13" s="77">
        <f t="shared" si="1"/>
        <v>0</v>
      </c>
      <c r="N13" s="77">
        <v>0</v>
      </c>
    </row>
    <row r="14" spans="1:14" s="6" customFormat="1" ht="12.3" x14ac:dyDescent="0.35">
      <c r="A14" s="53">
        <f t="shared" si="0"/>
        <v>0</v>
      </c>
      <c r="C14" s="382"/>
      <c r="D14" s="15" t="str">
        <f>Lookup!D74</f>
        <v>LV Services</v>
      </c>
      <c r="E14" s="324">
        <v>0.32560207910728101</v>
      </c>
      <c r="F14" s="325">
        <v>0.67439792089271899</v>
      </c>
      <c r="G14" s="321">
        <v>0</v>
      </c>
      <c r="H14" s="323">
        <v>0</v>
      </c>
      <c r="I14" s="323">
        <v>0</v>
      </c>
      <c r="J14" s="77">
        <v>0</v>
      </c>
      <c r="K14" s="77">
        <v>0</v>
      </c>
      <c r="L14" s="77">
        <v>0</v>
      </c>
      <c r="M14" s="77">
        <v>0</v>
      </c>
      <c r="N14" s="77">
        <v>0</v>
      </c>
    </row>
    <row r="15" spans="1:14" s="6" customFormat="1" ht="12.3" x14ac:dyDescent="0.35">
      <c r="A15" s="53">
        <f t="shared" si="0"/>
        <v>0</v>
      </c>
      <c r="C15" s="382"/>
      <c r="D15" s="15" t="str">
        <f>Lookup!D75</f>
        <v>Distribution Substations</v>
      </c>
      <c r="E15" s="323">
        <v>0</v>
      </c>
      <c r="F15" s="323">
        <v>0</v>
      </c>
      <c r="G15" s="77">
        <v>1</v>
      </c>
      <c r="H15" s="77">
        <v>0</v>
      </c>
      <c r="I15" s="77">
        <v>0</v>
      </c>
      <c r="J15" s="77">
        <v>0</v>
      </c>
      <c r="K15" s="77">
        <v>0</v>
      </c>
      <c r="L15" s="77">
        <v>0</v>
      </c>
      <c r="M15" s="77">
        <v>0</v>
      </c>
      <c r="N15" s="77">
        <v>0</v>
      </c>
    </row>
    <row r="16" spans="1:14" s="6" customFormat="1" ht="12.3" x14ac:dyDescent="0.35">
      <c r="A16" s="53">
        <f t="shared" si="0"/>
        <v>0</v>
      </c>
      <c r="C16" s="382"/>
      <c r="D16" s="15" t="str">
        <f>Lookup!D76</f>
        <v>Distribution Switchgear</v>
      </c>
      <c r="E16" s="77">
        <v>0</v>
      </c>
      <c r="F16" s="77">
        <v>0</v>
      </c>
      <c r="G16" s="77">
        <v>1</v>
      </c>
      <c r="H16" s="77">
        <v>0</v>
      </c>
      <c r="I16" s="77">
        <v>0</v>
      </c>
      <c r="J16" s="77">
        <v>0</v>
      </c>
      <c r="K16" s="77">
        <v>0</v>
      </c>
      <c r="L16" s="77">
        <v>0</v>
      </c>
      <c r="M16" s="77">
        <v>0</v>
      </c>
      <c r="N16" s="77">
        <v>0</v>
      </c>
    </row>
    <row r="17" spans="1:14" s="6" customFormat="1" ht="12.3" x14ac:dyDescent="0.35">
      <c r="A17" s="53">
        <f t="shared" si="0"/>
        <v>0</v>
      </c>
      <c r="C17" s="382"/>
      <c r="D17" s="15" t="str">
        <f>Lookup!D77</f>
        <v>Protection</v>
      </c>
      <c r="E17" s="77">
        <v>0</v>
      </c>
      <c r="F17" s="77">
        <v>0</v>
      </c>
      <c r="G17" s="77">
        <v>0</v>
      </c>
      <c r="H17" s="77">
        <v>0</v>
      </c>
      <c r="I17" s="77">
        <v>0</v>
      </c>
      <c r="J17" s="77">
        <v>1</v>
      </c>
      <c r="K17" s="77">
        <v>0</v>
      </c>
      <c r="L17" s="77">
        <v>0</v>
      </c>
      <c r="M17" s="77">
        <v>0</v>
      </c>
      <c r="N17" s="77">
        <v>0</v>
      </c>
    </row>
    <row r="18" spans="1:14" s="6" customFormat="1" ht="12.3" x14ac:dyDescent="0.35">
      <c r="A18" s="53">
        <f t="shared" si="0"/>
        <v>0</v>
      </c>
      <c r="C18" s="382"/>
      <c r="D18" s="15" t="str">
        <f>Lookup!D78</f>
        <v>SCADA</v>
      </c>
      <c r="E18" s="77">
        <v>0</v>
      </c>
      <c r="F18" s="77">
        <v>0</v>
      </c>
      <c r="G18" s="77">
        <v>0</v>
      </c>
      <c r="H18" s="77">
        <v>0</v>
      </c>
      <c r="I18" s="77">
        <v>0</v>
      </c>
      <c r="J18" s="77">
        <v>1</v>
      </c>
      <c r="K18" s="77">
        <v>0</v>
      </c>
      <c r="L18" s="77">
        <v>0</v>
      </c>
      <c r="M18" s="77">
        <v>0</v>
      </c>
      <c r="N18" s="77">
        <v>0</v>
      </c>
    </row>
    <row r="19" spans="1:14" s="6" customFormat="1" ht="12.3" x14ac:dyDescent="0.35">
      <c r="A19" s="53">
        <f t="shared" si="0"/>
        <v>0</v>
      </c>
      <c r="C19" s="382"/>
      <c r="D19" s="15" t="str">
        <f>Lookup!D79</f>
        <v>Communications</v>
      </c>
      <c r="E19" s="77">
        <v>0</v>
      </c>
      <c r="F19" s="77">
        <v>0</v>
      </c>
      <c r="G19" s="77">
        <v>0</v>
      </c>
      <c r="H19" s="77">
        <v>0</v>
      </c>
      <c r="I19" s="77">
        <v>0</v>
      </c>
      <c r="J19" s="77">
        <v>1</v>
      </c>
      <c r="K19" s="77">
        <v>0</v>
      </c>
      <c r="L19" s="77">
        <v>0</v>
      </c>
      <c r="M19" s="77">
        <v>0</v>
      </c>
      <c r="N19" s="77">
        <v>0</v>
      </c>
    </row>
    <row r="20" spans="1:14" s="6" customFormat="1" ht="12.3" x14ac:dyDescent="0.35">
      <c r="A20" s="53">
        <f t="shared" si="0"/>
        <v>0</v>
      </c>
      <c r="C20" s="382"/>
      <c r="D20" s="15" t="str">
        <f>Lookup!D80</f>
        <v>Land and Easements</v>
      </c>
      <c r="E20" s="77">
        <v>0</v>
      </c>
      <c r="F20" s="77">
        <v>0</v>
      </c>
      <c r="G20" s="77">
        <v>0</v>
      </c>
      <c r="H20" s="77">
        <v>0</v>
      </c>
      <c r="I20" s="77">
        <v>0</v>
      </c>
      <c r="J20" s="77">
        <v>0</v>
      </c>
      <c r="K20" s="77">
        <v>1</v>
      </c>
      <c r="L20" s="77">
        <v>0</v>
      </c>
      <c r="M20" s="77">
        <v>0</v>
      </c>
      <c r="N20" s="77">
        <v>0</v>
      </c>
    </row>
    <row r="21" spans="1:14" s="6" customFormat="1" ht="12.3" x14ac:dyDescent="0.35">
      <c r="A21" s="53">
        <f t="shared" si="0"/>
        <v>0</v>
      </c>
      <c r="C21" s="383" t="s">
        <v>130</v>
      </c>
      <c r="D21" s="15" t="str">
        <f>Lookup!D81</f>
        <v>Property</v>
      </c>
      <c r="E21" s="77">
        <v>0</v>
      </c>
      <c r="F21" s="77">
        <v>0</v>
      </c>
      <c r="G21" s="77">
        <v>0</v>
      </c>
      <c r="H21" s="77">
        <v>0</v>
      </c>
      <c r="I21" s="77">
        <v>0</v>
      </c>
      <c r="J21" s="77">
        <v>0</v>
      </c>
      <c r="K21" s="77">
        <v>0</v>
      </c>
      <c r="L21" s="77">
        <v>0</v>
      </c>
      <c r="M21" s="77">
        <v>1</v>
      </c>
      <c r="N21" s="77">
        <v>0</v>
      </c>
    </row>
    <row r="22" spans="1:14" s="6" customFormat="1" ht="12.3" x14ac:dyDescent="0.35">
      <c r="A22" s="53">
        <f t="shared" si="0"/>
        <v>0</v>
      </c>
      <c r="C22" s="384"/>
      <c r="D22" s="15" t="str">
        <f>Lookup!D82</f>
        <v>IT and Communications</v>
      </c>
      <c r="E22" s="77">
        <v>0</v>
      </c>
      <c r="F22" s="77">
        <v>0</v>
      </c>
      <c r="G22" s="77">
        <v>0</v>
      </c>
      <c r="H22" s="77">
        <v>0</v>
      </c>
      <c r="I22" s="77">
        <v>0</v>
      </c>
      <c r="J22" s="77">
        <v>0</v>
      </c>
      <c r="K22" s="77">
        <v>0</v>
      </c>
      <c r="L22" s="77">
        <v>0</v>
      </c>
      <c r="M22" s="77">
        <f t="shared" ref="M22:N22" si="2">1-SUM(D22:L22)</f>
        <v>1</v>
      </c>
      <c r="N22" s="77">
        <f t="shared" si="2"/>
        <v>0</v>
      </c>
    </row>
    <row r="23" spans="1:14" s="6" customFormat="1" ht="12.3" x14ac:dyDescent="0.35">
      <c r="A23" s="53">
        <f t="shared" si="0"/>
        <v>0</v>
      </c>
      <c r="C23" s="384"/>
      <c r="D23" s="15" t="str">
        <f>Lookup!D83</f>
        <v>Motor Vehicles</v>
      </c>
      <c r="E23" s="77">
        <v>0</v>
      </c>
      <c r="F23" s="77">
        <v>0</v>
      </c>
      <c r="G23" s="77">
        <v>0</v>
      </c>
      <c r="H23" s="77">
        <v>0</v>
      </c>
      <c r="I23" s="77">
        <v>0</v>
      </c>
      <c r="J23" s="77">
        <v>0</v>
      </c>
      <c r="K23" s="77">
        <v>0</v>
      </c>
      <c r="L23" s="77">
        <v>0</v>
      </c>
      <c r="M23" s="77">
        <v>0</v>
      </c>
      <c r="N23" s="77">
        <f t="shared" ref="N23" si="3">1-SUM(E23:M23)</f>
        <v>1</v>
      </c>
    </row>
    <row r="24" spans="1:14" s="6" customFormat="1" ht="12.3" x14ac:dyDescent="0.35">
      <c r="A24" s="53">
        <f t="shared" si="0"/>
        <v>0</v>
      </c>
      <c r="C24" s="384"/>
      <c r="D24" s="15" t="str">
        <f>Lookup!D84</f>
        <v>Plant and Equipment</v>
      </c>
      <c r="E24" s="77">
        <v>0</v>
      </c>
      <c r="F24" s="77">
        <v>0</v>
      </c>
      <c r="G24" s="77">
        <v>0</v>
      </c>
      <c r="H24" s="77">
        <v>0</v>
      </c>
      <c r="I24" s="77">
        <v>0</v>
      </c>
      <c r="J24" s="77">
        <v>0</v>
      </c>
      <c r="K24" s="77">
        <v>0</v>
      </c>
      <c r="L24" s="77">
        <v>0</v>
      </c>
      <c r="M24" s="77">
        <v>0</v>
      </c>
      <c r="N24" s="77">
        <f t="shared" ref="N24" si="4">1-SUM(E24:M24)</f>
        <v>1</v>
      </c>
    </row>
    <row r="25" spans="1:14" s="6" customFormat="1" ht="12.3" x14ac:dyDescent="0.35">
      <c r="A25" s="53"/>
      <c r="C25" s="384"/>
      <c r="D25" s="15" t="str">
        <f>Lookup!D85</f>
        <v>Property Leases</v>
      </c>
      <c r="E25" s="77">
        <v>0</v>
      </c>
      <c r="F25" s="77">
        <v>0</v>
      </c>
      <c r="G25" s="77">
        <v>0</v>
      </c>
      <c r="H25" s="77">
        <v>0</v>
      </c>
      <c r="I25" s="77">
        <v>0</v>
      </c>
      <c r="J25" s="77">
        <v>0</v>
      </c>
      <c r="K25" s="77">
        <v>0</v>
      </c>
      <c r="L25" s="77">
        <v>0</v>
      </c>
      <c r="M25" s="77">
        <v>0</v>
      </c>
      <c r="N25" s="77">
        <f t="shared" ref="N25:N26" si="5">1-SUM(E25:M25)</f>
        <v>1</v>
      </c>
    </row>
    <row r="26" spans="1:14" s="6" customFormat="1" ht="12.3" x14ac:dyDescent="0.35">
      <c r="A26" s="53"/>
      <c r="C26" s="384"/>
      <c r="D26" s="15" t="str">
        <f>Lookup!D86</f>
        <v>Fleet Leases</v>
      </c>
      <c r="E26" s="77">
        <v>0</v>
      </c>
      <c r="F26" s="77">
        <v>0</v>
      </c>
      <c r="G26" s="77">
        <v>0</v>
      </c>
      <c r="H26" s="77">
        <v>0</v>
      </c>
      <c r="I26" s="77">
        <v>0</v>
      </c>
      <c r="J26" s="77">
        <v>0</v>
      </c>
      <c r="K26" s="77">
        <v>0</v>
      </c>
      <c r="L26" s="77">
        <v>0</v>
      </c>
      <c r="M26" s="77">
        <v>0</v>
      </c>
      <c r="N26" s="77">
        <f t="shared" si="5"/>
        <v>1</v>
      </c>
    </row>
    <row r="27" spans="1:14" s="6" customFormat="1" ht="12.3" x14ac:dyDescent="0.35">
      <c r="A27" s="53">
        <f t="shared" si="0"/>
        <v>0</v>
      </c>
      <c r="C27" s="384"/>
      <c r="D27" s="15" t="str">
        <f>Lookup!D87</f>
        <v>Equity Raising Costs</v>
      </c>
      <c r="E27" s="77">
        <v>0</v>
      </c>
      <c r="F27" s="77">
        <v>0</v>
      </c>
      <c r="G27" s="77">
        <v>0</v>
      </c>
      <c r="H27" s="77">
        <v>0</v>
      </c>
      <c r="I27" s="77">
        <v>0</v>
      </c>
      <c r="J27" s="77">
        <v>0</v>
      </c>
      <c r="K27" s="77">
        <v>0</v>
      </c>
      <c r="L27" s="77">
        <v>0</v>
      </c>
      <c r="M27" s="77">
        <v>0</v>
      </c>
      <c r="N27" s="77">
        <f t="shared" ref="N27" si="6">1-SUM(E27:M27)</f>
        <v>1</v>
      </c>
    </row>
    <row r="28" spans="1:14" s="6" customFormat="1" ht="11.25" customHeight="1" x14ac:dyDescent="0.35"/>
    <row r="29" spans="1:14" s="13" customFormat="1" ht="14.1" x14ac:dyDescent="0.35">
      <c r="C29" s="13" t="s">
        <v>447</v>
      </c>
    </row>
    <row r="31" spans="1:14" ht="53.1" customHeight="1" x14ac:dyDescent="0.35">
      <c r="D31" s="69" t="str">
        <f>D$10</f>
        <v>RAB Asset Category</v>
      </c>
      <c r="E31" s="69" t="str">
        <f t="shared" ref="E31:N31" si="7">E$10</f>
        <v>Overhead network assets less than 33kV</v>
      </c>
      <c r="F31" s="69" t="str">
        <f t="shared" si="7"/>
        <v>Underground network assets less than 33kV</v>
      </c>
      <c r="G31" s="69" t="str">
        <f t="shared" si="7"/>
        <v>Distribution substations and transformers</v>
      </c>
      <c r="H31" s="69" t="str">
        <f t="shared" si="7"/>
        <v>Overhead network assets 33kV and above</v>
      </c>
      <c r="I31" s="69" t="str">
        <f t="shared" si="7"/>
        <v>Underground network assets 33kV and above</v>
      </c>
      <c r="J31" s="69" t="str">
        <f t="shared" si="7"/>
        <v>Zone substations and transformers</v>
      </c>
      <c r="K31" s="69" t="str">
        <f t="shared" si="7"/>
        <v>Easements</v>
      </c>
      <c r="L31" s="69" t="str">
        <f t="shared" si="7"/>
        <v>Meters</v>
      </c>
      <c r="M31" s="69" t="str">
        <f t="shared" si="7"/>
        <v>“Other” asset items with long lives</v>
      </c>
      <c r="N31" s="69" t="str">
        <f t="shared" si="7"/>
        <v>“Other” asset items with short lives</v>
      </c>
    </row>
    <row r="32" spans="1:14" ht="12.3" x14ac:dyDescent="0.35">
      <c r="A32" s="53">
        <f t="shared" ref="A32" si="8">IF(SUM(E32:N32)&lt;&gt;1,1,0)</f>
        <v>0</v>
      </c>
      <c r="D32" s="15" t="str">
        <f>Lookup!D88</f>
        <v>ACS Metering</v>
      </c>
      <c r="E32" s="320"/>
      <c r="F32" s="320"/>
      <c r="G32" s="320"/>
      <c r="H32" s="320"/>
      <c r="I32" s="320"/>
      <c r="J32" s="320"/>
      <c r="K32" s="320"/>
      <c r="L32" s="74">
        <f>$G$76</f>
        <v>0.97750248930531924</v>
      </c>
      <c r="M32" s="74">
        <f>$G$77</f>
        <v>2.2497510694680773E-2</v>
      </c>
      <c r="N32" s="74">
        <f>IF(SUM(E32:M32)=0,1,$G$78)</f>
        <v>0</v>
      </c>
    </row>
    <row r="34" spans="2:14" s="4" customFormat="1" ht="15" x14ac:dyDescent="0.35">
      <c r="B34" s="4" t="s">
        <v>172</v>
      </c>
    </row>
    <row r="36" spans="2:14" s="13" customFormat="1" ht="14.1" x14ac:dyDescent="0.35">
      <c r="C36" s="13" t="s">
        <v>252</v>
      </c>
    </row>
    <row r="38" spans="2:14" ht="49.2" x14ac:dyDescent="0.35">
      <c r="D38" s="142" t="s">
        <v>264</v>
      </c>
      <c r="E38" s="143" t="str">
        <f t="shared" ref="E38:F38" si="9">E$10</f>
        <v>Overhead network assets less than 33kV</v>
      </c>
      <c r="F38" s="144" t="str">
        <f t="shared" si="9"/>
        <v>Underground network assets less than 33kV</v>
      </c>
      <c r="G38" s="143" t="str">
        <f>H$10</f>
        <v>Overhead network assets 33kV and above</v>
      </c>
      <c r="H38" s="145" t="str">
        <f>I$10</f>
        <v>Underground network assets 33kV and above</v>
      </c>
      <c r="K38" s="69"/>
      <c r="L38" s="69"/>
      <c r="M38" s="69"/>
      <c r="N38" s="69"/>
    </row>
    <row r="39" spans="2:14" ht="12.3" x14ac:dyDescent="0.35">
      <c r="D39" s="142"/>
      <c r="E39" s="143"/>
      <c r="F39" s="144"/>
      <c r="G39" s="143"/>
      <c r="H39" s="145"/>
      <c r="K39" s="69"/>
      <c r="L39" s="69"/>
      <c r="M39" s="69"/>
      <c r="N39" s="69"/>
    </row>
    <row r="40" spans="2:14" ht="12.3" x14ac:dyDescent="0.35">
      <c r="D40" s="15" t="s">
        <v>253</v>
      </c>
      <c r="E40" s="66">
        <f>INDEX(Input_DRC!$U$18:$U$21,MATCH(E$38,Input_DRC!$D$18:$D$21,0))</f>
        <v>21841.46707476749</v>
      </c>
      <c r="F40" s="67">
        <f>INDEX(Input_DRC!$U$18:$U$21,MATCH(F$38,Input_DRC!$D$18:$D$21,0))</f>
        <v>171354.67665874504</v>
      </c>
      <c r="G40" s="66">
        <f>INDEX(Input_DRC!$U$18:$U$21,MATCH(G$38,Input_DRC!$D$18:$D$21,0))</f>
        <v>9936.1669176891737</v>
      </c>
      <c r="H40" s="68">
        <f>INDEX(Input_DRC!$U$18:$U$21,MATCH(H$38,Input_DRC!$D$18:$D$21,0))</f>
        <v>31053.806628761675</v>
      </c>
      <c r="K40" s="69"/>
      <c r="L40" s="69"/>
      <c r="M40" s="69"/>
      <c r="N40" s="69"/>
    </row>
    <row r="41" spans="2:14" ht="12.3" x14ac:dyDescent="0.35">
      <c r="D41" s="150" t="s">
        <v>260</v>
      </c>
      <c r="E41" s="66">
        <f>INDEX(Input_DRC!$U$31:$U$34,MATCH(E$38,Input_DRC!$D$31:$D$34,0))</f>
        <v>4667.9266079387562</v>
      </c>
      <c r="F41" s="67">
        <f>INDEX(Input_DRC!$U$31:$U$34,MATCH(F$38,Input_DRC!$D$31:$D$34,0))</f>
        <v>1567.5252545837129</v>
      </c>
      <c r="G41" s="66">
        <f>INDEX(Input_DRC!$U$31:$U$34,MATCH(G$38,Input_DRC!$D$31:$D$34,0))</f>
        <v>737.13552975044047</v>
      </c>
      <c r="H41" s="68">
        <f>INDEX(Input_DRC!$U$31:$U$34,MATCH(H$38,Input_DRC!$D$31:$D$34,0))</f>
        <v>42.21197469026</v>
      </c>
      <c r="K41" s="69"/>
      <c r="L41" s="69"/>
      <c r="M41" s="69"/>
      <c r="N41" s="69"/>
    </row>
    <row r="42" spans="2:14" ht="12.3" x14ac:dyDescent="0.35">
      <c r="D42" s="150" t="s">
        <v>261</v>
      </c>
      <c r="E42" s="66">
        <f>INDEX(Input_DRC!$U$44:$U$47,MATCH(E$38,Input_DRC!$D$44:$D$48,0))</f>
        <v>17.21108301682106</v>
      </c>
      <c r="F42" s="67">
        <f>INDEX(Input_DRC!$U$44:$U$47,MATCH(F$38,Input_DRC!$D$44:$D$48,0))</f>
        <v>20.839933648403903</v>
      </c>
      <c r="G42" s="66">
        <f>INDEX(Input_DRC!$U$44:$U$47,MATCH(G$38,Input_DRC!$D$44:$D$48,0))</f>
        <v>153.02016827670343</v>
      </c>
      <c r="H42" s="68">
        <f>INDEX(Input_DRC!$U$44:$U$47,MATCH(H$38,Input_DRC!$D$44:$D$48,0))</f>
        <v>59.948319578930764</v>
      </c>
      <c r="K42" s="69"/>
      <c r="L42" s="69"/>
      <c r="M42" s="69"/>
      <c r="N42" s="69"/>
    </row>
    <row r="43" spans="2:14" ht="12.3" x14ac:dyDescent="0.35">
      <c r="D43" s="15" t="s">
        <v>254</v>
      </c>
      <c r="E43" s="66">
        <f t="shared" ref="E43" si="10">IF(E42=0,0,
IF(E41=0,E42,E41/E42))</f>
        <v>271.21632051722776</v>
      </c>
      <c r="F43" s="67">
        <f t="shared" ref="F43" si="11">IF(F42=0,0,
IF(F41=0,F42,F41/F42))</f>
        <v>75.21738221579065</v>
      </c>
      <c r="G43" s="66">
        <f>IF(G42=0,0,
IF(G41=0,G42,G41/G42))</f>
        <v>4.8172442760453151</v>
      </c>
      <c r="H43" s="68">
        <f>IF(H42=0,0,
IF(H41=0,H42,H41/H42))</f>
        <v>0.70413941519547918</v>
      </c>
      <c r="K43" s="69"/>
      <c r="L43" s="69"/>
      <c r="M43" s="69"/>
      <c r="N43" s="69"/>
    </row>
    <row r="44" spans="2:14" ht="12.3" x14ac:dyDescent="0.35">
      <c r="D44" s="15" t="s">
        <v>255</v>
      </c>
      <c r="E44" s="66">
        <f>INDEX(Input_DRC!$U$57:$U$66,MATCH(E$38,Input_DRC!$D$57:$D$66,0))</f>
        <v>24.321539217915245</v>
      </c>
      <c r="F44" s="67">
        <f>INDEX(Input_DRC!$U$57:$U$66,MATCH(F$38,Input_DRC!$D$57:$D$66,0))</f>
        <v>24.321478316570534</v>
      </c>
      <c r="G44" s="66">
        <f>INDEX(Input_DRC!$U$57:$U$66,MATCH(G$38,Input_DRC!$D$57:$D$66,0))</f>
        <v>28.032955981447742</v>
      </c>
      <c r="H44" s="68">
        <f>INDEX(Input_DRC!$U$57:$U$66,MATCH(H$38,Input_DRC!$D$57:$D$66,0))</f>
        <v>28.032955981447738</v>
      </c>
      <c r="K44" s="69"/>
      <c r="L44" s="69"/>
      <c r="M44" s="69"/>
      <c r="N44" s="69"/>
    </row>
    <row r="45" spans="2:14" ht="12.3" x14ac:dyDescent="0.35">
      <c r="D45" s="15" t="s">
        <v>256</v>
      </c>
      <c r="E45" s="66">
        <f>INDEX(Input_DRC!$U$76:$U$85,MATCH(E$38,Input_DRC!$D$76:$D$85,0))</f>
        <v>49.792725031645205</v>
      </c>
      <c r="F45" s="67">
        <f>INDEX(Input_DRC!$U$76:$U$85,MATCH(F$38,Input_DRC!$D$76:$D$85,0))</f>
        <v>52.300284796833004</v>
      </c>
      <c r="G45" s="66">
        <f>INDEX(Input_DRC!$U$76:$U$85,MATCH(G$38,Input_DRC!$D$76:$D$85,0))</f>
        <v>54.343924174110775</v>
      </c>
      <c r="H45" s="68">
        <f>INDEX(Input_DRC!$U$76:$U$85,MATCH(H$38,Input_DRC!$D$76:$D$85,0))</f>
        <v>49.613725933874562</v>
      </c>
      <c r="K45" s="69"/>
      <c r="L45" s="69"/>
      <c r="M45" s="69"/>
      <c r="N45" s="69"/>
    </row>
    <row r="46" spans="2:14" ht="12.3" x14ac:dyDescent="0.35">
      <c r="D46" s="15"/>
      <c r="E46" s="66"/>
      <c r="F46" s="67"/>
      <c r="G46" s="66"/>
      <c r="H46" s="68"/>
      <c r="K46" s="69"/>
      <c r="L46" s="69"/>
      <c r="M46" s="69"/>
      <c r="N46" s="69"/>
    </row>
    <row r="47" spans="2:14" ht="12.3" x14ac:dyDescent="0.35">
      <c r="D47" s="51" t="s">
        <v>257</v>
      </c>
      <c r="E47" s="62">
        <f>IF(E45=0,0,E40*E43*E44/E45)</f>
        <v>2893495.3419370824</v>
      </c>
      <c r="F47" s="46">
        <f t="shared" ref="F47" si="12">IF(F45=0,0,F40*F43*F44/F45)</f>
        <v>5993770.2460752809</v>
      </c>
      <c r="G47" s="62">
        <f>IF(G45=0,0,G40*G43*G44/G45)</f>
        <v>24690.816249548392</v>
      </c>
      <c r="H47" s="63">
        <f>IF(H45=0,0,H40*H43*H44/H45)</f>
        <v>12354.937460245314</v>
      </c>
      <c r="K47" s="69"/>
      <c r="L47" s="69"/>
      <c r="M47" s="69"/>
      <c r="N47" s="69"/>
    </row>
    <row r="48" spans="2:14" ht="12.3" x14ac:dyDescent="0.35">
      <c r="K48" s="69"/>
      <c r="L48" s="69"/>
      <c r="M48" s="69"/>
      <c r="N48" s="69"/>
    </row>
    <row r="49" spans="1:14" ht="12.3" x14ac:dyDescent="0.35">
      <c r="D49" s="146" t="s">
        <v>259</v>
      </c>
      <c r="E49" s="147">
        <f>IF(SUM($E$47:$F$47)=0,0,E47/SUM($E$47:$F$47))</f>
        <v>0.32557768340354193</v>
      </c>
      <c r="F49" s="148">
        <f>IF(SUM($E$47:$F$47)=0,0,F47/SUM($E$47:$F$47))</f>
        <v>0.67442231659645802</v>
      </c>
      <c r="G49" s="66" t="str">
        <f>NA</f>
        <v>N/A</v>
      </c>
      <c r="H49" s="68" t="str">
        <f>NA</f>
        <v>N/A</v>
      </c>
      <c r="K49" s="69"/>
      <c r="L49" s="69"/>
      <c r="M49" s="69"/>
      <c r="N49" s="69"/>
    </row>
    <row r="50" spans="1:14" ht="12.3" x14ac:dyDescent="0.35">
      <c r="D50" s="146" t="s">
        <v>258</v>
      </c>
      <c r="E50" s="66" t="str">
        <f>NA</f>
        <v>N/A</v>
      </c>
      <c r="F50" s="67" t="str">
        <f>NA</f>
        <v>N/A</v>
      </c>
      <c r="G50" s="147">
        <f>IF(SUM($G$47:$J$47)=0,0,G47/SUM($G$47:$J$47))</f>
        <v>0.66649517898784005</v>
      </c>
      <c r="H50" s="149">
        <f>IF(SUM($G$47:$J$47)=0,0,H47/SUM($G$47:$J$47))</f>
        <v>0.33350482101216006</v>
      </c>
      <c r="K50" s="69"/>
      <c r="L50" s="69"/>
      <c r="M50" s="69"/>
      <c r="N50" s="69"/>
    </row>
    <row r="51" spans="1:14" ht="12.3" x14ac:dyDescent="0.35">
      <c r="K51" s="69"/>
      <c r="L51" s="69"/>
      <c r="M51" s="69"/>
      <c r="N51" s="69"/>
    </row>
    <row r="52" spans="1:14" ht="12.3" x14ac:dyDescent="0.35">
      <c r="A52" s="53">
        <f>IF(SUM(E52:N52)&lt;&gt;0,1,0)</f>
        <v>0</v>
      </c>
      <c r="E52" s="261">
        <f>IF(ROUND(E49-E12,4)&lt;&gt;0,1,0)</f>
        <v>0</v>
      </c>
      <c r="F52" s="70">
        <f t="shared" ref="F52" si="13">IF(ROUND(F49-F12,4)&lt;&gt;0,1,0)</f>
        <v>0</v>
      </c>
      <c r="G52" s="261">
        <f>IF(ROUND(G50-H13,4)&lt;&gt;0,1,0)</f>
        <v>0</v>
      </c>
      <c r="H52" s="262">
        <f>IF(ROUND(H50-I13,4)&lt;&gt;0,1,0)</f>
        <v>0</v>
      </c>
      <c r="K52" s="69"/>
      <c r="L52" s="69"/>
      <c r="M52" s="69"/>
      <c r="N52" s="69"/>
    </row>
    <row r="53" spans="1:14" ht="12.3" x14ac:dyDescent="0.35">
      <c r="K53" s="69"/>
      <c r="L53" s="69"/>
      <c r="M53" s="69"/>
      <c r="N53" s="69"/>
    </row>
    <row r="54" spans="1:14" s="13" customFormat="1" ht="14.1" x14ac:dyDescent="0.35">
      <c r="C54" s="13" t="s">
        <v>105</v>
      </c>
    </row>
    <row r="56" spans="1:14" ht="12.3" x14ac:dyDescent="0.35">
      <c r="D56" s="50" t="s">
        <v>195</v>
      </c>
      <c r="G56" s="45" t="str">
        <f>Input_RAB_ACS!$U$147</f>
        <v>RY17</v>
      </c>
      <c r="H56" s="45" t="s">
        <v>173</v>
      </c>
    </row>
    <row r="57" spans="1:14" x14ac:dyDescent="0.35">
      <c r="G57" s="57"/>
    </row>
    <row r="58" spans="1:14" ht="12.3" x14ac:dyDescent="0.35">
      <c r="D58" s="15" t="str">
        <f>Input_RAB_ACS!$D$149</f>
        <v>Mechanical meters - General</v>
      </c>
      <c r="G58" s="67">
        <f>Input_RAB_ACS!U149</f>
        <v>10.333956453831531</v>
      </c>
      <c r="H58" s="67" t="str">
        <f>NA</f>
        <v>N/A</v>
      </c>
    </row>
    <row r="59" spans="1:14" ht="12.3" x14ac:dyDescent="0.35">
      <c r="D59" s="15" t="str">
        <f>Input_RAB_ACS!$D$150</f>
        <v>Electronic Meters</v>
      </c>
      <c r="G59" s="67">
        <f>Input_RAB_ACS!U150</f>
        <v>1.7230131908017026</v>
      </c>
      <c r="H59" s="67" t="str">
        <f>NA</f>
        <v>N/A</v>
      </c>
    </row>
    <row r="60" spans="1:14" ht="12.3" x14ac:dyDescent="0.35">
      <c r="D60" s="15" t="str">
        <f>Input_RAB_ACS!$D$151</f>
        <v>Metering Communications</v>
      </c>
      <c r="G60" s="67">
        <f>Input_RAB_ACS!U151</f>
        <v>0</v>
      </c>
      <c r="H60" s="67" t="str">
        <f>NA</f>
        <v>N/A</v>
      </c>
    </row>
    <row r="61" spans="1:14" ht="12.3" x14ac:dyDescent="0.35">
      <c r="D61" s="15" t="str">
        <f>Input_RAB_ACS!$D$152</f>
        <v>Metering - Dedicated CTs and VTs</v>
      </c>
      <c r="G61" s="67">
        <f>Input_RAB_ACS!U152</f>
        <v>0</v>
      </c>
      <c r="H61" s="60">
        <f>'[7]PTRM input'!M10</f>
        <v>15</v>
      </c>
    </row>
    <row r="62" spans="1:14" ht="12.3" x14ac:dyDescent="0.35">
      <c r="D62" s="15" t="str">
        <f>Input_RAB_ACS!$D$153</f>
        <v>Metering - Non-Network Other</v>
      </c>
      <c r="G62" s="67">
        <f>Input_RAB_ACS!U153</f>
        <v>0.27749474450786094</v>
      </c>
      <c r="H62" s="60">
        <f>'[7]PTRM input'!M11</f>
        <v>15</v>
      </c>
    </row>
    <row r="63" spans="1:14" ht="12.3" x14ac:dyDescent="0.35">
      <c r="D63" s="15" t="str">
        <f>Input_RAB_ACS!$D$154</f>
        <v>Metering - Non-Network IT &amp; Communications</v>
      </c>
      <c r="G63" s="67">
        <f>Input_RAB_ACS!U154</f>
        <v>0</v>
      </c>
      <c r="H63" s="60">
        <f>'[7]PTRM input'!M12</f>
        <v>10</v>
      </c>
    </row>
    <row r="64" spans="1:14" ht="12.3" x14ac:dyDescent="0.35">
      <c r="D64" s="15" t="str">
        <f>Input_RAB_ACS!$D$155</f>
        <v>Fleet leases</v>
      </c>
      <c r="G64" s="67">
        <f>Input_RAB_ACS!U155</f>
        <v>0</v>
      </c>
      <c r="H64" s="60">
        <f>'[7]PTRM input'!M13</f>
        <v>5.6679389312977104</v>
      </c>
    </row>
    <row r="65" spans="1:8" ht="12.3" x14ac:dyDescent="0.35">
      <c r="D65" s="15" t="str">
        <f>Input_RAB_ACS!$D$157</f>
        <v>Equity Raising Costs</v>
      </c>
      <c r="G65" s="67">
        <f>Input_RAB_ACS!$U$157</f>
        <v>0</v>
      </c>
      <c r="H65" s="60">
        <f>'[7]PTRM input'!M36</f>
        <v>5</v>
      </c>
    </row>
    <row r="66" spans="1:8" x14ac:dyDescent="0.35">
      <c r="G66" s="57"/>
    </row>
    <row r="67" spans="1:8" ht="12.3" x14ac:dyDescent="0.35">
      <c r="D67" s="51" t="str">
        <f>"Total "&amp;D56</f>
        <v>Total Closing Balances</v>
      </c>
      <c r="G67" s="46">
        <f>SUM(G58:G65)</f>
        <v>12.334464389141095</v>
      </c>
    </row>
    <row r="68" spans="1:8" x14ac:dyDescent="0.35">
      <c r="D68" s="6"/>
      <c r="G68" s="6"/>
    </row>
    <row r="69" spans="1:8" ht="12.3" x14ac:dyDescent="0.35">
      <c r="A69" s="53">
        <f>IF(SUM(E69:N69)&lt;&gt;0,1,0)</f>
        <v>0</v>
      </c>
      <c r="D69" s="15" t="str">
        <f>Input_RAB_ACS!$D$161</f>
        <v>Check - Calculation</v>
      </c>
      <c r="G69" s="70">
        <f>IF(G67=Input_RAB_ACS!U159,0,1)</f>
        <v>0</v>
      </c>
    </row>
    <row r="71" spans="1:8" ht="12.3" x14ac:dyDescent="0.35">
      <c r="D71" s="12" t="s">
        <v>174</v>
      </c>
      <c r="G71" s="75">
        <v>10</v>
      </c>
      <c r="H71" s="12" t="s">
        <v>205</v>
      </c>
    </row>
    <row r="74" spans="1:8" ht="12.3" x14ac:dyDescent="0.35">
      <c r="D74" s="50" t="s">
        <v>109</v>
      </c>
      <c r="G74" s="45" t="str">
        <f>Input_RAB_ACS!$U$147</f>
        <v>RY17</v>
      </c>
    </row>
    <row r="76" spans="1:8" ht="12.3" x14ac:dyDescent="0.35">
      <c r="D76" s="15" t="str">
        <f>Lookup!$D$110</f>
        <v>Meters</v>
      </c>
      <c r="G76" s="76">
        <f>IF($G$67=0,0,SUM(G58:G60)/$G$67)</f>
        <v>0.97750248930531924</v>
      </c>
    </row>
    <row r="77" spans="1:8" ht="12.3" x14ac:dyDescent="0.35">
      <c r="D77" s="15" t="str">
        <f>Lookup!$D$111</f>
        <v>“Other” asset items with long lives</v>
      </c>
      <c r="G77" s="76">
        <f>IF($G$67=0,0,SUMIF($H$61:$H$65,"&gt;="&amp;$G$71,$G$61:$G$65)/$G$67)</f>
        <v>2.2497510694680773E-2</v>
      </c>
    </row>
    <row r="78" spans="1:8" ht="12.3" x14ac:dyDescent="0.35">
      <c r="D78" s="15" t="str">
        <f>Lookup!$D$112</f>
        <v>“Other” asset items with short lives</v>
      </c>
      <c r="G78" s="76">
        <f>IF($G$67=0,0,SUMIF($H$61:$H$65,"&lt;"&amp;$G$71,$G$61:$G$65)/$G$67)</f>
        <v>0</v>
      </c>
    </row>
    <row r="80" spans="1:8" s="4" customFormat="1" ht="15" x14ac:dyDescent="0.35">
      <c r="B80" s="4" t="s">
        <v>33</v>
      </c>
    </row>
  </sheetData>
  <mergeCells count="2">
    <mergeCell ref="C11:C20"/>
    <mergeCell ref="C21:C27"/>
  </mergeCells>
  <conditionalFormatting sqref="B2">
    <cfRule type="cellIs" dxfId="14" priority="2" operator="notEqual">
      <formula>"No Errors Found"</formula>
    </cfRule>
  </conditionalFormatting>
  <hyperlinks>
    <hyperlink ref="B3:E3" location="TOC!A1" display="TOC!A1" xr:uid="{00000000-0004-0000-0800-000000000000}"/>
  </hyperlink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AB222"/>
  <sheetViews>
    <sheetView showGridLines="0" zoomScaleNormal="100" workbookViewId="0">
      <pane xSplit="1" ySplit="10" topLeftCell="B11" activePane="bottomRight" state="frozen"/>
      <selection activeCell="B5" sqref="B5"/>
      <selection pane="topRight" activeCell="B5" sqref="B5"/>
      <selection pane="bottomLeft" activeCell="B5" sqref="B5"/>
      <selection pane="bottomRight" activeCell="B11" sqref="B11"/>
    </sheetView>
  </sheetViews>
  <sheetFormatPr defaultColWidth="9.33203125" defaultRowHeight="10.199999999999999" outlineLevelRow="1" x14ac:dyDescent="0.35"/>
  <cols>
    <col min="1" max="1" width="3.33203125" style="7" customWidth="1"/>
    <col min="2" max="3" width="2.796875" style="7" customWidth="1"/>
    <col min="4" max="4" width="47.46484375" style="7" customWidth="1"/>
    <col min="5" max="5" width="19.265625" style="7" customWidth="1"/>
    <col min="6" max="6" width="9.1328125" style="7" customWidth="1"/>
    <col min="7" max="7" width="12" style="7" customWidth="1"/>
    <col min="8" max="8" width="10" style="7" customWidth="1"/>
    <col min="9" max="9" width="4.46484375" style="7" customWidth="1"/>
    <col min="10" max="28" width="12.796875" style="7" customWidth="1"/>
    <col min="29" max="29" width="4.33203125" style="7" customWidth="1"/>
    <col min="30" max="31" width="10.796875" style="7" customWidth="1"/>
    <col min="32" max="16384" width="9.33203125" style="7"/>
  </cols>
  <sheetData>
    <row r="1" spans="1:28" ht="18.899999999999999" x14ac:dyDescent="0.35">
      <c r="A1" s="49">
        <f>IF(SUM($A11:$A222)&gt;0,1,0)</f>
        <v>0</v>
      </c>
      <c r="B1" s="379" t="s">
        <v>198</v>
      </c>
    </row>
    <row r="2" spans="1:28" x14ac:dyDescent="0.35">
      <c r="B2" s="18" t="str">
        <f>Title_Msg</f>
        <v>No Errors Found</v>
      </c>
    </row>
    <row r="3" spans="1:28" x14ac:dyDescent="0.35">
      <c r="B3" s="37" t="str">
        <f>TOC!B1</f>
        <v>Table of Contents</v>
      </c>
      <c r="C3" s="35"/>
      <c r="D3" s="35"/>
      <c r="E3" s="35"/>
    </row>
    <row r="4" spans="1:28" ht="12.3" x14ac:dyDescent="0.35">
      <c r="B4" s="34" t="str">
        <f>Model_Name</f>
        <v>Power and Water Corporation (PWC) - RAB Allocation - EB RIN - DRAFT</v>
      </c>
    </row>
    <row r="5" spans="1:28" ht="12.3" hidden="1" outlineLevel="1" x14ac:dyDescent="0.35">
      <c r="B5" s="15" t="str">
        <f>Lookup!B15</f>
        <v>Period Start Date</v>
      </c>
      <c r="J5" s="42">
        <f>Lookup!J15</f>
        <v>38534</v>
      </c>
      <c r="K5" s="42">
        <f>Lookup!K15</f>
        <v>38899</v>
      </c>
      <c r="L5" s="42">
        <f>Lookup!L15</f>
        <v>39264</v>
      </c>
      <c r="M5" s="42">
        <f>Lookup!M15</f>
        <v>39630</v>
      </c>
      <c r="N5" s="42">
        <f>Lookup!N15</f>
        <v>39995</v>
      </c>
      <c r="O5" s="42">
        <f>Lookup!O15</f>
        <v>40360</v>
      </c>
      <c r="P5" s="42">
        <f>Lookup!P15</f>
        <v>40725</v>
      </c>
      <c r="Q5" s="42">
        <f>Lookup!Q15</f>
        <v>41091</v>
      </c>
      <c r="R5" s="42">
        <f>Lookup!R15</f>
        <v>41456</v>
      </c>
      <c r="S5" s="42">
        <f>Lookup!S15</f>
        <v>41821</v>
      </c>
      <c r="T5" s="42">
        <f>Lookup!T15</f>
        <v>42186</v>
      </c>
      <c r="U5" s="42">
        <f>Lookup!U15</f>
        <v>42552</v>
      </c>
      <c r="V5" s="42">
        <f>Lookup!V15</f>
        <v>42917</v>
      </c>
      <c r="W5" s="42">
        <f>Lookup!W15</f>
        <v>43282</v>
      </c>
      <c r="X5" s="42">
        <f>Lookup!X15</f>
        <v>43647</v>
      </c>
      <c r="Y5" s="42">
        <f>Lookup!Y15</f>
        <v>44013</v>
      </c>
      <c r="Z5" s="42">
        <f>Lookup!Z15</f>
        <v>44378</v>
      </c>
      <c r="AA5" s="42">
        <f>Lookup!AA15</f>
        <v>44743</v>
      </c>
      <c r="AB5" s="42">
        <f>Lookup!AB15</f>
        <v>45108</v>
      </c>
    </row>
    <row r="6" spans="1:28" ht="12.3" hidden="1" outlineLevel="1" x14ac:dyDescent="0.35">
      <c r="B6" s="15" t="str">
        <f>Lookup!B16</f>
        <v>Period End Date</v>
      </c>
      <c r="J6" s="42">
        <f>Lookup!J16</f>
        <v>38898</v>
      </c>
      <c r="K6" s="42">
        <f>Lookup!K16</f>
        <v>39263</v>
      </c>
      <c r="L6" s="42">
        <f>Lookup!L16</f>
        <v>39629</v>
      </c>
      <c r="M6" s="42">
        <f>Lookup!M16</f>
        <v>39994</v>
      </c>
      <c r="N6" s="42">
        <f>Lookup!N16</f>
        <v>40359</v>
      </c>
      <c r="O6" s="42">
        <f>Lookup!O16</f>
        <v>40724</v>
      </c>
      <c r="P6" s="42">
        <f>Lookup!P16</f>
        <v>41090</v>
      </c>
      <c r="Q6" s="42">
        <f>Lookup!Q16</f>
        <v>41455</v>
      </c>
      <c r="R6" s="42">
        <f>Lookup!R16</f>
        <v>41820</v>
      </c>
      <c r="S6" s="42">
        <f>Lookup!S16</f>
        <v>42185</v>
      </c>
      <c r="T6" s="42">
        <f>Lookup!T16</f>
        <v>42551</v>
      </c>
      <c r="U6" s="42">
        <f>Lookup!U16</f>
        <v>42916</v>
      </c>
      <c r="V6" s="42">
        <f>Lookup!V16</f>
        <v>43281</v>
      </c>
      <c r="W6" s="42">
        <f>Lookup!W16</f>
        <v>43646</v>
      </c>
      <c r="X6" s="42">
        <f>Lookup!X16</f>
        <v>44012</v>
      </c>
      <c r="Y6" s="42">
        <f>Lookup!Y16</f>
        <v>44377</v>
      </c>
      <c r="Z6" s="42">
        <f>Lookup!Z16</f>
        <v>44742</v>
      </c>
      <c r="AA6" s="42">
        <f>Lookup!AA16</f>
        <v>45107</v>
      </c>
      <c r="AB6" s="42">
        <f>Lookup!AB16</f>
        <v>45473</v>
      </c>
    </row>
    <row r="7" spans="1:28" ht="12.3" hidden="1" outlineLevel="1" x14ac:dyDescent="0.35">
      <c r="B7" s="15" t="str">
        <f>Lookup!B17</f>
        <v>Period Counter</v>
      </c>
      <c r="J7" s="43">
        <f>Lookup!J17</f>
        <v>1</v>
      </c>
      <c r="K7" s="43">
        <f>Lookup!K17</f>
        <v>2</v>
      </c>
      <c r="L7" s="43">
        <f>Lookup!L17</f>
        <v>3</v>
      </c>
      <c r="M7" s="43">
        <f>Lookup!M17</f>
        <v>4</v>
      </c>
      <c r="N7" s="43">
        <f>Lookup!N17</f>
        <v>5</v>
      </c>
      <c r="O7" s="43">
        <f>Lookup!O17</f>
        <v>6</v>
      </c>
      <c r="P7" s="43">
        <f>Lookup!P17</f>
        <v>7</v>
      </c>
      <c r="Q7" s="43">
        <f>Lookup!Q17</f>
        <v>8</v>
      </c>
      <c r="R7" s="43">
        <f>Lookup!R17</f>
        <v>9</v>
      </c>
      <c r="S7" s="43">
        <f>Lookup!S17</f>
        <v>10</v>
      </c>
      <c r="T7" s="43">
        <f>Lookup!T17</f>
        <v>11</v>
      </c>
      <c r="U7" s="43">
        <f>Lookup!U17</f>
        <v>12</v>
      </c>
      <c r="V7" s="43">
        <f>Lookup!V17</f>
        <v>13</v>
      </c>
      <c r="W7" s="43">
        <f>Lookup!W17</f>
        <v>14</v>
      </c>
      <c r="X7" s="43">
        <f>Lookup!X17</f>
        <v>15</v>
      </c>
      <c r="Y7" s="43">
        <f>Lookup!Y17</f>
        <v>16</v>
      </c>
      <c r="Z7" s="43">
        <f>Lookup!Z17</f>
        <v>17</v>
      </c>
      <c r="AA7" s="43">
        <f>Lookup!AA17</f>
        <v>18</v>
      </c>
      <c r="AB7" s="43">
        <f>Lookup!AB17</f>
        <v>19</v>
      </c>
    </row>
    <row r="8" spans="1:28" ht="12.3" hidden="1" outlineLevel="1" x14ac:dyDescent="0.35">
      <c r="B8" s="15" t="str">
        <f>Lookup!B18</f>
        <v>Year</v>
      </c>
      <c r="J8" s="44">
        <f>Lookup!J18</f>
        <v>2006</v>
      </c>
      <c r="K8" s="44">
        <f>Lookup!K18</f>
        <v>2007</v>
      </c>
      <c r="L8" s="44">
        <f>Lookup!L18</f>
        <v>2008</v>
      </c>
      <c r="M8" s="44">
        <f>Lookup!M18</f>
        <v>2009</v>
      </c>
      <c r="N8" s="44">
        <f>Lookup!N18</f>
        <v>2010</v>
      </c>
      <c r="O8" s="44">
        <f>Lookup!O18</f>
        <v>2011</v>
      </c>
      <c r="P8" s="44">
        <f>Lookup!P18</f>
        <v>2012</v>
      </c>
      <c r="Q8" s="44">
        <f>Lookup!Q18</f>
        <v>2013</v>
      </c>
      <c r="R8" s="44">
        <f>Lookup!R18</f>
        <v>2014</v>
      </c>
      <c r="S8" s="44">
        <f>Lookup!S18</f>
        <v>2015</v>
      </c>
      <c r="T8" s="44">
        <f>Lookup!T18</f>
        <v>2016</v>
      </c>
      <c r="U8" s="44">
        <f>Lookup!U18</f>
        <v>2017</v>
      </c>
      <c r="V8" s="44">
        <f>Lookup!V18</f>
        <v>2018</v>
      </c>
      <c r="W8" s="44">
        <f>Lookup!W18</f>
        <v>2019</v>
      </c>
      <c r="X8" s="44">
        <f>Lookup!X18</f>
        <v>2020</v>
      </c>
      <c r="Y8" s="44">
        <f>Lookup!Y18</f>
        <v>2021</v>
      </c>
      <c r="Z8" s="44">
        <f>Lookup!Z18</f>
        <v>2022</v>
      </c>
      <c r="AA8" s="44">
        <f>Lookup!AA18</f>
        <v>2023</v>
      </c>
      <c r="AB8" s="44">
        <f>Lookup!AB18</f>
        <v>2024</v>
      </c>
    </row>
    <row r="9" spans="1:28" ht="12.3" hidden="1" outlineLevel="1" x14ac:dyDescent="0.35">
      <c r="B9" s="15" t="str">
        <f>Lookup!B19</f>
        <v>Period Type</v>
      </c>
      <c r="J9" s="44" t="str">
        <f>Lookup!J19</f>
        <v>Actual</v>
      </c>
      <c r="K9" s="44" t="str">
        <f>Lookup!K19</f>
        <v>Actual</v>
      </c>
      <c r="L9" s="44" t="str">
        <f>Lookup!L19</f>
        <v>Actual</v>
      </c>
      <c r="M9" s="44" t="str">
        <f>Lookup!M19</f>
        <v>Base Year</v>
      </c>
      <c r="N9" s="44" t="str">
        <f>Lookup!N19</f>
        <v>Forecast</v>
      </c>
      <c r="O9" s="44" t="str">
        <f>Lookup!O19</f>
        <v>Forecast</v>
      </c>
      <c r="P9" s="44" t="str">
        <f>Lookup!P19</f>
        <v>Forecast</v>
      </c>
      <c r="Q9" s="44" t="str">
        <f>Lookup!Q19</f>
        <v>Forecast</v>
      </c>
      <c r="R9" s="44" t="str">
        <f>Lookup!R19</f>
        <v>Forecast</v>
      </c>
      <c r="S9" s="44" t="str">
        <f>Lookup!S19</f>
        <v>Forecast</v>
      </c>
      <c r="T9" s="44" t="str">
        <f>Lookup!T19</f>
        <v>Forecast</v>
      </c>
      <c r="U9" s="44" t="str">
        <f>Lookup!U19</f>
        <v>Forecast</v>
      </c>
      <c r="V9" s="44" t="str">
        <f>Lookup!V19</f>
        <v>Forecast</v>
      </c>
      <c r="W9" s="44" t="str">
        <f>Lookup!W19</f>
        <v>Forecast</v>
      </c>
      <c r="X9" s="44" t="str">
        <f>Lookup!X19</f>
        <v>Forecast</v>
      </c>
      <c r="Y9" s="44" t="str">
        <f>Lookup!Y19</f>
        <v>Forecast</v>
      </c>
      <c r="Z9" s="44" t="str">
        <f>Lookup!Z19</f>
        <v>Forecast</v>
      </c>
      <c r="AA9" s="44" t="str">
        <f>Lookup!AA19</f>
        <v>Forecast</v>
      </c>
      <c r="AB9" s="44" t="str">
        <f>Lookup!AB19</f>
        <v>Forecast</v>
      </c>
    </row>
    <row r="10" spans="1:28" ht="12.3" collapsed="1" x14ac:dyDescent="0.35">
      <c r="B10" s="10" t="str">
        <f>Lookup!B20</f>
        <v>Regulatory Year</v>
      </c>
      <c r="E10" s="41" t="str">
        <f>Lookup!E20</f>
        <v>Source</v>
      </c>
      <c r="F10" s="41" t="str">
        <f>Lookup!F20</f>
        <v>Unit</v>
      </c>
      <c r="G10" s="41" t="str">
        <f>Lookup!G20</f>
        <v>Basis</v>
      </c>
      <c r="H10" s="41" t="str">
        <f>Lookup!H20</f>
        <v>Timing</v>
      </c>
      <c r="I10" s="41"/>
      <c r="J10" s="41" t="str">
        <f>Lookup!J20</f>
        <v>RY06</v>
      </c>
      <c r="K10" s="41" t="str">
        <f>Lookup!K20</f>
        <v>RY07</v>
      </c>
      <c r="L10" s="41" t="str">
        <f>Lookup!L20</f>
        <v>RY08</v>
      </c>
      <c r="M10" s="41" t="str">
        <f>Lookup!M20</f>
        <v>RY09</v>
      </c>
      <c r="N10" s="41" t="str">
        <f>Lookup!N20</f>
        <v>RY10</v>
      </c>
      <c r="O10" s="41" t="str">
        <f>Lookup!O20</f>
        <v>RY11</v>
      </c>
      <c r="P10" s="41" t="str">
        <f>Lookup!P20</f>
        <v>RY12</v>
      </c>
      <c r="Q10" s="41" t="str">
        <f>Lookup!Q20</f>
        <v>RY13</v>
      </c>
      <c r="R10" s="41" t="str">
        <f>Lookup!R20</f>
        <v>RY14</v>
      </c>
      <c r="S10" s="41" t="str">
        <f>Lookup!S20</f>
        <v>RY15</v>
      </c>
      <c r="T10" s="41" t="str">
        <f>Lookup!T20</f>
        <v>RY16</v>
      </c>
      <c r="U10" s="41" t="str">
        <f>Lookup!U20</f>
        <v>RY17</v>
      </c>
      <c r="V10" s="41" t="str">
        <f>Lookup!V20</f>
        <v>RY18</v>
      </c>
      <c r="W10" s="41" t="str">
        <f>Lookup!W20</f>
        <v>RY19</v>
      </c>
      <c r="X10" s="41" t="str">
        <f>Lookup!X20</f>
        <v>RY20</v>
      </c>
      <c r="Y10" s="41" t="str">
        <f>Lookup!Y20</f>
        <v>RY21</v>
      </c>
      <c r="Z10" s="41" t="str">
        <f>Lookup!Z20</f>
        <v>RY22</v>
      </c>
      <c r="AA10" s="41" t="str">
        <f>Lookup!AA20</f>
        <v>RY23</v>
      </c>
      <c r="AB10" s="41" t="str">
        <f>Lookup!AB20</f>
        <v>RY24</v>
      </c>
    </row>
    <row r="12" spans="1:28" s="4" customFormat="1" ht="15" x14ac:dyDescent="0.35">
      <c r="B12" s="4" t="s">
        <v>191</v>
      </c>
    </row>
    <row r="13" spans="1:28" s="6" customFormat="1" ht="4.5" customHeight="1" x14ac:dyDescent="0.35"/>
    <row r="14" spans="1:28" s="13" customFormat="1" ht="14.1" x14ac:dyDescent="0.35">
      <c r="C14" s="13" t="s">
        <v>147</v>
      </c>
    </row>
    <row r="15" spans="1:28" s="6" customFormat="1" ht="11.25" customHeight="1" x14ac:dyDescent="0.35"/>
    <row r="16" spans="1:28" ht="12.3" x14ac:dyDescent="0.35">
      <c r="D16" s="50" t="s">
        <v>193</v>
      </c>
      <c r="E16" s="45" t="str">
        <f>Lookup!E$20</f>
        <v>Source</v>
      </c>
      <c r="F16" s="45" t="str">
        <f>Lookup!F$20</f>
        <v>Unit</v>
      </c>
      <c r="G16" s="45" t="str">
        <f>Lookup!G$20</f>
        <v>Basis</v>
      </c>
      <c r="H16" s="45" t="str">
        <f>Lookup!H$20</f>
        <v>Timing</v>
      </c>
      <c r="J16" s="54" t="str">
        <f>J$10</f>
        <v>RY06</v>
      </c>
      <c r="K16" s="45" t="str">
        <f t="shared" ref="K16:AB16" si="0">K$10</f>
        <v>RY07</v>
      </c>
      <c r="L16" s="45" t="str">
        <f t="shared" si="0"/>
        <v>RY08</v>
      </c>
      <c r="M16" s="45" t="str">
        <f t="shared" si="0"/>
        <v>RY09</v>
      </c>
      <c r="N16" s="45" t="str">
        <f t="shared" si="0"/>
        <v>RY10</v>
      </c>
      <c r="O16" s="45" t="str">
        <f>O$10</f>
        <v>RY11</v>
      </c>
      <c r="P16" s="45" t="str">
        <f t="shared" si="0"/>
        <v>RY12</v>
      </c>
      <c r="Q16" s="45" t="str">
        <f t="shared" si="0"/>
        <v>RY13</v>
      </c>
      <c r="R16" s="55" t="str">
        <f t="shared" si="0"/>
        <v>RY14</v>
      </c>
      <c r="S16" s="54" t="str">
        <f t="shared" si="0"/>
        <v>RY15</v>
      </c>
      <c r="T16" s="45" t="str">
        <f>T$10</f>
        <v>RY16</v>
      </c>
      <c r="U16" s="45" t="str">
        <f t="shared" si="0"/>
        <v>RY17</v>
      </c>
      <c r="V16" s="45" t="str">
        <f t="shared" si="0"/>
        <v>RY18</v>
      </c>
      <c r="W16" s="55" t="str">
        <f t="shared" si="0"/>
        <v>RY19</v>
      </c>
      <c r="X16" s="54" t="str">
        <f t="shared" si="0"/>
        <v>RY20</v>
      </c>
      <c r="Y16" s="45" t="str">
        <f>Y$10</f>
        <v>RY21</v>
      </c>
      <c r="Z16" s="45" t="str">
        <f t="shared" si="0"/>
        <v>RY22</v>
      </c>
      <c r="AA16" s="45" t="str">
        <f t="shared" si="0"/>
        <v>RY23</v>
      </c>
      <c r="AB16" s="55" t="str">
        <f t="shared" si="0"/>
        <v>RY24</v>
      </c>
    </row>
    <row r="17" spans="4:28" x14ac:dyDescent="0.35">
      <c r="J17" s="56"/>
      <c r="K17" s="57"/>
      <c r="L17" s="57"/>
      <c r="M17" s="57"/>
      <c r="N17" s="57"/>
      <c r="O17" s="57"/>
      <c r="P17" s="57"/>
      <c r="Q17" s="57"/>
      <c r="R17" s="58"/>
      <c r="S17" s="56"/>
      <c r="T17" s="57"/>
      <c r="U17" s="57"/>
      <c r="V17" s="57"/>
      <c r="W17" s="58"/>
      <c r="X17" s="56"/>
      <c r="Y17" s="57"/>
      <c r="Z17" s="57"/>
      <c r="AA17" s="57"/>
      <c r="AB17" s="58"/>
    </row>
    <row r="18" spans="4:28" ht="12.3" x14ac:dyDescent="0.35">
      <c r="D18" s="15" t="str">
        <f>Lookup!D71</f>
        <v>Substations</v>
      </c>
      <c r="E18" s="52" t="s">
        <v>196</v>
      </c>
      <c r="F18" s="52" t="str">
        <f t="shared" ref="F18:F34" si="1">Dollars</f>
        <v>Dollars</v>
      </c>
      <c r="G18" s="52" t="str">
        <f t="shared" ref="G18:G34" si="2">Nominal</f>
        <v>Nominal</v>
      </c>
      <c r="H18" s="52" t="str">
        <f t="shared" ref="H18:H34" si="3">Start_year</f>
        <v>Start year</v>
      </c>
      <c r="J18" s="80"/>
      <c r="K18" s="67">
        <f>J200</f>
        <v>0</v>
      </c>
      <c r="L18" s="67">
        <f t="shared" ref="L18:AB18" si="4">K200</f>
        <v>0</v>
      </c>
      <c r="M18" s="67">
        <f t="shared" si="4"/>
        <v>0</v>
      </c>
      <c r="N18" s="67">
        <f t="shared" si="4"/>
        <v>0</v>
      </c>
      <c r="O18" s="67">
        <f t="shared" si="4"/>
        <v>0</v>
      </c>
      <c r="P18" s="67">
        <f t="shared" si="4"/>
        <v>0</v>
      </c>
      <c r="Q18" s="67">
        <f t="shared" si="4"/>
        <v>0</v>
      </c>
      <c r="R18" s="68">
        <f t="shared" si="4"/>
        <v>0</v>
      </c>
      <c r="S18" s="66">
        <f t="shared" si="4"/>
        <v>0</v>
      </c>
      <c r="T18" s="67">
        <f t="shared" si="4"/>
        <v>0</v>
      </c>
      <c r="U18" s="67">
        <f t="shared" si="4"/>
        <v>0</v>
      </c>
      <c r="V18" s="67">
        <f t="shared" si="4"/>
        <v>0</v>
      </c>
      <c r="W18" s="68">
        <f t="shared" si="4"/>
        <v>0</v>
      </c>
      <c r="X18" s="66">
        <f t="shared" si="4"/>
        <v>0</v>
      </c>
      <c r="Y18" s="67">
        <f t="shared" si="4"/>
        <v>0</v>
      </c>
      <c r="Z18" s="67">
        <f t="shared" si="4"/>
        <v>0</v>
      </c>
      <c r="AA18" s="67">
        <f t="shared" si="4"/>
        <v>0</v>
      </c>
      <c r="AB18" s="68">
        <f t="shared" si="4"/>
        <v>0</v>
      </c>
    </row>
    <row r="19" spans="4:28" ht="12.3" x14ac:dyDescent="0.35">
      <c r="D19" s="15" t="str">
        <f>Lookup!D72</f>
        <v>Distribution Lines</v>
      </c>
      <c r="E19" s="52" t="str">
        <f>E18</f>
        <v>Input_RAB_SCS</v>
      </c>
      <c r="F19" s="52" t="str">
        <f t="shared" si="1"/>
        <v>Dollars</v>
      </c>
      <c r="G19" s="52" t="str">
        <f t="shared" si="2"/>
        <v>Nominal</v>
      </c>
      <c r="H19" s="52" t="str">
        <f t="shared" si="3"/>
        <v>Start year</v>
      </c>
      <c r="J19" s="72">
        <f>Input_RAB_SCS!J19*Input_Connections!$I$16</f>
        <v>-3.0005344216383252</v>
      </c>
      <c r="K19" s="67">
        <f>J201</f>
        <v>-3.222269461557818</v>
      </c>
      <c r="L19" s="67">
        <f t="shared" ref="L19:AB19" si="5">K201</f>
        <v>-3.4938791880227935</v>
      </c>
      <c r="M19" s="67">
        <f t="shared" si="5"/>
        <v>-3.8578966446506331</v>
      </c>
      <c r="N19" s="67">
        <f t="shared" si="5"/>
        <v>-4.1311242859771031</v>
      </c>
      <c r="O19" s="67">
        <f t="shared" si="5"/>
        <v>-4.4217764768707823</v>
      </c>
      <c r="P19" s="67">
        <f t="shared" si="5"/>
        <v>-4.73098450871748</v>
      </c>
      <c r="Q19" s="67">
        <f t="shared" si="5"/>
        <v>-5.0175005678912239</v>
      </c>
      <c r="R19" s="68">
        <f t="shared" si="5"/>
        <v>-5.6226190476686408</v>
      </c>
      <c r="S19" s="66">
        <f t="shared" si="5"/>
        <v>-6.0221497892690969</v>
      </c>
      <c r="T19" s="67">
        <f t="shared" si="5"/>
        <v>-6.2414382644215713</v>
      </c>
      <c r="U19" s="67">
        <f t="shared" si="5"/>
        <v>-6.3271543617229193</v>
      </c>
      <c r="V19" s="67">
        <f t="shared" si="5"/>
        <v>-6.4431723869911899</v>
      </c>
      <c r="W19" s="68">
        <f t="shared" si="5"/>
        <v>-6.4800365716482249</v>
      </c>
      <c r="X19" s="66">
        <f t="shared" si="5"/>
        <v>-6.4783887846727701</v>
      </c>
      <c r="Y19" s="67">
        <f t="shared" si="5"/>
        <v>-6.9134121116744476</v>
      </c>
      <c r="Z19" s="67">
        <f t="shared" si="5"/>
        <v>-7.4550191728044073</v>
      </c>
      <c r="AA19" s="67">
        <f t="shared" si="5"/>
        <v>-7.8493511565867395</v>
      </c>
      <c r="AB19" s="68">
        <f t="shared" si="5"/>
        <v>-8.1926831819740169</v>
      </c>
    </row>
    <row r="20" spans="4:28" ht="12.3" x14ac:dyDescent="0.35">
      <c r="D20" s="15" t="str">
        <f>Lookup!D73</f>
        <v>Transmission Lines</v>
      </c>
      <c r="E20" s="52" t="str">
        <f t="shared" ref="E20:E33" si="6">E19</f>
        <v>Input_RAB_SCS</v>
      </c>
      <c r="F20" s="52" t="str">
        <f t="shared" si="1"/>
        <v>Dollars</v>
      </c>
      <c r="G20" s="52" t="str">
        <f t="shared" si="2"/>
        <v>Nominal</v>
      </c>
      <c r="H20" s="52" t="str">
        <f t="shared" si="3"/>
        <v>Start year</v>
      </c>
      <c r="J20" s="81"/>
      <c r="K20" s="67">
        <f>J202</f>
        <v>0</v>
      </c>
      <c r="L20" s="67">
        <f t="shared" ref="L20:AB20" si="7">K202</f>
        <v>0</v>
      </c>
      <c r="M20" s="67">
        <f t="shared" si="7"/>
        <v>0</v>
      </c>
      <c r="N20" s="67">
        <f t="shared" si="7"/>
        <v>0</v>
      </c>
      <c r="O20" s="67">
        <f t="shared" si="7"/>
        <v>0</v>
      </c>
      <c r="P20" s="67">
        <f t="shared" si="7"/>
        <v>0</v>
      </c>
      <c r="Q20" s="67">
        <f t="shared" si="7"/>
        <v>0</v>
      </c>
      <c r="R20" s="68">
        <f t="shared" si="7"/>
        <v>0</v>
      </c>
      <c r="S20" s="66">
        <f t="shared" si="7"/>
        <v>0</v>
      </c>
      <c r="T20" s="67">
        <f t="shared" si="7"/>
        <v>0</v>
      </c>
      <c r="U20" s="67">
        <f t="shared" si="7"/>
        <v>0</v>
      </c>
      <c r="V20" s="67">
        <f t="shared" si="7"/>
        <v>0</v>
      </c>
      <c r="W20" s="68">
        <f t="shared" si="7"/>
        <v>0</v>
      </c>
      <c r="X20" s="66">
        <f t="shared" si="7"/>
        <v>0</v>
      </c>
      <c r="Y20" s="67">
        <f t="shared" si="7"/>
        <v>0</v>
      </c>
      <c r="Z20" s="67">
        <f t="shared" si="7"/>
        <v>0</v>
      </c>
      <c r="AA20" s="67">
        <f t="shared" si="7"/>
        <v>0</v>
      </c>
      <c r="AB20" s="68">
        <f t="shared" si="7"/>
        <v>0</v>
      </c>
    </row>
    <row r="21" spans="4:28" ht="12.3" x14ac:dyDescent="0.35">
      <c r="D21" s="15" t="str">
        <f>Lookup!D74</f>
        <v>LV Services</v>
      </c>
      <c r="E21" s="52" t="str">
        <f t="shared" si="6"/>
        <v>Input_RAB_SCS</v>
      </c>
      <c r="F21" s="52" t="str">
        <f t="shared" si="1"/>
        <v>Dollars</v>
      </c>
      <c r="G21" s="52" t="str">
        <f t="shared" si="2"/>
        <v>Nominal</v>
      </c>
      <c r="H21" s="52" t="str">
        <f t="shared" si="3"/>
        <v>Start year</v>
      </c>
      <c r="J21" s="72">
        <f>Input_RAB_SCS!J21*Input_Connections!$I$16</f>
        <v>-4.0681027545154923E-3</v>
      </c>
      <c r="K21" s="67">
        <f>J203</f>
        <v>-4.1870241505062014E-3</v>
      </c>
      <c r="L21" s="67">
        <f t="shared" ref="L21:AB21" si="8">K203</f>
        <v>-4.2910803719980713E-3</v>
      </c>
      <c r="M21" s="67">
        <f t="shared" si="8"/>
        <v>-4.4744175241504137E-3</v>
      </c>
      <c r="N21" s="67">
        <f t="shared" si="8"/>
        <v>-4.5834288038085636E-3</v>
      </c>
      <c r="O21" s="67">
        <f t="shared" si="8"/>
        <v>-4.7172153742981102E-3</v>
      </c>
      <c r="P21" s="67">
        <f t="shared" si="8"/>
        <v>-4.870822177452775E-3</v>
      </c>
      <c r="Q21" s="67">
        <f t="shared" si="8"/>
        <v>-4.9501031081132484E-3</v>
      </c>
      <c r="R21" s="68">
        <f t="shared" si="8"/>
        <v>-5.0739795622702366E-3</v>
      </c>
      <c r="S21" s="66">
        <f t="shared" si="8"/>
        <v>-5.2987323324175818E-3</v>
      </c>
      <c r="T21" s="67">
        <f t="shared" si="8"/>
        <v>-5.4250886655758418E-2</v>
      </c>
      <c r="U21" s="67">
        <f t="shared" si="8"/>
        <v>-0.10474781902871416</v>
      </c>
      <c r="V21" s="67">
        <f t="shared" si="8"/>
        <v>-0.15253470094034832</v>
      </c>
      <c r="W21" s="68">
        <f t="shared" si="8"/>
        <v>-0.15664173039970009</v>
      </c>
      <c r="X21" s="66">
        <f t="shared" si="8"/>
        <v>-0.20355575463943501</v>
      </c>
      <c r="Y21" s="67">
        <f t="shared" si="8"/>
        <v>-0.20861914655078892</v>
      </c>
      <c r="Z21" s="67">
        <f t="shared" si="8"/>
        <v>-0.21664815752114527</v>
      </c>
      <c r="AA21" s="67">
        <f t="shared" si="8"/>
        <v>-0.22305598153822681</v>
      </c>
      <c r="AB21" s="68">
        <f t="shared" si="8"/>
        <v>-0.22812422487949729</v>
      </c>
    </row>
    <row r="22" spans="4:28" ht="12.3" x14ac:dyDescent="0.35">
      <c r="D22" s="15" t="str">
        <f>Lookup!D75</f>
        <v>Distribution Substations</v>
      </c>
      <c r="E22" s="52" t="str">
        <f t="shared" si="6"/>
        <v>Input_RAB_SCS</v>
      </c>
      <c r="F22" s="52" t="str">
        <f t="shared" si="1"/>
        <v>Dollars</v>
      </c>
      <c r="G22" s="52" t="str">
        <f t="shared" si="2"/>
        <v>Nominal</v>
      </c>
      <c r="H22" s="52" t="str">
        <f t="shared" si="3"/>
        <v>Start year</v>
      </c>
      <c r="J22" s="72">
        <f>Input_RAB_SCS!J22*Input_Connections!$I$16</f>
        <v>-1.2797385336405247</v>
      </c>
      <c r="K22" s="67">
        <f t="shared" ref="K22" si="9">J204</f>
        <v>-1.2371016818908203</v>
      </c>
      <c r="L22" s="67">
        <f t="shared" ref="L22" si="10">K204</f>
        <v>-1.1921740568386097</v>
      </c>
      <c r="M22" s="67">
        <f t="shared" ref="M22" si="11">L204</f>
        <v>-1.3370830016369748</v>
      </c>
      <c r="N22" s="67">
        <f t="shared" ref="N22" si="12">M204</f>
        <v>-1.420539667918546</v>
      </c>
      <c r="O22" s="67">
        <f t="shared" ref="O22" si="13">N204</f>
        <v>-1.7236948569088506</v>
      </c>
      <c r="P22" s="67">
        <f t="shared" ref="P22" si="14">O204</f>
        <v>-2.0108798427355943</v>
      </c>
      <c r="Q22" s="67">
        <f t="shared" ref="Q22" si="15">P204</f>
        <v>-2.06805047992126</v>
      </c>
      <c r="R22" s="68">
        <f t="shared" ref="R22" si="16">Q204</f>
        <v>-2.1337848269450714</v>
      </c>
      <c r="S22" s="66">
        <f t="shared" ref="S22" si="17">R204</f>
        <v>-2.1993613257971245</v>
      </c>
      <c r="T22" s="67">
        <f t="shared" ref="T22" si="18">S204</f>
        <v>-2.3560683679742618</v>
      </c>
      <c r="U22" s="67">
        <f t="shared" ref="U22" si="19">T204</f>
        <v>-2.4407034607779412</v>
      </c>
      <c r="V22" s="67">
        <f t="shared" ref="V22" si="20">U204</f>
        <v>-2.4803254726938389</v>
      </c>
      <c r="W22" s="68">
        <f t="shared" ref="W22" si="21">V204</f>
        <v>-2.4828875176077418</v>
      </c>
      <c r="X22" s="66">
        <f t="shared" ref="X22" si="22">W204</f>
        <v>-2.6469632094773425</v>
      </c>
      <c r="Y22" s="67">
        <f t="shared" ref="Y22" si="23">X204</f>
        <v>-2.6845897591267192</v>
      </c>
      <c r="Z22" s="67">
        <f t="shared" ref="Z22" si="24">Y204</f>
        <v>-2.7360208333305174</v>
      </c>
      <c r="AA22" s="67">
        <f t="shared" ref="AA22" si="25">Z204</f>
        <v>-2.7871826876110455</v>
      </c>
      <c r="AB22" s="68">
        <f t="shared" ref="AB22" si="26">AA204</f>
        <v>-2.8587582980326456</v>
      </c>
    </row>
    <row r="23" spans="4:28" ht="12.3" x14ac:dyDescent="0.35">
      <c r="D23" s="15" t="str">
        <f>Lookup!D76</f>
        <v>Distribution Switchgear</v>
      </c>
      <c r="E23" s="52" t="str">
        <f t="shared" si="6"/>
        <v>Input_RAB_SCS</v>
      </c>
      <c r="F23" s="52" t="str">
        <f t="shared" si="1"/>
        <v>Dollars</v>
      </c>
      <c r="G23" s="52" t="str">
        <f t="shared" si="2"/>
        <v>Nominal</v>
      </c>
      <c r="H23" s="52" t="str">
        <f t="shared" si="3"/>
        <v>Start year</v>
      </c>
      <c r="J23" s="72">
        <f>Input_RAB_SCS!J23*Input_Connections!$I$16</f>
        <v>-0.18298910650465303</v>
      </c>
      <c r="K23" s="67">
        <f t="shared" ref="K23" si="27">J205</f>
        <v>-0.18833836174961244</v>
      </c>
      <c r="L23" s="67">
        <f t="shared" ref="L23" si="28">K205</f>
        <v>-0.19301896008895189</v>
      </c>
      <c r="M23" s="67">
        <f t="shared" ref="M23" si="29">L205</f>
        <v>-0.21080152268216062</v>
      </c>
      <c r="N23" s="67">
        <f t="shared" ref="N23" si="30">M205</f>
        <v>-0.34697580428995889</v>
      </c>
      <c r="O23" s="67">
        <f t="shared" ref="O23" si="31">N205</f>
        <v>-0.35710374668544953</v>
      </c>
      <c r="P23" s="67">
        <f t="shared" ref="P23" si="32">O205</f>
        <v>-0.36873212499138325</v>
      </c>
      <c r="Q23" s="67">
        <f t="shared" ref="Q23" si="33">P205</f>
        <v>-0.37473386863315555</v>
      </c>
      <c r="R23" s="68">
        <f t="shared" ref="R23" si="34">Q205</f>
        <v>-0.38411159307342468</v>
      </c>
      <c r="S23" s="66">
        <f t="shared" ref="S23" si="35">R205</f>
        <v>-0.4014864772697801</v>
      </c>
      <c r="T23" s="67">
        <f t="shared" ref="T23" si="36">S205</f>
        <v>-0.52490399878474792</v>
      </c>
      <c r="U23" s="67">
        <f t="shared" ref="U23" si="37">T205</f>
        <v>-0.67200974056923368</v>
      </c>
      <c r="V23" s="67">
        <f t="shared" ref="V23" si="38">U205</f>
        <v>-0.80893899842907424</v>
      </c>
      <c r="W23" s="68">
        <f t="shared" ref="W23" si="39">V205</f>
        <v>-0.93291043718256206</v>
      </c>
      <c r="X23" s="66">
        <f t="shared" ref="X23" si="40">W205</f>
        <v>-1.1642616268479216</v>
      </c>
      <c r="Y23" s="67">
        <f t="shared" ref="Y23" si="41">X205</f>
        <v>-1.2847930689622573</v>
      </c>
      <c r="Z23" s="67">
        <f t="shared" ref="Z23" si="42">Y205</f>
        <v>-1.4163651693763848</v>
      </c>
      <c r="AA23" s="67">
        <f t="shared" ref="AA23" si="43">Z205</f>
        <v>-1.5418444367661504</v>
      </c>
      <c r="AB23" s="68">
        <f t="shared" ref="AB23" si="44">AA205</f>
        <v>-1.6834520478409754</v>
      </c>
    </row>
    <row r="24" spans="4:28" ht="12.3" x14ac:dyDescent="0.35">
      <c r="D24" s="15" t="str">
        <f>Lookup!D77</f>
        <v>Protection</v>
      </c>
      <c r="E24" s="52" t="str">
        <f t="shared" si="6"/>
        <v>Input_RAB_SCS</v>
      </c>
      <c r="F24" s="52" t="str">
        <f t="shared" si="1"/>
        <v>Dollars</v>
      </c>
      <c r="G24" s="52" t="str">
        <f t="shared" si="2"/>
        <v>Nominal</v>
      </c>
      <c r="H24" s="52" t="str">
        <f t="shared" si="3"/>
        <v>Start year</v>
      </c>
      <c r="J24" s="81"/>
      <c r="K24" s="67">
        <f t="shared" ref="K24:AB24" si="45">J206</f>
        <v>0</v>
      </c>
      <c r="L24" s="67">
        <f t="shared" si="45"/>
        <v>0</v>
      </c>
      <c r="M24" s="67">
        <f t="shared" si="45"/>
        <v>0</v>
      </c>
      <c r="N24" s="67">
        <f t="shared" si="45"/>
        <v>0</v>
      </c>
      <c r="O24" s="67">
        <f t="shared" si="45"/>
        <v>0</v>
      </c>
      <c r="P24" s="67">
        <f t="shared" si="45"/>
        <v>0</v>
      </c>
      <c r="Q24" s="67">
        <f t="shared" si="45"/>
        <v>0</v>
      </c>
      <c r="R24" s="68">
        <f t="shared" si="45"/>
        <v>0</v>
      </c>
      <c r="S24" s="66">
        <f t="shared" si="45"/>
        <v>0</v>
      </c>
      <c r="T24" s="67">
        <f t="shared" si="45"/>
        <v>0</v>
      </c>
      <c r="U24" s="67">
        <f t="shared" si="45"/>
        <v>0</v>
      </c>
      <c r="V24" s="67">
        <f t="shared" si="45"/>
        <v>0</v>
      </c>
      <c r="W24" s="68">
        <f t="shared" si="45"/>
        <v>0</v>
      </c>
      <c r="X24" s="66">
        <f t="shared" si="45"/>
        <v>0</v>
      </c>
      <c r="Y24" s="67">
        <f t="shared" si="45"/>
        <v>0</v>
      </c>
      <c r="Z24" s="67">
        <f t="shared" si="45"/>
        <v>0</v>
      </c>
      <c r="AA24" s="67">
        <f t="shared" si="45"/>
        <v>0</v>
      </c>
      <c r="AB24" s="68">
        <f t="shared" si="45"/>
        <v>0</v>
      </c>
    </row>
    <row r="25" spans="4:28" ht="12.3" x14ac:dyDescent="0.35">
      <c r="D25" s="15" t="str">
        <f>Lookup!D78</f>
        <v>SCADA</v>
      </c>
      <c r="E25" s="52" t="str">
        <f t="shared" si="6"/>
        <v>Input_RAB_SCS</v>
      </c>
      <c r="F25" s="52" t="str">
        <f t="shared" si="1"/>
        <v>Dollars</v>
      </c>
      <c r="G25" s="52" t="str">
        <f t="shared" si="2"/>
        <v>Nominal</v>
      </c>
      <c r="H25" s="52" t="str">
        <f t="shared" si="3"/>
        <v>Start year</v>
      </c>
      <c r="J25" s="81"/>
      <c r="K25" s="67">
        <f t="shared" ref="K25:AB25" si="46">J207</f>
        <v>0</v>
      </c>
      <c r="L25" s="67">
        <f t="shared" si="46"/>
        <v>0</v>
      </c>
      <c r="M25" s="67">
        <f t="shared" si="46"/>
        <v>0</v>
      </c>
      <c r="N25" s="67">
        <f t="shared" si="46"/>
        <v>0</v>
      </c>
      <c r="O25" s="67">
        <f t="shared" si="46"/>
        <v>0</v>
      </c>
      <c r="P25" s="67">
        <f t="shared" si="46"/>
        <v>0</v>
      </c>
      <c r="Q25" s="67">
        <f t="shared" si="46"/>
        <v>0</v>
      </c>
      <c r="R25" s="68">
        <f t="shared" si="46"/>
        <v>0</v>
      </c>
      <c r="S25" s="66">
        <f t="shared" si="46"/>
        <v>0</v>
      </c>
      <c r="T25" s="67">
        <f t="shared" si="46"/>
        <v>0</v>
      </c>
      <c r="U25" s="67">
        <f t="shared" si="46"/>
        <v>0</v>
      </c>
      <c r="V25" s="67">
        <f t="shared" si="46"/>
        <v>0</v>
      </c>
      <c r="W25" s="68">
        <f t="shared" si="46"/>
        <v>0</v>
      </c>
      <c r="X25" s="66">
        <f t="shared" si="46"/>
        <v>0</v>
      </c>
      <c r="Y25" s="67">
        <f t="shared" si="46"/>
        <v>0</v>
      </c>
      <c r="Z25" s="67">
        <f t="shared" si="46"/>
        <v>0</v>
      </c>
      <c r="AA25" s="67">
        <f t="shared" si="46"/>
        <v>0</v>
      </c>
      <c r="AB25" s="68">
        <f t="shared" si="46"/>
        <v>0</v>
      </c>
    </row>
    <row r="26" spans="4:28" ht="12.3" x14ac:dyDescent="0.35">
      <c r="D26" s="15" t="str">
        <f>Lookup!D79</f>
        <v>Communications</v>
      </c>
      <c r="E26" s="52" t="str">
        <f t="shared" si="6"/>
        <v>Input_RAB_SCS</v>
      </c>
      <c r="F26" s="52" t="str">
        <f t="shared" si="1"/>
        <v>Dollars</v>
      </c>
      <c r="G26" s="52" t="str">
        <f t="shared" si="2"/>
        <v>Nominal</v>
      </c>
      <c r="H26" s="52" t="str">
        <f t="shared" si="3"/>
        <v>Start year</v>
      </c>
      <c r="J26" s="81"/>
      <c r="K26" s="67">
        <f t="shared" ref="K26:AB26" si="47">J208</f>
        <v>0</v>
      </c>
      <c r="L26" s="67">
        <f t="shared" si="47"/>
        <v>0</v>
      </c>
      <c r="M26" s="67">
        <f t="shared" si="47"/>
        <v>0</v>
      </c>
      <c r="N26" s="67">
        <f t="shared" si="47"/>
        <v>0</v>
      </c>
      <c r="O26" s="67">
        <f t="shared" si="47"/>
        <v>0</v>
      </c>
      <c r="P26" s="67">
        <f t="shared" si="47"/>
        <v>0</v>
      </c>
      <c r="Q26" s="67">
        <f t="shared" si="47"/>
        <v>0</v>
      </c>
      <c r="R26" s="68">
        <f t="shared" si="47"/>
        <v>0</v>
      </c>
      <c r="S26" s="66">
        <f t="shared" si="47"/>
        <v>0</v>
      </c>
      <c r="T26" s="67">
        <f t="shared" si="47"/>
        <v>0</v>
      </c>
      <c r="U26" s="67">
        <f t="shared" si="47"/>
        <v>0</v>
      </c>
      <c r="V26" s="67">
        <f t="shared" si="47"/>
        <v>0</v>
      </c>
      <c r="W26" s="68">
        <f t="shared" si="47"/>
        <v>0</v>
      </c>
      <c r="X26" s="66">
        <f t="shared" si="47"/>
        <v>0</v>
      </c>
      <c r="Y26" s="67">
        <f t="shared" si="47"/>
        <v>0</v>
      </c>
      <c r="Z26" s="67">
        <f t="shared" si="47"/>
        <v>0</v>
      </c>
      <c r="AA26" s="67">
        <f t="shared" si="47"/>
        <v>0</v>
      </c>
      <c r="AB26" s="68">
        <f t="shared" si="47"/>
        <v>0</v>
      </c>
    </row>
    <row r="27" spans="4:28" ht="12.3" x14ac:dyDescent="0.35">
      <c r="D27" s="15" t="str">
        <f>Lookup!D80</f>
        <v>Land and Easements</v>
      </c>
      <c r="E27" s="52" t="str">
        <f t="shared" si="6"/>
        <v>Input_RAB_SCS</v>
      </c>
      <c r="F27" s="52" t="str">
        <f t="shared" si="1"/>
        <v>Dollars</v>
      </c>
      <c r="G27" s="52" t="str">
        <f t="shared" si="2"/>
        <v>Nominal</v>
      </c>
      <c r="H27" s="52" t="str">
        <f t="shared" si="3"/>
        <v>Start year</v>
      </c>
      <c r="J27" s="81"/>
      <c r="K27" s="67">
        <f t="shared" ref="K27:AB27" si="48">J209</f>
        <v>0</v>
      </c>
      <c r="L27" s="67">
        <f t="shared" si="48"/>
        <v>0</v>
      </c>
      <c r="M27" s="67">
        <f t="shared" si="48"/>
        <v>0</v>
      </c>
      <c r="N27" s="67">
        <f t="shared" si="48"/>
        <v>0</v>
      </c>
      <c r="O27" s="67">
        <f t="shared" si="48"/>
        <v>0</v>
      </c>
      <c r="P27" s="67">
        <f t="shared" si="48"/>
        <v>0</v>
      </c>
      <c r="Q27" s="67">
        <f t="shared" si="48"/>
        <v>0</v>
      </c>
      <c r="R27" s="68">
        <f t="shared" si="48"/>
        <v>0</v>
      </c>
      <c r="S27" s="66">
        <f t="shared" si="48"/>
        <v>0</v>
      </c>
      <c r="T27" s="67">
        <f t="shared" si="48"/>
        <v>0</v>
      </c>
      <c r="U27" s="67">
        <f t="shared" si="48"/>
        <v>0</v>
      </c>
      <c r="V27" s="67">
        <f t="shared" si="48"/>
        <v>0</v>
      </c>
      <c r="W27" s="68">
        <f t="shared" si="48"/>
        <v>0</v>
      </c>
      <c r="X27" s="66">
        <f t="shared" si="48"/>
        <v>0</v>
      </c>
      <c r="Y27" s="67">
        <f t="shared" si="48"/>
        <v>0</v>
      </c>
      <c r="Z27" s="67">
        <f t="shared" si="48"/>
        <v>0</v>
      </c>
      <c r="AA27" s="67">
        <f t="shared" si="48"/>
        <v>0</v>
      </c>
      <c r="AB27" s="68">
        <f t="shared" si="48"/>
        <v>0</v>
      </c>
    </row>
    <row r="28" spans="4:28" ht="12.3" x14ac:dyDescent="0.35">
      <c r="D28" s="15" t="str">
        <f>Lookup!D81</f>
        <v>Property</v>
      </c>
      <c r="E28" s="52" t="str">
        <f t="shared" si="6"/>
        <v>Input_RAB_SCS</v>
      </c>
      <c r="F28" s="52" t="str">
        <f t="shared" si="1"/>
        <v>Dollars</v>
      </c>
      <c r="G28" s="52" t="str">
        <f t="shared" si="2"/>
        <v>Nominal</v>
      </c>
      <c r="H28" s="52" t="str">
        <f t="shared" si="3"/>
        <v>Start year</v>
      </c>
      <c r="J28" s="81"/>
      <c r="K28" s="67">
        <f t="shared" ref="K28:AB28" si="49">J210</f>
        <v>0</v>
      </c>
      <c r="L28" s="67">
        <f t="shared" si="49"/>
        <v>0</v>
      </c>
      <c r="M28" s="67">
        <f t="shared" si="49"/>
        <v>0</v>
      </c>
      <c r="N28" s="67">
        <f t="shared" si="49"/>
        <v>0</v>
      </c>
      <c r="O28" s="67">
        <f t="shared" si="49"/>
        <v>0</v>
      </c>
      <c r="P28" s="67">
        <f t="shared" si="49"/>
        <v>0</v>
      </c>
      <c r="Q28" s="67">
        <f t="shared" si="49"/>
        <v>0</v>
      </c>
      <c r="R28" s="68">
        <f t="shared" si="49"/>
        <v>0</v>
      </c>
      <c r="S28" s="66">
        <f t="shared" si="49"/>
        <v>0</v>
      </c>
      <c r="T28" s="67">
        <f t="shared" si="49"/>
        <v>0</v>
      </c>
      <c r="U28" s="67">
        <f t="shared" si="49"/>
        <v>0</v>
      </c>
      <c r="V28" s="67">
        <f t="shared" si="49"/>
        <v>0</v>
      </c>
      <c r="W28" s="68">
        <f t="shared" si="49"/>
        <v>0</v>
      </c>
      <c r="X28" s="66">
        <f t="shared" si="49"/>
        <v>0</v>
      </c>
      <c r="Y28" s="67">
        <f t="shared" si="49"/>
        <v>0</v>
      </c>
      <c r="Z28" s="67">
        <f t="shared" si="49"/>
        <v>0</v>
      </c>
      <c r="AA28" s="67">
        <f t="shared" si="49"/>
        <v>0</v>
      </c>
      <c r="AB28" s="68">
        <f t="shared" si="49"/>
        <v>0</v>
      </c>
    </row>
    <row r="29" spans="4:28" ht="12.3" x14ac:dyDescent="0.35">
      <c r="D29" s="15" t="str">
        <f>Lookup!D82</f>
        <v>IT and Communications</v>
      </c>
      <c r="E29" s="52" t="str">
        <f t="shared" si="6"/>
        <v>Input_RAB_SCS</v>
      </c>
      <c r="F29" s="52" t="str">
        <f t="shared" si="1"/>
        <v>Dollars</v>
      </c>
      <c r="G29" s="52" t="str">
        <f t="shared" si="2"/>
        <v>Nominal</v>
      </c>
      <c r="H29" s="52" t="str">
        <f t="shared" si="3"/>
        <v>Start year</v>
      </c>
      <c r="J29" s="81"/>
      <c r="K29" s="67">
        <f t="shared" ref="K29:AB29" si="50">J211</f>
        <v>0</v>
      </c>
      <c r="L29" s="67">
        <f t="shared" si="50"/>
        <v>0</v>
      </c>
      <c r="M29" s="67">
        <f t="shared" si="50"/>
        <v>0</v>
      </c>
      <c r="N29" s="67">
        <f t="shared" si="50"/>
        <v>0</v>
      </c>
      <c r="O29" s="67">
        <f t="shared" si="50"/>
        <v>0</v>
      </c>
      <c r="P29" s="67">
        <f t="shared" si="50"/>
        <v>0</v>
      </c>
      <c r="Q29" s="67">
        <f t="shared" si="50"/>
        <v>0</v>
      </c>
      <c r="R29" s="68">
        <f t="shared" si="50"/>
        <v>0</v>
      </c>
      <c r="S29" s="66">
        <f t="shared" si="50"/>
        <v>0</v>
      </c>
      <c r="T29" s="67">
        <f t="shared" si="50"/>
        <v>0</v>
      </c>
      <c r="U29" s="67">
        <f t="shared" si="50"/>
        <v>0</v>
      </c>
      <c r="V29" s="67">
        <f t="shared" si="50"/>
        <v>0</v>
      </c>
      <c r="W29" s="68">
        <f t="shared" si="50"/>
        <v>0</v>
      </c>
      <c r="X29" s="66">
        <f t="shared" si="50"/>
        <v>0</v>
      </c>
      <c r="Y29" s="67">
        <f t="shared" si="50"/>
        <v>0</v>
      </c>
      <c r="Z29" s="67">
        <f t="shared" si="50"/>
        <v>0</v>
      </c>
      <c r="AA29" s="67">
        <f t="shared" si="50"/>
        <v>0</v>
      </c>
      <c r="AB29" s="68">
        <f t="shared" si="50"/>
        <v>0</v>
      </c>
    </row>
    <row r="30" spans="4:28" ht="12.3" x14ac:dyDescent="0.35">
      <c r="D30" s="15" t="str">
        <f>Lookup!D83</f>
        <v>Motor Vehicles</v>
      </c>
      <c r="E30" s="52" t="str">
        <f t="shared" si="6"/>
        <v>Input_RAB_SCS</v>
      </c>
      <c r="F30" s="52" t="str">
        <f t="shared" si="1"/>
        <v>Dollars</v>
      </c>
      <c r="G30" s="52" t="str">
        <f t="shared" si="2"/>
        <v>Nominal</v>
      </c>
      <c r="H30" s="52" t="str">
        <f t="shared" si="3"/>
        <v>Start year</v>
      </c>
      <c r="J30" s="81"/>
      <c r="K30" s="67">
        <f t="shared" ref="K30:AB30" si="51">J212</f>
        <v>0</v>
      </c>
      <c r="L30" s="67">
        <f t="shared" si="51"/>
        <v>0</v>
      </c>
      <c r="M30" s="67">
        <f t="shared" si="51"/>
        <v>0</v>
      </c>
      <c r="N30" s="67">
        <f t="shared" si="51"/>
        <v>0</v>
      </c>
      <c r="O30" s="67">
        <f t="shared" si="51"/>
        <v>0</v>
      </c>
      <c r="P30" s="67">
        <f t="shared" si="51"/>
        <v>0</v>
      </c>
      <c r="Q30" s="67">
        <f t="shared" si="51"/>
        <v>0</v>
      </c>
      <c r="R30" s="68">
        <f t="shared" si="51"/>
        <v>0</v>
      </c>
      <c r="S30" s="66">
        <f t="shared" si="51"/>
        <v>0</v>
      </c>
      <c r="T30" s="67">
        <f t="shared" si="51"/>
        <v>0</v>
      </c>
      <c r="U30" s="67">
        <f t="shared" si="51"/>
        <v>0</v>
      </c>
      <c r="V30" s="67">
        <f t="shared" si="51"/>
        <v>0</v>
      </c>
      <c r="W30" s="68">
        <f t="shared" si="51"/>
        <v>0</v>
      </c>
      <c r="X30" s="66">
        <f t="shared" si="51"/>
        <v>0</v>
      </c>
      <c r="Y30" s="67">
        <f t="shared" si="51"/>
        <v>0</v>
      </c>
      <c r="Z30" s="67">
        <f t="shared" si="51"/>
        <v>0</v>
      </c>
      <c r="AA30" s="67">
        <f t="shared" si="51"/>
        <v>0</v>
      </c>
      <c r="AB30" s="68">
        <f t="shared" si="51"/>
        <v>0</v>
      </c>
    </row>
    <row r="31" spans="4:28" ht="12.3" x14ac:dyDescent="0.35">
      <c r="D31" s="15" t="str">
        <f>Lookup!D84</f>
        <v>Plant and Equipment</v>
      </c>
      <c r="E31" s="52" t="str">
        <f t="shared" si="6"/>
        <v>Input_RAB_SCS</v>
      </c>
      <c r="F31" s="52" t="str">
        <f t="shared" si="1"/>
        <v>Dollars</v>
      </c>
      <c r="G31" s="52" t="str">
        <f t="shared" si="2"/>
        <v>Nominal</v>
      </c>
      <c r="H31" s="52" t="str">
        <f t="shared" si="3"/>
        <v>Start year</v>
      </c>
      <c r="J31" s="81"/>
      <c r="K31" s="67">
        <f t="shared" ref="K31:AB31" si="52">J213</f>
        <v>0</v>
      </c>
      <c r="L31" s="67">
        <f t="shared" si="52"/>
        <v>0</v>
      </c>
      <c r="M31" s="67">
        <f t="shared" si="52"/>
        <v>0</v>
      </c>
      <c r="N31" s="67">
        <f t="shared" si="52"/>
        <v>0</v>
      </c>
      <c r="O31" s="67">
        <f t="shared" si="52"/>
        <v>0</v>
      </c>
      <c r="P31" s="67">
        <f t="shared" si="52"/>
        <v>0</v>
      </c>
      <c r="Q31" s="67">
        <f t="shared" si="52"/>
        <v>0</v>
      </c>
      <c r="R31" s="68">
        <f t="shared" si="52"/>
        <v>0</v>
      </c>
      <c r="S31" s="66">
        <f t="shared" si="52"/>
        <v>0</v>
      </c>
      <c r="T31" s="67">
        <f t="shared" si="52"/>
        <v>0</v>
      </c>
      <c r="U31" s="67">
        <f t="shared" si="52"/>
        <v>0</v>
      </c>
      <c r="V31" s="67">
        <f t="shared" si="52"/>
        <v>0</v>
      </c>
      <c r="W31" s="68">
        <f t="shared" si="52"/>
        <v>0</v>
      </c>
      <c r="X31" s="66">
        <f t="shared" si="52"/>
        <v>0</v>
      </c>
      <c r="Y31" s="67">
        <f t="shared" si="52"/>
        <v>0</v>
      </c>
      <c r="Z31" s="67">
        <f t="shared" si="52"/>
        <v>0</v>
      </c>
      <c r="AA31" s="67">
        <f t="shared" si="52"/>
        <v>0</v>
      </c>
      <c r="AB31" s="68">
        <f t="shared" si="52"/>
        <v>0</v>
      </c>
    </row>
    <row r="32" spans="4:28" ht="12.3" x14ac:dyDescent="0.35">
      <c r="D32" s="15" t="str">
        <f>Lookup!D85</f>
        <v>Property Leases</v>
      </c>
      <c r="E32" s="52" t="str">
        <f t="shared" si="6"/>
        <v>Input_RAB_SCS</v>
      </c>
      <c r="F32" s="52" t="str">
        <f t="shared" si="1"/>
        <v>Dollars</v>
      </c>
      <c r="G32" s="52" t="str">
        <f t="shared" si="2"/>
        <v>Nominal</v>
      </c>
      <c r="H32" s="52" t="str">
        <f t="shared" si="3"/>
        <v>Start year</v>
      </c>
      <c r="J32" s="81"/>
      <c r="K32" s="67">
        <f t="shared" ref="K32:AB32" si="53">J214</f>
        <v>0</v>
      </c>
      <c r="L32" s="67">
        <f t="shared" si="53"/>
        <v>0</v>
      </c>
      <c r="M32" s="67">
        <f t="shared" si="53"/>
        <v>0</v>
      </c>
      <c r="N32" s="67">
        <f t="shared" si="53"/>
        <v>0</v>
      </c>
      <c r="O32" s="67">
        <f t="shared" si="53"/>
        <v>0</v>
      </c>
      <c r="P32" s="67">
        <f t="shared" si="53"/>
        <v>0</v>
      </c>
      <c r="Q32" s="67">
        <f t="shared" si="53"/>
        <v>0</v>
      </c>
      <c r="R32" s="68">
        <f t="shared" si="53"/>
        <v>0</v>
      </c>
      <c r="S32" s="66">
        <f t="shared" si="53"/>
        <v>0</v>
      </c>
      <c r="T32" s="67">
        <f t="shared" si="53"/>
        <v>0</v>
      </c>
      <c r="U32" s="67">
        <f t="shared" si="53"/>
        <v>0</v>
      </c>
      <c r="V32" s="67">
        <f t="shared" si="53"/>
        <v>0</v>
      </c>
      <c r="W32" s="68">
        <f t="shared" si="53"/>
        <v>0</v>
      </c>
      <c r="X32" s="66">
        <f t="shared" si="53"/>
        <v>0</v>
      </c>
      <c r="Y32" s="67">
        <f t="shared" si="53"/>
        <v>0</v>
      </c>
      <c r="Z32" s="67">
        <f t="shared" si="53"/>
        <v>0</v>
      </c>
      <c r="AA32" s="67">
        <f t="shared" si="53"/>
        <v>0</v>
      </c>
      <c r="AB32" s="68">
        <f t="shared" si="53"/>
        <v>0</v>
      </c>
    </row>
    <row r="33" spans="1:28" ht="12.3" x14ac:dyDescent="0.35">
      <c r="D33" s="15" t="str">
        <f>Lookup!D86</f>
        <v>Fleet Leases</v>
      </c>
      <c r="E33" s="52" t="str">
        <f t="shared" si="6"/>
        <v>Input_RAB_SCS</v>
      </c>
      <c r="F33" s="52" t="str">
        <f t="shared" si="1"/>
        <v>Dollars</v>
      </c>
      <c r="G33" s="52" t="str">
        <f t="shared" si="2"/>
        <v>Nominal</v>
      </c>
      <c r="H33" s="52" t="str">
        <f t="shared" si="3"/>
        <v>Start year</v>
      </c>
      <c r="J33" s="81"/>
      <c r="K33" s="67">
        <f t="shared" ref="K33:AB33" si="54">J215</f>
        <v>0</v>
      </c>
      <c r="L33" s="67">
        <f t="shared" si="54"/>
        <v>0</v>
      </c>
      <c r="M33" s="67">
        <f t="shared" si="54"/>
        <v>0</v>
      </c>
      <c r="N33" s="67">
        <f t="shared" si="54"/>
        <v>0</v>
      </c>
      <c r="O33" s="67">
        <f t="shared" si="54"/>
        <v>0</v>
      </c>
      <c r="P33" s="67">
        <f t="shared" si="54"/>
        <v>0</v>
      </c>
      <c r="Q33" s="67">
        <f t="shared" si="54"/>
        <v>0</v>
      </c>
      <c r="R33" s="68">
        <f t="shared" si="54"/>
        <v>0</v>
      </c>
      <c r="S33" s="66">
        <f t="shared" si="54"/>
        <v>0</v>
      </c>
      <c r="T33" s="67">
        <f t="shared" si="54"/>
        <v>0</v>
      </c>
      <c r="U33" s="67">
        <f t="shared" si="54"/>
        <v>0</v>
      </c>
      <c r="V33" s="67">
        <f t="shared" si="54"/>
        <v>0</v>
      </c>
      <c r="W33" s="68">
        <f t="shared" si="54"/>
        <v>0</v>
      </c>
      <c r="X33" s="66">
        <f t="shared" si="54"/>
        <v>0</v>
      </c>
      <c r="Y33" s="67">
        <f t="shared" si="54"/>
        <v>0</v>
      </c>
      <c r="Z33" s="67">
        <f t="shared" si="54"/>
        <v>0</v>
      </c>
      <c r="AA33" s="67">
        <f t="shared" si="54"/>
        <v>0</v>
      </c>
      <c r="AB33" s="68">
        <f t="shared" si="54"/>
        <v>0</v>
      </c>
    </row>
    <row r="34" spans="1:28" ht="12.3" x14ac:dyDescent="0.35">
      <c r="D34" s="15" t="str">
        <f>Lookup!D87</f>
        <v>Equity Raising Costs</v>
      </c>
      <c r="E34" s="52" t="str">
        <f>E31</f>
        <v>Input_RAB_SCS</v>
      </c>
      <c r="F34" s="52" t="str">
        <f t="shared" si="1"/>
        <v>Dollars</v>
      </c>
      <c r="G34" s="52" t="str">
        <f t="shared" si="2"/>
        <v>Nominal</v>
      </c>
      <c r="H34" s="52" t="str">
        <f t="shared" si="3"/>
        <v>Start year</v>
      </c>
      <c r="J34" s="82"/>
      <c r="K34" s="67">
        <f t="shared" ref="K34:AB34" si="55">J216</f>
        <v>0</v>
      </c>
      <c r="L34" s="67">
        <f t="shared" si="55"/>
        <v>0</v>
      </c>
      <c r="M34" s="67">
        <f t="shared" si="55"/>
        <v>0</v>
      </c>
      <c r="N34" s="67">
        <f t="shared" si="55"/>
        <v>0</v>
      </c>
      <c r="O34" s="67">
        <f t="shared" si="55"/>
        <v>0</v>
      </c>
      <c r="P34" s="67">
        <f t="shared" si="55"/>
        <v>0</v>
      </c>
      <c r="Q34" s="67">
        <f t="shared" si="55"/>
        <v>0</v>
      </c>
      <c r="R34" s="68">
        <f t="shared" si="55"/>
        <v>0</v>
      </c>
      <c r="S34" s="66">
        <f t="shared" si="55"/>
        <v>0</v>
      </c>
      <c r="T34" s="67">
        <f t="shared" si="55"/>
        <v>0</v>
      </c>
      <c r="U34" s="67">
        <f t="shared" si="55"/>
        <v>0</v>
      </c>
      <c r="V34" s="67">
        <f t="shared" si="55"/>
        <v>0</v>
      </c>
      <c r="W34" s="68">
        <f t="shared" si="55"/>
        <v>0</v>
      </c>
      <c r="X34" s="66">
        <f t="shared" si="55"/>
        <v>0</v>
      </c>
      <c r="Y34" s="67">
        <f t="shared" si="55"/>
        <v>0</v>
      </c>
      <c r="Z34" s="67">
        <f t="shared" si="55"/>
        <v>0</v>
      </c>
      <c r="AA34" s="67">
        <f t="shared" si="55"/>
        <v>0</v>
      </c>
      <c r="AB34" s="68">
        <f t="shared" si="55"/>
        <v>0</v>
      </c>
    </row>
    <row r="35" spans="1:28" x14ac:dyDescent="0.35">
      <c r="J35" s="56"/>
      <c r="K35" s="57"/>
      <c r="L35" s="57"/>
      <c r="M35" s="57"/>
      <c r="N35" s="57"/>
      <c r="O35" s="57"/>
      <c r="P35" s="57"/>
      <c r="Q35" s="57"/>
      <c r="R35" s="58"/>
      <c r="S35" s="56"/>
      <c r="T35" s="57"/>
      <c r="U35" s="57"/>
      <c r="V35" s="57"/>
      <c r="W35" s="58"/>
      <c r="X35" s="56"/>
      <c r="Y35" s="57"/>
      <c r="Z35" s="57"/>
      <c r="AA35" s="57"/>
      <c r="AB35" s="58"/>
    </row>
    <row r="36" spans="1:28" ht="12.3" x14ac:dyDescent="0.35">
      <c r="D36" s="51" t="str">
        <f>"Total "&amp;D16</f>
        <v>Total RAB Asset Class</v>
      </c>
      <c r="E36" s="47" t="s">
        <v>111</v>
      </c>
      <c r="F36" s="47" t="str">
        <f>F18</f>
        <v>Dollars</v>
      </c>
      <c r="G36" s="47" t="str">
        <f>G18</f>
        <v>Nominal</v>
      </c>
      <c r="H36" s="47" t="str">
        <f>H18</f>
        <v>Start year</v>
      </c>
      <c r="J36" s="62">
        <f t="shared" ref="J36:AB36" si="56">SUM(J18:J34)</f>
        <v>-4.4673301645380183</v>
      </c>
      <c r="K36" s="46">
        <f t="shared" si="56"/>
        <v>-4.6518965293487566</v>
      </c>
      <c r="L36" s="46">
        <f t="shared" si="56"/>
        <v>-4.8833632853223534</v>
      </c>
      <c r="M36" s="46">
        <f t="shared" si="56"/>
        <v>-5.4102555864939195</v>
      </c>
      <c r="N36" s="46">
        <f t="shared" si="56"/>
        <v>-5.9032231869894165</v>
      </c>
      <c r="O36" s="46">
        <f t="shared" si="56"/>
        <v>-6.5072922958393811</v>
      </c>
      <c r="P36" s="46">
        <f t="shared" si="56"/>
        <v>-7.1154672986219101</v>
      </c>
      <c r="Q36" s="46">
        <f t="shared" si="56"/>
        <v>-7.4652350195537522</v>
      </c>
      <c r="R36" s="63">
        <f t="shared" si="56"/>
        <v>-8.1455894472494066</v>
      </c>
      <c r="S36" s="62">
        <f t="shared" si="56"/>
        <v>-8.628296324668419</v>
      </c>
      <c r="T36" s="46">
        <f t="shared" si="56"/>
        <v>-9.1766615178363384</v>
      </c>
      <c r="U36" s="46">
        <f t="shared" si="56"/>
        <v>-9.544615382098808</v>
      </c>
      <c r="V36" s="46">
        <f t="shared" si="56"/>
        <v>-9.8849715590544509</v>
      </c>
      <c r="W36" s="63">
        <f t="shared" si="56"/>
        <v>-10.052476256838229</v>
      </c>
      <c r="X36" s="62">
        <f t="shared" si="56"/>
        <v>-10.493169375637468</v>
      </c>
      <c r="Y36" s="46">
        <f t="shared" si="56"/>
        <v>-11.091414086314213</v>
      </c>
      <c r="Z36" s="46">
        <f t="shared" si="56"/>
        <v>-11.824053333032456</v>
      </c>
      <c r="AA36" s="46">
        <f t="shared" si="56"/>
        <v>-12.401434262502161</v>
      </c>
      <c r="AB36" s="63">
        <f t="shared" si="56"/>
        <v>-12.963017752727135</v>
      </c>
    </row>
    <row r="37" spans="1:28" s="6" customFormat="1" ht="11.25" customHeight="1" x14ac:dyDescent="0.35"/>
    <row r="38" spans="1:28" s="6" customFormat="1" ht="11.25" customHeight="1" x14ac:dyDescent="0.35">
      <c r="A38" s="49">
        <f>IF(SUM($J38:$AB38)&lt;&gt;0,1,0)</f>
        <v>0</v>
      </c>
      <c r="D38" s="15" t="s">
        <v>114</v>
      </c>
      <c r="J38" s="70">
        <f>IF(ISERROR(J36),1,0)</f>
        <v>0</v>
      </c>
      <c r="K38" s="70">
        <f t="shared" ref="K38:N38" si="57">IF(ISERROR(K36),1,0)</f>
        <v>0</v>
      </c>
      <c r="L38" s="70">
        <f t="shared" si="57"/>
        <v>0</v>
      </c>
      <c r="M38" s="70">
        <f t="shared" si="57"/>
        <v>0</v>
      </c>
      <c r="N38" s="70">
        <f t="shared" si="57"/>
        <v>0</v>
      </c>
      <c r="O38" s="70">
        <f>IF(ISERROR(O36),1,0)</f>
        <v>0</v>
      </c>
      <c r="P38" s="70">
        <f t="shared" ref="P38:S38" si="58">IF(ISERROR(P36),1,0)</f>
        <v>0</v>
      </c>
      <c r="Q38" s="70">
        <f t="shared" si="58"/>
        <v>0</v>
      </c>
      <c r="R38" s="70">
        <f t="shared" si="58"/>
        <v>0</v>
      </c>
      <c r="S38" s="70">
        <f t="shared" si="58"/>
        <v>0</v>
      </c>
      <c r="T38" s="70">
        <f>IF(ISERROR(T36),1,0)</f>
        <v>0</v>
      </c>
      <c r="U38" s="70">
        <f t="shared" ref="U38:X38" si="59">IF(ISERROR(U36),1,0)</f>
        <v>0</v>
      </c>
      <c r="V38" s="70">
        <f t="shared" si="59"/>
        <v>0</v>
      </c>
      <c r="W38" s="70">
        <f t="shared" si="59"/>
        <v>0</v>
      </c>
      <c r="X38" s="70">
        <f t="shared" si="59"/>
        <v>0</v>
      </c>
      <c r="Y38" s="70">
        <f>IF(ISERROR(Y36),1,0)</f>
        <v>0</v>
      </c>
      <c r="Z38" s="70">
        <f t="shared" ref="Z38:AB38" si="60">IF(ISERROR(Z36),1,0)</f>
        <v>0</v>
      </c>
      <c r="AA38" s="70">
        <f t="shared" si="60"/>
        <v>0</v>
      </c>
      <c r="AB38" s="70">
        <f t="shared" si="60"/>
        <v>0</v>
      </c>
    </row>
    <row r="39" spans="1:28" s="6" customFormat="1" ht="11.25" customHeight="1" x14ac:dyDescent="0.35">
      <c r="L39" s="10"/>
      <c r="Q39" s="10"/>
      <c r="V39" s="10"/>
      <c r="AA39" s="10"/>
    </row>
    <row r="40" spans="1:28" s="13" customFormat="1" ht="14.1" x14ac:dyDescent="0.35">
      <c r="C40" s="13" t="s">
        <v>148</v>
      </c>
    </row>
    <row r="41" spans="1:28" s="6" customFormat="1" ht="11.25" customHeight="1" x14ac:dyDescent="0.35"/>
    <row r="42" spans="1:28" ht="12.3" x14ac:dyDescent="0.35">
      <c r="D42" s="50" t="str">
        <f>D$16</f>
        <v>RAB Asset Class</v>
      </c>
      <c r="E42" s="45" t="str">
        <f>Lookup!E$20</f>
        <v>Source</v>
      </c>
      <c r="F42" s="45" t="str">
        <f>Lookup!F$20</f>
        <v>Unit</v>
      </c>
      <c r="G42" s="45" t="str">
        <f>Lookup!G$20</f>
        <v>Basis</v>
      </c>
      <c r="H42" s="45" t="str">
        <f>Lookup!H$20</f>
        <v>Timing</v>
      </c>
      <c r="J42" s="54" t="str">
        <f>J$10</f>
        <v>RY06</v>
      </c>
      <c r="K42" s="45" t="str">
        <f t="shared" ref="K42:AB42" si="61">K$10</f>
        <v>RY07</v>
      </c>
      <c r="L42" s="45" t="str">
        <f t="shared" si="61"/>
        <v>RY08</v>
      </c>
      <c r="M42" s="45" t="str">
        <f t="shared" si="61"/>
        <v>RY09</v>
      </c>
      <c r="N42" s="45" t="str">
        <f t="shared" si="61"/>
        <v>RY10</v>
      </c>
      <c r="O42" s="45" t="str">
        <f>O$10</f>
        <v>RY11</v>
      </c>
      <c r="P42" s="45" t="str">
        <f t="shared" si="61"/>
        <v>RY12</v>
      </c>
      <c r="Q42" s="45" t="str">
        <f t="shared" si="61"/>
        <v>RY13</v>
      </c>
      <c r="R42" s="55" t="str">
        <f t="shared" si="61"/>
        <v>RY14</v>
      </c>
      <c r="S42" s="54" t="str">
        <f t="shared" si="61"/>
        <v>RY15</v>
      </c>
      <c r="T42" s="45" t="str">
        <f>T$10</f>
        <v>RY16</v>
      </c>
      <c r="U42" s="45" t="str">
        <f t="shared" si="61"/>
        <v>RY17</v>
      </c>
      <c r="V42" s="45" t="str">
        <f t="shared" si="61"/>
        <v>RY18</v>
      </c>
      <c r="W42" s="55" t="str">
        <f t="shared" si="61"/>
        <v>RY19</v>
      </c>
      <c r="X42" s="54" t="str">
        <f t="shared" si="61"/>
        <v>RY20</v>
      </c>
      <c r="Y42" s="45" t="str">
        <f>Y$10</f>
        <v>RY21</v>
      </c>
      <c r="Z42" s="45" t="str">
        <f t="shared" si="61"/>
        <v>RY22</v>
      </c>
      <c r="AA42" s="45" t="str">
        <f t="shared" si="61"/>
        <v>RY23</v>
      </c>
      <c r="AB42" s="55" t="str">
        <f t="shared" si="61"/>
        <v>RY24</v>
      </c>
    </row>
    <row r="43" spans="1:28" x14ac:dyDescent="0.35">
      <c r="J43" s="56"/>
      <c r="K43" s="57"/>
      <c r="L43" s="57"/>
      <c r="M43" s="57"/>
      <c r="N43" s="57"/>
      <c r="O43" s="57"/>
      <c r="P43" s="57"/>
      <c r="Q43" s="57"/>
      <c r="R43" s="58"/>
      <c r="S43" s="56"/>
      <c r="T43" s="57"/>
      <c r="U43" s="57"/>
      <c r="V43" s="57"/>
      <c r="W43" s="58"/>
      <c r="X43" s="56"/>
      <c r="Y43" s="57"/>
      <c r="Z43" s="57"/>
      <c r="AA43" s="57"/>
      <c r="AB43" s="58"/>
    </row>
    <row r="44" spans="1:28" ht="12.3" x14ac:dyDescent="0.35">
      <c r="D44" s="15" t="str">
        <f t="shared" ref="D44:D57" si="62">D18</f>
        <v>Substations</v>
      </c>
      <c r="E44" s="52" t="s">
        <v>196</v>
      </c>
      <c r="F44" s="52" t="str">
        <f t="shared" ref="F44:F60" si="63">Dollars</f>
        <v>Dollars</v>
      </c>
      <c r="G44" s="52" t="str">
        <f t="shared" ref="G44:G60" si="64">Nominal</f>
        <v>Nominal</v>
      </c>
      <c r="H44" s="52" t="str">
        <f t="shared" ref="H44:H60" si="65">End_year</f>
        <v>End_year</v>
      </c>
      <c r="J44" s="36"/>
      <c r="K44" s="36"/>
      <c r="L44" s="36"/>
      <c r="M44" s="36"/>
      <c r="N44" s="36"/>
      <c r="O44" s="36"/>
      <c r="P44" s="36"/>
      <c r="Q44" s="36"/>
      <c r="R44" s="36"/>
      <c r="S44" s="36"/>
      <c r="T44" s="36"/>
      <c r="U44" s="36"/>
      <c r="V44" s="36"/>
      <c r="W44" s="36"/>
      <c r="X44" s="36"/>
      <c r="Y44" s="36"/>
      <c r="Z44" s="36"/>
      <c r="AA44" s="36"/>
      <c r="AB44" s="36"/>
    </row>
    <row r="45" spans="1:28" ht="12.3" x14ac:dyDescent="0.35">
      <c r="D45" s="15" t="str">
        <f t="shared" si="62"/>
        <v>Distribution Lines</v>
      </c>
      <c r="E45" s="52" t="str">
        <f>E44</f>
        <v>Input_RAB_SCS</v>
      </c>
      <c r="F45" s="52" t="str">
        <f t="shared" si="63"/>
        <v>Dollars</v>
      </c>
      <c r="G45" s="52" t="str">
        <f t="shared" si="64"/>
        <v>Nominal</v>
      </c>
      <c r="H45" s="52" t="str">
        <f t="shared" si="65"/>
        <v>End_year</v>
      </c>
      <c r="J45" s="66">
        <f>Input_RAB_SCS!J45*Input_Connections!$I$16</f>
        <v>-8.7713551911473744E-2</v>
      </c>
      <c r="K45" s="67">
        <f>Input_RAB_SCS!K45*Input_Connections!$I$16</f>
        <v>-8.0080069458832906E-2</v>
      </c>
      <c r="L45" s="67">
        <f>Input_RAB_SCS!L45*Input_Connections!$I$16</f>
        <v>-0.14927659348365285</v>
      </c>
      <c r="M45" s="67">
        <f>Input_RAB_SCS!M45*Input_Connections!$I$16</f>
        <v>-9.3990837411200401E-2</v>
      </c>
      <c r="N45" s="67">
        <f>Input_RAB_SCS!N45*Input_Connections!$I$16</f>
        <v>-0.12058416834743946</v>
      </c>
      <c r="O45" s="67">
        <f>Input_RAB_SCS!O45*Input_Connections!$I$16</f>
        <v>-0.1439864188896994</v>
      </c>
      <c r="P45" s="67">
        <f>Input_RAB_SCS!P45*Input_Connections!$I$16</f>
        <v>-7.700483432297088E-2</v>
      </c>
      <c r="Q45" s="67">
        <f>Input_RAB_SCS!Q45*Input_Connections!$I$16</f>
        <v>-0.1255630772745551</v>
      </c>
      <c r="R45" s="68">
        <f>Input_RAB_SCS!R45*Input_Connections!$I$16</f>
        <v>-0.1377479053994545</v>
      </c>
      <c r="S45" s="66">
        <f>Input_RAB_SCS!S45*Input_Connections!$I$16</f>
        <v>-7.9990604411543445E-2</v>
      </c>
      <c r="T45" s="67">
        <f>Input_RAB_SCS!T45*Input_Connections!$I$16</f>
        <v>-8.1816606462455962E-2</v>
      </c>
      <c r="U45" s="67">
        <f>Input_RAB_SCS!U45*Input_Connections!$I$16</f>
        <v>-0.13449588754124467</v>
      </c>
      <c r="V45" s="67">
        <f>Input_RAB_SCS!V45*Input_Connections!$I$16</f>
        <v>-0.15623885435374299</v>
      </c>
      <c r="W45" s="68">
        <f>Input_RAB_SCS!W45*Input_Connections!$I$16</f>
        <v>-0.15713276462520004</v>
      </c>
      <c r="X45" s="66">
        <f>Input_RAB_SCS!X45*Input_Connections!$I$16</f>
        <v>-0.15709280785642199</v>
      </c>
      <c r="Y45" s="67">
        <f>Input_RAB_SCS!Y45*Input_Connections!$I$16</f>
        <v>-0.16764157826727155</v>
      </c>
      <c r="Z45" s="67">
        <f>Input_RAB_SCS!Z45*Input_Connections!$I$16</f>
        <v>-0.18077487063605732</v>
      </c>
      <c r="AA45" s="67">
        <f>Input_RAB_SCS!AA45*Input_Connections!$I$16</f>
        <v>-0.19033692697736854</v>
      </c>
      <c r="AB45" s="68">
        <f>Input_RAB_SCS!AB45*Input_Connections!$I$16</f>
        <v>-0.19866229825220225</v>
      </c>
    </row>
    <row r="46" spans="1:28" ht="12.3" x14ac:dyDescent="0.35">
      <c r="D46" s="15" t="str">
        <f t="shared" si="62"/>
        <v>Transmission Lines</v>
      </c>
      <c r="E46" s="52" t="str">
        <f t="shared" ref="E46:E59" si="66">E45</f>
        <v>Input_RAB_SCS</v>
      </c>
      <c r="F46" s="52" t="str">
        <f t="shared" si="63"/>
        <v>Dollars</v>
      </c>
      <c r="G46" s="52" t="str">
        <f t="shared" si="64"/>
        <v>Nominal</v>
      </c>
      <c r="H46" s="52" t="str">
        <f t="shared" si="65"/>
        <v>End_year</v>
      </c>
      <c r="J46" s="36"/>
      <c r="K46" s="36"/>
      <c r="L46" s="36"/>
      <c r="M46" s="36"/>
      <c r="N46" s="36"/>
      <c r="O46" s="36"/>
      <c r="P46" s="36"/>
      <c r="Q46" s="36"/>
      <c r="R46" s="36"/>
      <c r="S46" s="36"/>
      <c r="T46" s="36"/>
      <c r="U46" s="36"/>
      <c r="V46" s="36"/>
      <c r="W46" s="36"/>
      <c r="X46" s="36"/>
      <c r="Y46" s="36"/>
      <c r="Z46" s="36"/>
      <c r="AA46" s="36"/>
      <c r="AB46" s="36"/>
    </row>
    <row r="47" spans="1:28" ht="12.3" x14ac:dyDescent="0.35">
      <c r="D47" s="15" t="str">
        <f t="shared" si="62"/>
        <v>LV Services</v>
      </c>
      <c r="E47" s="52" t="str">
        <f t="shared" si="66"/>
        <v>Input_RAB_SCS</v>
      </c>
      <c r="F47" s="52" t="str">
        <f t="shared" si="63"/>
        <v>Dollars</v>
      </c>
      <c r="G47" s="52" t="str">
        <f t="shared" si="64"/>
        <v>Nominal</v>
      </c>
      <c r="H47" s="52" t="str">
        <f t="shared" si="65"/>
        <v>End_year</v>
      </c>
      <c r="J47" s="66">
        <f>Input_RAB_SCS!J47*Input_Connections!$I$16</f>
        <v>-1.1892139599070891E-4</v>
      </c>
      <c r="K47" s="67">
        <f>Input_RAB_SCS!K47*Input_Connections!$I$16</f>
        <v>-1.0405622149186952E-4</v>
      </c>
      <c r="L47" s="67">
        <f>Input_RAB_SCS!L47*Input_Connections!$I$16</f>
        <v>-1.8333715215234256E-4</v>
      </c>
      <c r="M47" s="67">
        <f>Input_RAB_SCS!M47*Input_Connections!$I$16</f>
        <v>-1.0901127965814967E-4</v>
      </c>
      <c r="N47" s="67">
        <f>Input_RAB_SCS!N47*Input_Connections!$I$16</f>
        <v>-1.337865704895469E-4</v>
      </c>
      <c r="O47" s="67">
        <f>Input_RAB_SCS!O47*Input_Connections!$I$16</f>
        <v>-1.5360680315466482E-4</v>
      </c>
      <c r="P47" s="67">
        <f>Input_RAB_SCS!P47*Input_Connections!$I$16</f>
        <v>-7.9280930660473138E-5</v>
      </c>
      <c r="Q47" s="67">
        <f>Input_RAB_SCS!Q47*Input_Connections!$I$16</f>
        <v>-1.2387645415698817E-4</v>
      </c>
      <c r="R47" s="68">
        <f>Input_RAB_SCS!R47*Input_Connections!$I$16</f>
        <v>-1.2430684896430429E-4</v>
      </c>
      <c r="S47" s="66">
        <f>Input_RAB_SCS!S47*Input_Connections!$I$16</f>
        <v>-7.0381643884104023E-5</v>
      </c>
      <c r="T47" s="67">
        <f>Input_RAB_SCS!T47*Input_Connections!$I$16</f>
        <v>-7.1115394492568009E-4</v>
      </c>
      <c r="U47" s="67">
        <f>Input_RAB_SCS!U47*Input_Connections!$I$16</f>
        <v>-2.2266172251944722E-3</v>
      </c>
      <c r="V47" s="67">
        <f>Input_RAB_SCS!V47*Input_Connections!$I$16</f>
        <v>-3.6987753070564255E-3</v>
      </c>
      <c r="W47" s="68">
        <f>Input_RAB_SCS!W47*Input_Connections!$I$16</f>
        <v>-3.798365623593934E-3</v>
      </c>
      <c r="X47" s="66">
        <f>Input_RAB_SCS!X47*Input_Connections!$I$16</f>
        <v>-4.9359719082152833E-3</v>
      </c>
      <c r="Y47" s="67">
        <f>Input_RAB_SCS!Y47*Input_Connections!$I$16</f>
        <v>-5.0587528154856162E-3</v>
      </c>
      <c r="Z47" s="67">
        <f>Input_RAB_SCS!Z47*Input_Connections!$I$16</f>
        <v>-5.2534462677568681E-3</v>
      </c>
      <c r="AA47" s="67">
        <f>Input_RAB_SCS!AA47*Input_Connections!$I$16</f>
        <v>-5.408827968446819E-3</v>
      </c>
      <c r="AB47" s="68">
        <f>Input_RAB_SCS!AB47*Input_Connections!$I$16</f>
        <v>-5.5317265168117269E-3</v>
      </c>
    </row>
    <row r="48" spans="1:28" ht="12.3" x14ac:dyDescent="0.35">
      <c r="D48" s="15" t="str">
        <f t="shared" si="62"/>
        <v>Distribution Substations</v>
      </c>
      <c r="E48" s="52" t="str">
        <f t="shared" si="66"/>
        <v>Input_RAB_SCS</v>
      </c>
      <c r="F48" s="52" t="str">
        <f t="shared" si="63"/>
        <v>Dollars</v>
      </c>
      <c r="G48" s="52" t="str">
        <f t="shared" si="64"/>
        <v>Nominal</v>
      </c>
      <c r="H48" s="52" t="str">
        <f t="shared" si="65"/>
        <v>End_year</v>
      </c>
      <c r="J48" s="66">
        <f>Input_RAB_SCS!J48*Input_Connections!$I$16</f>
        <v>-3.7410139838456341E-2</v>
      </c>
      <c r="K48" s="67">
        <f>Input_RAB_SCS!K48*Input_Connections!$I$16</f>
        <v>-3.0744538839890034E-2</v>
      </c>
      <c r="L48" s="67">
        <f>Input_RAB_SCS!L48*Input_Connections!$I$16</f>
        <v>-5.093584307509072E-2</v>
      </c>
      <c r="M48" s="67">
        <f>Input_RAB_SCS!M48*Input_Connections!$I$16</f>
        <v>-3.2575665599128965E-2</v>
      </c>
      <c r="N48" s="67">
        <f>Input_RAB_SCS!N48*Input_Connections!$I$16</f>
        <v>-4.1464401117622313E-2</v>
      </c>
      <c r="O48" s="67">
        <f>Input_RAB_SCS!O48*Input_Connections!$I$16</f>
        <v>-5.6128719080014877E-2</v>
      </c>
      <c r="P48" s="67">
        <f>Input_RAB_SCS!P48*Input_Connections!$I$16</f>
        <v>-3.2730495914313117E-2</v>
      </c>
      <c r="Q48" s="67">
        <f>Input_RAB_SCS!Q48*Input_Connections!$I$16</f>
        <v>-5.1753015013044516E-2</v>
      </c>
      <c r="R48" s="68">
        <f>Input_RAB_SCS!R48*Input_Connections!$I$16</f>
        <v>-5.2275352107785722E-2</v>
      </c>
      <c r="S48" s="66">
        <f>Input_RAB_SCS!S48*Input_Connections!$I$16</f>
        <v>-2.9213528046640916E-2</v>
      </c>
      <c r="T48" s="67">
        <f>Input_RAB_SCS!T48*Input_Connections!$I$16</f>
        <v>-3.0884791340486908E-2</v>
      </c>
      <c r="U48" s="67">
        <f>Input_RAB_SCS!U48*Input_Connections!$I$16</f>
        <v>-5.1881866541490254E-2</v>
      </c>
      <c r="V48" s="67">
        <f>Input_RAB_SCS!V48*Input_Connections!$I$16</f>
        <v>-6.01447838118538E-2</v>
      </c>
      <c r="W48" s="68">
        <f>Input_RAB_SCS!W48*Input_Connections!$I$16</f>
        <v>-6.0206910189685832E-2</v>
      </c>
      <c r="X48" s="66">
        <f>Input_RAB_SCS!X48*Input_Connections!$I$16</f>
        <v>-6.4185540061014637E-2</v>
      </c>
      <c r="Y48" s="67">
        <f>Input_RAB_SCS!Y48*Input_Connections!$I$16</f>
        <v>-6.5097936727968944E-2</v>
      </c>
      <c r="Z48" s="67">
        <f>Input_RAB_SCS!Z48*Input_Connections!$I$16</f>
        <v>-6.634507581243726E-2</v>
      </c>
      <c r="AA48" s="67">
        <f>Input_RAB_SCS!AA48*Input_Connections!$I$16</f>
        <v>-6.7585686651213159E-2</v>
      </c>
      <c r="AB48" s="68">
        <f>Input_RAB_SCS!AB48*Input_Connections!$I$16</f>
        <v>-6.9321305489305887E-2</v>
      </c>
    </row>
    <row r="49" spans="1:28" ht="12.3" x14ac:dyDescent="0.35">
      <c r="D49" s="15" t="str">
        <f t="shared" si="62"/>
        <v>Distribution Switchgear</v>
      </c>
      <c r="E49" s="52" t="str">
        <f t="shared" si="66"/>
        <v>Input_RAB_SCS</v>
      </c>
      <c r="F49" s="52" t="str">
        <f t="shared" si="63"/>
        <v>Dollars</v>
      </c>
      <c r="G49" s="52" t="str">
        <f t="shared" si="64"/>
        <v>Nominal</v>
      </c>
      <c r="H49" s="52" t="str">
        <f t="shared" si="65"/>
        <v>End_year</v>
      </c>
      <c r="J49" s="66">
        <f>Input_RAB_SCS!J49*Input_Connections!$I$16</f>
        <v>-5.349255244959418E-3</v>
      </c>
      <c r="K49" s="67">
        <f>Input_RAB_SCS!K49*Input_Connections!$I$16</f>
        <v>-4.6805983393394552E-3</v>
      </c>
      <c r="L49" s="67">
        <f>Input_RAB_SCS!L49*Input_Connections!$I$16</f>
        <v>-8.2467685026457547E-3</v>
      </c>
      <c r="M49" s="67">
        <f>Input_RAB_SCS!M49*Input_Connections!$I$16</f>
        <v>-5.1358067541611707E-3</v>
      </c>
      <c r="N49" s="67">
        <f>Input_RAB_SCS!N49*Input_Connections!$I$16</f>
        <v>-1.0127942395490667E-2</v>
      </c>
      <c r="O49" s="67">
        <f>Input_RAB_SCS!O49*Input_Connections!$I$16</f>
        <v>-1.1628378305933716E-2</v>
      </c>
      <c r="P49" s="67">
        <f>Input_RAB_SCS!P49*Input_Connections!$I$16</f>
        <v>-6.0017436417723145E-3</v>
      </c>
      <c r="Q49" s="67">
        <f>Input_RAB_SCS!Q49*Input_Connections!$I$16</f>
        <v>-9.3777244402691549E-3</v>
      </c>
      <c r="R49" s="68">
        <f>Input_RAB_SCS!R49*Input_Connections!$I$16</f>
        <v>-9.4103062891039493E-3</v>
      </c>
      <c r="S49" s="66">
        <f>Input_RAB_SCS!S49*Input_Connections!$I$16</f>
        <v>-5.332837458991351E-3</v>
      </c>
      <c r="T49" s="67">
        <f>Input_RAB_SCS!T49*Input_Connections!$I$16</f>
        <v>-6.8807640290136267E-3</v>
      </c>
      <c r="U49" s="67">
        <f>Input_RAB_SCS!U49*Input_Connections!$I$16</f>
        <v>-1.4284865095279419E-2</v>
      </c>
      <c r="V49" s="67">
        <f>Input_RAB_SCS!V49*Input_Connections!$I$16</f>
        <v>-1.9615756767861824E-2</v>
      </c>
      <c r="W49" s="68">
        <f>Input_RAB_SCS!W49*Input_Connections!$I$16</f>
        <v>-2.2621908768782457E-2</v>
      </c>
      <c r="X49" s="66">
        <f>Input_RAB_SCS!X49*Input_Connections!$I$16</f>
        <v>-2.8231885136894289E-2</v>
      </c>
      <c r="Y49" s="67">
        <f>Input_RAB_SCS!Y49*Input_Connections!$I$16</f>
        <v>-3.115462153109191E-2</v>
      </c>
      <c r="Z49" s="67">
        <f>Input_RAB_SCS!Z49*Input_Connections!$I$16</f>
        <v>-3.4345080050426739E-2</v>
      </c>
      <c r="AA49" s="67">
        <f>Input_RAB_SCS!AA49*Input_Connections!$I$16</f>
        <v>-3.7387795005827597E-2</v>
      </c>
      <c r="AB49" s="68">
        <f>Input_RAB_SCS!AB49*Input_Connections!$I$16</f>
        <v>-4.0821602079928361E-2</v>
      </c>
    </row>
    <row r="50" spans="1:28" ht="12.3" x14ac:dyDescent="0.35">
      <c r="D50" s="15" t="str">
        <f t="shared" si="62"/>
        <v>Protection</v>
      </c>
      <c r="E50" s="52" t="str">
        <f t="shared" si="66"/>
        <v>Input_RAB_SCS</v>
      </c>
      <c r="F50" s="52" t="str">
        <f t="shared" si="63"/>
        <v>Dollars</v>
      </c>
      <c r="G50" s="52" t="str">
        <f t="shared" si="64"/>
        <v>Nominal</v>
      </c>
      <c r="H50" s="52" t="str">
        <f t="shared" si="65"/>
        <v>End_year</v>
      </c>
      <c r="J50" s="36"/>
      <c r="K50" s="36"/>
      <c r="L50" s="36"/>
      <c r="M50" s="36"/>
      <c r="N50" s="36"/>
      <c r="O50" s="36"/>
      <c r="P50" s="36"/>
      <c r="Q50" s="36"/>
      <c r="R50" s="36"/>
      <c r="S50" s="36"/>
      <c r="T50" s="36"/>
      <c r="U50" s="36"/>
      <c r="V50" s="36"/>
      <c r="W50" s="36"/>
      <c r="X50" s="36"/>
      <c r="Y50" s="36"/>
      <c r="Z50" s="36"/>
      <c r="AA50" s="36"/>
      <c r="AB50" s="36"/>
    </row>
    <row r="51" spans="1:28" ht="12.3" x14ac:dyDescent="0.35">
      <c r="D51" s="15" t="str">
        <f t="shared" si="62"/>
        <v>SCADA</v>
      </c>
      <c r="E51" s="52" t="str">
        <f t="shared" si="66"/>
        <v>Input_RAB_SCS</v>
      </c>
      <c r="F51" s="52" t="str">
        <f t="shared" si="63"/>
        <v>Dollars</v>
      </c>
      <c r="G51" s="52" t="str">
        <f t="shared" si="64"/>
        <v>Nominal</v>
      </c>
      <c r="H51" s="52" t="str">
        <f t="shared" si="65"/>
        <v>End_year</v>
      </c>
      <c r="J51" s="36"/>
      <c r="K51" s="36"/>
      <c r="L51" s="36"/>
      <c r="M51" s="36"/>
      <c r="N51" s="36"/>
      <c r="O51" s="36"/>
      <c r="P51" s="36"/>
      <c r="Q51" s="36"/>
      <c r="R51" s="36"/>
      <c r="S51" s="36"/>
      <c r="T51" s="36"/>
      <c r="U51" s="36"/>
      <c r="V51" s="36"/>
      <c r="W51" s="36"/>
      <c r="X51" s="36"/>
      <c r="Y51" s="36"/>
      <c r="Z51" s="36"/>
      <c r="AA51" s="36"/>
      <c r="AB51" s="36"/>
    </row>
    <row r="52" spans="1:28" ht="12.3" x14ac:dyDescent="0.35">
      <c r="D52" s="15" t="str">
        <f t="shared" si="62"/>
        <v>Communications</v>
      </c>
      <c r="E52" s="52" t="str">
        <f t="shared" si="66"/>
        <v>Input_RAB_SCS</v>
      </c>
      <c r="F52" s="52" t="str">
        <f t="shared" si="63"/>
        <v>Dollars</v>
      </c>
      <c r="G52" s="52" t="str">
        <f t="shared" si="64"/>
        <v>Nominal</v>
      </c>
      <c r="H52" s="52" t="str">
        <f t="shared" si="65"/>
        <v>End_year</v>
      </c>
      <c r="J52" s="36"/>
      <c r="K52" s="36"/>
      <c r="L52" s="36"/>
      <c r="M52" s="36"/>
      <c r="N52" s="36"/>
      <c r="O52" s="36"/>
      <c r="P52" s="36"/>
      <c r="Q52" s="36"/>
      <c r="R52" s="36"/>
      <c r="S52" s="36"/>
      <c r="T52" s="36"/>
      <c r="U52" s="36"/>
      <c r="V52" s="36"/>
      <c r="W52" s="36"/>
      <c r="X52" s="36"/>
      <c r="Y52" s="36"/>
      <c r="Z52" s="36"/>
      <c r="AA52" s="36"/>
      <c r="AB52" s="36"/>
    </row>
    <row r="53" spans="1:28" ht="12.3" x14ac:dyDescent="0.35">
      <c r="D53" s="15" t="str">
        <f t="shared" si="62"/>
        <v>Land and Easements</v>
      </c>
      <c r="E53" s="52" t="str">
        <f t="shared" si="66"/>
        <v>Input_RAB_SCS</v>
      </c>
      <c r="F53" s="52" t="str">
        <f t="shared" si="63"/>
        <v>Dollars</v>
      </c>
      <c r="G53" s="52" t="str">
        <f t="shared" si="64"/>
        <v>Nominal</v>
      </c>
      <c r="H53" s="52" t="str">
        <f t="shared" si="65"/>
        <v>End_year</v>
      </c>
      <c r="J53" s="36"/>
      <c r="K53" s="36"/>
      <c r="L53" s="36"/>
      <c r="M53" s="36"/>
      <c r="N53" s="36"/>
      <c r="O53" s="36"/>
      <c r="P53" s="36"/>
      <c r="Q53" s="36"/>
      <c r="R53" s="36"/>
      <c r="S53" s="36"/>
      <c r="T53" s="36"/>
      <c r="U53" s="36"/>
      <c r="V53" s="36"/>
      <c r="W53" s="36"/>
      <c r="X53" s="36"/>
      <c r="Y53" s="36"/>
      <c r="Z53" s="36"/>
      <c r="AA53" s="36"/>
      <c r="AB53" s="36"/>
    </row>
    <row r="54" spans="1:28" ht="12.3" x14ac:dyDescent="0.35">
      <c r="D54" s="15" t="str">
        <f t="shared" si="62"/>
        <v>Property</v>
      </c>
      <c r="E54" s="52" t="str">
        <f t="shared" si="66"/>
        <v>Input_RAB_SCS</v>
      </c>
      <c r="F54" s="52" t="str">
        <f t="shared" si="63"/>
        <v>Dollars</v>
      </c>
      <c r="G54" s="52" t="str">
        <f t="shared" si="64"/>
        <v>Nominal</v>
      </c>
      <c r="H54" s="52" t="str">
        <f t="shared" si="65"/>
        <v>End_year</v>
      </c>
      <c r="J54" s="36"/>
      <c r="K54" s="36"/>
      <c r="L54" s="36"/>
      <c r="M54" s="36"/>
      <c r="N54" s="36"/>
      <c r="O54" s="36"/>
      <c r="P54" s="36"/>
      <c r="Q54" s="36"/>
      <c r="R54" s="36"/>
      <c r="S54" s="36"/>
      <c r="T54" s="36"/>
      <c r="U54" s="36"/>
      <c r="V54" s="36"/>
      <c r="W54" s="36"/>
      <c r="X54" s="36"/>
      <c r="Y54" s="36"/>
      <c r="Z54" s="36"/>
      <c r="AA54" s="36"/>
      <c r="AB54" s="36"/>
    </row>
    <row r="55" spans="1:28" ht="12.3" x14ac:dyDescent="0.35">
      <c r="D55" s="15" t="str">
        <f t="shared" si="62"/>
        <v>IT and Communications</v>
      </c>
      <c r="E55" s="52" t="str">
        <f t="shared" si="66"/>
        <v>Input_RAB_SCS</v>
      </c>
      <c r="F55" s="52" t="str">
        <f t="shared" si="63"/>
        <v>Dollars</v>
      </c>
      <c r="G55" s="52" t="str">
        <f t="shared" si="64"/>
        <v>Nominal</v>
      </c>
      <c r="H55" s="52" t="str">
        <f t="shared" si="65"/>
        <v>End_year</v>
      </c>
      <c r="J55" s="36"/>
      <c r="K55" s="36"/>
      <c r="L55" s="36"/>
      <c r="M55" s="36"/>
      <c r="N55" s="36"/>
      <c r="O55" s="36"/>
      <c r="P55" s="36"/>
      <c r="Q55" s="36"/>
      <c r="R55" s="36"/>
      <c r="S55" s="36"/>
      <c r="T55" s="36"/>
      <c r="U55" s="36"/>
      <c r="V55" s="36"/>
      <c r="W55" s="36"/>
      <c r="X55" s="36"/>
      <c r="Y55" s="36"/>
      <c r="Z55" s="36"/>
      <c r="AA55" s="36"/>
      <c r="AB55" s="36"/>
    </row>
    <row r="56" spans="1:28" ht="12.3" x14ac:dyDescent="0.35">
      <c r="D56" s="15" t="str">
        <f t="shared" si="62"/>
        <v>Motor Vehicles</v>
      </c>
      <c r="E56" s="52" t="str">
        <f t="shared" si="66"/>
        <v>Input_RAB_SCS</v>
      </c>
      <c r="F56" s="52" t="str">
        <f t="shared" si="63"/>
        <v>Dollars</v>
      </c>
      <c r="G56" s="52" t="str">
        <f t="shared" si="64"/>
        <v>Nominal</v>
      </c>
      <c r="H56" s="52" t="str">
        <f t="shared" si="65"/>
        <v>End_year</v>
      </c>
      <c r="J56" s="36"/>
      <c r="K56" s="36"/>
      <c r="L56" s="36"/>
      <c r="M56" s="36"/>
      <c r="N56" s="36"/>
      <c r="O56" s="36"/>
      <c r="P56" s="36"/>
      <c r="Q56" s="36"/>
      <c r="R56" s="36"/>
      <c r="S56" s="36"/>
      <c r="T56" s="36"/>
      <c r="U56" s="36"/>
      <c r="V56" s="36"/>
      <c r="W56" s="36"/>
      <c r="X56" s="36"/>
      <c r="Y56" s="36"/>
      <c r="Z56" s="36"/>
      <c r="AA56" s="36"/>
      <c r="AB56" s="36"/>
    </row>
    <row r="57" spans="1:28" ht="12.3" x14ac:dyDescent="0.35">
      <c r="D57" s="15" t="str">
        <f t="shared" si="62"/>
        <v>Plant and Equipment</v>
      </c>
      <c r="E57" s="52" t="str">
        <f t="shared" si="66"/>
        <v>Input_RAB_SCS</v>
      </c>
      <c r="F57" s="52" t="str">
        <f t="shared" si="63"/>
        <v>Dollars</v>
      </c>
      <c r="G57" s="52" t="str">
        <f t="shared" si="64"/>
        <v>Nominal</v>
      </c>
      <c r="H57" s="52" t="str">
        <f t="shared" si="65"/>
        <v>End_year</v>
      </c>
      <c r="J57" s="36"/>
      <c r="K57" s="36"/>
      <c r="L57" s="36"/>
      <c r="M57" s="36"/>
      <c r="N57" s="36"/>
      <c r="O57" s="36"/>
      <c r="P57" s="36"/>
      <c r="Q57" s="36"/>
      <c r="R57" s="36"/>
      <c r="S57" s="36"/>
      <c r="T57" s="36"/>
      <c r="U57" s="36"/>
      <c r="V57" s="36"/>
      <c r="W57" s="36"/>
      <c r="X57" s="36"/>
      <c r="Y57" s="36"/>
      <c r="Z57" s="36"/>
      <c r="AA57" s="36"/>
      <c r="AB57" s="36"/>
    </row>
    <row r="58" spans="1:28" ht="12.3" x14ac:dyDescent="0.35">
      <c r="D58" s="15" t="str">
        <f t="shared" ref="D58:D59" si="67">D32</f>
        <v>Property Leases</v>
      </c>
      <c r="E58" s="52" t="str">
        <f t="shared" si="66"/>
        <v>Input_RAB_SCS</v>
      </c>
      <c r="F58" s="52" t="str">
        <f t="shared" si="63"/>
        <v>Dollars</v>
      </c>
      <c r="G58" s="52" t="str">
        <f t="shared" si="64"/>
        <v>Nominal</v>
      </c>
      <c r="H58" s="52" t="str">
        <f t="shared" si="65"/>
        <v>End_year</v>
      </c>
      <c r="J58" s="36"/>
      <c r="K58" s="36"/>
      <c r="L58" s="36"/>
      <c r="M58" s="36"/>
      <c r="N58" s="36"/>
      <c r="O58" s="36"/>
      <c r="P58" s="36"/>
      <c r="Q58" s="36"/>
      <c r="R58" s="36"/>
      <c r="S58" s="36"/>
      <c r="T58" s="36"/>
      <c r="U58" s="36"/>
      <c r="V58" s="36"/>
      <c r="W58" s="36"/>
      <c r="X58" s="36"/>
      <c r="Y58" s="36"/>
      <c r="Z58" s="36"/>
      <c r="AA58" s="36"/>
      <c r="AB58" s="36"/>
    </row>
    <row r="59" spans="1:28" ht="12.3" x14ac:dyDescent="0.35">
      <c r="D59" s="15" t="str">
        <f t="shared" si="67"/>
        <v>Fleet Leases</v>
      </c>
      <c r="E59" s="52" t="str">
        <f t="shared" si="66"/>
        <v>Input_RAB_SCS</v>
      </c>
      <c r="F59" s="52" t="str">
        <f t="shared" si="63"/>
        <v>Dollars</v>
      </c>
      <c r="G59" s="52" t="str">
        <f t="shared" si="64"/>
        <v>Nominal</v>
      </c>
      <c r="H59" s="52" t="str">
        <f t="shared" si="65"/>
        <v>End_year</v>
      </c>
      <c r="J59" s="36"/>
      <c r="K59" s="36"/>
      <c r="L59" s="36"/>
      <c r="M59" s="36"/>
      <c r="N59" s="36"/>
      <c r="O59" s="36"/>
      <c r="P59" s="36"/>
      <c r="Q59" s="36"/>
      <c r="R59" s="36"/>
      <c r="S59" s="36"/>
      <c r="T59" s="36"/>
      <c r="U59" s="36"/>
      <c r="V59" s="36"/>
      <c r="W59" s="36"/>
      <c r="X59" s="36"/>
      <c r="Y59" s="36"/>
      <c r="Z59" s="36"/>
      <c r="AA59" s="36"/>
      <c r="AB59" s="36"/>
    </row>
    <row r="60" spans="1:28" ht="12.3" x14ac:dyDescent="0.35">
      <c r="D60" s="15" t="str">
        <f t="shared" ref="D60" si="68">D34</f>
        <v>Equity Raising Costs</v>
      </c>
      <c r="E60" s="52" t="str">
        <f>E57</f>
        <v>Input_RAB_SCS</v>
      </c>
      <c r="F60" s="52" t="str">
        <f t="shared" si="63"/>
        <v>Dollars</v>
      </c>
      <c r="G60" s="52" t="str">
        <f t="shared" si="64"/>
        <v>Nominal</v>
      </c>
      <c r="H60" s="52" t="str">
        <f t="shared" si="65"/>
        <v>End_year</v>
      </c>
      <c r="J60" s="36"/>
      <c r="K60" s="36"/>
      <c r="L60" s="36"/>
      <c r="M60" s="36"/>
      <c r="N60" s="36"/>
      <c r="O60" s="36"/>
      <c r="P60" s="36"/>
      <c r="Q60" s="36"/>
      <c r="R60" s="36"/>
      <c r="S60" s="36"/>
      <c r="T60" s="36"/>
      <c r="U60" s="36"/>
      <c r="V60" s="36"/>
      <c r="W60" s="36"/>
      <c r="X60" s="36"/>
      <c r="Y60" s="36"/>
      <c r="Z60" s="36"/>
      <c r="AA60" s="36"/>
      <c r="AB60" s="36"/>
    </row>
    <row r="61" spans="1:28" x14ac:dyDescent="0.35">
      <c r="J61" s="56"/>
      <c r="K61" s="57"/>
      <c r="L61" s="57"/>
      <c r="M61" s="57"/>
      <c r="N61" s="57"/>
      <c r="O61" s="57"/>
      <c r="P61" s="57"/>
      <c r="Q61" s="57"/>
      <c r="R61" s="58"/>
      <c r="S61" s="56"/>
      <c r="T61" s="57"/>
      <c r="U61" s="57"/>
      <c r="V61" s="57"/>
      <c r="W61" s="58"/>
      <c r="X61" s="56"/>
      <c r="Y61" s="57"/>
      <c r="Z61" s="57"/>
      <c r="AA61" s="57"/>
      <c r="AB61" s="58"/>
    </row>
    <row r="62" spans="1:28" ht="12.3" x14ac:dyDescent="0.35">
      <c r="D62" s="51" t="str">
        <f>"Total "&amp;D42</f>
        <v>Total RAB Asset Class</v>
      </c>
      <c r="E62" s="47" t="s">
        <v>111</v>
      </c>
      <c r="F62" s="47" t="str">
        <f>F44</f>
        <v>Dollars</v>
      </c>
      <c r="G62" s="47" t="str">
        <f>G44</f>
        <v>Nominal</v>
      </c>
      <c r="H62" s="47" t="str">
        <f>H44</f>
        <v>End_year</v>
      </c>
      <c r="J62" s="62">
        <f t="shared" ref="J62:AB62" si="69">SUM(J44:J60)</f>
        <v>-0.13059186839088019</v>
      </c>
      <c r="K62" s="46">
        <f t="shared" si="69"/>
        <v>-0.11560926285955427</v>
      </c>
      <c r="L62" s="46">
        <f t="shared" si="69"/>
        <v>-0.20864254221354167</v>
      </c>
      <c r="M62" s="46">
        <f t="shared" si="69"/>
        <v>-0.13181132104414869</v>
      </c>
      <c r="N62" s="46">
        <f t="shared" si="69"/>
        <v>-0.17231029843104198</v>
      </c>
      <c r="O62" s="46">
        <f t="shared" si="69"/>
        <v>-0.21189712307880265</v>
      </c>
      <c r="P62" s="46">
        <f t="shared" si="69"/>
        <v>-0.11581635480971679</v>
      </c>
      <c r="Q62" s="46">
        <f t="shared" si="69"/>
        <v>-0.18681769318202576</v>
      </c>
      <c r="R62" s="63">
        <f t="shared" si="69"/>
        <v>-0.19955787064530847</v>
      </c>
      <c r="S62" s="62">
        <f t="shared" si="69"/>
        <v>-0.11460735156105982</v>
      </c>
      <c r="T62" s="46">
        <f t="shared" si="69"/>
        <v>-0.12029331577688218</v>
      </c>
      <c r="U62" s="46">
        <f t="shared" si="69"/>
        <v>-0.20288923640320883</v>
      </c>
      <c r="V62" s="46">
        <f t="shared" si="69"/>
        <v>-0.23969817024051504</v>
      </c>
      <c r="W62" s="63">
        <f t="shared" si="69"/>
        <v>-0.24375994920726224</v>
      </c>
      <c r="X62" s="62">
        <f t="shared" si="69"/>
        <v>-0.25444620496254622</v>
      </c>
      <c r="Y62" s="46">
        <f t="shared" si="69"/>
        <v>-0.26895288934181799</v>
      </c>
      <c r="Z62" s="46">
        <f t="shared" si="69"/>
        <v>-0.28671847276667822</v>
      </c>
      <c r="AA62" s="46">
        <f t="shared" si="69"/>
        <v>-0.30071923660285615</v>
      </c>
      <c r="AB62" s="63">
        <f t="shared" si="69"/>
        <v>-0.31433693233824822</v>
      </c>
    </row>
    <row r="63" spans="1:28" s="6" customFormat="1" ht="11.25" customHeight="1" x14ac:dyDescent="0.35"/>
    <row r="64" spans="1:28" s="6" customFormat="1" ht="11.25" customHeight="1" x14ac:dyDescent="0.35">
      <c r="A64" s="49">
        <f>IF(SUM($J64:$AB64)&lt;&gt;0,1,0)</f>
        <v>0</v>
      </c>
      <c r="D64" s="15" t="s">
        <v>114</v>
      </c>
      <c r="J64" s="70">
        <f>IF(ISERROR(J62),1,0)</f>
        <v>0</v>
      </c>
      <c r="K64" s="70">
        <f t="shared" ref="K64:N64" si="70">IF(ISERROR(K62),1,0)</f>
        <v>0</v>
      </c>
      <c r="L64" s="70">
        <f t="shared" si="70"/>
        <v>0</v>
      </c>
      <c r="M64" s="70">
        <f t="shared" si="70"/>
        <v>0</v>
      </c>
      <c r="N64" s="70">
        <f t="shared" si="70"/>
        <v>0</v>
      </c>
      <c r="O64" s="70">
        <f>IF(ISERROR(O62),1,0)</f>
        <v>0</v>
      </c>
      <c r="P64" s="70">
        <f t="shared" ref="P64:S64" si="71">IF(ISERROR(P62),1,0)</f>
        <v>0</v>
      </c>
      <c r="Q64" s="70">
        <f t="shared" si="71"/>
        <v>0</v>
      </c>
      <c r="R64" s="70">
        <f t="shared" si="71"/>
        <v>0</v>
      </c>
      <c r="S64" s="70">
        <f t="shared" si="71"/>
        <v>0</v>
      </c>
      <c r="T64" s="70">
        <f>IF(ISERROR(T62),1,0)</f>
        <v>0</v>
      </c>
      <c r="U64" s="70">
        <f t="shared" ref="U64:X64" si="72">IF(ISERROR(U62),1,0)</f>
        <v>0</v>
      </c>
      <c r="V64" s="70">
        <f t="shared" si="72"/>
        <v>0</v>
      </c>
      <c r="W64" s="70">
        <f t="shared" si="72"/>
        <v>0</v>
      </c>
      <c r="X64" s="70">
        <f t="shared" si="72"/>
        <v>0</v>
      </c>
      <c r="Y64" s="70">
        <f>IF(ISERROR(Y62),1,0)</f>
        <v>0</v>
      </c>
      <c r="Z64" s="70">
        <f t="shared" ref="Z64:AB64" si="73">IF(ISERROR(Z62),1,0)</f>
        <v>0</v>
      </c>
      <c r="AA64" s="70">
        <f t="shared" si="73"/>
        <v>0</v>
      </c>
      <c r="AB64" s="70">
        <f t="shared" si="73"/>
        <v>0</v>
      </c>
    </row>
    <row r="65" spans="3:28" s="6" customFormat="1" ht="11.25" customHeight="1" x14ac:dyDescent="0.35">
      <c r="L65" s="10"/>
      <c r="Q65" s="10"/>
      <c r="V65" s="10"/>
      <c r="AA65" s="10"/>
    </row>
    <row r="66" spans="3:28" s="13" customFormat="1" ht="14.1" x14ac:dyDescent="0.35">
      <c r="C66" s="13" t="s">
        <v>149</v>
      </c>
    </row>
    <row r="67" spans="3:28" s="6" customFormat="1" ht="11.25" customHeight="1" x14ac:dyDescent="0.35"/>
    <row r="68" spans="3:28" ht="12.3" x14ac:dyDescent="0.35">
      <c r="D68" s="50" t="str">
        <f>D$16</f>
        <v>RAB Asset Class</v>
      </c>
      <c r="E68" s="45" t="str">
        <f>Lookup!E$20</f>
        <v>Source</v>
      </c>
      <c r="F68" s="45" t="str">
        <f>Lookup!F$20</f>
        <v>Unit</v>
      </c>
      <c r="G68" s="45" t="str">
        <f>Lookup!G$20</f>
        <v>Basis</v>
      </c>
      <c r="H68" s="45" t="str">
        <f>Lookup!H$20</f>
        <v>Timing</v>
      </c>
      <c r="J68" s="54" t="str">
        <f>J$10</f>
        <v>RY06</v>
      </c>
      <c r="K68" s="45" t="str">
        <f t="shared" ref="K68:AB68" si="74">K$10</f>
        <v>RY07</v>
      </c>
      <c r="L68" s="45" t="str">
        <f t="shared" si="74"/>
        <v>RY08</v>
      </c>
      <c r="M68" s="45" t="str">
        <f t="shared" si="74"/>
        <v>RY09</v>
      </c>
      <c r="N68" s="45" t="str">
        <f t="shared" si="74"/>
        <v>RY10</v>
      </c>
      <c r="O68" s="45" t="str">
        <f>O$10</f>
        <v>RY11</v>
      </c>
      <c r="P68" s="45" t="str">
        <f t="shared" si="74"/>
        <v>RY12</v>
      </c>
      <c r="Q68" s="45" t="str">
        <f t="shared" si="74"/>
        <v>RY13</v>
      </c>
      <c r="R68" s="55" t="str">
        <f t="shared" si="74"/>
        <v>RY14</v>
      </c>
      <c r="S68" s="54" t="str">
        <f t="shared" si="74"/>
        <v>RY15</v>
      </c>
      <c r="T68" s="45" t="str">
        <f>T$10</f>
        <v>RY16</v>
      </c>
      <c r="U68" s="45" t="str">
        <f t="shared" si="74"/>
        <v>RY17</v>
      </c>
      <c r="V68" s="45" t="str">
        <f t="shared" si="74"/>
        <v>RY18</v>
      </c>
      <c r="W68" s="55" t="str">
        <f t="shared" si="74"/>
        <v>RY19</v>
      </c>
      <c r="X68" s="54" t="str">
        <f t="shared" si="74"/>
        <v>RY20</v>
      </c>
      <c r="Y68" s="45" t="str">
        <f>Y$10</f>
        <v>RY21</v>
      </c>
      <c r="Z68" s="45" t="str">
        <f t="shared" si="74"/>
        <v>RY22</v>
      </c>
      <c r="AA68" s="45" t="str">
        <f t="shared" si="74"/>
        <v>RY23</v>
      </c>
      <c r="AB68" s="55" t="str">
        <f t="shared" si="74"/>
        <v>RY24</v>
      </c>
    </row>
    <row r="69" spans="3:28" x14ac:dyDescent="0.35">
      <c r="J69" s="56"/>
      <c r="K69" s="57"/>
      <c r="L69" s="57"/>
      <c r="M69" s="57"/>
      <c r="N69" s="57"/>
      <c r="O69" s="57"/>
      <c r="P69" s="57"/>
      <c r="Q69" s="57"/>
      <c r="R69" s="58"/>
      <c r="S69" s="56"/>
      <c r="T69" s="57"/>
      <c r="U69" s="57"/>
      <c r="V69" s="57"/>
      <c r="W69" s="58"/>
      <c r="X69" s="56"/>
      <c r="Y69" s="57"/>
      <c r="Z69" s="57"/>
      <c r="AA69" s="57"/>
      <c r="AB69" s="58"/>
    </row>
    <row r="70" spans="3:28" ht="12.3" x14ac:dyDescent="0.35">
      <c r="D70" s="15" t="str">
        <f t="shared" ref="D70:D83" si="75">D18</f>
        <v>Substations</v>
      </c>
      <c r="E70" s="52" t="s">
        <v>196</v>
      </c>
      <c r="F70" s="52" t="str">
        <f t="shared" ref="F70:F86" si="76">Dollars</f>
        <v>Dollars</v>
      </c>
      <c r="G70" s="52" t="str">
        <f t="shared" ref="G70:G86" si="77">Nominal</f>
        <v>Nominal</v>
      </c>
      <c r="H70" s="52" t="str">
        <f t="shared" ref="H70:H86" si="78">End_year</f>
        <v>End_year</v>
      </c>
      <c r="J70" s="36"/>
      <c r="K70" s="36"/>
      <c r="L70" s="36"/>
      <c r="M70" s="36"/>
      <c r="N70" s="36"/>
      <c r="O70" s="36"/>
      <c r="P70" s="36"/>
      <c r="Q70" s="36"/>
      <c r="R70" s="36"/>
      <c r="S70" s="36"/>
      <c r="T70" s="36"/>
      <c r="U70" s="36"/>
      <c r="V70" s="36"/>
      <c r="W70" s="36"/>
      <c r="X70" s="36"/>
      <c r="Y70" s="36"/>
      <c r="Z70" s="36"/>
      <c r="AA70" s="36"/>
      <c r="AB70" s="36"/>
    </row>
    <row r="71" spans="3:28" ht="12.3" x14ac:dyDescent="0.35">
      <c r="D71" s="15" t="str">
        <f t="shared" si="75"/>
        <v>Distribution Lines</v>
      </c>
      <c r="E71" s="52" t="str">
        <f>E70</f>
        <v>Input_RAB_SCS</v>
      </c>
      <c r="F71" s="52" t="str">
        <f t="shared" si="76"/>
        <v>Dollars</v>
      </c>
      <c r="G71" s="52" t="str">
        <f t="shared" si="77"/>
        <v>Nominal</v>
      </c>
      <c r="H71" s="52" t="str">
        <f t="shared" si="78"/>
        <v>End_year</v>
      </c>
      <c r="J71" s="66">
        <f>Input_RAB_SCS!J72*Input_Connections!$I$16</f>
        <v>0.11623470896869047</v>
      </c>
      <c r="K71" s="67">
        <f>Input_RAB_SCS!K72*Input_Connections!$I$16</f>
        <v>0.12409014718459228</v>
      </c>
      <c r="L71" s="67">
        <f>Input_RAB_SCS!L72*Input_Connections!$I$16</f>
        <v>0.13524192155882073</v>
      </c>
      <c r="M71" s="67">
        <f>Input_RAB_SCS!M72*Input_Connections!$I$16</f>
        <v>0.1444648712939641</v>
      </c>
      <c r="N71" s="67">
        <f>Input_RAB_SCS!N72*Input_Connections!$I$16</f>
        <v>0.15962133571002513</v>
      </c>
      <c r="O71" s="67">
        <f>Input_RAB_SCS!O72*Input_Connections!$I$16</f>
        <v>0.17071126422865901</v>
      </c>
      <c r="P71" s="67">
        <f>Input_RAB_SCS!P72*Input_Connections!$I$16</f>
        <v>0.17939894385530089</v>
      </c>
      <c r="Q71" s="67">
        <f>Input_RAB_SCS!Q72*Input_Connections!$I$16</f>
        <v>0.19078822913783985</v>
      </c>
      <c r="R71" s="68">
        <f>Input_RAB_SCS!R72*Input_Connections!$I$16</f>
        <v>0.17262092108348312</v>
      </c>
      <c r="S71" s="66">
        <f>Input_RAB_SCS!S72*Input_Connections!$I$16</f>
        <v>0.25939372200451766</v>
      </c>
      <c r="T71" s="67">
        <f>Input_RAB_SCS!T72*Input_Connections!$I$16</f>
        <v>0.26504789953614571</v>
      </c>
      <c r="U71" s="67">
        <f>Input_RAB_SCS!U72*Input_Connections!$I$16</f>
        <v>0.27102872031639302</v>
      </c>
      <c r="V71" s="67">
        <f>Input_RAB_SCS!V72*Input_Connections!$I$16</f>
        <v>0.27801783096511656</v>
      </c>
      <c r="W71" s="68">
        <f>Input_RAB_SCS!W72*Input_Connections!$I$16</f>
        <v>0.28631056740864069</v>
      </c>
      <c r="X71" s="66">
        <f>Input_RAB_SCS!X72*Input_Connections!$I$16</f>
        <v>0.22486632675374846</v>
      </c>
      <c r="Y71" s="67">
        <f>Input_RAB_SCS!Y72*Input_Connections!$I$16</f>
        <v>0.23952045399045865</v>
      </c>
      <c r="Z71" s="67">
        <f>Input_RAB_SCS!Z72*Input_Connections!$I$16</f>
        <v>0.25655558388623684</v>
      </c>
      <c r="AA71" s="67">
        <f>Input_RAB_SCS!AA72*Input_Connections!$I$16</f>
        <v>0.2713800017679483</v>
      </c>
      <c r="AB71" s="68">
        <f>Input_RAB_SCS!AB72*Input_Connections!$I$16</f>
        <v>0.28572687531378543</v>
      </c>
    </row>
    <row r="72" spans="3:28" ht="12.3" x14ac:dyDescent="0.35">
      <c r="D72" s="15" t="str">
        <f t="shared" si="75"/>
        <v>Transmission Lines</v>
      </c>
      <c r="E72" s="52" t="str">
        <f t="shared" ref="E72:E85" si="79">E71</f>
        <v>Input_RAB_SCS</v>
      </c>
      <c r="F72" s="52" t="str">
        <f t="shared" si="76"/>
        <v>Dollars</v>
      </c>
      <c r="G72" s="52" t="str">
        <f t="shared" si="77"/>
        <v>Nominal</v>
      </c>
      <c r="H72" s="52" t="str">
        <f t="shared" si="78"/>
        <v>End_year</v>
      </c>
      <c r="J72" s="36"/>
      <c r="K72" s="36"/>
      <c r="L72" s="36"/>
      <c r="M72" s="36"/>
      <c r="N72" s="36"/>
      <c r="O72" s="36"/>
      <c r="P72" s="36"/>
      <c r="Q72" s="36"/>
      <c r="R72" s="36"/>
      <c r="S72" s="36"/>
      <c r="T72" s="36"/>
      <c r="U72" s="36"/>
      <c r="V72" s="36"/>
      <c r="W72" s="36"/>
      <c r="X72" s="36"/>
      <c r="Y72" s="36"/>
      <c r="Z72" s="36"/>
      <c r="AA72" s="36"/>
      <c r="AB72" s="36"/>
    </row>
    <row r="73" spans="3:28" ht="12.3" x14ac:dyDescent="0.35">
      <c r="D73" s="15" t="str">
        <f t="shared" si="75"/>
        <v>LV Services</v>
      </c>
      <c r="E73" s="52" t="str">
        <f t="shared" si="79"/>
        <v>Input_RAB_SCS</v>
      </c>
      <c r="F73" s="52" t="str">
        <f t="shared" si="76"/>
        <v>Dollars</v>
      </c>
      <c r="G73" s="52" t="str">
        <f t="shared" si="77"/>
        <v>Nominal</v>
      </c>
      <c r="H73" s="52" t="str">
        <f t="shared" si="78"/>
        <v>End_year</v>
      </c>
      <c r="J73" s="66">
        <f>Input_RAB_SCS!J74*Input_Connections!$I$16</f>
        <v>0</v>
      </c>
      <c r="K73" s="67">
        <f>Input_RAB_SCS!K74*Input_Connections!$I$16</f>
        <v>0</v>
      </c>
      <c r="L73" s="67">
        <f>Input_RAB_SCS!L74*Input_Connections!$I$16</f>
        <v>0</v>
      </c>
      <c r="M73" s="67">
        <f>Input_RAB_SCS!M74*Input_Connections!$I$16</f>
        <v>0</v>
      </c>
      <c r="N73" s="67">
        <f>Input_RAB_SCS!N74*Input_Connections!$I$16</f>
        <v>0</v>
      </c>
      <c r="O73" s="67">
        <f>Input_RAB_SCS!O74*Input_Connections!$I$16</f>
        <v>0</v>
      </c>
      <c r="P73" s="67">
        <f>Input_RAB_SCS!P74*Input_Connections!$I$16</f>
        <v>0</v>
      </c>
      <c r="Q73" s="67">
        <f>Input_RAB_SCS!Q74*Input_Connections!$I$16</f>
        <v>0</v>
      </c>
      <c r="R73" s="68">
        <f>Input_RAB_SCS!R74*Input_Connections!$I$16</f>
        <v>1.5573260561502333E-4</v>
      </c>
      <c r="S73" s="66">
        <f>Input_RAB_SCS!S74*Input_Connections!$I$16</f>
        <v>1.5287581954056593E-4</v>
      </c>
      <c r="T73" s="67">
        <f>Input_RAB_SCS!T74*Input_Connections!$I$16</f>
        <v>1.5615970893531183E-4</v>
      </c>
      <c r="U73" s="67">
        <f>Input_RAB_SCS!U74*Input_Connections!$I$16</f>
        <v>1.5963529777441324E-4</v>
      </c>
      <c r="V73" s="67">
        <f>Input_RAB_SCS!V74*Input_Connections!$I$16</f>
        <v>1.6384472954073293E-4</v>
      </c>
      <c r="W73" s="68">
        <f>Input_RAB_SCS!W74*Input_Connections!$I$16</f>
        <v>1.6867925241191735E-4</v>
      </c>
      <c r="X73" s="66">
        <f>Input_RAB_SCS!X74*Input_Connections!$I$16</f>
        <v>7.3193909429783459E-3</v>
      </c>
      <c r="Y73" s="67">
        <f>Input_RAB_SCS!Y74*Input_Connections!$I$16</f>
        <v>7.6331099817536644E-3</v>
      </c>
      <c r="Z73" s="67">
        <f>Input_RAB_SCS!Z74*Input_Connections!$I$16</f>
        <v>8.0121828049810381E-3</v>
      </c>
      <c r="AA73" s="67">
        <f>Input_RAB_SCS!AA74*Input_Connections!$I$16</f>
        <v>8.3741625136901469E-3</v>
      </c>
      <c r="AB73" s="68">
        <f>Input_RAB_SCS!AB74*Input_Connections!$I$16</f>
        <v>8.7241928360137135E-3</v>
      </c>
    </row>
    <row r="74" spans="3:28" ht="12.3" x14ac:dyDescent="0.35">
      <c r="D74" s="15" t="str">
        <f t="shared" si="75"/>
        <v>Distribution Substations</v>
      </c>
      <c r="E74" s="52" t="str">
        <f t="shared" si="79"/>
        <v>Input_RAB_SCS</v>
      </c>
      <c r="F74" s="52" t="str">
        <f t="shared" si="76"/>
        <v>Dollars</v>
      </c>
      <c r="G74" s="52" t="str">
        <f t="shared" si="77"/>
        <v>Nominal</v>
      </c>
      <c r="H74" s="52" t="str">
        <f t="shared" si="78"/>
        <v>End_year</v>
      </c>
      <c r="J74" s="66">
        <f>Input_RAB_SCS!J75*Input_Connections!$I$16</f>
        <v>0.11129333379948979</v>
      </c>
      <c r="K74" s="67">
        <f>Input_RAB_SCS!K75*Input_Connections!$I$16</f>
        <v>0.11507963723164828</v>
      </c>
      <c r="L74" s="67">
        <f>Input_RAB_SCS!L75*Input_Connections!$I$16</f>
        <v>5.5297463288256164E-3</v>
      </c>
      <c r="M74" s="67">
        <f>Input_RAB_SCS!M75*Input_Connections!$I$16</f>
        <v>7.9599617125909392E-3</v>
      </c>
      <c r="N74" s="67">
        <f>Input_RAB_SCS!N75*Input_Connections!$I$16</f>
        <v>7.3940951711981298E-2</v>
      </c>
      <c r="O74" s="67">
        <f>Input_RAB_SCS!O75*Input_Connections!$I$16</f>
        <v>8.4645873323223306E-2</v>
      </c>
      <c r="P74" s="67">
        <f>Input_RAB_SCS!P75*Input_Connections!$I$16</f>
        <v>9.3332430913146025E-2</v>
      </c>
      <c r="Q74" s="67">
        <f>Input_RAB_SCS!Q75*Input_Connections!$I$16</f>
        <v>9.8765187551564021E-2</v>
      </c>
      <c r="R74" s="68">
        <f>Input_RAB_SCS!R75*Input_Connections!$I$16</f>
        <v>9.1761621674926575E-2</v>
      </c>
      <c r="S74" s="66">
        <f>Input_RAB_SCS!S75*Input_Connections!$I$16</f>
        <v>9.9150338929267667E-2</v>
      </c>
      <c r="T74" s="67">
        <f>Input_RAB_SCS!T75*Input_Connections!$I$16</f>
        <v>0.10162562697956612</v>
      </c>
      <c r="U74" s="67">
        <f>Input_RAB_SCS!U75*Input_Connections!$I$16</f>
        <v>0.10386356050229809</v>
      </c>
      <c r="V74" s="67">
        <f>Input_RAB_SCS!V75*Input_Connections!$I$16</f>
        <v>0.10712563503287806</v>
      </c>
      <c r="W74" s="68">
        <f>Input_RAB_SCS!W75*Input_Connections!$I$16</f>
        <v>0.11160269162870802</v>
      </c>
      <c r="X74" s="66">
        <f>Input_RAB_SCS!X75*Input_Connections!$I$16</f>
        <v>0.141112109418568</v>
      </c>
      <c r="Y74" s="67">
        <f>Input_RAB_SCS!Y75*Input_Connections!$I$16</f>
        <v>0.14714142237968086</v>
      </c>
      <c r="Z74" s="67">
        <f>Input_RAB_SCS!Z75*Input_Connections!$I$16</f>
        <v>0.15374763887975229</v>
      </c>
      <c r="AA74" s="67">
        <f>Input_RAB_SCS!AA75*Input_Connections!$I$16</f>
        <v>0.16062990598886392</v>
      </c>
      <c r="AB74" s="68">
        <f>Input_RAB_SCS!AB75*Input_Connections!$I$16</f>
        <v>0.16827214709541669</v>
      </c>
    </row>
    <row r="75" spans="3:28" ht="12.3" x14ac:dyDescent="0.35">
      <c r="D75" s="15" t="str">
        <f t="shared" si="75"/>
        <v>Distribution Switchgear</v>
      </c>
      <c r="E75" s="52" t="str">
        <f t="shared" si="79"/>
        <v>Input_RAB_SCS</v>
      </c>
      <c r="F75" s="52" t="str">
        <f t="shared" si="76"/>
        <v>Dollars</v>
      </c>
      <c r="G75" s="52" t="str">
        <f t="shared" si="77"/>
        <v>Nominal</v>
      </c>
      <c r="H75" s="52" t="str">
        <f t="shared" si="78"/>
        <v>End_year</v>
      </c>
      <c r="J75" s="66">
        <f>Input_RAB_SCS!J76*Input_Connections!$I$16</f>
        <v>0</v>
      </c>
      <c r="K75" s="67">
        <f>Input_RAB_SCS!K76*Input_Connections!$I$16</f>
        <v>0</v>
      </c>
      <c r="L75" s="67">
        <f>Input_RAB_SCS!L76*Input_Connections!$I$16</f>
        <v>1.0714375382655043E-4</v>
      </c>
      <c r="M75" s="67">
        <f>Input_RAB_SCS!M76*Input_Connections!$I$16</f>
        <v>1.6943170431265944E-3</v>
      </c>
      <c r="N75" s="67">
        <f>Input_RAB_SCS!N76*Input_Connections!$I$16</f>
        <v>0</v>
      </c>
      <c r="O75" s="67">
        <f>Input_RAB_SCS!O76*Input_Connections!$I$16</f>
        <v>0</v>
      </c>
      <c r="P75" s="67">
        <f>Input_RAB_SCS!P76*Input_Connections!$I$16</f>
        <v>0</v>
      </c>
      <c r="Q75" s="67">
        <f>Input_RAB_SCS!Q76*Input_Connections!$I$16</f>
        <v>0</v>
      </c>
      <c r="R75" s="68">
        <f>Input_RAB_SCS!R76*Input_Connections!$I$16</f>
        <v>1.2270191714893951E-2</v>
      </c>
      <c r="S75" s="66">
        <f>Input_RAB_SCS!S76*Input_Connections!$I$16</f>
        <v>1.4599570412011384E-2</v>
      </c>
      <c r="T75" s="67">
        <f>Input_RAB_SCS!T76*Input_Connections!$I$16</f>
        <v>1.4892485471120494E-2</v>
      </c>
      <c r="U75" s="67">
        <f>Input_RAB_SCS!U76*Input_Connections!$I$16</f>
        <v>1.5200542291491606E-2</v>
      </c>
      <c r="V75" s="67">
        <f>Input_RAB_SCS!V76*Input_Connections!$I$16</f>
        <v>1.5588118496290861E-2</v>
      </c>
      <c r="W75" s="68">
        <f>Input_RAB_SCS!W76*Input_Connections!$I$16</f>
        <v>1.6034157609723328E-2</v>
      </c>
      <c r="X75" s="66">
        <f>Input_RAB_SCS!X76*Input_Connections!$I$16</f>
        <v>4.3860117672599015E-2</v>
      </c>
      <c r="Y75" s="67">
        <f>Input_RAB_SCS!Y76*Input_Connections!$I$16</f>
        <v>4.7474171034902056E-2</v>
      </c>
      <c r="Z75" s="67">
        <f>Input_RAB_SCS!Z76*Input_Connections!$I$16</f>
        <v>5.1395620356501338E-2</v>
      </c>
      <c r="AA75" s="67">
        <f>Input_RAB_SCS!AA76*Input_Connections!$I$16</f>
        <v>5.531172355564707E-2</v>
      </c>
      <c r="AB75" s="68">
        <f>Input_RAB_SCS!AB76*Input_Connections!$I$16</f>
        <v>5.9641258479335851E-2</v>
      </c>
    </row>
    <row r="76" spans="3:28" ht="12.3" x14ac:dyDescent="0.35">
      <c r="D76" s="15" t="str">
        <f t="shared" si="75"/>
        <v>Protection</v>
      </c>
      <c r="E76" s="52" t="str">
        <f t="shared" si="79"/>
        <v>Input_RAB_SCS</v>
      </c>
      <c r="F76" s="52" t="str">
        <f t="shared" si="76"/>
        <v>Dollars</v>
      </c>
      <c r="G76" s="52" t="str">
        <f t="shared" si="77"/>
        <v>Nominal</v>
      </c>
      <c r="H76" s="52" t="str">
        <f t="shared" si="78"/>
        <v>End_year</v>
      </c>
      <c r="J76" s="36"/>
      <c r="K76" s="36"/>
      <c r="L76" s="36"/>
      <c r="M76" s="36"/>
      <c r="N76" s="36"/>
      <c r="O76" s="36"/>
      <c r="P76" s="36"/>
      <c r="Q76" s="36"/>
      <c r="R76" s="36"/>
      <c r="S76" s="36"/>
      <c r="T76" s="36"/>
      <c r="U76" s="36"/>
      <c r="V76" s="36"/>
      <c r="W76" s="36"/>
      <c r="X76" s="36"/>
      <c r="Y76" s="36"/>
      <c r="Z76" s="36"/>
      <c r="AA76" s="36"/>
      <c r="AB76" s="36"/>
    </row>
    <row r="77" spans="3:28" ht="12.3" x14ac:dyDescent="0.35">
      <c r="D77" s="15" t="str">
        <f t="shared" si="75"/>
        <v>SCADA</v>
      </c>
      <c r="E77" s="52" t="str">
        <f t="shared" si="79"/>
        <v>Input_RAB_SCS</v>
      </c>
      <c r="F77" s="52" t="str">
        <f t="shared" si="76"/>
        <v>Dollars</v>
      </c>
      <c r="G77" s="52" t="str">
        <f t="shared" si="77"/>
        <v>Nominal</v>
      </c>
      <c r="H77" s="52" t="str">
        <f t="shared" si="78"/>
        <v>End_year</v>
      </c>
      <c r="J77" s="36"/>
      <c r="K77" s="36"/>
      <c r="L77" s="36"/>
      <c r="M77" s="36"/>
      <c r="N77" s="36"/>
      <c r="O77" s="36"/>
      <c r="P77" s="36"/>
      <c r="Q77" s="36"/>
      <c r="R77" s="36"/>
      <c r="S77" s="36"/>
      <c r="T77" s="36"/>
      <c r="U77" s="36"/>
      <c r="V77" s="36"/>
      <c r="W77" s="36"/>
      <c r="X77" s="36"/>
      <c r="Y77" s="36"/>
      <c r="Z77" s="36"/>
      <c r="AA77" s="36"/>
      <c r="AB77" s="36"/>
    </row>
    <row r="78" spans="3:28" ht="12.3" x14ac:dyDescent="0.35">
      <c r="D78" s="15" t="str">
        <f t="shared" si="75"/>
        <v>Communications</v>
      </c>
      <c r="E78" s="52" t="str">
        <f t="shared" si="79"/>
        <v>Input_RAB_SCS</v>
      </c>
      <c r="F78" s="52" t="str">
        <f t="shared" si="76"/>
        <v>Dollars</v>
      </c>
      <c r="G78" s="52" t="str">
        <f t="shared" si="77"/>
        <v>Nominal</v>
      </c>
      <c r="H78" s="52" t="str">
        <f t="shared" si="78"/>
        <v>End_year</v>
      </c>
      <c r="J78" s="36"/>
      <c r="K78" s="36"/>
      <c r="L78" s="36"/>
      <c r="M78" s="36"/>
      <c r="N78" s="36"/>
      <c r="O78" s="36"/>
      <c r="P78" s="36"/>
      <c r="Q78" s="36"/>
      <c r="R78" s="36"/>
      <c r="S78" s="36"/>
      <c r="T78" s="36"/>
      <c r="U78" s="36"/>
      <c r="V78" s="36"/>
      <c r="W78" s="36"/>
      <c r="X78" s="36"/>
      <c r="Y78" s="36"/>
      <c r="Z78" s="36"/>
      <c r="AA78" s="36"/>
      <c r="AB78" s="36"/>
    </row>
    <row r="79" spans="3:28" ht="12.3" x14ac:dyDescent="0.35">
      <c r="D79" s="15" t="str">
        <f t="shared" si="75"/>
        <v>Land and Easements</v>
      </c>
      <c r="E79" s="52" t="str">
        <f t="shared" si="79"/>
        <v>Input_RAB_SCS</v>
      </c>
      <c r="F79" s="52" t="str">
        <f t="shared" si="76"/>
        <v>Dollars</v>
      </c>
      <c r="G79" s="52" t="str">
        <f t="shared" si="77"/>
        <v>Nominal</v>
      </c>
      <c r="H79" s="52" t="str">
        <f t="shared" si="78"/>
        <v>End_year</v>
      </c>
      <c r="J79" s="36"/>
      <c r="K79" s="36"/>
      <c r="L79" s="36"/>
      <c r="M79" s="36"/>
      <c r="N79" s="36"/>
      <c r="O79" s="36"/>
      <c r="P79" s="36"/>
      <c r="Q79" s="36"/>
      <c r="R79" s="36"/>
      <c r="S79" s="36"/>
      <c r="T79" s="36"/>
      <c r="U79" s="36"/>
      <c r="V79" s="36"/>
      <c r="W79" s="36"/>
      <c r="X79" s="36"/>
      <c r="Y79" s="36"/>
      <c r="Z79" s="36"/>
      <c r="AA79" s="36"/>
      <c r="AB79" s="36"/>
    </row>
    <row r="80" spans="3:28" ht="12.3" x14ac:dyDescent="0.35">
      <c r="D80" s="15" t="str">
        <f t="shared" si="75"/>
        <v>Property</v>
      </c>
      <c r="E80" s="52" t="str">
        <f t="shared" si="79"/>
        <v>Input_RAB_SCS</v>
      </c>
      <c r="F80" s="52" t="str">
        <f t="shared" si="76"/>
        <v>Dollars</v>
      </c>
      <c r="G80" s="52" t="str">
        <f t="shared" si="77"/>
        <v>Nominal</v>
      </c>
      <c r="H80" s="52" t="str">
        <f t="shared" si="78"/>
        <v>End_year</v>
      </c>
      <c r="J80" s="36"/>
      <c r="K80" s="36"/>
      <c r="L80" s="36"/>
      <c r="M80" s="36"/>
      <c r="N80" s="36"/>
      <c r="O80" s="36"/>
      <c r="P80" s="36"/>
      <c r="Q80" s="36"/>
      <c r="R80" s="36"/>
      <c r="S80" s="36"/>
      <c r="T80" s="36"/>
      <c r="U80" s="36"/>
      <c r="V80" s="36"/>
      <c r="W80" s="36"/>
      <c r="X80" s="36"/>
      <c r="Y80" s="36"/>
      <c r="Z80" s="36"/>
      <c r="AA80" s="36"/>
      <c r="AB80" s="36"/>
    </row>
    <row r="81" spans="1:28" ht="12.3" x14ac:dyDescent="0.35">
      <c r="D81" s="15" t="str">
        <f t="shared" si="75"/>
        <v>IT and Communications</v>
      </c>
      <c r="E81" s="52" t="str">
        <f t="shared" si="79"/>
        <v>Input_RAB_SCS</v>
      </c>
      <c r="F81" s="52" t="str">
        <f t="shared" si="76"/>
        <v>Dollars</v>
      </c>
      <c r="G81" s="52" t="str">
        <f t="shared" si="77"/>
        <v>Nominal</v>
      </c>
      <c r="H81" s="52" t="str">
        <f t="shared" si="78"/>
        <v>End_year</v>
      </c>
      <c r="J81" s="36"/>
      <c r="K81" s="36"/>
      <c r="L81" s="36"/>
      <c r="M81" s="36"/>
      <c r="N81" s="36"/>
      <c r="O81" s="36"/>
      <c r="P81" s="36"/>
      <c r="Q81" s="36"/>
      <c r="R81" s="36"/>
      <c r="S81" s="36"/>
      <c r="T81" s="36"/>
      <c r="U81" s="36"/>
      <c r="V81" s="36"/>
      <c r="W81" s="36"/>
      <c r="X81" s="36"/>
      <c r="Y81" s="36"/>
      <c r="Z81" s="36"/>
      <c r="AA81" s="36"/>
      <c r="AB81" s="36"/>
    </row>
    <row r="82" spans="1:28" ht="12.3" x14ac:dyDescent="0.35">
      <c r="D82" s="15" t="str">
        <f t="shared" si="75"/>
        <v>Motor Vehicles</v>
      </c>
      <c r="E82" s="52" t="str">
        <f t="shared" si="79"/>
        <v>Input_RAB_SCS</v>
      </c>
      <c r="F82" s="52" t="str">
        <f t="shared" si="76"/>
        <v>Dollars</v>
      </c>
      <c r="G82" s="52" t="str">
        <f t="shared" si="77"/>
        <v>Nominal</v>
      </c>
      <c r="H82" s="52" t="str">
        <f t="shared" si="78"/>
        <v>End_year</v>
      </c>
      <c r="J82" s="36"/>
      <c r="K82" s="36"/>
      <c r="L82" s="36"/>
      <c r="M82" s="36"/>
      <c r="N82" s="36"/>
      <c r="O82" s="36"/>
      <c r="P82" s="36"/>
      <c r="Q82" s="36"/>
      <c r="R82" s="36"/>
      <c r="S82" s="36"/>
      <c r="T82" s="36"/>
      <c r="U82" s="36"/>
      <c r="V82" s="36"/>
      <c r="W82" s="36"/>
      <c r="X82" s="36"/>
      <c r="Y82" s="36"/>
      <c r="Z82" s="36"/>
      <c r="AA82" s="36"/>
      <c r="AB82" s="36"/>
    </row>
    <row r="83" spans="1:28" ht="12.3" x14ac:dyDescent="0.35">
      <c r="D83" s="15" t="str">
        <f t="shared" si="75"/>
        <v>Plant and Equipment</v>
      </c>
      <c r="E83" s="52" t="str">
        <f t="shared" si="79"/>
        <v>Input_RAB_SCS</v>
      </c>
      <c r="F83" s="52" t="str">
        <f t="shared" si="76"/>
        <v>Dollars</v>
      </c>
      <c r="G83" s="52" t="str">
        <f t="shared" si="77"/>
        <v>Nominal</v>
      </c>
      <c r="H83" s="52" t="str">
        <f t="shared" si="78"/>
        <v>End_year</v>
      </c>
      <c r="J83" s="36"/>
      <c r="K83" s="36"/>
      <c r="L83" s="36"/>
      <c r="M83" s="36"/>
      <c r="N83" s="36"/>
      <c r="O83" s="36"/>
      <c r="P83" s="36"/>
      <c r="Q83" s="36"/>
      <c r="R83" s="36"/>
      <c r="S83" s="36"/>
      <c r="T83" s="36"/>
      <c r="U83" s="36"/>
      <c r="V83" s="36"/>
      <c r="W83" s="36"/>
      <c r="X83" s="36"/>
      <c r="Y83" s="36"/>
      <c r="Z83" s="36"/>
      <c r="AA83" s="36"/>
      <c r="AB83" s="36"/>
    </row>
    <row r="84" spans="1:28" ht="12.3" x14ac:dyDescent="0.35">
      <c r="D84" s="15" t="str">
        <f t="shared" ref="D84:D85" si="80">D32</f>
        <v>Property Leases</v>
      </c>
      <c r="E84" s="52" t="str">
        <f t="shared" si="79"/>
        <v>Input_RAB_SCS</v>
      </c>
      <c r="F84" s="52" t="str">
        <f t="shared" si="76"/>
        <v>Dollars</v>
      </c>
      <c r="G84" s="52" t="str">
        <f t="shared" si="77"/>
        <v>Nominal</v>
      </c>
      <c r="H84" s="52" t="str">
        <f t="shared" si="78"/>
        <v>End_year</v>
      </c>
      <c r="J84" s="36"/>
      <c r="K84" s="36"/>
      <c r="L84" s="36"/>
      <c r="M84" s="36"/>
      <c r="N84" s="36"/>
      <c r="O84" s="36"/>
      <c r="P84" s="36"/>
      <c r="Q84" s="36"/>
      <c r="R84" s="36"/>
      <c r="S84" s="36"/>
      <c r="T84" s="36"/>
      <c r="U84" s="36"/>
      <c r="V84" s="36"/>
      <c r="W84" s="36"/>
      <c r="X84" s="36"/>
      <c r="Y84" s="36"/>
      <c r="Z84" s="36"/>
      <c r="AA84" s="36"/>
      <c r="AB84" s="36"/>
    </row>
    <row r="85" spans="1:28" ht="12.3" x14ac:dyDescent="0.35">
      <c r="D85" s="15" t="str">
        <f t="shared" si="80"/>
        <v>Fleet Leases</v>
      </c>
      <c r="E85" s="52" t="str">
        <f t="shared" si="79"/>
        <v>Input_RAB_SCS</v>
      </c>
      <c r="F85" s="52" t="str">
        <f t="shared" si="76"/>
        <v>Dollars</v>
      </c>
      <c r="G85" s="52" t="str">
        <f t="shared" si="77"/>
        <v>Nominal</v>
      </c>
      <c r="H85" s="52" t="str">
        <f t="shared" si="78"/>
        <v>End_year</v>
      </c>
      <c r="J85" s="36"/>
      <c r="K85" s="36"/>
      <c r="L85" s="36"/>
      <c r="M85" s="36"/>
      <c r="N85" s="36"/>
      <c r="O85" s="36"/>
      <c r="P85" s="36"/>
      <c r="Q85" s="36"/>
      <c r="R85" s="36"/>
      <c r="S85" s="36"/>
      <c r="T85" s="36"/>
      <c r="U85" s="36"/>
      <c r="V85" s="36"/>
      <c r="W85" s="36"/>
      <c r="X85" s="36"/>
      <c r="Y85" s="36"/>
      <c r="Z85" s="36"/>
      <c r="AA85" s="36"/>
      <c r="AB85" s="36"/>
    </row>
    <row r="86" spans="1:28" ht="12.3" x14ac:dyDescent="0.35">
      <c r="D86" s="15" t="str">
        <f t="shared" ref="D86" si="81">D34</f>
        <v>Equity Raising Costs</v>
      </c>
      <c r="E86" s="52" t="str">
        <f>E83</f>
        <v>Input_RAB_SCS</v>
      </c>
      <c r="F86" s="52" t="str">
        <f t="shared" si="76"/>
        <v>Dollars</v>
      </c>
      <c r="G86" s="52" t="str">
        <f t="shared" si="77"/>
        <v>Nominal</v>
      </c>
      <c r="H86" s="52" t="str">
        <f t="shared" si="78"/>
        <v>End_year</v>
      </c>
      <c r="J86" s="36"/>
      <c r="K86" s="36"/>
      <c r="L86" s="36"/>
      <c r="M86" s="36"/>
      <c r="N86" s="36"/>
      <c r="O86" s="36"/>
      <c r="P86" s="36"/>
      <c r="Q86" s="36"/>
      <c r="R86" s="36"/>
      <c r="S86" s="36"/>
      <c r="T86" s="36"/>
      <c r="U86" s="36"/>
      <c r="V86" s="36"/>
      <c r="W86" s="36"/>
      <c r="X86" s="36"/>
      <c r="Y86" s="36"/>
      <c r="Z86" s="36"/>
      <c r="AA86" s="36"/>
      <c r="AB86" s="36"/>
    </row>
    <row r="87" spans="1:28" x14ac:dyDescent="0.35">
      <c r="J87" s="56"/>
      <c r="K87" s="57"/>
      <c r="L87" s="57"/>
      <c r="M87" s="57"/>
      <c r="N87" s="57"/>
      <c r="O87" s="57"/>
      <c r="P87" s="57"/>
      <c r="Q87" s="57"/>
      <c r="R87" s="58"/>
      <c r="S87" s="56"/>
      <c r="T87" s="57"/>
      <c r="U87" s="57"/>
      <c r="V87" s="57"/>
      <c r="W87" s="58"/>
      <c r="X87" s="56"/>
      <c r="Y87" s="57"/>
      <c r="Z87" s="57"/>
      <c r="AA87" s="57"/>
      <c r="AB87" s="58"/>
    </row>
    <row r="88" spans="1:28" ht="12.3" x14ac:dyDescent="0.35">
      <c r="D88" s="51" t="str">
        <f>"Total "&amp;D68</f>
        <v>Total RAB Asset Class</v>
      </c>
      <c r="E88" s="47" t="s">
        <v>111</v>
      </c>
      <c r="F88" s="47" t="str">
        <f>F70</f>
        <v>Dollars</v>
      </c>
      <c r="G88" s="47" t="str">
        <f>G70</f>
        <v>Nominal</v>
      </c>
      <c r="H88" s="47" t="str">
        <f>H70</f>
        <v>End_year</v>
      </c>
      <c r="J88" s="62">
        <f t="shared" ref="J88:AB88" si="82">SUM(J70:J86)</f>
        <v>0.22752804276818026</v>
      </c>
      <c r="K88" s="46">
        <f t="shared" si="82"/>
        <v>0.23916978441624057</v>
      </c>
      <c r="L88" s="46">
        <f t="shared" si="82"/>
        <v>0.1408788116414729</v>
      </c>
      <c r="M88" s="46">
        <f t="shared" si="82"/>
        <v>0.15411915004968163</v>
      </c>
      <c r="N88" s="46">
        <f t="shared" si="82"/>
        <v>0.23356228742200641</v>
      </c>
      <c r="O88" s="46">
        <f t="shared" si="82"/>
        <v>0.25535713755188233</v>
      </c>
      <c r="P88" s="46">
        <f t="shared" si="82"/>
        <v>0.27273137476844689</v>
      </c>
      <c r="Q88" s="46">
        <f t="shared" si="82"/>
        <v>0.28955341668940388</v>
      </c>
      <c r="R88" s="63">
        <f t="shared" si="82"/>
        <v>0.27680846707891871</v>
      </c>
      <c r="S88" s="62">
        <f t="shared" si="82"/>
        <v>0.37329650716533724</v>
      </c>
      <c r="T88" s="46">
        <f t="shared" si="82"/>
        <v>0.38172217169576761</v>
      </c>
      <c r="U88" s="46">
        <f t="shared" si="82"/>
        <v>0.39025245840795708</v>
      </c>
      <c r="V88" s="46">
        <f t="shared" si="82"/>
        <v>0.40089542922382621</v>
      </c>
      <c r="W88" s="63">
        <f t="shared" si="82"/>
        <v>0.41411609589948395</v>
      </c>
      <c r="X88" s="62">
        <f t="shared" si="82"/>
        <v>0.41715794478789381</v>
      </c>
      <c r="Y88" s="46">
        <f t="shared" si="82"/>
        <v>0.44176915738679523</v>
      </c>
      <c r="Z88" s="46">
        <f t="shared" si="82"/>
        <v>0.46971102592747155</v>
      </c>
      <c r="AA88" s="46">
        <f t="shared" si="82"/>
        <v>0.49569579382614948</v>
      </c>
      <c r="AB88" s="63">
        <f t="shared" si="82"/>
        <v>0.52236447372455175</v>
      </c>
    </row>
    <row r="89" spans="1:28" s="6" customFormat="1" ht="11.25" customHeight="1" x14ac:dyDescent="0.35"/>
    <row r="90" spans="1:28" s="6" customFormat="1" ht="11.25" customHeight="1" x14ac:dyDescent="0.35">
      <c r="A90" s="49">
        <f>IF(SUM($J90:$AB90)&lt;&gt;0,1,0)</f>
        <v>0</v>
      </c>
      <c r="D90" s="15" t="s">
        <v>114</v>
      </c>
      <c r="J90" s="70">
        <f>IF(ISERROR(J88),1,0)</f>
        <v>0</v>
      </c>
      <c r="K90" s="70">
        <f t="shared" ref="K90:N90" si="83">IF(ISERROR(K88),1,0)</f>
        <v>0</v>
      </c>
      <c r="L90" s="70">
        <f t="shared" si="83"/>
        <v>0</v>
      </c>
      <c r="M90" s="70">
        <f t="shared" si="83"/>
        <v>0</v>
      </c>
      <c r="N90" s="70">
        <f t="shared" si="83"/>
        <v>0</v>
      </c>
      <c r="O90" s="70">
        <f>IF(ISERROR(O88),1,0)</f>
        <v>0</v>
      </c>
      <c r="P90" s="70">
        <f t="shared" ref="P90:S90" si="84">IF(ISERROR(P88),1,0)</f>
        <v>0</v>
      </c>
      <c r="Q90" s="70">
        <f t="shared" si="84"/>
        <v>0</v>
      </c>
      <c r="R90" s="70">
        <f t="shared" si="84"/>
        <v>0</v>
      </c>
      <c r="S90" s="70">
        <f t="shared" si="84"/>
        <v>0</v>
      </c>
      <c r="T90" s="70">
        <f>IF(ISERROR(T88),1,0)</f>
        <v>0</v>
      </c>
      <c r="U90" s="70">
        <f t="shared" ref="U90:X90" si="85">IF(ISERROR(U88),1,0)</f>
        <v>0</v>
      </c>
      <c r="V90" s="70">
        <f t="shared" si="85"/>
        <v>0</v>
      </c>
      <c r="W90" s="70">
        <f t="shared" si="85"/>
        <v>0</v>
      </c>
      <c r="X90" s="70">
        <f t="shared" si="85"/>
        <v>0</v>
      </c>
      <c r="Y90" s="70">
        <f>IF(ISERROR(Y88),1,0)</f>
        <v>0</v>
      </c>
      <c r="Z90" s="70">
        <f t="shared" ref="Z90:AB90" si="86">IF(ISERROR(Z88),1,0)</f>
        <v>0</v>
      </c>
      <c r="AA90" s="70">
        <f t="shared" si="86"/>
        <v>0</v>
      </c>
      <c r="AB90" s="70">
        <f t="shared" si="86"/>
        <v>0</v>
      </c>
    </row>
    <row r="91" spans="1:28" s="6" customFormat="1" ht="11.25" customHeight="1" x14ac:dyDescent="0.35">
      <c r="L91" s="10"/>
      <c r="Q91" s="10"/>
      <c r="V91" s="10"/>
      <c r="AA91" s="10"/>
    </row>
    <row r="92" spans="1:28" s="13" customFormat="1" ht="14.1" x14ac:dyDescent="0.35">
      <c r="C92" s="13" t="s">
        <v>150</v>
      </c>
    </row>
    <row r="93" spans="1:28" s="6" customFormat="1" ht="11.25" customHeight="1" x14ac:dyDescent="0.35"/>
    <row r="94" spans="1:28" ht="12.3" x14ac:dyDescent="0.35">
      <c r="D94" s="50" t="str">
        <f>D$16</f>
        <v>RAB Asset Class</v>
      </c>
      <c r="E94" s="45" t="str">
        <f>Lookup!E$20</f>
        <v>Source</v>
      </c>
      <c r="F94" s="45" t="str">
        <f>Lookup!F$20</f>
        <v>Unit</v>
      </c>
      <c r="G94" s="45" t="str">
        <f>Lookup!G$20</f>
        <v>Basis</v>
      </c>
      <c r="H94" s="45" t="str">
        <f>Lookup!H$20</f>
        <v>Timing</v>
      </c>
      <c r="J94" s="54" t="str">
        <f>J$10</f>
        <v>RY06</v>
      </c>
      <c r="K94" s="45" t="str">
        <f t="shared" ref="K94:AB94" si="87">K$10</f>
        <v>RY07</v>
      </c>
      <c r="L94" s="45" t="str">
        <f t="shared" si="87"/>
        <v>RY08</v>
      </c>
      <c r="M94" s="45" t="str">
        <f t="shared" si="87"/>
        <v>RY09</v>
      </c>
      <c r="N94" s="45" t="str">
        <f t="shared" si="87"/>
        <v>RY10</v>
      </c>
      <c r="O94" s="45" t="str">
        <f>O$10</f>
        <v>RY11</v>
      </c>
      <c r="P94" s="45" t="str">
        <f t="shared" si="87"/>
        <v>RY12</v>
      </c>
      <c r="Q94" s="45" t="str">
        <f t="shared" si="87"/>
        <v>RY13</v>
      </c>
      <c r="R94" s="55" t="str">
        <f t="shared" si="87"/>
        <v>RY14</v>
      </c>
      <c r="S94" s="54" t="str">
        <f t="shared" si="87"/>
        <v>RY15</v>
      </c>
      <c r="T94" s="45" t="str">
        <f>T$10</f>
        <v>RY16</v>
      </c>
      <c r="U94" s="45" t="str">
        <f t="shared" si="87"/>
        <v>RY17</v>
      </c>
      <c r="V94" s="45" t="str">
        <f t="shared" si="87"/>
        <v>RY18</v>
      </c>
      <c r="W94" s="55" t="str">
        <f t="shared" si="87"/>
        <v>RY19</v>
      </c>
      <c r="X94" s="54" t="str">
        <f t="shared" si="87"/>
        <v>RY20</v>
      </c>
      <c r="Y94" s="45" t="str">
        <f>Y$10</f>
        <v>RY21</v>
      </c>
      <c r="Z94" s="45" t="str">
        <f t="shared" si="87"/>
        <v>RY22</v>
      </c>
      <c r="AA94" s="45" t="str">
        <f t="shared" si="87"/>
        <v>RY23</v>
      </c>
      <c r="AB94" s="55" t="str">
        <f t="shared" si="87"/>
        <v>RY24</v>
      </c>
    </row>
    <row r="95" spans="1:28" x14ac:dyDescent="0.35">
      <c r="J95" s="56"/>
      <c r="K95" s="57"/>
      <c r="L95" s="57"/>
      <c r="M95" s="57"/>
      <c r="N95" s="57"/>
      <c r="O95" s="57"/>
      <c r="P95" s="57"/>
      <c r="Q95" s="57"/>
      <c r="R95" s="58"/>
      <c r="S95" s="56"/>
      <c r="T95" s="57"/>
      <c r="U95" s="57"/>
      <c r="V95" s="57"/>
      <c r="W95" s="58"/>
      <c r="X95" s="56"/>
      <c r="Y95" s="57"/>
      <c r="Z95" s="57"/>
      <c r="AA95" s="57"/>
      <c r="AB95" s="58"/>
    </row>
    <row r="96" spans="1:28" ht="12.3" x14ac:dyDescent="0.35">
      <c r="D96" s="15" t="str">
        <f t="shared" ref="D96:D109" si="88">D18</f>
        <v>Substations</v>
      </c>
      <c r="E96" s="52" t="s">
        <v>196</v>
      </c>
      <c r="F96" s="52" t="str">
        <f t="shared" ref="F96:F112" si="89">Dollars</f>
        <v>Dollars</v>
      </c>
      <c r="G96" s="52" t="str">
        <f t="shared" ref="G96:G112" si="90">Nominal</f>
        <v>Nominal</v>
      </c>
      <c r="H96" s="52" t="str">
        <f t="shared" ref="H96:H112" si="91">End_year</f>
        <v>End_year</v>
      </c>
      <c r="J96" s="36"/>
      <c r="K96" s="36"/>
      <c r="L96" s="36"/>
      <c r="M96" s="36"/>
      <c r="N96" s="36"/>
      <c r="O96" s="36"/>
      <c r="P96" s="36"/>
      <c r="Q96" s="36"/>
      <c r="R96" s="36"/>
      <c r="S96" s="36"/>
      <c r="T96" s="36"/>
      <c r="U96" s="36"/>
      <c r="V96" s="36"/>
      <c r="W96" s="36"/>
      <c r="X96" s="36"/>
      <c r="Y96" s="36"/>
      <c r="Z96" s="36"/>
      <c r="AA96" s="36"/>
      <c r="AB96" s="36"/>
    </row>
    <row r="97" spans="4:28" ht="12.3" x14ac:dyDescent="0.35">
      <c r="D97" s="15" t="str">
        <f t="shared" si="88"/>
        <v>Distribution Lines</v>
      </c>
      <c r="E97" s="52" t="str">
        <f>E96</f>
        <v>Input_RAB_SCS</v>
      </c>
      <c r="F97" s="52" t="str">
        <f t="shared" si="89"/>
        <v>Dollars</v>
      </c>
      <c r="G97" s="52" t="str">
        <f t="shared" si="90"/>
        <v>Nominal</v>
      </c>
      <c r="H97" s="52" t="str">
        <f t="shared" si="91"/>
        <v>End_year</v>
      </c>
      <c r="J97" s="66">
        <f>Input_RAB_SCS!J99*Input_Connections!$I$16</f>
        <v>-0.25025619697670942</v>
      </c>
      <c r="K97" s="67">
        <f>Input_RAB_SCS!K99*Input_Connections!$I$16</f>
        <v>-0.31561980419073477</v>
      </c>
      <c r="L97" s="67">
        <f>Input_RAB_SCS!L99*Input_Connections!$I$16</f>
        <v>-0.3499827847030072</v>
      </c>
      <c r="M97" s="67">
        <f>Input_RAB_SCS!M99*Input_Connections!$I$16</f>
        <v>-0.32370167520923449</v>
      </c>
      <c r="N97" s="67">
        <f>Input_RAB_SCS!N99*Input_Connections!$I$16</f>
        <v>-0.32968935825626605</v>
      </c>
      <c r="O97" s="67">
        <f>Input_RAB_SCS!O99*Input_Connections!$I$16</f>
        <v>-0.34253646232340584</v>
      </c>
      <c r="P97" s="67">
        <f>Input_RAB_SCS!P99*Input_Connections!$I$16</f>
        <v>-0.38944632997950296</v>
      </c>
      <c r="Q97" s="67">
        <f>Input_RAB_SCS!Q99*Input_Connections!$I$16</f>
        <v>-0.69044356843850307</v>
      </c>
      <c r="R97" s="68">
        <f>Input_RAB_SCS!R99*Input_Connections!$I$16</f>
        <v>-0.44113625157634073</v>
      </c>
      <c r="S97" s="66">
        <f>Input_RAB_SCS!S99*Input_Connections!$I$16</f>
        <v>-0.40040502182244708</v>
      </c>
      <c r="T97" s="67">
        <f>Input_RAB_SCS!T99*Input_Connections!$I$16</f>
        <v>-0.27065572417851719</v>
      </c>
      <c r="U97" s="67">
        <f>Input_RAB_SCS!U99*Input_Connections!$I$16</f>
        <v>-0.25580892961669527</v>
      </c>
      <c r="V97" s="67">
        <f>Input_RAB_SCS!V99*Input_Connections!$I$16</f>
        <v>-0.15864316126840766</v>
      </c>
      <c r="W97" s="68">
        <f>Input_RAB_SCS!W99*Input_Connections!$I$16</f>
        <v>-0.24037049824368245</v>
      </c>
      <c r="X97" s="66">
        <f>Input_RAB_SCS!X99*Input_Connections!$I$16</f>
        <v>-0.5027968458990032</v>
      </c>
      <c r="Y97" s="67">
        <f>Input_RAB_SCS!Y99*Input_Connections!$I$16</f>
        <v>-0.61348593685314723</v>
      </c>
      <c r="Z97" s="67">
        <f>Input_RAB_SCS!Z99*Input_Connections!$I$16</f>
        <v>-0.47011269703251168</v>
      </c>
      <c r="AA97" s="67">
        <f>Input_RAB_SCS!AA99*Input_Connections!$I$16</f>
        <v>-0.42437510017785623</v>
      </c>
      <c r="AB97" s="68">
        <f>Input_RAB_SCS!AB99*Input_Connections!$I$16</f>
        <v>-0.48838057486989211</v>
      </c>
    </row>
    <row r="98" spans="4:28" ht="12.3" x14ac:dyDescent="0.35">
      <c r="D98" s="15" t="str">
        <f t="shared" si="88"/>
        <v>Transmission Lines</v>
      </c>
      <c r="E98" s="52" t="str">
        <f t="shared" ref="E98:E111" si="92">E97</f>
        <v>Input_RAB_SCS</v>
      </c>
      <c r="F98" s="52" t="str">
        <f t="shared" si="89"/>
        <v>Dollars</v>
      </c>
      <c r="G98" s="52" t="str">
        <f t="shared" si="90"/>
        <v>Nominal</v>
      </c>
      <c r="H98" s="52" t="str">
        <f t="shared" si="91"/>
        <v>End_year</v>
      </c>
      <c r="J98" s="36"/>
      <c r="K98" s="36"/>
      <c r="L98" s="36"/>
      <c r="M98" s="36"/>
      <c r="N98" s="36"/>
      <c r="O98" s="36"/>
      <c r="P98" s="36"/>
      <c r="Q98" s="36"/>
      <c r="R98" s="36"/>
      <c r="S98" s="36"/>
      <c r="T98" s="36"/>
      <c r="U98" s="36"/>
      <c r="V98" s="36"/>
      <c r="W98" s="36"/>
      <c r="X98" s="36"/>
      <c r="Y98" s="36"/>
      <c r="Z98" s="36"/>
      <c r="AA98" s="36"/>
      <c r="AB98" s="36"/>
    </row>
    <row r="99" spans="4:28" ht="12.3" x14ac:dyDescent="0.35">
      <c r="D99" s="15" t="str">
        <f t="shared" si="88"/>
        <v>LV Services</v>
      </c>
      <c r="E99" s="52" t="str">
        <f t="shared" si="92"/>
        <v>Input_RAB_SCS</v>
      </c>
      <c r="F99" s="52" t="str">
        <f t="shared" si="89"/>
        <v>Dollars</v>
      </c>
      <c r="G99" s="52" t="str">
        <f t="shared" si="90"/>
        <v>Nominal</v>
      </c>
      <c r="H99" s="52" t="str">
        <f t="shared" si="91"/>
        <v>End_year</v>
      </c>
      <c r="J99" s="66">
        <f>Input_RAB_SCS!J101*Input_Connections!$I$16</f>
        <v>0</v>
      </c>
      <c r="K99" s="67">
        <f>Input_RAB_SCS!K101*Input_Connections!$I$16</f>
        <v>0</v>
      </c>
      <c r="L99" s="67">
        <f>Input_RAB_SCS!L101*Input_Connections!$I$16</f>
        <v>0</v>
      </c>
      <c r="M99" s="67">
        <f>Input_RAB_SCS!M101*Input_Connections!$I$16</f>
        <v>0</v>
      </c>
      <c r="N99" s="67">
        <f>Input_RAB_SCS!N101*Input_Connections!$I$16</f>
        <v>0</v>
      </c>
      <c r="O99" s="67">
        <f>Input_RAB_SCS!O101*Input_Connections!$I$16</f>
        <v>0</v>
      </c>
      <c r="P99" s="67">
        <f>Input_RAB_SCS!P101*Input_Connections!$I$16</f>
        <v>0</v>
      </c>
      <c r="Q99" s="67">
        <f>Input_RAB_SCS!Q101*Input_Connections!$I$16</f>
        <v>0</v>
      </c>
      <c r="R99" s="68">
        <f>Input_RAB_SCS!R101*Input_Connections!$I$16</f>
        <v>-2.6015789412046903E-4</v>
      </c>
      <c r="S99" s="66">
        <f>Input_RAB_SCS!S101*Input_Connections!$I$16</f>
        <v>-4.9034648498997302E-2</v>
      </c>
      <c r="T99" s="67">
        <f>Input_RAB_SCS!T101*Input_Connections!$I$16</f>
        <v>-4.9941938136965382E-2</v>
      </c>
      <c r="U99" s="67">
        <f>Input_RAB_SCS!U101*Input_Connections!$I$16</f>
        <v>-4.57198999842141E-2</v>
      </c>
      <c r="V99" s="67">
        <f>Input_RAB_SCS!V101*Input_Connections!$I$16</f>
        <v>-5.7209888183605605E-4</v>
      </c>
      <c r="W99" s="68">
        <f>Input_RAB_SCS!W101*Input_Connections!$I$16</f>
        <v>-1.6458062001250137E-3</v>
      </c>
      <c r="X99" s="66">
        <f>Input_RAB_SCS!X101*Input_Connections!$I$16</f>
        <v>-7.4468109461169607E-3</v>
      </c>
      <c r="Y99" s="67">
        <f>Input_RAB_SCS!Y101*Input_Connections!$I$16</f>
        <v>-1.0603368136624417E-2</v>
      </c>
      <c r="Z99" s="67">
        <f>Input_RAB_SCS!Z101*Input_Connections!$I$16</f>
        <v>-9.1665605543057062E-3</v>
      </c>
      <c r="AA99" s="67">
        <f>Input_RAB_SCS!AA101*Input_Connections!$I$16</f>
        <v>-8.0335778865137826E-3</v>
      </c>
      <c r="AB99" s="68">
        <f>Input_RAB_SCS!AB101*Input_Connections!$I$16</f>
        <v>-8.9865674175391586E-3</v>
      </c>
    </row>
    <row r="100" spans="4:28" ht="12.3" x14ac:dyDescent="0.35">
      <c r="D100" s="15" t="str">
        <f t="shared" si="88"/>
        <v>Distribution Substations</v>
      </c>
      <c r="E100" s="52" t="str">
        <f t="shared" si="92"/>
        <v>Input_RAB_SCS</v>
      </c>
      <c r="F100" s="52" t="str">
        <f t="shared" si="89"/>
        <v>Dollars</v>
      </c>
      <c r="G100" s="52" t="str">
        <f t="shared" si="90"/>
        <v>Nominal</v>
      </c>
      <c r="H100" s="52" t="str">
        <f t="shared" si="91"/>
        <v>End_year</v>
      </c>
      <c r="J100" s="66">
        <f>Input_RAB_SCS!J102*Input_Connections!$I$16</f>
        <v>-3.1246342211328836E-2</v>
      </c>
      <c r="K100" s="67">
        <f>Input_RAB_SCS!K102*Input_Connections!$I$16</f>
        <v>-3.9407473339547798E-2</v>
      </c>
      <c r="L100" s="67">
        <f>Input_RAB_SCS!L102*Input_Connections!$I$16</f>
        <v>-9.9502848052099871E-2</v>
      </c>
      <c r="M100" s="67">
        <f>Input_RAB_SCS!M102*Input_Connections!$I$16</f>
        <v>-5.8840962395033156E-2</v>
      </c>
      <c r="N100" s="67">
        <f>Input_RAB_SCS!N102*Input_Connections!$I$16</f>
        <v>-0.33563173958466347</v>
      </c>
      <c r="O100" s="67">
        <f>Input_RAB_SCS!O102*Input_Connections!$I$16</f>
        <v>-0.32643674973409048</v>
      </c>
      <c r="P100" s="67">
        <f>Input_RAB_SCS!P102*Input_Connections!$I$16</f>
        <v>-0.13231011703583373</v>
      </c>
      <c r="Q100" s="67">
        <f>Input_RAB_SCS!Q102*Input_Connections!$I$16</f>
        <v>-0.13072892891020266</v>
      </c>
      <c r="R100" s="68">
        <f>Input_RAB_SCS!R102*Input_Connections!$I$16</f>
        <v>-0.11671733098937846</v>
      </c>
      <c r="S100" s="66">
        <f>Input_RAB_SCS!S102*Input_Connections!$I$16</f>
        <v>-0.22685222269779345</v>
      </c>
      <c r="T100" s="67">
        <f>Input_RAB_SCS!T102*Input_Connections!$I$16</f>
        <v>-0.15537592844275858</v>
      </c>
      <c r="U100" s="67">
        <f>Input_RAB_SCS!U102*Input_Connections!$I$16</f>
        <v>-9.160370587670523E-2</v>
      </c>
      <c r="V100" s="67">
        <f>Input_RAB_SCS!V102*Input_Connections!$I$16</f>
        <v>-4.9542896134927433E-2</v>
      </c>
      <c r="W100" s="68">
        <f>Input_RAB_SCS!W102*Input_Connections!$I$16</f>
        <v>-0.10126237679633596</v>
      </c>
      <c r="X100" s="66">
        <f>Input_RAB_SCS!X102*Input_Connections!$I$16</f>
        <v>-0.11455311900692998</v>
      </c>
      <c r="Y100" s="67">
        <f>Input_RAB_SCS!Y102*Input_Connections!$I$16</f>
        <v>-0.13347455985550985</v>
      </c>
      <c r="Z100" s="67">
        <f>Input_RAB_SCS!Z102*Input_Connections!$I$16</f>
        <v>-0.13856441734784328</v>
      </c>
      <c r="AA100" s="67">
        <f>Input_RAB_SCS!AA102*Input_Connections!$I$16</f>
        <v>-0.16461982975925113</v>
      </c>
      <c r="AB100" s="68">
        <f>Input_RAB_SCS!AB102*Input_Connections!$I$16</f>
        <v>-0.177665126872631</v>
      </c>
    </row>
    <row r="101" spans="4:28" ht="12.3" x14ac:dyDescent="0.35">
      <c r="D101" s="15" t="str">
        <f t="shared" si="88"/>
        <v>Distribution Switchgear</v>
      </c>
      <c r="E101" s="52" t="str">
        <f t="shared" si="92"/>
        <v>Input_RAB_SCS</v>
      </c>
      <c r="F101" s="52" t="str">
        <f t="shared" si="89"/>
        <v>Dollars</v>
      </c>
      <c r="G101" s="52" t="str">
        <f t="shared" si="90"/>
        <v>Nominal</v>
      </c>
      <c r="H101" s="52" t="str">
        <f t="shared" si="91"/>
        <v>End_year</v>
      </c>
      <c r="J101" s="66">
        <f>Input_RAB_SCS!J103*Input_Connections!$I$16</f>
        <v>0</v>
      </c>
      <c r="K101" s="67">
        <f>Input_RAB_SCS!K103*Input_Connections!$I$16</f>
        <v>0</v>
      </c>
      <c r="L101" s="67">
        <f>Input_RAB_SCS!L103*Input_Connections!$I$16</f>
        <v>-9.6429378443895382E-3</v>
      </c>
      <c r="M101" s="67">
        <f>Input_RAB_SCS!M103*Input_Connections!$I$16</f>
        <v>-0.13273279189676371</v>
      </c>
      <c r="N101" s="67">
        <f>Input_RAB_SCS!N103*Input_Connections!$I$16</f>
        <v>0</v>
      </c>
      <c r="O101" s="67">
        <f>Input_RAB_SCS!O103*Input_Connections!$I$16</f>
        <v>0</v>
      </c>
      <c r="P101" s="67">
        <f>Input_RAB_SCS!P103*Input_Connections!$I$16</f>
        <v>0</v>
      </c>
      <c r="Q101" s="67">
        <f>Input_RAB_SCS!Q103*Input_Connections!$I$16</f>
        <v>0</v>
      </c>
      <c r="R101" s="68">
        <f>Input_RAB_SCS!R103*Input_Connections!$I$16</f>
        <v>-2.0549087851769076E-2</v>
      </c>
      <c r="S101" s="66">
        <f>Input_RAB_SCS!S103*Input_Connections!$I$16</f>
        <v>-0.13268425446798793</v>
      </c>
      <c r="T101" s="67">
        <f>Input_RAB_SCS!T103*Input_Connections!$I$16</f>
        <v>-0.15511746322659267</v>
      </c>
      <c r="U101" s="67">
        <f>Input_RAB_SCS!U103*Input_Connections!$I$16</f>
        <v>-0.13784493505605278</v>
      </c>
      <c r="V101" s="67">
        <f>Input_RAB_SCS!V103*Input_Connections!$I$16</f>
        <v>-0.11994380048191683</v>
      </c>
      <c r="W101" s="68">
        <f>Input_RAB_SCS!W103*Input_Connections!$I$16</f>
        <v>-9.3163722061033294E-2</v>
      </c>
      <c r="X101" s="66">
        <f>Input_RAB_SCS!X103*Input_Connections!$I$16</f>
        <v>-0.13615967465004045</v>
      </c>
      <c r="Y101" s="67">
        <f>Input_RAB_SCS!Y103*Input_Connections!$I$16</f>
        <v>-0.1478916499179378</v>
      </c>
      <c r="Z101" s="67">
        <f>Input_RAB_SCS!Z103*Input_Connections!$I$16</f>
        <v>-0.14252980769584012</v>
      </c>
      <c r="AA101" s="67">
        <f>Input_RAB_SCS!AA103*Input_Connections!$I$16</f>
        <v>-0.15953153962464448</v>
      </c>
      <c r="AB101" s="68">
        <f>Input_RAB_SCS!AB103*Input_Connections!$I$16</f>
        <v>-0.1697864075779156</v>
      </c>
    </row>
    <row r="102" spans="4:28" ht="12.3" x14ac:dyDescent="0.35">
      <c r="D102" s="15" t="str">
        <f t="shared" si="88"/>
        <v>Protection</v>
      </c>
      <c r="E102" s="52" t="str">
        <f t="shared" si="92"/>
        <v>Input_RAB_SCS</v>
      </c>
      <c r="F102" s="52" t="str">
        <f t="shared" si="89"/>
        <v>Dollars</v>
      </c>
      <c r="G102" s="52" t="str">
        <f t="shared" si="90"/>
        <v>Nominal</v>
      </c>
      <c r="H102" s="52" t="str">
        <f t="shared" si="91"/>
        <v>End_year</v>
      </c>
      <c r="J102" s="36"/>
      <c r="K102" s="36"/>
      <c r="L102" s="36"/>
      <c r="M102" s="36"/>
      <c r="N102" s="36"/>
      <c r="O102" s="36"/>
      <c r="P102" s="36"/>
      <c r="Q102" s="36"/>
      <c r="R102" s="36"/>
      <c r="S102" s="36"/>
      <c r="T102" s="36"/>
      <c r="U102" s="36"/>
      <c r="V102" s="36"/>
      <c r="W102" s="36"/>
      <c r="X102" s="36"/>
      <c r="Y102" s="36"/>
      <c r="Z102" s="36"/>
      <c r="AA102" s="36"/>
      <c r="AB102" s="36"/>
    </row>
    <row r="103" spans="4:28" ht="12.3" x14ac:dyDescent="0.35">
      <c r="D103" s="15" t="str">
        <f t="shared" si="88"/>
        <v>SCADA</v>
      </c>
      <c r="E103" s="52" t="str">
        <f t="shared" si="92"/>
        <v>Input_RAB_SCS</v>
      </c>
      <c r="F103" s="52" t="str">
        <f t="shared" si="89"/>
        <v>Dollars</v>
      </c>
      <c r="G103" s="52" t="str">
        <f t="shared" si="90"/>
        <v>Nominal</v>
      </c>
      <c r="H103" s="52" t="str">
        <f t="shared" si="91"/>
        <v>End_year</v>
      </c>
      <c r="J103" s="36"/>
      <c r="K103" s="36"/>
      <c r="L103" s="36"/>
      <c r="M103" s="36"/>
      <c r="N103" s="36"/>
      <c r="O103" s="36"/>
      <c r="P103" s="36"/>
      <c r="Q103" s="36"/>
      <c r="R103" s="36"/>
      <c r="S103" s="36"/>
      <c r="T103" s="36"/>
      <c r="U103" s="36"/>
      <c r="V103" s="36"/>
      <c r="W103" s="36"/>
      <c r="X103" s="36"/>
      <c r="Y103" s="36"/>
      <c r="Z103" s="36"/>
      <c r="AA103" s="36"/>
      <c r="AB103" s="36"/>
    </row>
    <row r="104" spans="4:28" ht="12.3" x14ac:dyDescent="0.35">
      <c r="D104" s="15" t="str">
        <f t="shared" si="88"/>
        <v>Communications</v>
      </c>
      <c r="E104" s="52" t="str">
        <f t="shared" si="92"/>
        <v>Input_RAB_SCS</v>
      </c>
      <c r="F104" s="52" t="str">
        <f t="shared" si="89"/>
        <v>Dollars</v>
      </c>
      <c r="G104" s="52" t="str">
        <f t="shared" si="90"/>
        <v>Nominal</v>
      </c>
      <c r="H104" s="52" t="str">
        <f t="shared" si="91"/>
        <v>End_year</v>
      </c>
      <c r="J104" s="36"/>
      <c r="K104" s="36"/>
      <c r="L104" s="36"/>
      <c r="M104" s="36"/>
      <c r="N104" s="36"/>
      <c r="O104" s="36"/>
      <c r="P104" s="36"/>
      <c r="Q104" s="36"/>
      <c r="R104" s="36"/>
      <c r="S104" s="36"/>
      <c r="T104" s="36"/>
      <c r="U104" s="36"/>
      <c r="V104" s="36"/>
      <c r="W104" s="36"/>
      <c r="X104" s="36"/>
      <c r="Y104" s="36"/>
      <c r="Z104" s="36"/>
      <c r="AA104" s="36"/>
      <c r="AB104" s="36"/>
    </row>
    <row r="105" spans="4:28" ht="12.3" x14ac:dyDescent="0.35">
      <c r="D105" s="15" t="str">
        <f t="shared" si="88"/>
        <v>Land and Easements</v>
      </c>
      <c r="E105" s="52" t="str">
        <f t="shared" si="92"/>
        <v>Input_RAB_SCS</v>
      </c>
      <c r="F105" s="52" t="str">
        <f t="shared" si="89"/>
        <v>Dollars</v>
      </c>
      <c r="G105" s="52" t="str">
        <f t="shared" si="90"/>
        <v>Nominal</v>
      </c>
      <c r="H105" s="52" t="str">
        <f t="shared" si="91"/>
        <v>End_year</v>
      </c>
      <c r="J105" s="36"/>
      <c r="K105" s="36"/>
      <c r="L105" s="36"/>
      <c r="M105" s="36"/>
      <c r="N105" s="36"/>
      <c r="O105" s="36"/>
      <c r="P105" s="36"/>
      <c r="Q105" s="36"/>
      <c r="R105" s="36"/>
      <c r="S105" s="36"/>
      <c r="T105" s="36"/>
      <c r="U105" s="36"/>
      <c r="V105" s="36"/>
      <c r="W105" s="36"/>
      <c r="X105" s="36"/>
      <c r="Y105" s="36"/>
      <c r="Z105" s="36"/>
      <c r="AA105" s="36"/>
      <c r="AB105" s="36"/>
    </row>
    <row r="106" spans="4:28" ht="12.3" x14ac:dyDescent="0.35">
      <c r="D106" s="15" t="str">
        <f t="shared" si="88"/>
        <v>Property</v>
      </c>
      <c r="E106" s="52" t="str">
        <f t="shared" si="92"/>
        <v>Input_RAB_SCS</v>
      </c>
      <c r="F106" s="52" t="str">
        <f t="shared" si="89"/>
        <v>Dollars</v>
      </c>
      <c r="G106" s="52" t="str">
        <f t="shared" si="90"/>
        <v>Nominal</v>
      </c>
      <c r="H106" s="52" t="str">
        <f t="shared" si="91"/>
        <v>End_year</v>
      </c>
      <c r="J106" s="36"/>
      <c r="K106" s="36"/>
      <c r="L106" s="36"/>
      <c r="M106" s="36"/>
      <c r="N106" s="36"/>
      <c r="O106" s="36"/>
      <c r="P106" s="36"/>
      <c r="Q106" s="36"/>
      <c r="R106" s="36"/>
      <c r="S106" s="36"/>
      <c r="T106" s="36"/>
      <c r="U106" s="36"/>
      <c r="V106" s="36"/>
      <c r="W106" s="36"/>
      <c r="X106" s="36"/>
      <c r="Y106" s="36"/>
      <c r="Z106" s="36"/>
      <c r="AA106" s="36"/>
      <c r="AB106" s="36"/>
    </row>
    <row r="107" spans="4:28" ht="12.3" x14ac:dyDescent="0.35">
      <c r="D107" s="15" t="str">
        <f t="shared" si="88"/>
        <v>IT and Communications</v>
      </c>
      <c r="E107" s="52" t="str">
        <f t="shared" si="92"/>
        <v>Input_RAB_SCS</v>
      </c>
      <c r="F107" s="52" t="str">
        <f t="shared" si="89"/>
        <v>Dollars</v>
      </c>
      <c r="G107" s="52" t="str">
        <f t="shared" si="90"/>
        <v>Nominal</v>
      </c>
      <c r="H107" s="52" t="str">
        <f t="shared" si="91"/>
        <v>End_year</v>
      </c>
      <c r="J107" s="36"/>
      <c r="K107" s="36"/>
      <c r="L107" s="36"/>
      <c r="M107" s="36"/>
      <c r="N107" s="36"/>
      <c r="O107" s="36"/>
      <c r="P107" s="36"/>
      <c r="Q107" s="36"/>
      <c r="R107" s="36"/>
      <c r="S107" s="36"/>
      <c r="T107" s="36"/>
      <c r="U107" s="36"/>
      <c r="V107" s="36"/>
      <c r="W107" s="36"/>
      <c r="X107" s="36"/>
      <c r="Y107" s="36"/>
      <c r="Z107" s="36"/>
      <c r="AA107" s="36"/>
      <c r="AB107" s="36"/>
    </row>
    <row r="108" spans="4:28" ht="12.3" x14ac:dyDescent="0.35">
      <c r="D108" s="15" t="str">
        <f t="shared" si="88"/>
        <v>Motor Vehicles</v>
      </c>
      <c r="E108" s="52" t="str">
        <f t="shared" si="92"/>
        <v>Input_RAB_SCS</v>
      </c>
      <c r="F108" s="52" t="str">
        <f t="shared" si="89"/>
        <v>Dollars</v>
      </c>
      <c r="G108" s="52" t="str">
        <f t="shared" si="90"/>
        <v>Nominal</v>
      </c>
      <c r="H108" s="52" t="str">
        <f t="shared" si="91"/>
        <v>End_year</v>
      </c>
      <c r="J108" s="36"/>
      <c r="K108" s="36"/>
      <c r="L108" s="36"/>
      <c r="M108" s="36"/>
      <c r="N108" s="36"/>
      <c r="O108" s="36"/>
      <c r="P108" s="36"/>
      <c r="Q108" s="36"/>
      <c r="R108" s="36"/>
      <c r="S108" s="36"/>
      <c r="T108" s="36"/>
      <c r="U108" s="36"/>
      <c r="V108" s="36"/>
      <c r="W108" s="36"/>
      <c r="X108" s="36"/>
      <c r="Y108" s="36"/>
      <c r="Z108" s="36"/>
      <c r="AA108" s="36"/>
      <c r="AB108" s="36"/>
    </row>
    <row r="109" spans="4:28" ht="12.3" x14ac:dyDescent="0.35">
      <c r="D109" s="15" t="str">
        <f t="shared" si="88"/>
        <v>Plant and Equipment</v>
      </c>
      <c r="E109" s="52" t="str">
        <f t="shared" si="92"/>
        <v>Input_RAB_SCS</v>
      </c>
      <c r="F109" s="52" t="str">
        <f t="shared" si="89"/>
        <v>Dollars</v>
      </c>
      <c r="G109" s="52" t="str">
        <f t="shared" si="90"/>
        <v>Nominal</v>
      </c>
      <c r="H109" s="52" t="str">
        <f t="shared" si="91"/>
        <v>End_year</v>
      </c>
      <c r="J109" s="36"/>
      <c r="K109" s="36"/>
      <c r="L109" s="36"/>
      <c r="M109" s="36"/>
      <c r="N109" s="36"/>
      <c r="O109" s="36"/>
      <c r="P109" s="36"/>
      <c r="Q109" s="36"/>
      <c r="R109" s="36"/>
      <c r="S109" s="36"/>
      <c r="T109" s="36"/>
      <c r="U109" s="36"/>
      <c r="V109" s="36"/>
      <c r="W109" s="36"/>
      <c r="X109" s="36"/>
      <c r="Y109" s="36"/>
      <c r="Z109" s="36"/>
      <c r="AA109" s="36"/>
      <c r="AB109" s="36"/>
    </row>
    <row r="110" spans="4:28" ht="12.3" x14ac:dyDescent="0.35">
      <c r="D110" s="15" t="str">
        <f t="shared" ref="D110:D111" si="93">D32</f>
        <v>Property Leases</v>
      </c>
      <c r="E110" s="52" t="str">
        <f t="shared" si="92"/>
        <v>Input_RAB_SCS</v>
      </c>
      <c r="F110" s="52" t="str">
        <f t="shared" si="89"/>
        <v>Dollars</v>
      </c>
      <c r="G110" s="52" t="str">
        <f t="shared" si="90"/>
        <v>Nominal</v>
      </c>
      <c r="H110" s="52" t="str">
        <f t="shared" si="91"/>
        <v>End_year</v>
      </c>
      <c r="J110" s="36"/>
      <c r="K110" s="36"/>
      <c r="L110" s="36"/>
      <c r="M110" s="36"/>
      <c r="N110" s="36"/>
      <c r="O110" s="36"/>
      <c r="P110" s="36"/>
      <c r="Q110" s="36"/>
      <c r="R110" s="36"/>
      <c r="S110" s="36"/>
      <c r="T110" s="36"/>
      <c r="U110" s="36"/>
      <c r="V110" s="36"/>
      <c r="W110" s="36"/>
      <c r="X110" s="36"/>
      <c r="Y110" s="36"/>
      <c r="Z110" s="36"/>
      <c r="AA110" s="36"/>
      <c r="AB110" s="36"/>
    </row>
    <row r="111" spans="4:28" ht="12.3" x14ac:dyDescent="0.35">
      <c r="D111" s="15" t="str">
        <f t="shared" si="93"/>
        <v>Fleet Leases</v>
      </c>
      <c r="E111" s="52" t="str">
        <f t="shared" si="92"/>
        <v>Input_RAB_SCS</v>
      </c>
      <c r="F111" s="52" t="str">
        <f t="shared" si="89"/>
        <v>Dollars</v>
      </c>
      <c r="G111" s="52" t="str">
        <f t="shared" si="90"/>
        <v>Nominal</v>
      </c>
      <c r="H111" s="52" t="str">
        <f t="shared" si="91"/>
        <v>End_year</v>
      </c>
      <c r="J111" s="36"/>
      <c r="K111" s="36"/>
      <c r="L111" s="36"/>
      <c r="M111" s="36"/>
      <c r="N111" s="36"/>
      <c r="O111" s="36"/>
      <c r="P111" s="36"/>
      <c r="Q111" s="36"/>
      <c r="R111" s="36"/>
      <c r="S111" s="36"/>
      <c r="T111" s="36"/>
      <c r="U111" s="36"/>
      <c r="V111" s="36"/>
      <c r="W111" s="36"/>
      <c r="X111" s="36"/>
      <c r="Y111" s="36"/>
      <c r="Z111" s="36"/>
      <c r="AA111" s="36"/>
      <c r="AB111" s="36"/>
    </row>
    <row r="112" spans="4:28" ht="12.3" x14ac:dyDescent="0.35">
      <c r="D112" s="15" t="str">
        <f t="shared" ref="D112" si="94">D34</f>
        <v>Equity Raising Costs</v>
      </c>
      <c r="E112" s="52" t="str">
        <f>E109</f>
        <v>Input_RAB_SCS</v>
      </c>
      <c r="F112" s="52" t="str">
        <f t="shared" si="89"/>
        <v>Dollars</v>
      </c>
      <c r="G112" s="52" t="str">
        <f t="shared" si="90"/>
        <v>Nominal</v>
      </c>
      <c r="H112" s="52" t="str">
        <f t="shared" si="91"/>
        <v>End_year</v>
      </c>
      <c r="J112" s="36"/>
      <c r="K112" s="36"/>
      <c r="L112" s="36"/>
      <c r="M112" s="36"/>
      <c r="N112" s="36"/>
      <c r="O112" s="36"/>
      <c r="P112" s="36"/>
      <c r="Q112" s="36"/>
      <c r="R112" s="36"/>
      <c r="S112" s="36"/>
      <c r="T112" s="36"/>
      <c r="U112" s="36"/>
      <c r="V112" s="36"/>
      <c r="W112" s="36"/>
      <c r="X112" s="36"/>
      <c r="Y112" s="36"/>
      <c r="Z112" s="36"/>
      <c r="AA112" s="36"/>
      <c r="AB112" s="36"/>
    </row>
    <row r="113" spans="1:28" x14ac:dyDescent="0.35">
      <c r="J113" s="56"/>
      <c r="K113" s="57"/>
      <c r="L113" s="57"/>
      <c r="M113" s="57"/>
      <c r="N113" s="57"/>
      <c r="O113" s="57"/>
      <c r="P113" s="57"/>
      <c r="Q113" s="57"/>
      <c r="R113" s="58"/>
      <c r="S113" s="56"/>
      <c r="T113" s="57"/>
      <c r="U113" s="57"/>
      <c r="V113" s="57"/>
      <c r="W113" s="58"/>
      <c r="X113" s="56"/>
      <c r="Y113" s="57"/>
      <c r="Z113" s="57"/>
      <c r="AA113" s="57"/>
      <c r="AB113" s="58"/>
    </row>
    <row r="114" spans="1:28" ht="12.3" x14ac:dyDescent="0.35">
      <c r="D114" s="51" t="str">
        <f>"Total "&amp;D94</f>
        <v>Total RAB Asset Class</v>
      </c>
      <c r="E114" s="47" t="s">
        <v>111</v>
      </c>
      <c r="F114" s="47" t="str">
        <f>F96</f>
        <v>Dollars</v>
      </c>
      <c r="G114" s="47" t="str">
        <f>G96</f>
        <v>Nominal</v>
      </c>
      <c r="H114" s="47" t="str">
        <f>H96</f>
        <v>End_year</v>
      </c>
      <c r="J114" s="62">
        <f t="shared" ref="J114:AB114" si="95">SUM(J96:J112)</f>
        <v>-0.28150253918803825</v>
      </c>
      <c r="K114" s="46">
        <f t="shared" si="95"/>
        <v>-0.35502727753028257</v>
      </c>
      <c r="L114" s="46">
        <f t="shared" si="95"/>
        <v>-0.45912857059949658</v>
      </c>
      <c r="M114" s="46">
        <f t="shared" si="95"/>
        <v>-0.51527542950103133</v>
      </c>
      <c r="N114" s="46">
        <f t="shared" si="95"/>
        <v>-0.66532109784092952</v>
      </c>
      <c r="O114" s="46">
        <f t="shared" si="95"/>
        <v>-0.66897321205749627</v>
      </c>
      <c r="P114" s="46">
        <f t="shared" si="95"/>
        <v>-0.52175644701533663</v>
      </c>
      <c r="Q114" s="46">
        <f t="shared" si="95"/>
        <v>-0.82117249734870579</v>
      </c>
      <c r="R114" s="63">
        <f t="shared" si="95"/>
        <v>-0.57866282831160876</v>
      </c>
      <c r="S114" s="62">
        <f t="shared" si="95"/>
        <v>-0.80897614748722579</v>
      </c>
      <c r="T114" s="46">
        <f t="shared" si="95"/>
        <v>-0.63109105398483389</v>
      </c>
      <c r="U114" s="46">
        <f t="shared" si="95"/>
        <v>-0.5309774705336674</v>
      </c>
      <c r="V114" s="46">
        <f t="shared" si="95"/>
        <v>-0.32870195676708802</v>
      </c>
      <c r="W114" s="63">
        <f t="shared" si="95"/>
        <v>-0.43644240330117673</v>
      </c>
      <c r="X114" s="62">
        <f t="shared" si="95"/>
        <v>-0.7609564505020906</v>
      </c>
      <c r="Y114" s="46">
        <f t="shared" si="95"/>
        <v>-0.90545551476321928</v>
      </c>
      <c r="Z114" s="46">
        <f t="shared" si="95"/>
        <v>-0.76037348263050075</v>
      </c>
      <c r="AA114" s="46">
        <f t="shared" si="95"/>
        <v>-0.75656004744826566</v>
      </c>
      <c r="AB114" s="63">
        <f t="shared" si="95"/>
        <v>-0.84481867673797795</v>
      </c>
    </row>
    <row r="115" spans="1:28" s="6" customFormat="1" ht="11.25" customHeight="1" x14ac:dyDescent="0.35"/>
    <row r="116" spans="1:28" s="6" customFormat="1" ht="11.25" customHeight="1" x14ac:dyDescent="0.35">
      <c r="A116" s="49">
        <f>IF(SUM($J116:$AB116)&lt;&gt;0,1,0)</f>
        <v>0</v>
      </c>
      <c r="D116" s="15" t="s">
        <v>114</v>
      </c>
      <c r="J116" s="70">
        <f>IF(ISERROR(J114),1,0)</f>
        <v>0</v>
      </c>
      <c r="K116" s="70">
        <f t="shared" ref="K116:N116" si="96">IF(ISERROR(K114),1,0)</f>
        <v>0</v>
      </c>
      <c r="L116" s="70">
        <f t="shared" si="96"/>
        <v>0</v>
      </c>
      <c r="M116" s="70">
        <f t="shared" si="96"/>
        <v>0</v>
      </c>
      <c r="N116" s="70">
        <f t="shared" si="96"/>
        <v>0</v>
      </c>
      <c r="O116" s="70">
        <f>IF(ISERROR(O114),1,0)</f>
        <v>0</v>
      </c>
      <c r="P116" s="70">
        <f t="shared" ref="P116:S116" si="97">IF(ISERROR(P114),1,0)</f>
        <v>0</v>
      </c>
      <c r="Q116" s="70">
        <f t="shared" si="97"/>
        <v>0</v>
      </c>
      <c r="R116" s="70">
        <f t="shared" si="97"/>
        <v>0</v>
      </c>
      <c r="S116" s="70">
        <f t="shared" si="97"/>
        <v>0</v>
      </c>
      <c r="T116" s="70">
        <f>IF(ISERROR(T114),1,0)</f>
        <v>0</v>
      </c>
      <c r="U116" s="70">
        <f t="shared" ref="U116:X116" si="98">IF(ISERROR(U114),1,0)</f>
        <v>0</v>
      </c>
      <c r="V116" s="70">
        <f t="shared" si="98"/>
        <v>0</v>
      </c>
      <c r="W116" s="70">
        <f t="shared" si="98"/>
        <v>0</v>
      </c>
      <c r="X116" s="70">
        <f t="shared" si="98"/>
        <v>0</v>
      </c>
      <c r="Y116" s="70">
        <f>IF(ISERROR(Y114),1,0)</f>
        <v>0</v>
      </c>
      <c r="Z116" s="70">
        <f t="shared" ref="Z116:AB116" si="99">IF(ISERROR(Z114),1,0)</f>
        <v>0</v>
      </c>
      <c r="AA116" s="70">
        <f t="shared" si="99"/>
        <v>0</v>
      </c>
      <c r="AB116" s="70">
        <f t="shared" si="99"/>
        <v>0</v>
      </c>
    </row>
    <row r="118" spans="1:28" s="13" customFormat="1" ht="14.1" x14ac:dyDescent="0.35">
      <c r="C118" s="13" t="s">
        <v>151</v>
      </c>
    </row>
    <row r="119" spans="1:28" s="6" customFormat="1" ht="11.25" customHeight="1" x14ac:dyDescent="0.35"/>
    <row r="120" spans="1:28" ht="12.3" x14ac:dyDescent="0.35">
      <c r="D120" s="50" t="str">
        <f>D$16</f>
        <v>RAB Asset Class</v>
      </c>
      <c r="E120" s="45" t="str">
        <f>Lookup!E$20</f>
        <v>Source</v>
      </c>
      <c r="F120" s="45" t="str">
        <f>Lookup!F$20</f>
        <v>Unit</v>
      </c>
      <c r="G120" s="45" t="str">
        <f>Lookup!G$20</f>
        <v>Basis</v>
      </c>
      <c r="H120" s="45" t="str">
        <f>Lookup!H$20</f>
        <v>Timing</v>
      </c>
      <c r="J120" s="54" t="str">
        <f>J$10</f>
        <v>RY06</v>
      </c>
      <c r="K120" s="45" t="str">
        <f t="shared" ref="K120:AB120" si="100">K$10</f>
        <v>RY07</v>
      </c>
      <c r="L120" s="45" t="str">
        <f t="shared" si="100"/>
        <v>RY08</v>
      </c>
      <c r="M120" s="45" t="str">
        <f t="shared" si="100"/>
        <v>RY09</v>
      </c>
      <c r="N120" s="45" t="str">
        <f t="shared" si="100"/>
        <v>RY10</v>
      </c>
      <c r="O120" s="45" t="str">
        <f>O$10</f>
        <v>RY11</v>
      </c>
      <c r="P120" s="45" t="str">
        <f t="shared" si="100"/>
        <v>RY12</v>
      </c>
      <c r="Q120" s="45" t="str">
        <f t="shared" si="100"/>
        <v>RY13</v>
      </c>
      <c r="R120" s="55" t="str">
        <f t="shared" si="100"/>
        <v>RY14</v>
      </c>
      <c r="S120" s="54" t="str">
        <f t="shared" si="100"/>
        <v>RY15</v>
      </c>
      <c r="T120" s="45" t="str">
        <f>T$10</f>
        <v>RY16</v>
      </c>
      <c r="U120" s="45" t="str">
        <f t="shared" si="100"/>
        <v>RY17</v>
      </c>
      <c r="V120" s="45" t="str">
        <f t="shared" si="100"/>
        <v>RY18</v>
      </c>
      <c r="W120" s="55" t="str">
        <f t="shared" si="100"/>
        <v>RY19</v>
      </c>
      <c r="X120" s="54" t="str">
        <f t="shared" si="100"/>
        <v>RY20</v>
      </c>
      <c r="Y120" s="45" t="str">
        <f>Y$10</f>
        <v>RY21</v>
      </c>
      <c r="Z120" s="45" t="str">
        <f t="shared" si="100"/>
        <v>RY22</v>
      </c>
      <c r="AA120" s="45" t="str">
        <f t="shared" si="100"/>
        <v>RY23</v>
      </c>
      <c r="AB120" s="55" t="str">
        <f t="shared" si="100"/>
        <v>RY24</v>
      </c>
    </row>
    <row r="121" spans="1:28" x14ac:dyDescent="0.35">
      <c r="J121" s="56"/>
      <c r="K121" s="57"/>
      <c r="L121" s="57"/>
      <c r="M121" s="57"/>
      <c r="N121" s="57"/>
      <c r="O121" s="57"/>
      <c r="P121" s="57"/>
      <c r="Q121" s="57"/>
      <c r="R121" s="58"/>
      <c r="S121" s="56"/>
      <c r="T121" s="57"/>
      <c r="U121" s="57"/>
      <c r="V121" s="57"/>
      <c r="W121" s="58"/>
      <c r="X121" s="56"/>
      <c r="Y121" s="57"/>
      <c r="Z121" s="57"/>
      <c r="AA121" s="57"/>
      <c r="AB121" s="58"/>
    </row>
    <row r="122" spans="1:28" ht="12.3" x14ac:dyDescent="0.35">
      <c r="D122" s="15" t="str">
        <f t="shared" ref="D122:D135" si="101">D18</f>
        <v>Substations</v>
      </c>
      <c r="E122" s="52" t="s">
        <v>196</v>
      </c>
      <c r="F122" s="52" t="str">
        <f t="shared" ref="F122:F138" si="102">Dollars</f>
        <v>Dollars</v>
      </c>
      <c r="G122" s="52" t="str">
        <f t="shared" ref="G122:G138" si="103">Nominal</f>
        <v>Nominal</v>
      </c>
      <c r="H122" s="52" t="str">
        <f t="shared" ref="H122:H138" si="104">End_year</f>
        <v>End_year</v>
      </c>
      <c r="J122" s="36"/>
      <c r="K122" s="36"/>
      <c r="L122" s="36"/>
      <c r="M122" s="36"/>
      <c r="N122" s="36"/>
      <c r="O122" s="36"/>
      <c r="P122" s="36"/>
      <c r="Q122" s="36"/>
      <c r="R122" s="36"/>
      <c r="S122" s="36"/>
      <c r="T122" s="36"/>
      <c r="U122" s="36"/>
      <c r="V122" s="36"/>
      <c r="W122" s="36"/>
      <c r="X122" s="36"/>
      <c r="Y122" s="36"/>
      <c r="Z122" s="36"/>
      <c r="AA122" s="36"/>
      <c r="AB122" s="36"/>
    </row>
    <row r="123" spans="1:28" ht="12.3" x14ac:dyDescent="0.35">
      <c r="D123" s="15" t="str">
        <f t="shared" si="101"/>
        <v>Distribution Lines</v>
      </c>
      <c r="E123" s="52" t="str">
        <f>E122</f>
        <v>Input_RAB_SCS</v>
      </c>
      <c r="F123" s="52" t="str">
        <f t="shared" si="102"/>
        <v>Dollars</v>
      </c>
      <c r="G123" s="52" t="str">
        <f t="shared" si="103"/>
        <v>Nominal</v>
      </c>
      <c r="H123" s="52" t="str">
        <f t="shared" si="104"/>
        <v>End_year</v>
      </c>
      <c r="J123" s="66">
        <f>Input_RAB_SCS!J126*Input_Connections!$I$16</f>
        <v>0</v>
      </c>
      <c r="K123" s="67">
        <f>Input_RAB_SCS!K126*Input_Connections!$I$16</f>
        <v>0</v>
      </c>
      <c r="L123" s="67">
        <f>Input_RAB_SCS!L126*Input_Connections!$I$16</f>
        <v>0</v>
      </c>
      <c r="M123" s="67">
        <f>Input_RAB_SCS!M126*Input_Connections!$I$16</f>
        <v>0</v>
      </c>
      <c r="N123" s="67">
        <f>Input_RAB_SCS!N126*Input_Connections!$I$16</f>
        <v>0</v>
      </c>
      <c r="O123" s="67">
        <f>Input_RAB_SCS!O126*Input_Connections!$I$16</f>
        <v>6.6035851377494702E-3</v>
      </c>
      <c r="P123" s="67">
        <f>Input_RAB_SCS!P126*Input_Connections!$I$16</f>
        <v>5.3616127342946023E-4</v>
      </c>
      <c r="Q123" s="67">
        <f>Input_RAB_SCS!Q126*Input_Connections!$I$16</f>
        <v>2.0099936797801775E-2</v>
      </c>
      <c r="R123" s="68">
        <f>Input_RAB_SCS!R126*Input_Connections!$I$16</f>
        <v>6.732494291855272E-3</v>
      </c>
      <c r="S123" s="66">
        <f>Input_RAB_SCS!S126*Input_Connections!$I$16</f>
        <v>1.7134290769981141E-3</v>
      </c>
      <c r="T123" s="67">
        <f>Input_RAB_SCS!T126*Input_Connections!$I$16</f>
        <v>1.7083338034785014E-3</v>
      </c>
      <c r="U123" s="67">
        <f>Input_RAB_SCS!U126*Input_Connections!$I$16</f>
        <v>3.2580715732766509E-3</v>
      </c>
      <c r="V123" s="67">
        <f>Input_RAB_SCS!V126*Input_Connections!$I$16</f>
        <v>0</v>
      </c>
      <c r="W123" s="68">
        <f>Input_RAB_SCS!W126*Input_Connections!$I$16</f>
        <v>0</v>
      </c>
      <c r="X123" s="66">
        <f>Input_RAB_SCS!X126*Input_Connections!$I$16</f>
        <v>0</v>
      </c>
      <c r="Y123" s="67">
        <f>Input_RAB_SCS!Y126*Input_Connections!$I$16</f>
        <v>0</v>
      </c>
      <c r="Z123" s="67">
        <f>Input_RAB_SCS!Z126*Input_Connections!$I$16</f>
        <v>0</v>
      </c>
      <c r="AA123" s="67">
        <f>Input_RAB_SCS!AA126*Input_Connections!$I$16</f>
        <v>0</v>
      </c>
      <c r="AB123" s="68">
        <f>Input_RAB_SCS!AB126*Input_Connections!$I$16</f>
        <v>0</v>
      </c>
    </row>
    <row r="124" spans="1:28" ht="12.3" x14ac:dyDescent="0.35">
      <c r="D124" s="15" t="str">
        <f t="shared" si="101"/>
        <v>Transmission Lines</v>
      </c>
      <c r="E124" s="52" t="str">
        <f t="shared" ref="E124:E137" si="105">E123</f>
        <v>Input_RAB_SCS</v>
      </c>
      <c r="F124" s="52" t="str">
        <f t="shared" si="102"/>
        <v>Dollars</v>
      </c>
      <c r="G124" s="52" t="str">
        <f t="shared" si="103"/>
        <v>Nominal</v>
      </c>
      <c r="H124" s="52" t="str">
        <f t="shared" si="104"/>
        <v>End_year</v>
      </c>
      <c r="J124" s="36"/>
      <c r="K124" s="36"/>
      <c r="L124" s="36"/>
      <c r="M124" s="36"/>
      <c r="N124" s="36"/>
      <c r="O124" s="36"/>
      <c r="P124" s="36"/>
      <c r="Q124" s="36"/>
      <c r="R124" s="36"/>
      <c r="S124" s="36"/>
      <c r="T124" s="36"/>
      <c r="U124" s="36"/>
      <c r="V124" s="36"/>
      <c r="W124" s="36"/>
      <c r="X124" s="36"/>
      <c r="Y124" s="36"/>
      <c r="Z124" s="36"/>
      <c r="AA124" s="36"/>
      <c r="AB124" s="36"/>
    </row>
    <row r="125" spans="1:28" ht="12.3" x14ac:dyDescent="0.35">
      <c r="D125" s="15" t="str">
        <f t="shared" si="101"/>
        <v>LV Services</v>
      </c>
      <c r="E125" s="52" t="str">
        <f t="shared" si="105"/>
        <v>Input_RAB_SCS</v>
      </c>
      <c r="F125" s="52" t="str">
        <f t="shared" si="102"/>
        <v>Dollars</v>
      </c>
      <c r="G125" s="52" t="str">
        <f t="shared" si="103"/>
        <v>Nominal</v>
      </c>
      <c r="H125" s="52" t="str">
        <f t="shared" si="104"/>
        <v>End_year</v>
      </c>
      <c r="J125" s="66">
        <f>Input_RAB_SCS!J128*Input_Connections!$I$16</f>
        <v>0</v>
      </c>
      <c r="K125" s="67">
        <f>Input_RAB_SCS!K128*Input_Connections!$I$16</f>
        <v>0</v>
      </c>
      <c r="L125" s="67">
        <f>Input_RAB_SCS!L128*Input_Connections!$I$16</f>
        <v>0</v>
      </c>
      <c r="M125" s="67">
        <f>Input_RAB_SCS!M128*Input_Connections!$I$16</f>
        <v>0</v>
      </c>
      <c r="N125" s="67">
        <f>Input_RAB_SCS!N128*Input_Connections!$I$16</f>
        <v>0</v>
      </c>
      <c r="O125" s="67">
        <f>Input_RAB_SCS!O128*Input_Connections!$I$16</f>
        <v>0</v>
      </c>
      <c r="P125" s="67">
        <f>Input_RAB_SCS!P128*Input_Connections!$I$16</f>
        <v>0</v>
      </c>
      <c r="Q125" s="67">
        <f>Input_RAB_SCS!Q128*Input_Connections!$I$16</f>
        <v>0</v>
      </c>
      <c r="R125" s="68">
        <f>Input_RAB_SCS!R128*Input_Connections!$I$16</f>
        <v>3.9793673224051344E-6</v>
      </c>
      <c r="S125" s="66">
        <f>Input_RAB_SCS!S128*Input_Connections!$I$16</f>
        <v>0</v>
      </c>
      <c r="T125" s="67">
        <f>Input_RAB_SCS!T128*Input_Connections!$I$16</f>
        <v>0</v>
      </c>
      <c r="U125" s="67">
        <f>Input_RAB_SCS!U128*Input_Connections!$I$16</f>
        <v>0</v>
      </c>
      <c r="V125" s="67">
        <f>Input_RAB_SCS!V128*Input_Connections!$I$16</f>
        <v>0</v>
      </c>
      <c r="W125" s="68">
        <f>Input_RAB_SCS!W128*Input_Connections!$I$16</f>
        <v>0</v>
      </c>
      <c r="X125" s="66">
        <f>Input_RAB_SCS!X128*Input_Connections!$I$16</f>
        <v>0</v>
      </c>
      <c r="Y125" s="67">
        <f>Input_RAB_SCS!Y128*Input_Connections!$I$16</f>
        <v>0</v>
      </c>
      <c r="Z125" s="67">
        <f>Input_RAB_SCS!Z128*Input_Connections!$I$16</f>
        <v>0</v>
      </c>
      <c r="AA125" s="67">
        <f>Input_RAB_SCS!AA128*Input_Connections!$I$16</f>
        <v>0</v>
      </c>
      <c r="AB125" s="68">
        <f>Input_RAB_SCS!AB128*Input_Connections!$I$16</f>
        <v>0</v>
      </c>
    </row>
    <row r="126" spans="1:28" ht="12.3" x14ac:dyDescent="0.35">
      <c r="D126" s="15" t="str">
        <f t="shared" si="101"/>
        <v>Distribution Substations</v>
      </c>
      <c r="E126" s="52" t="str">
        <f t="shared" si="105"/>
        <v>Input_RAB_SCS</v>
      </c>
      <c r="F126" s="52" t="str">
        <f t="shared" si="102"/>
        <v>Dollars</v>
      </c>
      <c r="G126" s="52" t="str">
        <f t="shared" si="103"/>
        <v>Nominal</v>
      </c>
      <c r="H126" s="52" t="str">
        <f t="shared" si="104"/>
        <v>End_year</v>
      </c>
      <c r="J126" s="66">
        <f>Input_RAB_SCS!J129*Input_Connections!$I$16</f>
        <v>0</v>
      </c>
      <c r="K126" s="67">
        <f>Input_RAB_SCS!K129*Input_Connections!$I$16</f>
        <v>0</v>
      </c>
      <c r="L126" s="67">
        <f>Input_RAB_SCS!L129*Input_Connections!$I$16</f>
        <v>0</v>
      </c>
      <c r="M126" s="67">
        <f>Input_RAB_SCS!M129*Input_Connections!$I$16</f>
        <v>0</v>
      </c>
      <c r="N126" s="67">
        <f>Input_RAB_SCS!N129*Input_Connections!$I$16</f>
        <v>0</v>
      </c>
      <c r="O126" s="67">
        <f>Input_RAB_SCS!O129*Input_Connections!$I$16</f>
        <v>1.0734609664138046E-2</v>
      </c>
      <c r="P126" s="67">
        <f>Input_RAB_SCS!P129*Input_Connections!$I$16</f>
        <v>1.4537544851335146E-2</v>
      </c>
      <c r="Q126" s="67">
        <f>Input_RAB_SCS!Q129*Input_Connections!$I$16</f>
        <v>1.7982409347871597E-2</v>
      </c>
      <c r="R126" s="68">
        <f>Input_RAB_SCS!R129*Input_Connections!$I$16</f>
        <v>1.1654562570184858E-2</v>
      </c>
      <c r="S126" s="66">
        <f>Input_RAB_SCS!S129*Input_Connections!$I$16</f>
        <v>2.0836963802966271E-4</v>
      </c>
      <c r="T126" s="67">
        <f>Input_RAB_SCS!T129*Input_Connections!$I$16</f>
        <v>0</v>
      </c>
      <c r="U126" s="67">
        <f>Input_RAB_SCS!U129*Input_Connections!$I$16</f>
        <v>0</v>
      </c>
      <c r="V126" s="67">
        <f>Input_RAB_SCS!V129*Input_Connections!$I$16</f>
        <v>0</v>
      </c>
      <c r="W126" s="68">
        <f>Input_RAB_SCS!W129*Input_Connections!$I$16</f>
        <v>0</v>
      </c>
      <c r="X126" s="66">
        <f>Input_RAB_SCS!X129*Input_Connections!$I$16</f>
        <v>0</v>
      </c>
      <c r="Y126" s="67">
        <f>Input_RAB_SCS!Y129*Input_Connections!$I$16</f>
        <v>0</v>
      </c>
      <c r="Z126" s="67">
        <f>Input_RAB_SCS!Z129*Input_Connections!$I$16</f>
        <v>0</v>
      </c>
      <c r="AA126" s="67">
        <f>Input_RAB_SCS!AA129*Input_Connections!$I$16</f>
        <v>0</v>
      </c>
      <c r="AB126" s="68">
        <f>Input_RAB_SCS!AB129*Input_Connections!$I$16</f>
        <v>0</v>
      </c>
    </row>
    <row r="127" spans="1:28" ht="12.3" x14ac:dyDescent="0.35">
      <c r="D127" s="15" t="str">
        <f t="shared" si="101"/>
        <v>Distribution Switchgear</v>
      </c>
      <c r="E127" s="52" t="str">
        <f t="shared" si="105"/>
        <v>Input_RAB_SCS</v>
      </c>
      <c r="F127" s="52" t="str">
        <f t="shared" si="102"/>
        <v>Dollars</v>
      </c>
      <c r="G127" s="52" t="str">
        <f t="shared" si="103"/>
        <v>Nominal</v>
      </c>
      <c r="H127" s="52" t="str">
        <f t="shared" si="104"/>
        <v>End_year</v>
      </c>
      <c r="J127" s="66">
        <f>Input_RAB_SCS!J130*Input_Connections!$I$16</f>
        <v>0</v>
      </c>
      <c r="K127" s="67">
        <f>Input_RAB_SCS!K130*Input_Connections!$I$16</f>
        <v>0</v>
      </c>
      <c r="L127" s="67">
        <f>Input_RAB_SCS!L130*Input_Connections!$I$16</f>
        <v>0</v>
      </c>
      <c r="M127" s="67">
        <f>Input_RAB_SCS!M130*Input_Connections!$I$16</f>
        <v>0</v>
      </c>
      <c r="N127" s="67">
        <f>Input_RAB_SCS!N130*Input_Connections!$I$16</f>
        <v>0</v>
      </c>
      <c r="O127" s="67">
        <f>Input_RAB_SCS!O130*Input_Connections!$I$16</f>
        <v>0</v>
      </c>
      <c r="P127" s="67">
        <f>Input_RAB_SCS!P130*Input_Connections!$I$16</f>
        <v>0</v>
      </c>
      <c r="Q127" s="67">
        <f>Input_RAB_SCS!Q130*Input_Connections!$I$16</f>
        <v>0</v>
      </c>
      <c r="R127" s="68">
        <f>Input_RAB_SCS!R130*Input_Connections!$I$16</f>
        <v>3.1431822962364752E-4</v>
      </c>
      <c r="S127" s="66">
        <f>Input_RAB_SCS!S130*Input_Connections!$I$16</f>
        <v>0</v>
      </c>
      <c r="T127" s="67">
        <f>Input_RAB_SCS!T130*Input_Connections!$I$16</f>
        <v>0</v>
      </c>
      <c r="U127" s="67">
        <f>Input_RAB_SCS!U130*Input_Connections!$I$16</f>
        <v>0</v>
      </c>
      <c r="V127" s="67">
        <f>Input_RAB_SCS!V130*Input_Connections!$I$16</f>
        <v>0</v>
      </c>
      <c r="W127" s="68">
        <f>Input_RAB_SCS!W130*Input_Connections!$I$16</f>
        <v>0</v>
      </c>
      <c r="X127" s="66">
        <f>Input_RAB_SCS!X130*Input_Connections!$I$16</f>
        <v>0</v>
      </c>
      <c r="Y127" s="67">
        <f>Input_RAB_SCS!Y130*Input_Connections!$I$16</f>
        <v>0</v>
      </c>
      <c r="Z127" s="67">
        <f>Input_RAB_SCS!Z130*Input_Connections!$I$16</f>
        <v>0</v>
      </c>
      <c r="AA127" s="67">
        <f>Input_RAB_SCS!AA130*Input_Connections!$I$16</f>
        <v>0</v>
      </c>
      <c r="AB127" s="68">
        <f>Input_RAB_SCS!AB130*Input_Connections!$I$16</f>
        <v>0</v>
      </c>
    </row>
    <row r="128" spans="1:28" ht="12.3" x14ac:dyDescent="0.35">
      <c r="D128" s="15" t="str">
        <f t="shared" si="101"/>
        <v>Protection</v>
      </c>
      <c r="E128" s="52" t="str">
        <f t="shared" si="105"/>
        <v>Input_RAB_SCS</v>
      </c>
      <c r="F128" s="52" t="str">
        <f t="shared" si="102"/>
        <v>Dollars</v>
      </c>
      <c r="G128" s="52" t="str">
        <f t="shared" si="103"/>
        <v>Nominal</v>
      </c>
      <c r="H128" s="52" t="str">
        <f t="shared" si="104"/>
        <v>End_year</v>
      </c>
      <c r="J128" s="36"/>
      <c r="K128" s="36"/>
      <c r="L128" s="36"/>
      <c r="M128" s="36"/>
      <c r="N128" s="36"/>
      <c r="O128" s="36"/>
      <c r="P128" s="36"/>
      <c r="Q128" s="36"/>
      <c r="R128" s="36"/>
      <c r="S128" s="36"/>
      <c r="T128" s="36"/>
      <c r="U128" s="36"/>
      <c r="V128" s="36"/>
      <c r="W128" s="36"/>
      <c r="X128" s="36"/>
      <c r="Y128" s="36"/>
      <c r="Z128" s="36"/>
      <c r="AA128" s="36"/>
      <c r="AB128" s="36"/>
    </row>
    <row r="129" spans="1:28" ht="12.3" x14ac:dyDescent="0.35">
      <c r="D129" s="15" t="str">
        <f t="shared" si="101"/>
        <v>SCADA</v>
      </c>
      <c r="E129" s="52" t="str">
        <f t="shared" si="105"/>
        <v>Input_RAB_SCS</v>
      </c>
      <c r="F129" s="52" t="str">
        <f t="shared" si="102"/>
        <v>Dollars</v>
      </c>
      <c r="G129" s="52" t="str">
        <f t="shared" si="103"/>
        <v>Nominal</v>
      </c>
      <c r="H129" s="52" t="str">
        <f t="shared" si="104"/>
        <v>End_year</v>
      </c>
      <c r="J129" s="36"/>
      <c r="K129" s="36"/>
      <c r="L129" s="36"/>
      <c r="M129" s="36"/>
      <c r="N129" s="36"/>
      <c r="O129" s="36"/>
      <c r="P129" s="36"/>
      <c r="Q129" s="36"/>
      <c r="R129" s="36"/>
      <c r="S129" s="36"/>
      <c r="T129" s="36"/>
      <c r="U129" s="36"/>
      <c r="V129" s="36"/>
      <c r="W129" s="36"/>
      <c r="X129" s="36"/>
      <c r="Y129" s="36"/>
      <c r="Z129" s="36"/>
      <c r="AA129" s="36"/>
      <c r="AB129" s="36"/>
    </row>
    <row r="130" spans="1:28" ht="12.3" x14ac:dyDescent="0.35">
      <c r="D130" s="15" t="str">
        <f t="shared" si="101"/>
        <v>Communications</v>
      </c>
      <c r="E130" s="52" t="str">
        <f t="shared" si="105"/>
        <v>Input_RAB_SCS</v>
      </c>
      <c r="F130" s="52" t="str">
        <f t="shared" si="102"/>
        <v>Dollars</v>
      </c>
      <c r="G130" s="52" t="str">
        <f t="shared" si="103"/>
        <v>Nominal</v>
      </c>
      <c r="H130" s="52" t="str">
        <f t="shared" si="104"/>
        <v>End_year</v>
      </c>
      <c r="J130" s="36"/>
      <c r="K130" s="36"/>
      <c r="L130" s="36"/>
      <c r="M130" s="36"/>
      <c r="N130" s="36"/>
      <c r="O130" s="36"/>
      <c r="P130" s="36"/>
      <c r="Q130" s="36"/>
      <c r="R130" s="36"/>
      <c r="S130" s="36"/>
      <c r="T130" s="36"/>
      <c r="U130" s="36"/>
      <c r="V130" s="36"/>
      <c r="W130" s="36"/>
      <c r="X130" s="36"/>
      <c r="Y130" s="36"/>
      <c r="Z130" s="36"/>
      <c r="AA130" s="36"/>
      <c r="AB130" s="36"/>
    </row>
    <row r="131" spans="1:28" ht="12.3" x14ac:dyDescent="0.35">
      <c r="D131" s="15" t="str">
        <f t="shared" si="101"/>
        <v>Land and Easements</v>
      </c>
      <c r="E131" s="52" t="str">
        <f t="shared" si="105"/>
        <v>Input_RAB_SCS</v>
      </c>
      <c r="F131" s="52" t="str">
        <f t="shared" si="102"/>
        <v>Dollars</v>
      </c>
      <c r="G131" s="52" t="str">
        <f t="shared" si="103"/>
        <v>Nominal</v>
      </c>
      <c r="H131" s="52" t="str">
        <f t="shared" si="104"/>
        <v>End_year</v>
      </c>
      <c r="J131" s="36"/>
      <c r="K131" s="36"/>
      <c r="L131" s="36"/>
      <c r="M131" s="36"/>
      <c r="N131" s="36"/>
      <c r="O131" s="36"/>
      <c r="P131" s="36"/>
      <c r="Q131" s="36"/>
      <c r="R131" s="36"/>
      <c r="S131" s="36"/>
      <c r="T131" s="36"/>
      <c r="U131" s="36"/>
      <c r="V131" s="36"/>
      <c r="W131" s="36"/>
      <c r="X131" s="36"/>
      <c r="Y131" s="36"/>
      <c r="Z131" s="36"/>
      <c r="AA131" s="36"/>
      <c r="AB131" s="36"/>
    </row>
    <row r="132" spans="1:28" ht="12.3" x14ac:dyDescent="0.35">
      <c r="D132" s="15" t="str">
        <f t="shared" si="101"/>
        <v>Property</v>
      </c>
      <c r="E132" s="52" t="str">
        <f t="shared" si="105"/>
        <v>Input_RAB_SCS</v>
      </c>
      <c r="F132" s="52" t="str">
        <f t="shared" si="102"/>
        <v>Dollars</v>
      </c>
      <c r="G132" s="52" t="str">
        <f t="shared" si="103"/>
        <v>Nominal</v>
      </c>
      <c r="H132" s="52" t="str">
        <f t="shared" si="104"/>
        <v>End_year</v>
      </c>
      <c r="J132" s="36"/>
      <c r="K132" s="36"/>
      <c r="L132" s="36"/>
      <c r="M132" s="36"/>
      <c r="N132" s="36"/>
      <c r="O132" s="36"/>
      <c r="P132" s="36"/>
      <c r="Q132" s="36"/>
      <c r="R132" s="36"/>
      <c r="S132" s="36"/>
      <c r="T132" s="36"/>
      <c r="U132" s="36"/>
      <c r="V132" s="36"/>
      <c r="W132" s="36"/>
      <c r="X132" s="36"/>
      <c r="Y132" s="36"/>
      <c r="Z132" s="36"/>
      <c r="AA132" s="36"/>
      <c r="AB132" s="36"/>
    </row>
    <row r="133" spans="1:28" ht="12.3" x14ac:dyDescent="0.35">
      <c r="D133" s="15" t="str">
        <f t="shared" si="101"/>
        <v>IT and Communications</v>
      </c>
      <c r="E133" s="52" t="str">
        <f t="shared" si="105"/>
        <v>Input_RAB_SCS</v>
      </c>
      <c r="F133" s="52" t="str">
        <f t="shared" si="102"/>
        <v>Dollars</v>
      </c>
      <c r="G133" s="52" t="str">
        <f t="shared" si="103"/>
        <v>Nominal</v>
      </c>
      <c r="H133" s="52" t="str">
        <f t="shared" si="104"/>
        <v>End_year</v>
      </c>
      <c r="J133" s="36"/>
      <c r="K133" s="36"/>
      <c r="L133" s="36"/>
      <c r="M133" s="36"/>
      <c r="N133" s="36"/>
      <c r="O133" s="36"/>
      <c r="P133" s="36"/>
      <c r="Q133" s="36"/>
      <c r="R133" s="36"/>
      <c r="S133" s="36"/>
      <c r="T133" s="36"/>
      <c r="U133" s="36"/>
      <c r="V133" s="36"/>
      <c r="W133" s="36"/>
      <c r="X133" s="36"/>
      <c r="Y133" s="36"/>
      <c r="Z133" s="36"/>
      <c r="AA133" s="36"/>
      <c r="AB133" s="36"/>
    </row>
    <row r="134" spans="1:28" ht="12.3" x14ac:dyDescent="0.35">
      <c r="D134" s="15" t="str">
        <f t="shared" si="101"/>
        <v>Motor Vehicles</v>
      </c>
      <c r="E134" s="52" t="str">
        <f t="shared" si="105"/>
        <v>Input_RAB_SCS</v>
      </c>
      <c r="F134" s="52" t="str">
        <f t="shared" si="102"/>
        <v>Dollars</v>
      </c>
      <c r="G134" s="52" t="str">
        <f t="shared" si="103"/>
        <v>Nominal</v>
      </c>
      <c r="H134" s="52" t="str">
        <f t="shared" si="104"/>
        <v>End_year</v>
      </c>
      <c r="J134" s="36"/>
      <c r="K134" s="36"/>
      <c r="L134" s="36"/>
      <c r="M134" s="36"/>
      <c r="N134" s="36"/>
      <c r="O134" s="36"/>
      <c r="P134" s="36"/>
      <c r="Q134" s="36"/>
      <c r="R134" s="36"/>
      <c r="S134" s="36"/>
      <c r="T134" s="36"/>
      <c r="U134" s="36"/>
      <c r="V134" s="36"/>
      <c r="W134" s="36"/>
      <c r="X134" s="36"/>
      <c r="Y134" s="36"/>
      <c r="Z134" s="36"/>
      <c r="AA134" s="36"/>
      <c r="AB134" s="36"/>
    </row>
    <row r="135" spans="1:28" ht="12.3" x14ac:dyDescent="0.35">
      <c r="D135" s="15" t="str">
        <f t="shared" si="101"/>
        <v>Plant and Equipment</v>
      </c>
      <c r="E135" s="52" t="str">
        <f t="shared" si="105"/>
        <v>Input_RAB_SCS</v>
      </c>
      <c r="F135" s="52" t="str">
        <f t="shared" si="102"/>
        <v>Dollars</v>
      </c>
      <c r="G135" s="52" t="str">
        <f t="shared" si="103"/>
        <v>Nominal</v>
      </c>
      <c r="H135" s="52" t="str">
        <f t="shared" si="104"/>
        <v>End_year</v>
      </c>
      <c r="J135" s="36"/>
      <c r="K135" s="36"/>
      <c r="L135" s="36"/>
      <c r="M135" s="36"/>
      <c r="N135" s="36"/>
      <c r="O135" s="36"/>
      <c r="P135" s="36"/>
      <c r="Q135" s="36"/>
      <c r="R135" s="36"/>
      <c r="S135" s="36"/>
      <c r="T135" s="36"/>
      <c r="U135" s="36"/>
      <c r="V135" s="36"/>
      <c r="W135" s="36"/>
      <c r="X135" s="36"/>
      <c r="Y135" s="36"/>
      <c r="Z135" s="36"/>
      <c r="AA135" s="36"/>
      <c r="AB135" s="36"/>
    </row>
    <row r="136" spans="1:28" ht="12.3" x14ac:dyDescent="0.35">
      <c r="D136" s="15" t="str">
        <f t="shared" ref="D136:D137" si="106">D32</f>
        <v>Property Leases</v>
      </c>
      <c r="E136" s="52" t="str">
        <f t="shared" si="105"/>
        <v>Input_RAB_SCS</v>
      </c>
      <c r="F136" s="52" t="str">
        <f t="shared" si="102"/>
        <v>Dollars</v>
      </c>
      <c r="G136" s="52" t="str">
        <f t="shared" si="103"/>
        <v>Nominal</v>
      </c>
      <c r="H136" s="52" t="str">
        <f t="shared" si="104"/>
        <v>End_year</v>
      </c>
      <c r="J136" s="36"/>
      <c r="K136" s="36"/>
      <c r="L136" s="36"/>
      <c r="M136" s="36"/>
      <c r="N136" s="36"/>
      <c r="O136" s="36"/>
      <c r="P136" s="36"/>
      <c r="Q136" s="36"/>
      <c r="R136" s="36"/>
      <c r="S136" s="36"/>
      <c r="T136" s="36"/>
      <c r="U136" s="36"/>
      <c r="V136" s="36"/>
      <c r="W136" s="36"/>
      <c r="X136" s="36"/>
      <c r="Y136" s="36"/>
      <c r="Z136" s="36"/>
      <c r="AA136" s="36"/>
      <c r="AB136" s="36"/>
    </row>
    <row r="137" spans="1:28" ht="12.3" x14ac:dyDescent="0.35">
      <c r="D137" s="15" t="str">
        <f t="shared" si="106"/>
        <v>Fleet Leases</v>
      </c>
      <c r="E137" s="52" t="str">
        <f t="shared" si="105"/>
        <v>Input_RAB_SCS</v>
      </c>
      <c r="F137" s="52" t="str">
        <f t="shared" si="102"/>
        <v>Dollars</v>
      </c>
      <c r="G137" s="52" t="str">
        <f t="shared" si="103"/>
        <v>Nominal</v>
      </c>
      <c r="H137" s="52" t="str">
        <f t="shared" si="104"/>
        <v>End_year</v>
      </c>
      <c r="J137" s="36"/>
      <c r="K137" s="36"/>
      <c r="L137" s="36"/>
      <c r="M137" s="36"/>
      <c r="N137" s="36"/>
      <c r="O137" s="36"/>
      <c r="P137" s="36"/>
      <c r="Q137" s="36"/>
      <c r="R137" s="36"/>
      <c r="S137" s="36"/>
      <c r="T137" s="36"/>
      <c r="U137" s="36"/>
      <c r="V137" s="36"/>
      <c r="W137" s="36"/>
      <c r="X137" s="36"/>
      <c r="Y137" s="36"/>
      <c r="Z137" s="36"/>
      <c r="AA137" s="36"/>
      <c r="AB137" s="36"/>
    </row>
    <row r="138" spans="1:28" ht="12.3" x14ac:dyDescent="0.35">
      <c r="D138" s="15" t="str">
        <f t="shared" ref="D138" si="107">D34</f>
        <v>Equity Raising Costs</v>
      </c>
      <c r="E138" s="52" t="str">
        <f>E135</f>
        <v>Input_RAB_SCS</v>
      </c>
      <c r="F138" s="52" t="str">
        <f t="shared" si="102"/>
        <v>Dollars</v>
      </c>
      <c r="G138" s="52" t="str">
        <f t="shared" si="103"/>
        <v>Nominal</v>
      </c>
      <c r="H138" s="52" t="str">
        <f t="shared" si="104"/>
        <v>End_year</v>
      </c>
      <c r="J138" s="36"/>
      <c r="K138" s="36"/>
      <c r="L138" s="36"/>
      <c r="M138" s="36"/>
      <c r="N138" s="36"/>
      <c r="O138" s="36"/>
      <c r="P138" s="36"/>
      <c r="Q138" s="36"/>
      <c r="R138" s="36"/>
      <c r="S138" s="36"/>
      <c r="T138" s="36"/>
      <c r="U138" s="36"/>
      <c r="V138" s="36"/>
      <c r="W138" s="36"/>
      <c r="X138" s="36"/>
      <c r="Y138" s="36"/>
      <c r="Z138" s="36"/>
      <c r="AA138" s="36"/>
      <c r="AB138" s="36"/>
    </row>
    <row r="139" spans="1:28" x14ac:dyDescent="0.35">
      <c r="J139" s="56"/>
      <c r="K139" s="57"/>
      <c r="L139" s="57"/>
      <c r="M139" s="57"/>
      <c r="N139" s="57"/>
      <c r="O139" s="57"/>
      <c r="P139" s="57"/>
      <c r="Q139" s="57"/>
      <c r="R139" s="58"/>
      <c r="S139" s="56"/>
      <c r="T139" s="57"/>
      <c r="U139" s="57"/>
      <c r="V139" s="57"/>
      <c r="W139" s="58"/>
      <c r="X139" s="56"/>
      <c r="Y139" s="57"/>
      <c r="Z139" s="57"/>
      <c r="AA139" s="57"/>
      <c r="AB139" s="58"/>
    </row>
    <row r="140" spans="1:28" ht="12.3" x14ac:dyDescent="0.35">
      <c r="D140" s="51" t="str">
        <f>"Total "&amp;D120</f>
        <v>Total RAB Asset Class</v>
      </c>
      <c r="E140" s="47" t="s">
        <v>111</v>
      </c>
      <c r="F140" s="47" t="str">
        <f>F122</f>
        <v>Dollars</v>
      </c>
      <c r="G140" s="47" t="str">
        <f>G122</f>
        <v>Nominal</v>
      </c>
      <c r="H140" s="47" t="str">
        <f>H122</f>
        <v>End_year</v>
      </c>
      <c r="J140" s="62">
        <f t="shared" ref="J140:AB140" si="108">SUM(J122:J138)</f>
        <v>0</v>
      </c>
      <c r="K140" s="46">
        <f t="shared" si="108"/>
        <v>0</v>
      </c>
      <c r="L140" s="46">
        <f t="shared" si="108"/>
        <v>0</v>
      </c>
      <c r="M140" s="46">
        <f t="shared" si="108"/>
        <v>0</v>
      </c>
      <c r="N140" s="46">
        <f t="shared" si="108"/>
        <v>0</v>
      </c>
      <c r="O140" s="46">
        <f t="shared" si="108"/>
        <v>1.7338194801887516E-2</v>
      </c>
      <c r="P140" s="46">
        <f t="shared" si="108"/>
        <v>1.5073706124764606E-2</v>
      </c>
      <c r="Q140" s="46">
        <f t="shared" si="108"/>
        <v>3.8082346145673372E-2</v>
      </c>
      <c r="R140" s="63">
        <f t="shared" si="108"/>
        <v>1.8705354458986183E-2</v>
      </c>
      <c r="S140" s="62">
        <f t="shared" si="108"/>
        <v>1.9217987150277767E-3</v>
      </c>
      <c r="T140" s="46">
        <f t="shared" si="108"/>
        <v>1.7083338034785014E-3</v>
      </c>
      <c r="U140" s="46">
        <f t="shared" si="108"/>
        <v>3.2580715732766509E-3</v>
      </c>
      <c r="V140" s="46">
        <f t="shared" si="108"/>
        <v>0</v>
      </c>
      <c r="W140" s="63">
        <f t="shared" si="108"/>
        <v>0</v>
      </c>
      <c r="X140" s="62">
        <f t="shared" si="108"/>
        <v>0</v>
      </c>
      <c r="Y140" s="46">
        <f t="shared" si="108"/>
        <v>0</v>
      </c>
      <c r="Z140" s="46">
        <f t="shared" si="108"/>
        <v>0</v>
      </c>
      <c r="AA140" s="46">
        <f t="shared" si="108"/>
        <v>0</v>
      </c>
      <c r="AB140" s="63">
        <f t="shared" si="108"/>
        <v>0</v>
      </c>
    </row>
    <row r="141" spans="1:28" s="6" customFormat="1" ht="11.25" customHeight="1" x14ac:dyDescent="0.35"/>
    <row r="142" spans="1:28" s="6" customFormat="1" ht="11.25" customHeight="1" x14ac:dyDescent="0.35">
      <c r="A142" s="49">
        <f>IF(SUM($J142:$AB142)&lt;&gt;0,1,0)</f>
        <v>0</v>
      </c>
      <c r="D142" s="15" t="s">
        <v>114</v>
      </c>
      <c r="J142" s="70">
        <f>IF(ISERROR(J140),1,0)</f>
        <v>0</v>
      </c>
      <c r="K142" s="70">
        <f t="shared" ref="K142:N142" si="109">IF(ISERROR(K140),1,0)</f>
        <v>0</v>
      </c>
      <c r="L142" s="70">
        <f t="shared" si="109"/>
        <v>0</v>
      </c>
      <c r="M142" s="70">
        <f t="shared" si="109"/>
        <v>0</v>
      </c>
      <c r="N142" s="70">
        <f t="shared" si="109"/>
        <v>0</v>
      </c>
      <c r="O142" s="70">
        <f>IF(ISERROR(O140),1,0)</f>
        <v>0</v>
      </c>
      <c r="P142" s="70">
        <f t="shared" ref="P142:S142" si="110">IF(ISERROR(P140),1,0)</f>
        <v>0</v>
      </c>
      <c r="Q142" s="70">
        <f t="shared" si="110"/>
        <v>0</v>
      </c>
      <c r="R142" s="70">
        <f t="shared" si="110"/>
        <v>0</v>
      </c>
      <c r="S142" s="70">
        <f t="shared" si="110"/>
        <v>0</v>
      </c>
      <c r="T142" s="70">
        <f>IF(ISERROR(T140),1,0)</f>
        <v>0</v>
      </c>
      <c r="U142" s="70">
        <f t="shared" ref="U142:X142" si="111">IF(ISERROR(U140),1,0)</f>
        <v>0</v>
      </c>
      <c r="V142" s="70">
        <f t="shared" si="111"/>
        <v>0</v>
      </c>
      <c r="W142" s="70">
        <f t="shared" si="111"/>
        <v>0</v>
      </c>
      <c r="X142" s="70">
        <f t="shared" si="111"/>
        <v>0</v>
      </c>
      <c r="Y142" s="70">
        <f>IF(ISERROR(Y140),1,0)</f>
        <v>0</v>
      </c>
      <c r="Z142" s="70">
        <f t="shared" ref="Z142:AB142" si="112">IF(ISERROR(Z140),1,0)</f>
        <v>0</v>
      </c>
      <c r="AA142" s="70">
        <f t="shared" si="112"/>
        <v>0</v>
      </c>
      <c r="AB142" s="70">
        <f t="shared" si="112"/>
        <v>0</v>
      </c>
    </row>
    <row r="144" spans="1:28" s="13" customFormat="1" ht="14.1" x14ac:dyDescent="0.35">
      <c r="C144" s="13" t="s">
        <v>176</v>
      </c>
    </row>
    <row r="145" spans="4:28" s="6" customFormat="1" ht="11.25" customHeight="1" x14ac:dyDescent="0.35"/>
    <row r="146" spans="4:28" ht="12.3" x14ac:dyDescent="0.35">
      <c r="D146" s="50" t="str">
        <f>D$16</f>
        <v>RAB Asset Class</v>
      </c>
      <c r="E146" s="45" t="str">
        <f>Lookup!E$20</f>
        <v>Source</v>
      </c>
      <c r="F146" s="45" t="str">
        <f>Lookup!F$20</f>
        <v>Unit</v>
      </c>
      <c r="G146" s="45" t="str">
        <f>Lookup!G$20</f>
        <v>Basis</v>
      </c>
      <c r="H146" s="45" t="str">
        <f>Lookup!H$20</f>
        <v>Timing</v>
      </c>
      <c r="J146" s="54" t="str">
        <f>J$10</f>
        <v>RY06</v>
      </c>
      <c r="K146" s="45" t="str">
        <f t="shared" ref="K146:AB146" si="113">K$10</f>
        <v>RY07</v>
      </c>
      <c r="L146" s="45" t="str">
        <f t="shared" si="113"/>
        <v>RY08</v>
      </c>
      <c r="M146" s="45" t="str">
        <f t="shared" si="113"/>
        <v>RY09</v>
      </c>
      <c r="N146" s="45" t="str">
        <f t="shared" si="113"/>
        <v>RY10</v>
      </c>
      <c r="O146" s="45" t="str">
        <f>O$10</f>
        <v>RY11</v>
      </c>
      <c r="P146" s="45" t="str">
        <f t="shared" si="113"/>
        <v>RY12</v>
      </c>
      <c r="Q146" s="45" t="str">
        <f t="shared" si="113"/>
        <v>RY13</v>
      </c>
      <c r="R146" s="55" t="str">
        <f t="shared" si="113"/>
        <v>RY14</v>
      </c>
      <c r="S146" s="54" t="str">
        <f t="shared" si="113"/>
        <v>RY15</v>
      </c>
      <c r="T146" s="45" t="str">
        <f>T$10</f>
        <v>RY16</v>
      </c>
      <c r="U146" s="45" t="str">
        <f t="shared" si="113"/>
        <v>RY17</v>
      </c>
      <c r="V146" s="45" t="str">
        <f t="shared" si="113"/>
        <v>RY18</v>
      </c>
      <c r="W146" s="55" t="str">
        <f t="shared" si="113"/>
        <v>RY19</v>
      </c>
      <c r="X146" s="54" t="str">
        <f t="shared" si="113"/>
        <v>RY20</v>
      </c>
      <c r="Y146" s="45" t="str">
        <f>Y$10</f>
        <v>RY21</v>
      </c>
      <c r="Z146" s="45" t="str">
        <f t="shared" si="113"/>
        <v>RY22</v>
      </c>
      <c r="AA146" s="45" t="str">
        <f t="shared" si="113"/>
        <v>RY23</v>
      </c>
      <c r="AB146" s="55" t="str">
        <f t="shared" si="113"/>
        <v>RY24</v>
      </c>
    </row>
    <row r="147" spans="4:28" x14ac:dyDescent="0.35">
      <c r="J147" s="56"/>
      <c r="K147" s="57"/>
      <c r="L147" s="57"/>
      <c r="M147" s="57"/>
      <c r="N147" s="57"/>
      <c r="O147" s="57"/>
      <c r="P147" s="57"/>
      <c r="Q147" s="57"/>
      <c r="R147" s="58"/>
      <c r="S147" s="56"/>
      <c r="T147" s="57"/>
      <c r="U147" s="57"/>
      <c r="V147" s="57"/>
      <c r="W147" s="58"/>
      <c r="X147" s="56"/>
      <c r="Y147" s="57"/>
      <c r="Z147" s="57"/>
      <c r="AA147" s="57"/>
      <c r="AB147" s="58"/>
    </row>
    <row r="148" spans="4:28" ht="12.3" x14ac:dyDescent="0.35">
      <c r="D148" s="15" t="str">
        <f t="shared" ref="D148:D161" si="114">D18</f>
        <v>Substations</v>
      </c>
      <c r="E148" s="52" t="s">
        <v>111</v>
      </c>
      <c r="F148" s="52" t="str">
        <f t="shared" ref="F148:F164" si="115">Dollars</f>
        <v>Dollars</v>
      </c>
      <c r="G148" s="52" t="str">
        <f t="shared" ref="G148:G164" si="116">Nominal</f>
        <v>Nominal</v>
      </c>
      <c r="H148" s="52" t="str">
        <f t="shared" ref="H148:H164" si="117">End_year</f>
        <v>End_year</v>
      </c>
      <c r="J148" s="66">
        <f t="shared" ref="J148:J161" si="118">J18+J44+J70+J96+J122</f>
        <v>0</v>
      </c>
      <c r="K148" s="67">
        <f t="shared" ref="K148:AB148" si="119">K18+K44+K70+K96+K122</f>
        <v>0</v>
      </c>
      <c r="L148" s="67">
        <f t="shared" si="119"/>
        <v>0</v>
      </c>
      <c r="M148" s="67">
        <f t="shared" si="119"/>
        <v>0</v>
      </c>
      <c r="N148" s="67">
        <f t="shared" si="119"/>
        <v>0</v>
      </c>
      <c r="O148" s="67">
        <f t="shared" si="119"/>
        <v>0</v>
      </c>
      <c r="P148" s="67">
        <f t="shared" si="119"/>
        <v>0</v>
      </c>
      <c r="Q148" s="67">
        <f t="shared" si="119"/>
        <v>0</v>
      </c>
      <c r="R148" s="68">
        <f t="shared" si="119"/>
        <v>0</v>
      </c>
      <c r="S148" s="66">
        <f t="shared" si="119"/>
        <v>0</v>
      </c>
      <c r="T148" s="67">
        <f t="shared" si="119"/>
        <v>0</v>
      </c>
      <c r="U148" s="67">
        <f t="shared" si="119"/>
        <v>0</v>
      </c>
      <c r="V148" s="67">
        <f t="shared" si="119"/>
        <v>0</v>
      </c>
      <c r="W148" s="68">
        <f t="shared" si="119"/>
        <v>0</v>
      </c>
      <c r="X148" s="66">
        <f t="shared" si="119"/>
        <v>0</v>
      </c>
      <c r="Y148" s="67">
        <f t="shared" si="119"/>
        <v>0</v>
      </c>
      <c r="Z148" s="67">
        <f t="shared" si="119"/>
        <v>0</v>
      </c>
      <c r="AA148" s="67">
        <f t="shared" si="119"/>
        <v>0</v>
      </c>
      <c r="AB148" s="68">
        <f t="shared" si="119"/>
        <v>0</v>
      </c>
    </row>
    <row r="149" spans="4:28" ht="12.3" x14ac:dyDescent="0.35">
      <c r="D149" s="15" t="str">
        <f t="shared" si="114"/>
        <v>Distribution Lines</v>
      </c>
      <c r="E149" s="52" t="s">
        <v>111</v>
      </c>
      <c r="F149" s="52" t="str">
        <f t="shared" si="115"/>
        <v>Dollars</v>
      </c>
      <c r="G149" s="52" t="str">
        <f t="shared" si="116"/>
        <v>Nominal</v>
      </c>
      <c r="H149" s="52" t="str">
        <f t="shared" si="117"/>
        <v>End_year</v>
      </c>
      <c r="J149" s="66">
        <f t="shared" si="118"/>
        <v>-3.222269461557818</v>
      </c>
      <c r="K149" s="67">
        <f t="shared" ref="K149:AB149" si="120">K19+K45+K71+K97+K123</f>
        <v>-3.4938791880227935</v>
      </c>
      <c r="L149" s="67">
        <f t="shared" si="120"/>
        <v>-3.8578966446506331</v>
      </c>
      <c r="M149" s="67">
        <f t="shared" si="120"/>
        <v>-4.1311242859771031</v>
      </c>
      <c r="N149" s="67">
        <f t="shared" si="120"/>
        <v>-4.4217764768707823</v>
      </c>
      <c r="O149" s="67">
        <f t="shared" si="120"/>
        <v>-4.73098450871748</v>
      </c>
      <c r="P149" s="67">
        <f t="shared" si="120"/>
        <v>-5.0175005678912239</v>
      </c>
      <c r="Q149" s="67">
        <f t="shared" si="120"/>
        <v>-5.6226190476686408</v>
      </c>
      <c r="R149" s="68">
        <f t="shared" si="120"/>
        <v>-6.0221497892690969</v>
      </c>
      <c r="S149" s="66">
        <f t="shared" si="120"/>
        <v>-6.2414382644215713</v>
      </c>
      <c r="T149" s="67">
        <f t="shared" si="120"/>
        <v>-6.3271543617229193</v>
      </c>
      <c r="U149" s="67">
        <f t="shared" si="120"/>
        <v>-6.4431723869911899</v>
      </c>
      <c r="V149" s="67">
        <f t="shared" si="120"/>
        <v>-6.4800365716482249</v>
      </c>
      <c r="W149" s="68">
        <f t="shared" si="120"/>
        <v>-6.5912292671084671</v>
      </c>
      <c r="X149" s="66">
        <f t="shared" si="120"/>
        <v>-6.9134121116744476</v>
      </c>
      <c r="Y149" s="67">
        <f t="shared" si="120"/>
        <v>-7.4550191728044073</v>
      </c>
      <c r="Z149" s="67">
        <f t="shared" si="120"/>
        <v>-7.8493511565867395</v>
      </c>
      <c r="AA149" s="67">
        <f t="shared" si="120"/>
        <v>-8.1926831819740169</v>
      </c>
      <c r="AB149" s="68">
        <f t="shared" si="120"/>
        <v>-8.5939991797823243</v>
      </c>
    </row>
    <row r="150" spans="4:28" ht="12.3" x14ac:dyDescent="0.35">
      <c r="D150" s="15" t="str">
        <f t="shared" si="114"/>
        <v>Transmission Lines</v>
      </c>
      <c r="E150" s="52" t="s">
        <v>111</v>
      </c>
      <c r="F150" s="52" t="str">
        <f t="shared" si="115"/>
        <v>Dollars</v>
      </c>
      <c r="G150" s="52" t="str">
        <f t="shared" si="116"/>
        <v>Nominal</v>
      </c>
      <c r="H150" s="52" t="str">
        <f t="shared" si="117"/>
        <v>End_year</v>
      </c>
      <c r="J150" s="66">
        <f t="shared" si="118"/>
        <v>0</v>
      </c>
      <c r="K150" s="67">
        <f t="shared" ref="K150:AB150" si="121">K20+K46+K72+K98+K124</f>
        <v>0</v>
      </c>
      <c r="L150" s="67">
        <f t="shared" si="121"/>
        <v>0</v>
      </c>
      <c r="M150" s="67">
        <f t="shared" si="121"/>
        <v>0</v>
      </c>
      <c r="N150" s="67">
        <f t="shared" si="121"/>
        <v>0</v>
      </c>
      <c r="O150" s="67">
        <f t="shared" si="121"/>
        <v>0</v>
      </c>
      <c r="P150" s="67">
        <f t="shared" si="121"/>
        <v>0</v>
      </c>
      <c r="Q150" s="67">
        <f t="shared" si="121"/>
        <v>0</v>
      </c>
      <c r="R150" s="68">
        <f t="shared" si="121"/>
        <v>0</v>
      </c>
      <c r="S150" s="66">
        <f t="shared" si="121"/>
        <v>0</v>
      </c>
      <c r="T150" s="67">
        <f t="shared" si="121"/>
        <v>0</v>
      </c>
      <c r="U150" s="67">
        <f t="shared" si="121"/>
        <v>0</v>
      </c>
      <c r="V150" s="67">
        <f t="shared" si="121"/>
        <v>0</v>
      </c>
      <c r="W150" s="68">
        <f t="shared" si="121"/>
        <v>0</v>
      </c>
      <c r="X150" s="66">
        <f t="shared" si="121"/>
        <v>0</v>
      </c>
      <c r="Y150" s="67">
        <f t="shared" si="121"/>
        <v>0</v>
      </c>
      <c r="Z150" s="67">
        <f t="shared" si="121"/>
        <v>0</v>
      </c>
      <c r="AA150" s="67">
        <f t="shared" si="121"/>
        <v>0</v>
      </c>
      <c r="AB150" s="68">
        <f t="shared" si="121"/>
        <v>0</v>
      </c>
    </row>
    <row r="151" spans="4:28" ht="12.3" x14ac:dyDescent="0.35">
      <c r="D151" s="15" t="str">
        <f t="shared" si="114"/>
        <v>LV Services</v>
      </c>
      <c r="E151" s="52" t="s">
        <v>111</v>
      </c>
      <c r="F151" s="52" t="str">
        <f t="shared" si="115"/>
        <v>Dollars</v>
      </c>
      <c r="G151" s="52" t="str">
        <f t="shared" si="116"/>
        <v>Nominal</v>
      </c>
      <c r="H151" s="52" t="str">
        <f t="shared" si="117"/>
        <v>End_year</v>
      </c>
      <c r="J151" s="66">
        <f t="shared" si="118"/>
        <v>-4.1870241505062014E-3</v>
      </c>
      <c r="K151" s="67">
        <f t="shared" ref="K151:AB151" si="122">K21+K47+K73+K99+K125</f>
        <v>-4.2910803719980713E-3</v>
      </c>
      <c r="L151" s="67">
        <f t="shared" si="122"/>
        <v>-4.4744175241504137E-3</v>
      </c>
      <c r="M151" s="67">
        <f t="shared" si="122"/>
        <v>-4.5834288038085636E-3</v>
      </c>
      <c r="N151" s="67">
        <f t="shared" si="122"/>
        <v>-4.7172153742981102E-3</v>
      </c>
      <c r="O151" s="67">
        <f t="shared" si="122"/>
        <v>-4.870822177452775E-3</v>
      </c>
      <c r="P151" s="67">
        <f t="shared" si="122"/>
        <v>-4.9501031081132484E-3</v>
      </c>
      <c r="Q151" s="67">
        <f t="shared" si="122"/>
        <v>-5.0739795622702366E-3</v>
      </c>
      <c r="R151" s="68">
        <f t="shared" si="122"/>
        <v>-5.2987323324175818E-3</v>
      </c>
      <c r="S151" s="66">
        <f t="shared" si="122"/>
        <v>-5.4250886655758418E-2</v>
      </c>
      <c r="T151" s="67">
        <f t="shared" si="122"/>
        <v>-0.10474781902871416</v>
      </c>
      <c r="U151" s="67">
        <f t="shared" si="122"/>
        <v>-0.15253470094034832</v>
      </c>
      <c r="V151" s="67">
        <f t="shared" si="122"/>
        <v>-0.15664173039970009</v>
      </c>
      <c r="W151" s="68">
        <f t="shared" si="122"/>
        <v>-0.16191722297100711</v>
      </c>
      <c r="X151" s="66">
        <f t="shared" si="122"/>
        <v>-0.20861914655078892</v>
      </c>
      <c r="Y151" s="67">
        <f t="shared" si="122"/>
        <v>-0.21664815752114527</v>
      </c>
      <c r="Z151" s="67">
        <f t="shared" si="122"/>
        <v>-0.22305598153822681</v>
      </c>
      <c r="AA151" s="67">
        <f t="shared" si="122"/>
        <v>-0.22812422487949729</v>
      </c>
      <c r="AB151" s="68">
        <f t="shared" si="122"/>
        <v>-0.23391832597783446</v>
      </c>
    </row>
    <row r="152" spans="4:28" ht="12.3" x14ac:dyDescent="0.35">
      <c r="D152" s="15" t="str">
        <f t="shared" si="114"/>
        <v>Distribution Substations</v>
      </c>
      <c r="E152" s="52" t="s">
        <v>111</v>
      </c>
      <c r="F152" s="52" t="str">
        <f t="shared" si="115"/>
        <v>Dollars</v>
      </c>
      <c r="G152" s="52" t="str">
        <f t="shared" si="116"/>
        <v>Nominal</v>
      </c>
      <c r="H152" s="52" t="str">
        <f t="shared" si="117"/>
        <v>End_year</v>
      </c>
      <c r="J152" s="66">
        <f t="shared" si="118"/>
        <v>-1.2371016818908203</v>
      </c>
      <c r="K152" s="67">
        <f t="shared" ref="K152:AB152" si="123">K22+K48+K74+K100+K126</f>
        <v>-1.1921740568386097</v>
      </c>
      <c r="L152" s="67">
        <f t="shared" si="123"/>
        <v>-1.3370830016369748</v>
      </c>
      <c r="M152" s="67">
        <f t="shared" si="123"/>
        <v>-1.420539667918546</v>
      </c>
      <c r="N152" s="67">
        <f t="shared" si="123"/>
        <v>-1.7236948569088506</v>
      </c>
      <c r="O152" s="67">
        <f t="shared" si="123"/>
        <v>-2.0108798427355943</v>
      </c>
      <c r="P152" s="67">
        <f t="shared" si="123"/>
        <v>-2.06805047992126</v>
      </c>
      <c r="Q152" s="67">
        <f t="shared" si="123"/>
        <v>-2.1337848269450714</v>
      </c>
      <c r="R152" s="68">
        <f t="shared" si="123"/>
        <v>-2.1993613257971245</v>
      </c>
      <c r="S152" s="66">
        <f t="shared" si="123"/>
        <v>-2.3560683679742618</v>
      </c>
      <c r="T152" s="67">
        <f t="shared" si="123"/>
        <v>-2.4407034607779412</v>
      </c>
      <c r="U152" s="67">
        <f t="shared" si="123"/>
        <v>-2.4803254726938389</v>
      </c>
      <c r="V152" s="67">
        <f t="shared" si="123"/>
        <v>-2.4828875176077418</v>
      </c>
      <c r="W152" s="68">
        <f t="shared" si="123"/>
        <v>-2.5327541129650557</v>
      </c>
      <c r="X152" s="66">
        <f t="shared" si="123"/>
        <v>-2.6845897591267192</v>
      </c>
      <c r="Y152" s="67">
        <f t="shared" si="123"/>
        <v>-2.7360208333305174</v>
      </c>
      <c r="Z152" s="67">
        <f t="shared" si="123"/>
        <v>-2.7871826876110455</v>
      </c>
      <c r="AA152" s="67">
        <f t="shared" si="123"/>
        <v>-2.8587582980326456</v>
      </c>
      <c r="AB152" s="68">
        <f t="shared" si="123"/>
        <v>-2.9374725832991655</v>
      </c>
    </row>
    <row r="153" spans="4:28" ht="12.3" x14ac:dyDescent="0.35">
      <c r="D153" s="15" t="str">
        <f t="shared" si="114"/>
        <v>Distribution Switchgear</v>
      </c>
      <c r="E153" s="52" t="s">
        <v>111</v>
      </c>
      <c r="F153" s="52" t="str">
        <f t="shared" si="115"/>
        <v>Dollars</v>
      </c>
      <c r="G153" s="52" t="str">
        <f t="shared" si="116"/>
        <v>Nominal</v>
      </c>
      <c r="H153" s="52" t="str">
        <f t="shared" si="117"/>
        <v>End_year</v>
      </c>
      <c r="J153" s="66">
        <f t="shared" si="118"/>
        <v>-0.18833836174961244</v>
      </c>
      <c r="K153" s="67">
        <f t="shared" ref="K153:AB153" si="124">K23+K49+K75+K101+K127</f>
        <v>-0.19301896008895189</v>
      </c>
      <c r="L153" s="67">
        <f t="shared" si="124"/>
        <v>-0.21080152268216062</v>
      </c>
      <c r="M153" s="67">
        <f t="shared" si="124"/>
        <v>-0.34697580428995889</v>
      </c>
      <c r="N153" s="67">
        <f t="shared" si="124"/>
        <v>-0.35710374668544953</v>
      </c>
      <c r="O153" s="67">
        <f t="shared" si="124"/>
        <v>-0.36873212499138325</v>
      </c>
      <c r="P153" s="67">
        <f t="shared" si="124"/>
        <v>-0.37473386863315555</v>
      </c>
      <c r="Q153" s="67">
        <f t="shared" si="124"/>
        <v>-0.38411159307342468</v>
      </c>
      <c r="R153" s="68">
        <f t="shared" si="124"/>
        <v>-0.4014864772697801</v>
      </c>
      <c r="S153" s="66">
        <f t="shared" si="124"/>
        <v>-0.52490399878474792</v>
      </c>
      <c r="T153" s="67">
        <f t="shared" si="124"/>
        <v>-0.67200974056923368</v>
      </c>
      <c r="U153" s="67">
        <f t="shared" si="124"/>
        <v>-0.80893899842907424</v>
      </c>
      <c r="V153" s="67">
        <f t="shared" si="124"/>
        <v>-0.93291043718256206</v>
      </c>
      <c r="W153" s="68">
        <f t="shared" si="124"/>
        <v>-1.0326619104026544</v>
      </c>
      <c r="X153" s="66">
        <f t="shared" si="124"/>
        <v>-1.2847930689622573</v>
      </c>
      <c r="Y153" s="67">
        <f t="shared" si="124"/>
        <v>-1.4163651693763848</v>
      </c>
      <c r="Z153" s="67">
        <f t="shared" si="124"/>
        <v>-1.5418444367661504</v>
      </c>
      <c r="AA153" s="67">
        <f t="shared" si="124"/>
        <v>-1.6834520478409754</v>
      </c>
      <c r="AB153" s="68">
        <f t="shared" si="124"/>
        <v>-1.8344187990194836</v>
      </c>
    </row>
    <row r="154" spans="4:28" ht="12.3" x14ac:dyDescent="0.35">
      <c r="D154" s="15" t="str">
        <f t="shared" si="114"/>
        <v>Protection</v>
      </c>
      <c r="E154" s="52" t="s">
        <v>111</v>
      </c>
      <c r="F154" s="52" t="str">
        <f t="shared" si="115"/>
        <v>Dollars</v>
      </c>
      <c r="G154" s="52" t="str">
        <f t="shared" si="116"/>
        <v>Nominal</v>
      </c>
      <c r="H154" s="52" t="str">
        <f t="shared" si="117"/>
        <v>End_year</v>
      </c>
      <c r="J154" s="66">
        <f t="shared" si="118"/>
        <v>0</v>
      </c>
      <c r="K154" s="67">
        <f t="shared" ref="K154:AB154" si="125">K24+K50+K76+K102+K128</f>
        <v>0</v>
      </c>
      <c r="L154" s="67">
        <f t="shared" si="125"/>
        <v>0</v>
      </c>
      <c r="M154" s="67">
        <f t="shared" si="125"/>
        <v>0</v>
      </c>
      <c r="N154" s="67">
        <f t="shared" si="125"/>
        <v>0</v>
      </c>
      <c r="O154" s="67">
        <f t="shared" si="125"/>
        <v>0</v>
      </c>
      <c r="P154" s="67">
        <f t="shared" si="125"/>
        <v>0</v>
      </c>
      <c r="Q154" s="67">
        <f t="shared" si="125"/>
        <v>0</v>
      </c>
      <c r="R154" s="68">
        <f t="shared" si="125"/>
        <v>0</v>
      </c>
      <c r="S154" s="66">
        <f t="shared" si="125"/>
        <v>0</v>
      </c>
      <c r="T154" s="67">
        <f t="shared" si="125"/>
        <v>0</v>
      </c>
      <c r="U154" s="67">
        <f t="shared" si="125"/>
        <v>0</v>
      </c>
      <c r="V154" s="67">
        <f t="shared" si="125"/>
        <v>0</v>
      </c>
      <c r="W154" s="68">
        <f t="shared" si="125"/>
        <v>0</v>
      </c>
      <c r="X154" s="66">
        <f t="shared" si="125"/>
        <v>0</v>
      </c>
      <c r="Y154" s="67">
        <f t="shared" si="125"/>
        <v>0</v>
      </c>
      <c r="Z154" s="67">
        <f t="shared" si="125"/>
        <v>0</v>
      </c>
      <c r="AA154" s="67">
        <f t="shared" si="125"/>
        <v>0</v>
      </c>
      <c r="AB154" s="68">
        <f t="shared" si="125"/>
        <v>0</v>
      </c>
    </row>
    <row r="155" spans="4:28" ht="12.3" x14ac:dyDescent="0.35">
      <c r="D155" s="15" t="str">
        <f t="shared" si="114"/>
        <v>SCADA</v>
      </c>
      <c r="E155" s="52" t="s">
        <v>111</v>
      </c>
      <c r="F155" s="52" t="str">
        <f t="shared" si="115"/>
        <v>Dollars</v>
      </c>
      <c r="G155" s="52" t="str">
        <f t="shared" si="116"/>
        <v>Nominal</v>
      </c>
      <c r="H155" s="52" t="str">
        <f t="shared" si="117"/>
        <v>End_year</v>
      </c>
      <c r="J155" s="66">
        <f t="shared" si="118"/>
        <v>0</v>
      </c>
      <c r="K155" s="67">
        <f t="shared" ref="K155:AB155" si="126">K25+K51+K77+K103+K129</f>
        <v>0</v>
      </c>
      <c r="L155" s="67">
        <f t="shared" si="126"/>
        <v>0</v>
      </c>
      <c r="M155" s="67">
        <f t="shared" si="126"/>
        <v>0</v>
      </c>
      <c r="N155" s="67">
        <f t="shared" si="126"/>
        <v>0</v>
      </c>
      <c r="O155" s="67">
        <f t="shared" si="126"/>
        <v>0</v>
      </c>
      <c r="P155" s="67">
        <f t="shared" si="126"/>
        <v>0</v>
      </c>
      <c r="Q155" s="67">
        <f t="shared" si="126"/>
        <v>0</v>
      </c>
      <c r="R155" s="68">
        <f t="shared" si="126"/>
        <v>0</v>
      </c>
      <c r="S155" s="66">
        <f t="shared" si="126"/>
        <v>0</v>
      </c>
      <c r="T155" s="67">
        <f t="shared" si="126"/>
        <v>0</v>
      </c>
      <c r="U155" s="67">
        <f t="shared" si="126"/>
        <v>0</v>
      </c>
      <c r="V155" s="67">
        <f t="shared" si="126"/>
        <v>0</v>
      </c>
      <c r="W155" s="68">
        <f t="shared" si="126"/>
        <v>0</v>
      </c>
      <c r="X155" s="66">
        <f t="shared" si="126"/>
        <v>0</v>
      </c>
      <c r="Y155" s="67">
        <f t="shared" si="126"/>
        <v>0</v>
      </c>
      <c r="Z155" s="67">
        <f t="shared" si="126"/>
        <v>0</v>
      </c>
      <c r="AA155" s="67">
        <f t="shared" si="126"/>
        <v>0</v>
      </c>
      <c r="AB155" s="68">
        <f t="shared" si="126"/>
        <v>0</v>
      </c>
    </row>
    <row r="156" spans="4:28" ht="12.3" x14ac:dyDescent="0.35">
      <c r="D156" s="15" t="str">
        <f t="shared" si="114"/>
        <v>Communications</v>
      </c>
      <c r="E156" s="52" t="s">
        <v>111</v>
      </c>
      <c r="F156" s="52" t="str">
        <f t="shared" si="115"/>
        <v>Dollars</v>
      </c>
      <c r="G156" s="52" t="str">
        <f t="shared" si="116"/>
        <v>Nominal</v>
      </c>
      <c r="H156" s="52" t="str">
        <f t="shared" si="117"/>
        <v>End_year</v>
      </c>
      <c r="J156" s="66">
        <f t="shared" si="118"/>
        <v>0</v>
      </c>
      <c r="K156" s="67">
        <f t="shared" ref="K156:AB156" si="127">K26+K52+K78+K104+K130</f>
        <v>0</v>
      </c>
      <c r="L156" s="67">
        <f t="shared" si="127"/>
        <v>0</v>
      </c>
      <c r="M156" s="67">
        <f t="shared" si="127"/>
        <v>0</v>
      </c>
      <c r="N156" s="67">
        <f t="shared" si="127"/>
        <v>0</v>
      </c>
      <c r="O156" s="67">
        <f t="shared" si="127"/>
        <v>0</v>
      </c>
      <c r="P156" s="67">
        <f t="shared" si="127"/>
        <v>0</v>
      </c>
      <c r="Q156" s="67">
        <f t="shared" si="127"/>
        <v>0</v>
      </c>
      <c r="R156" s="68">
        <f t="shared" si="127"/>
        <v>0</v>
      </c>
      <c r="S156" s="66">
        <f t="shared" si="127"/>
        <v>0</v>
      </c>
      <c r="T156" s="67">
        <f t="shared" si="127"/>
        <v>0</v>
      </c>
      <c r="U156" s="67">
        <f t="shared" si="127"/>
        <v>0</v>
      </c>
      <c r="V156" s="67">
        <f t="shared" si="127"/>
        <v>0</v>
      </c>
      <c r="W156" s="68">
        <f t="shared" si="127"/>
        <v>0</v>
      </c>
      <c r="X156" s="66">
        <f t="shared" si="127"/>
        <v>0</v>
      </c>
      <c r="Y156" s="67">
        <f t="shared" si="127"/>
        <v>0</v>
      </c>
      <c r="Z156" s="67">
        <f t="shared" si="127"/>
        <v>0</v>
      </c>
      <c r="AA156" s="67">
        <f t="shared" si="127"/>
        <v>0</v>
      </c>
      <c r="AB156" s="68">
        <f t="shared" si="127"/>
        <v>0</v>
      </c>
    </row>
    <row r="157" spans="4:28" ht="12.3" x14ac:dyDescent="0.35">
      <c r="D157" s="15" t="str">
        <f t="shared" si="114"/>
        <v>Land and Easements</v>
      </c>
      <c r="E157" s="52" t="s">
        <v>111</v>
      </c>
      <c r="F157" s="52" t="str">
        <f t="shared" si="115"/>
        <v>Dollars</v>
      </c>
      <c r="G157" s="52" t="str">
        <f t="shared" si="116"/>
        <v>Nominal</v>
      </c>
      <c r="H157" s="52" t="str">
        <f t="shared" si="117"/>
        <v>End_year</v>
      </c>
      <c r="J157" s="66">
        <f t="shared" si="118"/>
        <v>0</v>
      </c>
      <c r="K157" s="67">
        <f t="shared" ref="K157:AB157" si="128">K27+K53+K79+K105+K131</f>
        <v>0</v>
      </c>
      <c r="L157" s="67">
        <f t="shared" si="128"/>
        <v>0</v>
      </c>
      <c r="M157" s="67">
        <f t="shared" si="128"/>
        <v>0</v>
      </c>
      <c r="N157" s="67">
        <f t="shared" si="128"/>
        <v>0</v>
      </c>
      <c r="O157" s="67">
        <f t="shared" si="128"/>
        <v>0</v>
      </c>
      <c r="P157" s="67">
        <f t="shared" si="128"/>
        <v>0</v>
      </c>
      <c r="Q157" s="67">
        <f t="shared" si="128"/>
        <v>0</v>
      </c>
      <c r="R157" s="68">
        <f t="shared" si="128"/>
        <v>0</v>
      </c>
      <c r="S157" s="66">
        <f t="shared" si="128"/>
        <v>0</v>
      </c>
      <c r="T157" s="67">
        <f t="shared" si="128"/>
        <v>0</v>
      </c>
      <c r="U157" s="67">
        <f t="shared" si="128"/>
        <v>0</v>
      </c>
      <c r="V157" s="67">
        <f t="shared" si="128"/>
        <v>0</v>
      </c>
      <c r="W157" s="68">
        <f t="shared" si="128"/>
        <v>0</v>
      </c>
      <c r="X157" s="66">
        <f t="shared" si="128"/>
        <v>0</v>
      </c>
      <c r="Y157" s="67">
        <f t="shared" si="128"/>
        <v>0</v>
      </c>
      <c r="Z157" s="67">
        <f t="shared" si="128"/>
        <v>0</v>
      </c>
      <c r="AA157" s="67">
        <f t="shared" si="128"/>
        <v>0</v>
      </c>
      <c r="AB157" s="68">
        <f t="shared" si="128"/>
        <v>0</v>
      </c>
    </row>
    <row r="158" spans="4:28" ht="12.3" x14ac:dyDescent="0.35">
      <c r="D158" s="15" t="str">
        <f t="shared" si="114"/>
        <v>Property</v>
      </c>
      <c r="E158" s="52" t="s">
        <v>111</v>
      </c>
      <c r="F158" s="52" t="str">
        <f t="shared" si="115"/>
        <v>Dollars</v>
      </c>
      <c r="G158" s="52" t="str">
        <f t="shared" si="116"/>
        <v>Nominal</v>
      </c>
      <c r="H158" s="52" t="str">
        <f t="shared" si="117"/>
        <v>End_year</v>
      </c>
      <c r="J158" s="66">
        <f t="shared" si="118"/>
        <v>0</v>
      </c>
      <c r="K158" s="67">
        <f t="shared" ref="K158:AB158" si="129">K28+K54+K80+K106+K132</f>
        <v>0</v>
      </c>
      <c r="L158" s="67">
        <f t="shared" si="129"/>
        <v>0</v>
      </c>
      <c r="M158" s="67">
        <f t="shared" si="129"/>
        <v>0</v>
      </c>
      <c r="N158" s="67">
        <f t="shared" si="129"/>
        <v>0</v>
      </c>
      <c r="O158" s="67">
        <f t="shared" si="129"/>
        <v>0</v>
      </c>
      <c r="P158" s="67">
        <f t="shared" si="129"/>
        <v>0</v>
      </c>
      <c r="Q158" s="67">
        <f t="shared" si="129"/>
        <v>0</v>
      </c>
      <c r="R158" s="68">
        <f t="shared" si="129"/>
        <v>0</v>
      </c>
      <c r="S158" s="66">
        <f t="shared" si="129"/>
        <v>0</v>
      </c>
      <c r="T158" s="67">
        <f t="shared" si="129"/>
        <v>0</v>
      </c>
      <c r="U158" s="67">
        <f t="shared" si="129"/>
        <v>0</v>
      </c>
      <c r="V158" s="67">
        <f t="shared" si="129"/>
        <v>0</v>
      </c>
      <c r="W158" s="68">
        <f t="shared" si="129"/>
        <v>0</v>
      </c>
      <c r="X158" s="66">
        <f t="shared" si="129"/>
        <v>0</v>
      </c>
      <c r="Y158" s="67">
        <f t="shared" si="129"/>
        <v>0</v>
      </c>
      <c r="Z158" s="67">
        <f t="shared" si="129"/>
        <v>0</v>
      </c>
      <c r="AA158" s="67">
        <f t="shared" si="129"/>
        <v>0</v>
      </c>
      <c r="AB158" s="68">
        <f t="shared" si="129"/>
        <v>0</v>
      </c>
    </row>
    <row r="159" spans="4:28" ht="12.3" x14ac:dyDescent="0.35">
      <c r="D159" s="15" t="str">
        <f t="shared" si="114"/>
        <v>IT and Communications</v>
      </c>
      <c r="E159" s="52" t="s">
        <v>111</v>
      </c>
      <c r="F159" s="52" t="str">
        <f t="shared" si="115"/>
        <v>Dollars</v>
      </c>
      <c r="G159" s="52" t="str">
        <f t="shared" si="116"/>
        <v>Nominal</v>
      </c>
      <c r="H159" s="52" t="str">
        <f t="shared" si="117"/>
        <v>End_year</v>
      </c>
      <c r="J159" s="66">
        <f t="shared" si="118"/>
        <v>0</v>
      </c>
      <c r="K159" s="67">
        <f t="shared" ref="K159:AB159" si="130">K29+K55+K81+K107+K133</f>
        <v>0</v>
      </c>
      <c r="L159" s="67">
        <f t="shared" si="130"/>
        <v>0</v>
      </c>
      <c r="M159" s="67">
        <f t="shared" si="130"/>
        <v>0</v>
      </c>
      <c r="N159" s="67">
        <f t="shared" si="130"/>
        <v>0</v>
      </c>
      <c r="O159" s="67">
        <f t="shared" si="130"/>
        <v>0</v>
      </c>
      <c r="P159" s="67">
        <f t="shared" si="130"/>
        <v>0</v>
      </c>
      <c r="Q159" s="67">
        <f t="shared" si="130"/>
        <v>0</v>
      </c>
      <c r="R159" s="68">
        <f t="shared" si="130"/>
        <v>0</v>
      </c>
      <c r="S159" s="66">
        <f t="shared" si="130"/>
        <v>0</v>
      </c>
      <c r="T159" s="67">
        <f t="shared" si="130"/>
        <v>0</v>
      </c>
      <c r="U159" s="67">
        <f t="shared" si="130"/>
        <v>0</v>
      </c>
      <c r="V159" s="67">
        <f t="shared" si="130"/>
        <v>0</v>
      </c>
      <c r="W159" s="68">
        <f t="shared" si="130"/>
        <v>0</v>
      </c>
      <c r="X159" s="66">
        <f t="shared" si="130"/>
        <v>0</v>
      </c>
      <c r="Y159" s="67">
        <f t="shared" si="130"/>
        <v>0</v>
      </c>
      <c r="Z159" s="67">
        <f t="shared" si="130"/>
        <v>0</v>
      </c>
      <c r="AA159" s="67">
        <f t="shared" si="130"/>
        <v>0</v>
      </c>
      <c r="AB159" s="68">
        <f t="shared" si="130"/>
        <v>0</v>
      </c>
    </row>
    <row r="160" spans="4:28" ht="12.3" x14ac:dyDescent="0.35">
      <c r="D160" s="15" t="str">
        <f t="shared" si="114"/>
        <v>Motor Vehicles</v>
      </c>
      <c r="E160" s="52" t="s">
        <v>111</v>
      </c>
      <c r="F160" s="52" t="str">
        <f t="shared" si="115"/>
        <v>Dollars</v>
      </c>
      <c r="G160" s="52" t="str">
        <f t="shared" si="116"/>
        <v>Nominal</v>
      </c>
      <c r="H160" s="52" t="str">
        <f t="shared" si="117"/>
        <v>End_year</v>
      </c>
      <c r="J160" s="66">
        <f t="shared" si="118"/>
        <v>0</v>
      </c>
      <c r="K160" s="67">
        <f t="shared" ref="K160:AB160" si="131">K30+K56+K82+K108+K134</f>
        <v>0</v>
      </c>
      <c r="L160" s="67">
        <f t="shared" si="131"/>
        <v>0</v>
      </c>
      <c r="M160" s="67">
        <f t="shared" si="131"/>
        <v>0</v>
      </c>
      <c r="N160" s="67">
        <f t="shared" si="131"/>
        <v>0</v>
      </c>
      <c r="O160" s="67">
        <f t="shared" si="131"/>
        <v>0</v>
      </c>
      <c r="P160" s="67">
        <f t="shared" si="131"/>
        <v>0</v>
      </c>
      <c r="Q160" s="67">
        <f t="shared" si="131"/>
        <v>0</v>
      </c>
      <c r="R160" s="68">
        <f t="shared" si="131"/>
        <v>0</v>
      </c>
      <c r="S160" s="66">
        <f t="shared" si="131"/>
        <v>0</v>
      </c>
      <c r="T160" s="67">
        <f t="shared" si="131"/>
        <v>0</v>
      </c>
      <c r="U160" s="67">
        <f t="shared" si="131"/>
        <v>0</v>
      </c>
      <c r="V160" s="67">
        <f t="shared" si="131"/>
        <v>0</v>
      </c>
      <c r="W160" s="68">
        <f t="shared" si="131"/>
        <v>0</v>
      </c>
      <c r="X160" s="66">
        <f t="shared" si="131"/>
        <v>0</v>
      </c>
      <c r="Y160" s="67">
        <f t="shared" si="131"/>
        <v>0</v>
      </c>
      <c r="Z160" s="67">
        <f t="shared" si="131"/>
        <v>0</v>
      </c>
      <c r="AA160" s="67">
        <f t="shared" si="131"/>
        <v>0</v>
      </c>
      <c r="AB160" s="68">
        <f t="shared" si="131"/>
        <v>0</v>
      </c>
    </row>
    <row r="161" spans="1:28" ht="12.3" x14ac:dyDescent="0.35">
      <c r="D161" s="15" t="str">
        <f t="shared" si="114"/>
        <v>Plant and Equipment</v>
      </c>
      <c r="E161" s="52" t="s">
        <v>111</v>
      </c>
      <c r="F161" s="52" t="str">
        <f t="shared" si="115"/>
        <v>Dollars</v>
      </c>
      <c r="G161" s="52" t="str">
        <f t="shared" si="116"/>
        <v>Nominal</v>
      </c>
      <c r="H161" s="52" t="str">
        <f t="shared" si="117"/>
        <v>End_year</v>
      </c>
      <c r="J161" s="66">
        <f t="shared" si="118"/>
        <v>0</v>
      </c>
      <c r="K161" s="67">
        <f t="shared" ref="K161:AB161" si="132">K31+K57+K83+K109+K135</f>
        <v>0</v>
      </c>
      <c r="L161" s="67">
        <f t="shared" si="132"/>
        <v>0</v>
      </c>
      <c r="M161" s="67">
        <f t="shared" si="132"/>
        <v>0</v>
      </c>
      <c r="N161" s="67">
        <f t="shared" si="132"/>
        <v>0</v>
      </c>
      <c r="O161" s="67">
        <f t="shared" si="132"/>
        <v>0</v>
      </c>
      <c r="P161" s="67">
        <f t="shared" si="132"/>
        <v>0</v>
      </c>
      <c r="Q161" s="67">
        <f t="shared" si="132"/>
        <v>0</v>
      </c>
      <c r="R161" s="68">
        <f t="shared" si="132"/>
        <v>0</v>
      </c>
      <c r="S161" s="66">
        <f t="shared" si="132"/>
        <v>0</v>
      </c>
      <c r="T161" s="67">
        <f t="shared" si="132"/>
        <v>0</v>
      </c>
      <c r="U161" s="67">
        <f t="shared" si="132"/>
        <v>0</v>
      </c>
      <c r="V161" s="67">
        <f t="shared" si="132"/>
        <v>0</v>
      </c>
      <c r="W161" s="68">
        <f t="shared" si="132"/>
        <v>0</v>
      </c>
      <c r="X161" s="66">
        <f t="shared" si="132"/>
        <v>0</v>
      </c>
      <c r="Y161" s="67">
        <f t="shared" si="132"/>
        <v>0</v>
      </c>
      <c r="Z161" s="67">
        <f t="shared" si="132"/>
        <v>0</v>
      </c>
      <c r="AA161" s="67">
        <f t="shared" si="132"/>
        <v>0</v>
      </c>
      <c r="AB161" s="68">
        <f t="shared" si="132"/>
        <v>0</v>
      </c>
    </row>
    <row r="162" spans="1:28" ht="12.3" x14ac:dyDescent="0.35">
      <c r="D162" s="15" t="str">
        <f t="shared" ref="D162:D163" si="133">D32</f>
        <v>Property Leases</v>
      </c>
      <c r="E162" s="52" t="s">
        <v>111</v>
      </c>
      <c r="F162" s="52" t="str">
        <f t="shared" si="115"/>
        <v>Dollars</v>
      </c>
      <c r="G162" s="52" t="str">
        <f t="shared" si="116"/>
        <v>Nominal</v>
      </c>
      <c r="H162" s="52" t="str">
        <f t="shared" si="117"/>
        <v>End_year</v>
      </c>
      <c r="J162" s="66">
        <f t="shared" ref="J162:AB162" si="134">J32+J58+J84+J110+J136</f>
        <v>0</v>
      </c>
      <c r="K162" s="67">
        <f t="shared" si="134"/>
        <v>0</v>
      </c>
      <c r="L162" s="67">
        <f t="shared" si="134"/>
        <v>0</v>
      </c>
      <c r="M162" s="67">
        <f t="shared" si="134"/>
        <v>0</v>
      </c>
      <c r="N162" s="67">
        <f t="shared" si="134"/>
        <v>0</v>
      </c>
      <c r="O162" s="67">
        <f t="shared" si="134"/>
        <v>0</v>
      </c>
      <c r="P162" s="67">
        <f t="shared" si="134"/>
        <v>0</v>
      </c>
      <c r="Q162" s="67">
        <f t="shared" si="134"/>
        <v>0</v>
      </c>
      <c r="R162" s="68">
        <f t="shared" si="134"/>
        <v>0</v>
      </c>
      <c r="S162" s="66">
        <f t="shared" si="134"/>
        <v>0</v>
      </c>
      <c r="T162" s="67">
        <f t="shared" si="134"/>
        <v>0</v>
      </c>
      <c r="U162" s="67">
        <f t="shared" si="134"/>
        <v>0</v>
      </c>
      <c r="V162" s="67">
        <f t="shared" si="134"/>
        <v>0</v>
      </c>
      <c r="W162" s="68">
        <f t="shared" si="134"/>
        <v>0</v>
      </c>
      <c r="X162" s="66">
        <f t="shared" si="134"/>
        <v>0</v>
      </c>
      <c r="Y162" s="67">
        <f t="shared" si="134"/>
        <v>0</v>
      </c>
      <c r="Z162" s="67">
        <f t="shared" si="134"/>
        <v>0</v>
      </c>
      <c r="AA162" s="67">
        <f t="shared" si="134"/>
        <v>0</v>
      </c>
      <c r="AB162" s="68">
        <f t="shared" si="134"/>
        <v>0</v>
      </c>
    </row>
    <row r="163" spans="1:28" ht="12.3" x14ac:dyDescent="0.35">
      <c r="D163" s="15" t="str">
        <f t="shared" si="133"/>
        <v>Fleet Leases</v>
      </c>
      <c r="E163" s="52" t="s">
        <v>111</v>
      </c>
      <c r="F163" s="52" t="str">
        <f t="shared" si="115"/>
        <v>Dollars</v>
      </c>
      <c r="G163" s="52" t="str">
        <f t="shared" si="116"/>
        <v>Nominal</v>
      </c>
      <c r="H163" s="52" t="str">
        <f t="shared" si="117"/>
        <v>End_year</v>
      </c>
      <c r="J163" s="66">
        <f t="shared" ref="J163:AB163" si="135">J33+J59+J85+J111+J137</f>
        <v>0</v>
      </c>
      <c r="K163" s="67">
        <f t="shared" si="135"/>
        <v>0</v>
      </c>
      <c r="L163" s="67">
        <f t="shared" si="135"/>
        <v>0</v>
      </c>
      <c r="M163" s="67">
        <f t="shared" si="135"/>
        <v>0</v>
      </c>
      <c r="N163" s="67">
        <f t="shared" si="135"/>
        <v>0</v>
      </c>
      <c r="O163" s="67">
        <f t="shared" si="135"/>
        <v>0</v>
      </c>
      <c r="P163" s="67">
        <f t="shared" si="135"/>
        <v>0</v>
      </c>
      <c r="Q163" s="67">
        <f t="shared" si="135"/>
        <v>0</v>
      </c>
      <c r="R163" s="68">
        <f t="shared" si="135"/>
        <v>0</v>
      </c>
      <c r="S163" s="66">
        <f t="shared" si="135"/>
        <v>0</v>
      </c>
      <c r="T163" s="67">
        <f t="shared" si="135"/>
        <v>0</v>
      </c>
      <c r="U163" s="67">
        <f t="shared" si="135"/>
        <v>0</v>
      </c>
      <c r="V163" s="67">
        <f t="shared" si="135"/>
        <v>0</v>
      </c>
      <c r="W163" s="68">
        <f t="shared" si="135"/>
        <v>0</v>
      </c>
      <c r="X163" s="66">
        <f t="shared" si="135"/>
        <v>0</v>
      </c>
      <c r="Y163" s="67">
        <f t="shared" si="135"/>
        <v>0</v>
      </c>
      <c r="Z163" s="67">
        <f t="shared" si="135"/>
        <v>0</v>
      </c>
      <c r="AA163" s="67">
        <f t="shared" si="135"/>
        <v>0</v>
      </c>
      <c r="AB163" s="68">
        <f t="shared" si="135"/>
        <v>0</v>
      </c>
    </row>
    <row r="164" spans="1:28" ht="12.3" x14ac:dyDescent="0.35">
      <c r="D164" s="15" t="str">
        <f t="shared" ref="D164" si="136">D34</f>
        <v>Equity Raising Costs</v>
      </c>
      <c r="E164" s="52" t="s">
        <v>111</v>
      </c>
      <c r="F164" s="52" t="str">
        <f t="shared" si="115"/>
        <v>Dollars</v>
      </c>
      <c r="G164" s="52" t="str">
        <f t="shared" si="116"/>
        <v>Nominal</v>
      </c>
      <c r="H164" s="52" t="str">
        <f t="shared" si="117"/>
        <v>End_year</v>
      </c>
      <c r="J164" s="66">
        <f t="shared" ref="J164:Q164" si="137">J34+J60+J86+J112+J138</f>
        <v>0</v>
      </c>
      <c r="K164" s="67">
        <f t="shared" si="137"/>
        <v>0</v>
      </c>
      <c r="L164" s="67">
        <f t="shared" si="137"/>
        <v>0</v>
      </c>
      <c r="M164" s="67">
        <f t="shared" si="137"/>
        <v>0</v>
      </c>
      <c r="N164" s="67">
        <f t="shared" si="137"/>
        <v>0</v>
      </c>
      <c r="O164" s="67">
        <f t="shared" si="137"/>
        <v>0</v>
      </c>
      <c r="P164" s="67">
        <f t="shared" si="137"/>
        <v>0</v>
      </c>
      <c r="Q164" s="67">
        <f t="shared" si="137"/>
        <v>0</v>
      </c>
      <c r="R164" s="68">
        <f t="shared" ref="R164:AB164" si="138">R34+R60+R86+R112+R138</f>
        <v>0</v>
      </c>
      <c r="S164" s="66">
        <f t="shared" si="138"/>
        <v>0</v>
      </c>
      <c r="T164" s="67">
        <f t="shared" si="138"/>
        <v>0</v>
      </c>
      <c r="U164" s="67">
        <f t="shared" si="138"/>
        <v>0</v>
      </c>
      <c r="V164" s="67">
        <f t="shared" si="138"/>
        <v>0</v>
      </c>
      <c r="W164" s="68">
        <f t="shared" si="138"/>
        <v>0</v>
      </c>
      <c r="X164" s="66">
        <f t="shared" si="138"/>
        <v>0</v>
      </c>
      <c r="Y164" s="67">
        <f t="shared" si="138"/>
        <v>0</v>
      </c>
      <c r="Z164" s="67">
        <f t="shared" si="138"/>
        <v>0</v>
      </c>
      <c r="AA164" s="67">
        <f t="shared" si="138"/>
        <v>0</v>
      </c>
      <c r="AB164" s="68">
        <f t="shared" si="138"/>
        <v>0</v>
      </c>
    </row>
    <row r="165" spans="1:28" x14ac:dyDescent="0.35">
      <c r="J165" s="56"/>
      <c r="K165" s="57"/>
      <c r="L165" s="57"/>
      <c r="M165" s="57"/>
      <c r="N165" s="57"/>
      <c r="O165" s="57"/>
      <c r="P165" s="57"/>
      <c r="Q165" s="57"/>
      <c r="R165" s="58"/>
      <c r="S165" s="56"/>
      <c r="T165" s="57"/>
      <c r="U165" s="57"/>
      <c r="V165" s="57"/>
      <c r="W165" s="58"/>
      <c r="X165" s="56"/>
      <c r="Y165" s="57"/>
      <c r="Z165" s="57"/>
      <c r="AA165" s="57"/>
      <c r="AB165" s="58"/>
    </row>
    <row r="166" spans="1:28" ht="12.3" x14ac:dyDescent="0.35">
      <c r="D166" s="51" t="str">
        <f>"Total "&amp;D146</f>
        <v>Total RAB Asset Class</v>
      </c>
      <c r="E166" s="47" t="s">
        <v>111</v>
      </c>
      <c r="F166" s="47" t="str">
        <f>F148</f>
        <v>Dollars</v>
      </c>
      <c r="G166" s="47" t="str">
        <f>G148</f>
        <v>Nominal</v>
      </c>
      <c r="H166" s="47" t="str">
        <f>H148</f>
        <v>End_year</v>
      </c>
      <c r="J166" s="62">
        <f t="shared" ref="J166:AB166" si="139">SUM(J148:J164)</f>
        <v>-4.6518965293487566</v>
      </c>
      <c r="K166" s="46">
        <f t="shared" si="139"/>
        <v>-4.8833632853223534</v>
      </c>
      <c r="L166" s="46">
        <f t="shared" si="139"/>
        <v>-5.4102555864939195</v>
      </c>
      <c r="M166" s="46">
        <f t="shared" si="139"/>
        <v>-5.9032231869894165</v>
      </c>
      <c r="N166" s="46">
        <f t="shared" si="139"/>
        <v>-6.5072922958393811</v>
      </c>
      <c r="O166" s="46">
        <f t="shared" si="139"/>
        <v>-7.1154672986219101</v>
      </c>
      <c r="P166" s="46">
        <f t="shared" si="139"/>
        <v>-7.4652350195537522</v>
      </c>
      <c r="Q166" s="46">
        <f t="shared" si="139"/>
        <v>-8.1455894472494066</v>
      </c>
      <c r="R166" s="63">
        <f t="shared" si="139"/>
        <v>-8.628296324668419</v>
      </c>
      <c r="S166" s="62">
        <f t="shared" si="139"/>
        <v>-9.1766615178363384</v>
      </c>
      <c r="T166" s="46">
        <f t="shared" si="139"/>
        <v>-9.544615382098808</v>
      </c>
      <c r="U166" s="46">
        <f t="shared" si="139"/>
        <v>-9.8849715590544509</v>
      </c>
      <c r="V166" s="46">
        <f t="shared" si="139"/>
        <v>-10.052476256838229</v>
      </c>
      <c r="W166" s="63">
        <f t="shared" si="139"/>
        <v>-10.318562513447183</v>
      </c>
      <c r="X166" s="62">
        <f t="shared" si="139"/>
        <v>-11.091414086314213</v>
      </c>
      <c r="Y166" s="46">
        <f t="shared" si="139"/>
        <v>-11.824053333032456</v>
      </c>
      <c r="Z166" s="46">
        <f t="shared" si="139"/>
        <v>-12.401434262502161</v>
      </c>
      <c r="AA166" s="46">
        <f t="shared" si="139"/>
        <v>-12.963017752727135</v>
      </c>
      <c r="AB166" s="63">
        <f t="shared" si="139"/>
        <v>-13.599808888078806</v>
      </c>
    </row>
    <row r="167" spans="1:28" s="6" customFormat="1" ht="11.25" customHeight="1" x14ac:dyDescent="0.35"/>
    <row r="168" spans="1:28" s="6" customFormat="1" ht="11.25" customHeight="1" x14ac:dyDescent="0.35">
      <c r="A168" s="49">
        <f>IF(SUM($J168:$AB168)&lt;&gt;0,1,0)</f>
        <v>0</v>
      </c>
      <c r="D168" s="15" t="s">
        <v>114</v>
      </c>
      <c r="J168" s="70">
        <f>IF(ISERROR(J166),1,0)</f>
        <v>0</v>
      </c>
      <c r="K168" s="70">
        <f t="shared" ref="K168:N168" si="140">IF(ISERROR(K166),1,0)</f>
        <v>0</v>
      </c>
      <c r="L168" s="70">
        <f t="shared" si="140"/>
        <v>0</v>
      </c>
      <c r="M168" s="70">
        <f t="shared" si="140"/>
        <v>0</v>
      </c>
      <c r="N168" s="70">
        <f t="shared" si="140"/>
        <v>0</v>
      </c>
      <c r="O168" s="70">
        <f>IF(ISERROR(O166),1,0)</f>
        <v>0</v>
      </c>
      <c r="P168" s="70">
        <f t="shared" ref="P168:S168" si="141">IF(ISERROR(P166),1,0)</f>
        <v>0</v>
      </c>
      <c r="Q168" s="70">
        <f t="shared" si="141"/>
        <v>0</v>
      </c>
      <c r="R168" s="70">
        <f t="shared" si="141"/>
        <v>0</v>
      </c>
      <c r="S168" s="70">
        <f t="shared" si="141"/>
        <v>0</v>
      </c>
      <c r="T168" s="70">
        <f>IF(ISERROR(T166),1,0)</f>
        <v>0</v>
      </c>
      <c r="U168" s="70">
        <f t="shared" ref="U168:X168" si="142">IF(ISERROR(U166),1,0)</f>
        <v>0</v>
      </c>
      <c r="V168" s="70">
        <f t="shared" si="142"/>
        <v>0</v>
      </c>
      <c r="W168" s="70">
        <f t="shared" si="142"/>
        <v>0</v>
      </c>
      <c r="X168" s="70">
        <f t="shared" si="142"/>
        <v>0</v>
      </c>
      <c r="Y168" s="70">
        <f>IF(ISERROR(Y166),1,0)</f>
        <v>0</v>
      </c>
      <c r="Z168" s="70">
        <f t="shared" ref="Z168:AB168" si="143">IF(ISERROR(Z166),1,0)</f>
        <v>0</v>
      </c>
      <c r="AA168" s="70">
        <f t="shared" si="143"/>
        <v>0</v>
      </c>
      <c r="AB168" s="70">
        <f t="shared" si="143"/>
        <v>0</v>
      </c>
    </row>
    <row r="170" spans="1:28" s="13" customFormat="1" ht="14.1" x14ac:dyDescent="0.35">
      <c r="C170" s="13" t="s">
        <v>177</v>
      </c>
    </row>
    <row r="171" spans="1:28" s="6" customFormat="1" ht="11.25" customHeight="1" x14ac:dyDescent="0.35"/>
    <row r="172" spans="1:28" ht="12.3" x14ac:dyDescent="0.35">
      <c r="D172" s="50" t="str">
        <f>D$16</f>
        <v>RAB Asset Class</v>
      </c>
      <c r="E172" s="45" t="str">
        <f>Lookup!E$20</f>
        <v>Source</v>
      </c>
      <c r="F172" s="45" t="str">
        <f>Lookup!F$20</f>
        <v>Unit</v>
      </c>
      <c r="G172" s="45" t="str">
        <f>Lookup!G$20</f>
        <v>Basis</v>
      </c>
      <c r="H172" s="45" t="str">
        <f>Lookup!H$20</f>
        <v>Timing</v>
      </c>
      <c r="J172" s="54" t="str">
        <f>J$10</f>
        <v>RY06</v>
      </c>
      <c r="K172" s="45" t="str">
        <f t="shared" ref="K172:AB172" si="144">K$10</f>
        <v>RY07</v>
      </c>
      <c r="L172" s="45" t="str">
        <f t="shared" si="144"/>
        <v>RY08</v>
      </c>
      <c r="M172" s="45" t="str">
        <f t="shared" si="144"/>
        <v>RY09</v>
      </c>
      <c r="N172" s="45" t="str">
        <f t="shared" si="144"/>
        <v>RY10</v>
      </c>
      <c r="O172" s="45" t="str">
        <f>O$10</f>
        <v>RY11</v>
      </c>
      <c r="P172" s="45" t="str">
        <f t="shared" si="144"/>
        <v>RY12</v>
      </c>
      <c r="Q172" s="45" t="str">
        <f t="shared" si="144"/>
        <v>RY13</v>
      </c>
      <c r="R172" s="55" t="str">
        <f t="shared" si="144"/>
        <v>RY14</v>
      </c>
      <c r="S172" s="54" t="str">
        <f t="shared" si="144"/>
        <v>RY15</v>
      </c>
      <c r="T172" s="45" t="str">
        <f>T$10</f>
        <v>RY16</v>
      </c>
      <c r="U172" s="45" t="str">
        <f t="shared" si="144"/>
        <v>RY17</v>
      </c>
      <c r="V172" s="45" t="str">
        <f t="shared" si="144"/>
        <v>RY18</v>
      </c>
      <c r="W172" s="55" t="str">
        <f t="shared" si="144"/>
        <v>RY19</v>
      </c>
      <c r="X172" s="54" t="str">
        <f t="shared" si="144"/>
        <v>RY20</v>
      </c>
      <c r="Y172" s="45" t="str">
        <f>Y$10</f>
        <v>RY21</v>
      </c>
      <c r="Z172" s="45" t="str">
        <f t="shared" si="144"/>
        <v>RY22</v>
      </c>
      <c r="AA172" s="45" t="str">
        <f t="shared" si="144"/>
        <v>RY23</v>
      </c>
      <c r="AB172" s="55" t="str">
        <f t="shared" si="144"/>
        <v>RY24</v>
      </c>
    </row>
    <row r="173" spans="1:28" x14ac:dyDescent="0.35">
      <c r="J173" s="56"/>
      <c r="K173" s="57"/>
      <c r="L173" s="57"/>
      <c r="M173" s="57"/>
      <c r="N173" s="57"/>
      <c r="O173" s="57"/>
      <c r="P173" s="57"/>
      <c r="Q173" s="57"/>
      <c r="R173" s="58"/>
      <c r="S173" s="56"/>
      <c r="T173" s="57"/>
      <c r="U173" s="57"/>
      <c r="V173" s="57"/>
      <c r="W173" s="58"/>
      <c r="X173" s="56"/>
      <c r="Y173" s="57"/>
      <c r="Z173" s="57"/>
      <c r="AA173" s="57"/>
      <c r="AB173" s="58"/>
    </row>
    <row r="174" spans="1:28" ht="12.3" x14ac:dyDescent="0.35">
      <c r="D174" s="15" t="str">
        <f t="shared" ref="D174:D187" si="145">D18</f>
        <v>Substations</v>
      </c>
      <c r="E174" s="52" t="s">
        <v>196</v>
      </c>
      <c r="F174" s="52" t="str">
        <f t="shared" ref="F174:F190" si="146">Dollars</f>
        <v>Dollars</v>
      </c>
      <c r="G174" s="52" t="str">
        <f t="shared" ref="G174:G190" si="147">Nominal</f>
        <v>Nominal</v>
      </c>
      <c r="H174" s="52" t="str">
        <f t="shared" ref="H174:H190" si="148">End_year</f>
        <v>End_year</v>
      </c>
      <c r="J174" s="36"/>
      <c r="K174" s="36"/>
      <c r="L174" s="36"/>
      <c r="M174" s="36"/>
      <c r="N174" s="36"/>
      <c r="O174" s="36"/>
      <c r="P174" s="36"/>
      <c r="Q174" s="36"/>
      <c r="R174" s="36"/>
      <c r="S174" s="36"/>
      <c r="T174" s="36"/>
      <c r="U174" s="36"/>
      <c r="V174" s="36"/>
      <c r="W174" s="36"/>
      <c r="X174" s="36"/>
      <c r="Y174" s="36"/>
      <c r="Z174" s="36"/>
      <c r="AA174" s="36"/>
      <c r="AB174" s="36"/>
    </row>
    <row r="175" spans="1:28" ht="12.3" x14ac:dyDescent="0.35">
      <c r="D175" s="15" t="str">
        <f t="shared" si="145"/>
        <v>Distribution Lines</v>
      </c>
      <c r="E175" s="52" t="str">
        <f>E174</f>
        <v>Input_RAB_SCS</v>
      </c>
      <c r="F175" s="52" t="str">
        <f t="shared" si="146"/>
        <v>Dollars</v>
      </c>
      <c r="G175" s="52" t="str">
        <f t="shared" si="147"/>
        <v>Nominal</v>
      </c>
      <c r="H175" s="52" t="str">
        <f t="shared" si="148"/>
        <v>End_year</v>
      </c>
      <c r="J175" s="66">
        <f>Input_RAB_SCS!J179*Input_Connections!$I$16</f>
        <v>0</v>
      </c>
      <c r="K175" s="67">
        <f>Input_RAB_SCS!K179*Input_Connections!$I$16</f>
        <v>0</v>
      </c>
      <c r="L175" s="67">
        <f>Input_RAB_SCS!L179*Input_Connections!$I$16</f>
        <v>0</v>
      </c>
      <c r="M175" s="67">
        <f>Input_RAB_SCS!M179*Input_Connections!$I$16</f>
        <v>0</v>
      </c>
      <c r="N175" s="67">
        <f>Input_RAB_SCS!N179*Input_Connections!$I$16</f>
        <v>0</v>
      </c>
      <c r="O175" s="67">
        <f>Input_RAB_SCS!O179*Input_Connections!$I$16</f>
        <v>0</v>
      </c>
      <c r="P175" s="67">
        <f>Input_RAB_SCS!P179*Input_Connections!$I$16</f>
        <v>0</v>
      </c>
      <c r="Q175" s="67">
        <f>Input_RAB_SCS!Q179*Input_Connections!$I$16</f>
        <v>0</v>
      </c>
      <c r="R175" s="68">
        <f>Input_RAB_SCS!R179*Input_Connections!$I$16</f>
        <v>0</v>
      </c>
      <c r="S175" s="66">
        <f>Input_RAB_SCS!S179*Input_Connections!$I$16</f>
        <v>0</v>
      </c>
      <c r="T175" s="67">
        <f>Input_RAB_SCS!T179*Input_Connections!$I$16</f>
        <v>0</v>
      </c>
      <c r="U175" s="67">
        <f>Input_RAB_SCS!U179*Input_Connections!$I$16</f>
        <v>0</v>
      </c>
      <c r="V175" s="67">
        <f>Input_RAB_SCS!V179*Input_Connections!$I$16</f>
        <v>0</v>
      </c>
      <c r="W175" s="68">
        <f>Input_RAB_SCS!W179*Input_Connections!$I$16</f>
        <v>0.11284048243569686</v>
      </c>
      <c r="X175" s="66">
        <f>Input_RAB_SCS!X179*Input_Connections!$I$16</f>
        <v>0</v>
      </c>
      <c r="Y175" s="67">
        <f>Input_RAB_SCS!Y179*Input_Connections!$I$16</f>
        <v>0</v>
      </c>
      <c r="Z175" s="67">
        <f>Input_RAB_SCS!Z179*Input_Connections!$I$16</f>
        <v>0</v>
      </c>
      <c r="AA175" s="67">
        <f>Input_RAB_SCS!AA179*Input_Connections!$I$16</f>
        <v>0</v>
      </c>
      <c r="AB175" s="68">
        <f>Input_RAB_SCS!AB179*Input_Connections!$I$16</f>
        <v>0</v>
      </c>
    </row>
    <row r="176" spans="1:28" ht="12.3" x14ac:dyDescent="0.35">
      <c r="D176" s="15" t="str">
        <f t="shared" si="145"/>
        <v>Transmission Lines</v>
      </c>
      <c r="E176" s="52" t="str">
        <f t="shared" ref="E176:E189" si="149">E175</f>
        <v>Input_RAB_SCS</v>
      </c>
      <c r="F176" s="52" t="str">
        <f t="shared" si="146"/>
        <v>Dollars</v>
      </c>
      <c r="G176" s="52" t="str">
        <f t="shared" si="147"/>
        <v>Nominal</v>
      </c>
      <c r="H176" s="52" t="str">
        <f t="shared" si="148"/>
        <v>End_year</v>
      </c>
      <c r="J176" s="36"/>
      <c r="K176" s="36"/>
      <c r="L176" s="36"/>
      <c r="M176" s="36"/>
      <c r="N176" s="36"/>
      <c r="O176" s="36"/>
      <c r="P176" s="36"/>
      <c r="Q176" s="36"/>
      <c r="R176" s="36"/>
      <c r="S176" s="36"/>
      <c r="T176" s="36"/>
      <c r="U176" s="36"/>
      <c r="V176" s="36"/>
      <c r="W176" s="36"/>
      <c r="X176" s="36"/>
      <c r="Y176" s="36"/>
      <c r="Z176" s="36"/>
      <c r="AA176" s="36"/>
      <c r="AB176" s="36"/>
    </row>
    <row r="177" spans="4:28" ht="12.3" x14ac:dyDescent="0.35">
      <c r="D177" s="15" t="str">
        <f t="shared" si="145"/>
        <v>LV Services</v>
      </c>
      <c r="E177" s="52" t="str">
        <f t="shared" si="149"/>
        <v>Input_RAB_SCS</v>
      </c>
      <c r="F177" s="52" t="str">
        <f t="shared" si="146"/>
        <v>Dollars</v>
      </c>
      <c r="G177" s="52" t="str">
        <f t="shared" si="147"/>
        <v>Nominal</v>
      </c>
      <c r="H177" s="52" t="str">
        <f t="shared" si="148"/>
        <v>End_year</v>
      </c>
      <c r="J177" s="66">
        <f>Input_RAB_SCS!J181*Input_Connections!$I$16</f>
        <v>0</v>
      </c>
      <c r="K177" s="67">
        <f>Input_RAB_SCS!K181*Input_Connections!$I$16</f>
        <v>0</v>
      </c>
      <c r="L177" s="67">
        <f>Input_RAB_SCS!L181*Input_Connections!$I$16</f>
        <v>0</v>
      </c>
      <c r="M177" s="67">
        <f>Input_RAB_SCS!M181*Input_Connections!$I$16</f>
        <v>0</v>
      </c>
      <c r="N177" s="67">
        <f>Input_RAB_SCS!N181*Input_Connections!$I$16</f>
        <v>0</v>
      </c>
      <c r="O177" s="67">
        <f>Input_RAB_SCS!O181*Input_Connections!$I$16</f>
        <v>0</v>
      </c>
      <c r="P177" s="67">
        <f>Input_RAB_SCS!P181*Input_Connections!$I$16</f>
        <v>0</v>
      </c>
      <c r="Q177" s="67">
        <f>Input_RAB_SCS!Q181*Input_Connections!$I$16</f>
        <v>0</v>
      </c>
      <c r="R177" s="68">
        <f>Input_RAB_SCS!R181*Input_Connections!$I$16</f>
        <v>0</v>
      </c>
      <c r="S177" s="66">
        <f>Input_RAB_SCS!S181*Input_Connections!$I$16</f>
        <v>0</v>
      </c>
      <c r="T177" s="67">
        <f>Input_RAB_SCS!T181*Input_Connections!$I$16</f>
        <v>0</v>
      </c>
      <c r="U177" s="67">
        <f>Input_RAB_SCS!U181*Input_Connections!$I$16</f>
        <v>0</v>
      </c>
      <c r="V177" s="67">
        <f>Input_RAB_SCS!V181*Input_Connections!$I$16</f>
        <v>0</v>
      </c>
      <c r="W177" s="68">
        <f>Input_RAB_SCS!W181*Input_Connections!$I$16</f>
        <v>-4.163853166842791E-2</v>
      </c>
      <c r="X177" s="66">
        <f>Input_RAB_SCS!X181*Input_Connections!$I$16</f>
        <v>0</v>
      </c>
      <c r="Y177" s="67">
        <f>Input_RAB_SCS!Y181*Input_Connections!$I$16</f>
        <v>0</v>
      </c>
      <c r="Z177" s="67">
        <f>Input_RAB_SCS!Z181*Input_Connections!$I$16</f>
        <v>0</v>
      </c>
      <c r="AA177" s="67">
        <f>Input_RAB_SCS!AA181*Input_Connections!$I$16</f>
        <v>0</v>
      </c>
      <c r="AB177" s="68">
        <f>Input_RAB_SCS!AB181*Input_Connections!$I$16</f>
        <v>0</v>
      </c>
    </row>
    <row r="178" spans="4:28" ht="12.3" x14ac:dyDescent="0.35">
      <c r="D178" s="15" t="str">
        <f t="shared" si="145"/>
        <v>Distribution Substations</v>
      </c>
      <c r="E178" s="52" t="str">
        <f t="shared" si="149"/>
        <v>Input_RAB_SCS</v>
      </c>
      <c r="F178" s="52" t="str">
        <f t="shared" si="146"/>
        <v>Dollars</v>
      </c>
      <c r="G178" s="52" t="str">
        <f t="shared" si="147"/>
        <v>Nominal</v>
      </c>
      <c r="H178" s="52" t="str">
        <f t="shared" si="148"/>
        <v>End_year</v>
      </c>
      <c r="J178" s="66">
        <f>Input_RAB_SCS!J182*Input_Connections!$I$16</f>
        <v>0</v>
      </c>
      <c r="K178" s="67">
        <f>Input_RAB_SCS!K182*Input_Connections!$I$16</f>
        <v>0</v>
      </c>
      <c r="L178" s="67">
        <f>Input_RAB_SCS!L182*Input_Connections!$I$16</f>
        <v>0</v>
      </c>
      <c r="M178" s="67">
        <f>Input_RAB_SCS!M182*Input_Connections!$I$16</f>
        <v>0</v>
      </c>
      <c r="N178" s="67">
        <f>Input_RAB_SCS!N182*Input_Connections!$I$16</f>
        <v>0</v>
      </c>
      <c r="O178" s="67">
        <f>Input_RAB_SCS!O182*Input_Connections!$I$16</f>
        <v>0</v>
      </c>
      <c r="P178" s="67">
        <f>Input_RAB_SCS!P182*Input_Connections!$I$16</f>
        <v>0</v>
      </c>
      <c r="Q178" s="67">
        <f>Input_RAB_SCS!Q182*Input_Connections!$I$16</f>
        <v>0</v>
      </c>
      <c r="R178" s="68">
        <f>Input_RAB_SCS!R182*Input_Connections!$I$16</f>
        <v>0</v>
      </c>
      <c r="S178" s="66">
        <f>Input_RAB_SCS!S182*Input_Connections!$I$16</f>
        <v>0</v>
      </c>
      <c r="T178" s="67">
        <f>Input_RAB_SCS!T182*Input_Connections!$I$16</f>
        <v>0</v>
      </c>
      <c r="U178" s="67">
        <f>Input_RAB_SCS!U182*Input_Connections!$I$16</f>
        <v>0</v>
      </c>
      <c r="V178" s="67">
        <f>Input_RAB_SCS!V182*Input_Connections!$I$16</f>
        <v>0</v>
      </c>
      <c r="W178" s="68">
        <f>Input_RAB_SCS!W182*Input_Connections!$I$16</f>
        <v>-0.11420909651228678</v>
      </c>
      <c r="X178" s="66">
        <f>Input_RAB_SCS!X182*Input_Connections!$I$16</f>
        <v>0</v>
      </c>
      <c r="Y178" s="67">
        <f>Input_RAB_SCS!Y182*Input_Connections!$I$16</f>
        <v>0</v>
      </c>
      <c r="Z178" s="67">
        <f>Input_RAB_SCS!Z182*Input_Connections!$I$16</f>
        <v>0</v>
      </c>
      <c r="AA178" s="67">
        <f>Input_RAB_SCS!AA182*Input_Connections!$I$16</f>
        <v>0</v>
      </c>
      <c r="AB178" s="68">
        <f>Input_RAB_SCS!AB182*Input_Connections!$I$16</f>
        <v>0</v>
      </c>
    </row>
    <row r="179" spans="4:28" ht="12.3" x14ac:dyDescent="0.35">
      <c r="D179" s="15" t="str">
        <f t="shared" si="145"/>
        <v>Distribution Switchgear</v>
      </c>
      <c r="E179" s="52" t="str">
        <f t="shared" si="149"/>
        <v>Input_RAB_SCS</v>
      </c>
      <c r="F179" s="52" t="str">
        <f t="shared" si="146"/>
        <v>Dollars</v>
      </c>
      <c r="G179" s="52" t="str">
        <f t="shared" si="147"/>
        <v>Nominal</v>
      </c>
      <c r="H179" s="52" t="str">
        <f t="shared" si="148"/>
        <v>End_year</v>
      </c>
      <c r="J179" s="66">
        <f>Input_RAB_SCS!J183*Input_Connections!$I$16</f>
        <v>0</v>
      </c>
      <c r="K179" s="67">
        <f>Input_RAB_SCS!K183*Input_Connections!$I$16</f>
        <v>0</v>
      </c>
      <c r="L179" s="67">
        <f>Input_RAB_SCS!L183*Input_Connections!$I$16</f>
        <v>0</v>
      </c>
      <c r="M179" s="67">
        <f>Input_RAB_SCS!M183*Input_Connections!$I$16</f>
        <v>0</v>
      </c>
      <c r="N179" s="67">
        <f>Input_RAB_SCS!N183*Input_Connections!$I$16</f>
        <v>0</v>
      </c>
      <c r="O179" s="67">
        <f>Input_RAB_SCS!O183*Input_Connections!$I$16</f>
        <v>0</v>
      </c>
      <c r="P179" s="67">
        <f>Input_RAB_SCS!P183*Input_Connections!$I$16</f>
        <v>0</v>
      </c>
      <c r="Q179" s="67">
        <f>Input_RAB_SCS!Q183*Input_Connections!$I$16</f>
        <v>0</v>
      </c>
      <c r="R179" s="68">
        <f>Input_RAB_SCS!R183*Input_Connections!$I$16</f>
        <v>0</v>
      </c>
      <c r="S179" s="66">
        <f>Input_RAB_SCS!S183*Input_Connections!$I$16</f>
        <v>0</v>
      </c>
      <c r="T179" s="67">
        <f>Input_RAB_SCS!T183*Input_Connections!$I$16</f>
        <v>0</v>
      </c>
      <c r="U179" s="67">
        <f>Input_RAB_SCS!U183*Input_Connections!$I$16</f>
        <v>0</v>
      </c>
      <c r="V179" s="67">
        <f>Input_RAB_SCS!V183*Input_Connections!$I$16</f>
        <v>0</v>
      </c>
      <c r="W179" s="68">
        <f>Input_RAB_SCS!W183*Input_Connections!$I$16</f>
        <v>-0.13159971644526719</v>
      </c>
      <c r="X179" s="66">
        <f>Input_RAB_SCS!X183*Input_Connections!$I$16</f>
        <v>0</v>
      </c>
      <c r="Y179" s="67">
        <f>Input_RAB_SCS!Y183*Input_Connections!$I$16</f>
        <v>0</v>
      </c>
      <c r="Z179" s="67">
        <f>Input_RAB_SCS!Z183*Input_Connections!$I$16</f>
        <v>0</v>
      </c>
      <c r="AA179" s="67">
        <f>Input_RAB_SCS!AA183*Input_Connections!$I$16</f>
        <v>0</v>
      </c>
      <c r="AB179" s="68">
        <f>Input_RAB_SCS!AB183*Input_Connections!$I$16</f>
        <v>0</v>
      </c>
    </row>
    <row r="180" spans="4:28" ht="12.3" x14ac:dyDescent="0.35">
      <c r="D180" s="15" t="str">
        <f t="shared" si="145"/>
        <v>Protection</v>
      </c>
      <c r="E180" s="52" t="str">
        <f t="shared" si="149"/>
        <v>Input_RAB_SCS</v>
      </c>
      <c r="F180" s="52" t="str">
        <f t="shared" si="146"/>
        <v>Dollars</v>
      </c>
      <c r="G180" s="52" t="str">
        <f t="shared" si="147"/>
        <v>Nominal</v>
      </c>
      <c r="H180" s="52" t="str">
        <f t="shared" si="148"/>
        <v>End_year</v>
      </c>
      <c r="J180" s="36"/>
      <c r="K180" s="36"/>
      <c r="L180" s="36"/>
      <c r="M180" s="36"/>
      <c r="N180" s="36"/>
      <c r="O180" s="36"/>
      <c r="P180" s="36"/>
      <c r="Q180" s="36"/>
      <c r="R180" s="36"/>
      <c r="S180" s="36"/>
      <c r="T180" s="36"/>
      <c r="U180" s="36"/>
      <c r="V180" s="36"/>
      <c r="W180" s="36"/>
      <c r="X180" s="36"/>
      <c r="Y180" s="36"/>
      <c r="Z180" s="36"/>
      <c r="AA180" s="36"/>
      <c r="AB180" s="36"/>
    </row>
    <row r="181" spans="4:28" ht="12.3" x14ac:dyDescent="0.35">
      <c r="D181" s="15" t="str">
        <f t="shared" si="145"/>
        <v>SCADA</v>
      </c>
      <c r="E181" s="52" t="str">
        <f t="shared" si="149"/>
        <v>Input_RAB_SCS</v>
      </c>
      <c r="F181" s="52" t="str">
        <f t="shared" si="146"/>
        <v>Dollars</v>
      </c>
      <c r="G181" s="52" t="str">
        <f t="shared" si="147"/>
        <v>Nominal</v>
      </c>
      <c r="H181" s="52" t="str">
        <f t="shared" si="148"/>
        <v>End_year</v>
      </c>
      <c r="J181" s="36"/>
      <c r="K181" s="36"/>
      <c r="L181" s="36"/>
      <c r="M181" s="36"/>
      <c r="N181" s="36"/>
      <c r="O181" s="36"/>
      <c r="P181" s="36"/>
      <c r="Q181" s="36"/>
      <c r="R181" s="36"/>
      <c r="S181" s="36"/>
      <c r="T181" s="36"/>
      <c r="U181" s="36"/>
      <c r="V181" s="36"/>
      <c r="W181" s="36"/>
      <c r="X181" s="36"/>
      <c r="Y181" s="36"/>
      <c r="Z181" s="36"/>
      <c r="AA181" s="36"/>
      <c r="AB181" s="36"/>
    </row>
    <row r="182" spans="4:28" ht="12.3" x14ac:dyDescent="0.35">
      <c r="D182" s="15" t="str">
        <f t="shared" si="145"/>
        <v>Communications</v>
      </c>
      <c r="E182" s="52" t="str">
        <f t="shared" si="149"/>
        <v>Input_RAB_SCS</v>
      </c>
      <c r="F182" s="52" t="str">
        <f t="shared" si="146"/>
        <v>Dollars</v>
      </c>
      <c r="G182" s="52" t="str">
        <f t="shared" si="147"/>
        <v>Nominal</v>
      </c>
      <c r="H182" s="52" t="str">
        <f t="shared" si="148"/>
        <v>End_year</v>
      </c>
      <c r="J182" s="36"/>
      <c r="K182" s="36"/>
      <c r="L182" s="36"/>
      <c r="M182" s="36"/>
      <c r="N182" s="36"/>
      <c r="O182" s="36"/>
      <c r="P182" s="36"/>
      <c r="Q182" s="36"/>
      <c r="R182" s="36"/>
      <c r="S182" s="36"/>
      <c r="T182" s="36"/>
      <c r="U182" s="36"/>
      <c r="V182" s="36"/>
      <c r="W182" s="36"/>
      <c r="X182" s="36"/>
      <c r="Y182" s="36"/>
      <c r="Z182" s="36"/>
      <c r="AA182" s="36"/>
      <c r="AB182" s="36"/>
    </row>
    <row r="183" spans="4:28" ht="12.3" x14ac:dyDescent="0.35">
      <c r="D183" s="15" t="str">
        <f t="shared" si="145"/>
        <v>Land and Easements</v>
      </c>
      <c r="E183" s="52" t="str">
        <f t="shared" si="149"/>
        <v>Input_RAB_SCS</v>
      </c>
      <c r="F183" s="52" t="str">
        <f t="shared" si="146"/>
        <v>Dollars</v>
      </c>
      <c r="G183" s="52" t="str">
        <f t="shared" si="147"/>
        <v>Nominal</v>
      </c>
      <c r="H183" s="52" t="str">
        <f t="shared" si="148"/>
        <v>End_year</v>
      </c>
      <c r="J183" s="36"/>
      <c r="K183" s="36"/>
      <c r="L183" s="36"/>
      <c r="M183" s="36"/>
      <c r="N183" s="36"/>
      <c r="O183" s="36"/>
      <c r="P183" s="36"/>
      <c r="Q183" s="36"/>
      <c r="R183" s="36"/>
      <c r="S183" s="36"/>
      <c r="T183" s="36"/>
      <c r="U183" s="36"/>
      <c r="V183" s="36"/>
      <c r="W183" s="36"/>
      <c r="X183" s="36"/>
      <c r="Y183" s="36"/>
      <c r="Z183" s="36"/>
      <c r="AA183" s="36"/>
      <c r="AB183" s="36"/>
    </row>
    <row r="184" spans="4:28" ht="12.3" x14ac:dyDescent="0.35">
      <c r="D184" s="15" t="str">
        <f t="shared" si="145"/>
        <v>Property</v>
      </c>
      <c r="E184" s="52" t="str">
        <f t="shared" si="149"/>
        <v>Input_RAB_SCS</v>
      </c>
      <c r="F184" s="52" t="str">
        <f t="shared" si="146"/>
        <v>Dollars</v>
      </c>
      <c r="G184" s="52" t="str">
        <f t="shared" si="147"/>
        <v>Nominal</v>
      </c>
      <c r="H184" s="52" t="str">
        <f t="shared" si="148"/>
        <v>End_year</v>
      </c>
      <c r="J184" s="36"/>
      <c r="K184" s="36"/>
      <c r="L184" s="36"/>
      <c r="M184" s="36"/>
      <c r="N184" s="36"/>
      <c r="O184" s="36"/>
      <c r="P184" s="36"/>
      <c r="Q184" s="36"/>
      <c r="R184" s="36"/>
      <c r="S184" s="36"/>
      <c r="T184" s="36"/>
      <c r="U184" s="36"/>
      <c r="V184" s="36"/>
      <c r="W184" s="36"/>
      <c r="X184" s="36"/>
      <c r="Y184" s="36"/>
      <c r="Z184" s="36"/>
      <c r="AA184" s="36"/>
      <c r="AB184" s="36"/>
    </row>
    <row r="185" spans="4:28" ht="12.3" x14ac:dyDescent="0.35">
      <c r="D185" s="15" t="str">
        <f t="shared" si="145"/>
        <v>IT and Communications</v>
      </c>
      <c r="E185" s="52" t="str">
        <f t="shared" si="149"/>
        <v>Input_RAB_SCS</v>
      </c>
      <c r="F185" s="52" t="str">
        <f t="shared" si="146"/>
        <v>Dollars</v>
      </c>
      <c r="G185" s="52" t="str">
        <f t="shared" si="147"/>
        <v>Nominal</v>
      </c>
      <c r="H185" s="52" t="str">
        <f t="shared" si="148"/>
        <v>End_year</v>
      </c>
      <c r="J185" s="36"/>
      <c r="K185" s="36"/>
      <c r="L185" s="36"/>
      <c r="M185" s="36"/>
      <c r="N185" s="36"/>
      <c r="O185" s="36"/>
      <c r="P185" s="36"/>
      <c r="Q185" s="36"/>
      <c r="R185" s="36"/>
      <c r="S185" s="36"/>
      <c r="T185" s="36"/>
      <c r="U185" s="36"/>
      <c r="V185" s="36"/>
      <c r="W185" s="36"/>
      <c r="X185" s="36"/>
      <c r="Y185" s="36"/>
      <c r="Z185" s="36"/>
      <c r="AA185" s="36"/>
      <c r="AB185" s="36"/>
    </row>
    <row r="186" spans="4:28" ht="12.3" x14ac:dyDescent="0.35">
      <c r="D186" s="15" t="str">
        <f t="shared" si="145"/>
        <v>Motor Vehicles</v>
      </c>
      <c r="E186" s="52" t="str">
        <f t="shared" si="149"/>
        <v>Input_RAB_SCS</v>
      </c>
      <c r="F186" s="52" t="str">
        <f t="shared" si="146"/>
        <v>Dollars</v>
      </c>
      <c r="G186" s="52" t="str">
        <f t="shared" si="147"/>
        <v>Nominal</v>
      </c>
      <c r="H186" s="52" t="str">
        <f t="shared" si="148"/>
        <v>End_year</v>
      </c>
      <c r="J186" s="36"/>
      <c r="K186" s="36"/>
      <c r="L186" s="36"/>
      <c r="M186" s="36"/>
      <c r="N186" s="36"/>
      <c r="O186" s="36"/>
      <c r="P186" s="36"/>
      <c r="Q186" s="36"/>
      <c r="R186" s="36"/>
      <c r="S186" s="36"/>
      <c r="T186" s="36"/>
      <c r="U186" s="36"/>
      <c r="V186" s="36"/>
      <c r="W186" s="36"/>
      <c r="X186" s="36"/>
      <c r="Y186" s="36"/>
      <c r="Z186" s="36"/>
      <c r="AA186" s="36"/>
      <c r="AB186" s="36"/>
    </row>
    <row r="187" spans="4:28" ht="12.3" x14ac:dyDescent="0.35">
      <c r="D187" s="15" t="str">
        <f t="shared" si="145"/>
        <v>Plant and Equipment</v>
      </c>
      <c r="E187" s="52" t="str">
        <f t="shared" si="149"/>
        <v>Input_RAB_SCS</v>
      </c>
      <c r="F187" s="52" t="str">
        <f t="shared" si="146"/>
        <v>Dollars</v>
      </c>
      <c r="G187" s="52" t="str">
        <f t="shared" si="147"/>
        <v>Nominal</v>
      </c>
      <c r="H187" s="52" t="str">
        <f t="shared" si="148"/>
        <v>End_year</v>
      </c>
      <c r="J187" s="36"/>
      <c r="K187" s="36"/>
      <c r="L187" s="36"/>
      <c r="M187" s="36"/>
      <c r="N187" s="36"/>
      <c r="O187" s="36"/>
      <c r="P187" s="36"/>
      <c r="Q187" s="36"/>
      <c r="R187" s="36"/>
      <c r="S187" s="36"/>
      <c r="T187" s="36"/>
      <c r="U187" s="36"/>
      <c r="V187" s="36"/>
      <c r="W187" s="36"/>
      <c r="X187" s="36"/>
      <c r="Y187" s="36"/>
      <c r="Z187" s="36"/>
      <c r="AA187" s="36"/>
      <c r="AB187" s="36"/>
    </row>
    <row r="188" spans="4:28" ht="12.3" x14ac:dyDescent="0.35">
      <c r="D188" s="15" t="str">
        <f t="shared" ref="D188:D189" si="150">D32</f>
        <v>Property Leases</v>
      </c>
      <c r="E188" s="52" t="str">
        <f t="shared" si="149"/>
        <v>Input_RAB_SCS</v>
      </c>
      <c r="F188" s="52" t="str">
        <f t="shared" si="146"/>
        <v>Dollars</v>
      </c>
      <c r="G188" s="52" t="str">
        <f t="shared" si="147"/>
        <v>Nominal</v>
      </c>
      <c r="H188" s="52" t="str">
        <f t="shared" si="148"/>
        <v>End_year</v>
      </c>
      <c r="J188" s="36"/>
      <c r="K188" s="36"/>
      <c r="L188" s="36"/>
      <c r="M188" s="36"/>
      <c r="N188" s="36"/>
      <c r="O188" s="36"/>
      <c r="P188" s="36"/>
      <c r="Q188" s="36"/>
      <c r="R188" s="36"/>
      <c r="S188" s="36"/>
      <c r="T188" s="36"/>
      <c r="U188" s="36"/>
      <c r="V188" s="36"/>
      <c r="W188" s="36"/>
      <c r="X188" s="36"/>
      <c r="Y188" s="36"/>
      <c r="Z188" s="36"/>
      <c r="AA188" s="36"/>
      <c r="AB188" s="36"/>
    </row>
    <row r="189" spans="4:28" ht="12.3" x14ac:dyDescent="0.35">
      <c r="D189" s="15" t="str">
        <f t="shared" si="150"/>
        <v>Fleet Leases</v>
      </c>
      <c r="E189" s="52" t="str">
        <f t="shared" si="149"/>
        <v>Input_RAB_SCS</v>
      </c>
      <c r="F189" s="52" t="str">
        <f t="shared" si="146"/>
        <v>Dollars</v>
      </c>
      <c r="G189" s="52" t="str">
        <f t="shared" si="147"/>
        <v>Nominal</v>
      </c>
      <c r="H189" s="52" t="str">
        <f t="shared" si="148"/>
        <v>End_year</v>
      </c>
      <c r="J189" s="36"/>
      <c r="K189" s="36"/>
      <c r="L189" s="36"/>
      <c r="M189" s="36"/>
      <c r="N189" s="36"/>
      <c r="O189" s="36"/>
      <c r="P189" s="36"/>
      <c r="Q189" s="36"/>
      <c r="R189" s="36"/>
      <c r="S189" s="36"/>
      <c r="T189" s="36"/>
      <c r="U189" s="36"/>
      <c r="V189" s="36"/>
      <c r="W189" s="36"/>
      <c r="X189" s="36"/>
      <c r="Y189" s="36"/>
      <c r="Z189" s="36"/>
      <c r="AA189" s="36"/>
      <c r="AB189" s="36"/>
    </row>
    <row r="190" spans="4:28" ht="12.3" x14ac:dyDescent="0.35">
      <c r="D190" s="15" t="str">
        <f t="shared" ref="D190" si="151">D34</f>
        <v>Equity Raising Costs</v>
      </c>
      <c r="E190" s="52" t="str">
        <f>E187</f>
        <v>Input_RAB_SCS</v>
      </c>
      <c r="F190" s="52" t="str">
        <f t="shared" si="146"/>
        <v>Dollars</v>
      </c>
      <c r="G190" s="52" t="str">
        <f t="shared" si="147"/>
        <v>Nominal</v>
      </c>
      <c r="H190" s="52" t="str">
        <f t="shared" si="148"/>
        <v>End_year</v>
      </c>
      <c r="J190" s="36"/>
      <c r="K190" s="36"/>
      <c r="L190" s="36"/>
      <c r="M190" s="36"/>
      <c r="N190" s="36"/>
      <c r="O190" s="36"/>
      <c r="P190" s="36"/>
      <c r="Q190" s="36"/>
      <c r="R190" s="36"/>
      <c r="S190" s="36"/>
      <c r="T190" s="36"/>
      <c r="U190" s="36"/>
      <c r="V190" s="36"/>
      <c r="W190" s="36"/>
      <c r="X190" s="36"/>
      <c r="Y190" s="36"/>
      <c r="Z190" s="36"/>
      <c r="AA190" s="36"/>
      <c r="AB190" s="36"/>
    </row>
    <row r="191" spans="4:28" x14ac:dyDescent="0.35">
      <c r="J191" s="56"/>
      <c r="K191" s="57"/>
      <c r="L191" s="57"/>
      <c r="M191" s="57"/>
      <c r="N191" s="57"/>
      <c r="O191" s="57"/>
      <c r="P191" s="57"/>
      <c r="Q191" s="57"/>
      <c r="R191" s="58"/>
      <c r="S191" s="56"/>
      <c r="T191" s="57"/>
      <c r="U191" s="57"/>
      <c r="V191" s="57"/>
      <c r="W191" s="58"/>
      <c r="X191" s="56"/>
      <c r="Y191" s="57"/>
      <c r="Z191" s="57"/>
      <c r="AA191" s="57"/>
      <c r="AB191" s="58"/>
    </row>
    <row r="192" spans="4:28" ht="12.3" x14ac:dyDescent="0.35">
      <c r="D192" s="51" t="str">
        <f>"Total "&amp;D172</f>
        <v>Total RAB Asset Class</v>
      </c>
      <c r="E192" s="47" t="s">
        <v>111</v>
      </c>
      <c r="F192" s="47" t="str">
        <f>F174</f>
        <v>Dollars</v>
      </c>
      <c r="G192" s="47" t="str">
        <f>G174</f>
        <v>Nominal</v>
      </c>
      <c r="H192" s="47" t="str">
        <f>H174</f>
        <v>End_year</v>
      </c>
      <c r="J192" s="62">
        <f t="shared" ref="J192:AB192" si="152">SUM(J174:J190)</f>
        <v>0</v>
      </c>
      <c r="K192" s="46">
        <f t="shared" si="152"/>
        <v>0</v>
      </c>
      <c r="L192" s="46">
        <f t="shared" si="152"/>
        <v>0</v>
      </c>
      <c r="M192" s="46">
        <f t="shared" si="152"/>
        <v>0</v>
      </c>
      <c r="N192" s="46">
        <f t="shared" si="152"/>
        <v>0</v>
      </c>
      <c r="O192" s="46">
        <f t="shared" si="152"/>
        <v>0</v>
      </c>
      <c r="P192" s="46">
        <f t="shared" si="152"/>
        <v>0</v>
      </c>
      <c r="Q192" s="46">
        <f t="shared" si="152"/>
        <v>0</v>
      </c>
      <c r="R192" s="63">
        <f t="shared" si="152"/>
        <v>0</v>
      </c>
      <c r="S192" s="62">
        <f t="shared" si="152"/>
        <v>0</v>
      </c>
      <c r="T192" s="46">
        <f t="shared" si="152"/>
        <v>0</v>
      </c>
      <c r="U192" s="46">
        <f t="shared" si="152"/>
        <v>0</v>
      </c>
      <c r="V192" s="46">
        <f t="shared" si="152"/>
        <v>0</v>
      </c>
      <c r="W192" s="63">
        <f t="shared" si="152"/>
        <v>-0.17460686219028501</v>
      </c>
      <c r="X192" s="62">
        <f t="shared" si="152"/>
        <v>0</v>
      </c>
      <c r="Y192" s="46">
        <f t="shared" si="152"/>
        <v>0</v>
      </c>
      <c r="Z192" s="46">
        <f t="shared" si="152"/>
        <v>0</v>
      </c>
      <c r="AA192" s="46">
        <f t="shared" si="152"/>
        <v>0</v>
      </c>
      <c r="AB192" s="63">
        <f t="shared" si="152"/>
        <v>0</v>
      </c>
    </row>
    <row r="193" spans="1:28" s="6" customFormat="1" ht="11.25" customHeight="1" x14ac:dyDescent="0.35"/>
    <row r="194" spans="1:28" s="6" customFormat="1" ht="11.25" customHeight="1" x14ac:dyDescent="0.35">
      <c r="A194" s="49">
        <f>IF(SUM($J194:$AB194)&lt;&gt;0,1,0)</f>
        <v>0</v>
      </c>
      <c r="D194" s="15" t="s">
        <v>114</v>
      </c>
      <c r="J194" s="70">
        <f>IF(ISERROR(J192),1,0)</f>
        <v>0</v>
      </c>
      <c r="K194" s="70">
        <f t="shared" ref="K194:N194" si="153">IF(ISERROR(K192),1,0)</f>
        <v>0</v>
      </c>
      <c r="L194" s="70">
        <f t="shared" si="153"/>
        <v>0</v>
      </c>
      <c r="M194" s="70">
        <f t="shared" si="153"/>
        <v>0</v>
      </c>
      <c r="N194" s="70">
        <f t="shared" si="153"/>
        <v>0</v>
      </c>
      <c r="O194" s="70">
        <f>IF(ISERROR(O192),1,0)</f>
        <v>0</v>
      </c>
      <c r="P194" s="70">
        <f t="shared" ref="P194:S194" si="154">IF(ISERROR(P192),1,0)</f>
        <v>0</v>
      </c>
      <c r="Q194" s="70">
        <f t="shared" si="154"/>
        <v>0</v>
      </c>
      <c r="R194" s="70">
        <f t="shared" si="154"/>
        <v>0</v>
      </c>
      <c r="S194" s="70">
        <f t="shared" si="154"/>
        <v>0</v>
      </c>
      <c r="T194" s="70">
        <f>IF(ISERROR(T192),1,0)</f>
        <v>0</v>
      </c>
      <c r="U194" s="70">
        <f t="shared" ref="U194:X194" si="155">IF(ISERROR(U192),1,0)</f>
        <v>0</v>
      </c>
      <c r="V194" s="70">
        <f t="shared" si="155"/>
        <v>0</v>
      </c>
      <c r="W194" s="70">
        <f t="shared" si="155"/>
        <v>0</v>
      </c>
      <c r="X194" s="70">
        <f t="shared" si="155"/>
        <v>0</v>
      </c>
      <c r="Y194" s="70">
        <f>IF(ISERROR(Y192),1,0)</f>
        <v>0</v>
      </c>
      <c r="Z194" s="70">
        <f t="shared" ref="Z194:AB194" si="156">IF(ISERROR(Z192),1,0)</f>
        <v>0</v>
      </c>
      <c r="AA194" s="70">
        <f t="shared" si="156"/>
        <v>0</v>
      </c>
      <c r="AB194" s="70">
        <f t="shared" si="156"/>
        <v>0</v>
      </c>
    </row>
    <row r="196" spans="1:28" s="13" customFormat="1" ht="14.1" x14ac:dyDescent="0.35">
      <c r="C196" s="13" t="s">
        <v>152</v>
      </c>
    </row>
    <row r="197" spans="1:28" s="6" customFormat="1" ht="11.25" customHeight="1" x14ac:dyDescent="0.35"/>
    <row r="198" spans="1:28" ht="12.3" x14ac:dyDescent="0.35">
      <c r="D198" s="50" t="str">
        <f>D$16</f>
        <v>RAB Asset Class</v>
      </c>
      <c r="E198" s="45" t="str">
        <f>Lookup!E$20</f>
        <v>Source</v>
      </c>
      <c r="F198" s="45" t="str">
        <f>Lookup!F$20</f>
        <v>Unit</v>
      </c>
      <c r="G198" s="45" t="str">
        <f>Lookup!G$20</f>
        <v>Basis</v>
      </c>
      <c r="H198" s="45" t="str">
        <f>Lookup!H$20</f>
        <v>Timing</v>
      </c>
      <c r="J198" s="54" t="str">
        <f>J$10</f>
        <v>RY06</v>
      </c>
      <c r="K198" s="45" t="str">
        <f t="shared" ref="K198:AB198" si="157">K$10</f>
        <v>RY07</v>
      </c>
      <c r="L198" s="45" t="str">
        <f t="shared" si="157"/>
        <v>RY08</v>
      </c>
      <c r="M198" s="45" t="str">
        <f t="shared" si="157"/>
        <v>RY09</v>
      </c>
      <c r="N198" s="45" t="str">
        <f t="shared" si="157"/>
        <v>RY10</v>
      </c>
      <c r="O198" s="45" t="str">
        <f>O$10</f>
        <v>RY11</v>
      </c>
      <c r="P198" s="45" t="str">
        <f t="shared" si="157"/>
        <v>RY12</v>
      </c>
      <c r="Q198" s="45" t="str">
        <f t="shared" si="157"/>
        <v>RY13</v>
      </c>
      <c r="R198" s="55" t="str">
        <f t="shared" si="157"/>
        <v>RY14</v>
      </c>
      <c r="S198" s="54" t="str">
        <f t="shared" si="157"/>
        <v>RY15</v>
      </c>
      <c r="T198" s="45" t="str">
        <f>T$10</f>
        <v>RY16</v>
      </c>
      <c r="U198" s="45" t="str">
        <f t="shared" si="157"/>
        <v>RY17</v>
      </c>
      <c r="V198" s="45" t="str">
        <f t="shared" si="157"/>
        <v>RY18</v>
      </c>
      <c r="W198" s="55" t="str">
        <f t="shared" si="157"/>
        <v>RY19</v>
      </c>
      <c r="X198" s="54" t="str">
        <f t="shared" si="157"/>
        <v>RY20</v>
      </c>
      <c r="Y198" s="45" t="str">
        <f>Y$10</f>
        <v>RY21</v>
      </c>
      <c r="Z198" s="45" t="str">
        <f t="shared" si="157"/>
        <v>RY22</v>
      </c>
      <c r="AA198" s="45" t="str">
        <f t="shared" si="157"/>
        <v>RY23</v>
      </c>
      <c r="AB198" s="55" t="str">
        <f t="shared" si="157"/>
        <v>RY24</v>
      </c>
    </row>
    <row r="199" spans="1:28" x14ac:dyDescent="0.35">
      <c r="J199" s="56"/>
      <c r="K199" s="57"/>
      <c r="L199" s="57"/>
      <c r="M199" s="57"/>
      <c r="N199" s="57"/>
      <c r="O199" s="57"/>
      <c r="P199" s="57"/>
      <c r="Q199" s="57"/>
      <c r="R199" s="58"/>
      <c r="S199" s="56"/>
      <c r="T199" s="57"/>
      <c r="U199" s="57"/>
      <c r="V199" s="57"/>
      <c r="W199" s="58"/>
      <c r="X199" s="56"/>
      <c r="Y199" s="57"/>
      <c r="Z199" s="57"/>
      <c r="AA199" s="57"/>
      <c r="AB199" s="58"/>
    </row>
    <row r="200" spans="1:28" ht="12.3" x14ac:dyDescent="0.35">
      <c r="D200" s="15" t="str">
        <f t="shared" ref="D200:D213" si="158">D18</f>
        <v>Substations</v>
      </c>
      <c r="E200" s="52" t="s">
        <v>111</v>
      </c>
      <c r="F200" s="52" t="str">
        <f t="shared" ref="F200:F216" si="159">Dollars</f>
        <v>Dollars</v>
      </c>
      <c r="G200" s="52" t="str">
        <f t="shared" ref="G200:G216" si="160">Nominal</f>
        <v>Nominal</v>
      </c>
      <c r="H200" s="52" t="str">
        <f t="shared" ref="H200:H216" si="161">End_year</f>
        <v>End_year</v>
      </c>
      <c r="J200" s="66">
        <f t="shared" ref="J200:J213" si="162">J148+J174</f>
        <v>0</v>
      </c>
      <c r="K200" s="67">
        <f t="shared" ref="K200:AB200" si="163">K148+K174</f>
        <v>0</v>
      </c>
      <c r="L200" s="67">
        <f t="shared" si="163"/>
        <v>0</v>
      </c>
      <c r="M200" s="67">
        <f t="shared" si="163"/>
        <v>0</v>
      </c>
      <c r="N200" s="67">
        <f t="shared" si="163"/>
        <v>0</v>
      </c>
      <c r="O200" s="67">
        <f t="shared" si="163"/>
        <v>0</v>
      </c>
      <c r="P200" s="67">
        <f t="shared" si="163"/>
        <v>0</v>
      </c>
      <c r="Q200" s="67">
        <f t="shared" si="163"/>
        <v>0</v>
      </c>
      <c r="R200" s="68">
        <f t="shared" si="163"/>
        <v>0</v>
      </c>
      <c r="S200" s="66">
        <f t="shared" si="163"/>
        <v>0</v>
      </c>
      <c r="T200" s="67">
        <f t="shared" si="163"/>
        <v>0</v>
      </c>
      <c r="U200" s="67">
        <f t="shared" si="163"/>
        <v>0</v>
      </c>
      <c r="V200" s="67">
        <f t="shared" si="163"/>
        <v>0</v>
      </c>
      <c r="W200" s="68">
        <f t="shared" si="163"/>
        <v>0</v>
      </c>
      <c r="X200" s="66">
        <f t="shared" si="163"/>
        <v>0</v>
      </c>
      <c r="Y200" s="67">
        <f t="shared" si="163"/>
        <v>0</v>
      </c>
      <c r="Z200" s="67">
        <f t="shared" si="163"/>
        <v>0</v>
      </c>
      <c r="AA200" s="67">
        <f t="shared" si="163"/>
        <v>0</v>
      </c>
      <c r="AB200" s="68">
        <f t="shared" si="163"/>
        <v>0</v>
      </c>
    </row>
    <row r="201" spans="1:28" ht="12.3" x14ac:dyDescent="0.35">
      <c r="D201" s="15" t="str">
        <f t="shared" si="158"/>
        <v>Distribution Lines</v>
      </c>
      <c r="E201" s="52" t="s">
        <v>111</v>
      </c>
      <c r="F201" s="52" t="str">
        <f t="shared" si="159"/>
        <v>Dollars</v>
      </c>
      <c r="G201" s="52" t="str">
        <f t="shared" si="160"/>
        <v>Nominal</v>
      </c>
      <c r="H201" s="52" t="str">
        <f t="shared" si="161"/>
        <v>End_year</v>
      </c>
      <c r="J201" s="66">
        <f t="shared" si="162"/>
        <v>-3.222269461557818</v>
      </c>
      <c r="K201" s="67">
        <f t="shared" ref="K201:AB201" si="164">K149+K175</f>
        <v>-3.4938791880227935</v>
      </c>
      <c r="L201" s="67">
        <f t="shared" si="164"/>
        <v>-3.8578966446506331</v>
      </c>
      <c r="M201" s="67">
        <f t="shared" si="164"/>
        <v>-4.1311242859771031</v>
      </c>
      <c r="N201" s="67">
        <f t="shared" si="164"/>
        <v>-4.4217764768707823</v>
      </c>
      <c r="O201" s="67">
        <f t="shared" si="164"/>
        <v>-4.73098450871748</v>
      </c>
      <c r="P201" s="67">
        <f t="shared" si="164"/>
        <v>-5.0175005678912239</v>
      </c>
      <c r="Q201" s="67">
        <f t="shared" si="164"/>
        <v>-5.6226190476686408</v>
      </c>
      <c r="R201" s="68">
        <f t="shared" si="164"/>
        <v>-6.0221497892690969</v>
      </c>
      <c r="S201" s="66">
        <f t="shared" si="164"/>
        <v>-6.2414382644215713</v>
      </c>
      <c r="T201" s="67">
        <f t="shared" si="164"/>
        <v>-6.3271543617229193</v>
      </c>
      <c r="U201" s="67">
        <f t="shared" si="164"/>
        <v>-6.4431723869911899</v>
      </c>
      <c r="V201" s="67">
        <f t="shared" si="164"/>
        <v>-6.4800365716482249</v>
      </c>
      <c r="W201" s="68">
        <f t="shared" si="164"/>
        <v>-6.4783887846727701</v>
      </c>
      <c r="X201" s="66">
        <f t="shared" si="164"/>
        <v>-6.9134121116744476</v>
      </c>
      <c r="Y201" s="67">
        <f t="shared" si="164"/>
        <v>-7.4550191728044073</v>
      </c>
      <c r="Z201" s="67">
        <f t="shared" si="164"/>
        <v>-7.8493511565867395</v>
      </c>
      <c r="AA201" s="67">
        <f t="shared" si="164"/>
        <v>-8.1926831819740169</v>
      </c>
      <c r="AB201" s="68">
        <f t="shared" si="164"/>
        <v>-8.5939991797823243</v>
      </c>
    </row>
    <row r="202" spans="1:28" ht="12.3" x14ac:dyDescent="0.35">
      <c r="D202" s="15" t="str">
        <f t="shared" si="158"/>
        <v>Transmission Lines</v>
      </c>
      <c r="E202" s="52" t="s">
        <v>111</v>
      </c>
      <c r="F202" s="52" t="str">
        <f t="shared" si="159"/>
        <v>Dollars</v>
      </c>
      <c r="G202" s="52" t="str">
        <f t="shared" si="160"/>
        <v>Nominal</v>
      </c>
      <c r="H202" s="52" t="str">
        <f t="shared" si="161"/>
        <v>End_year</v>
      </c>
      <c r="J202" s="66">
        <f t="shared" si="162"/>
        <v>0</v>
      </c>
      <c r="K202" s="67">
        <f t="shared" ref="K202:AB202" si="165">K150+K176</f>
        <v>0</v>
      </c>
      <c r="L202" s="67">
        <f t="shared" si="165"/>
        <v>0</v>
      </c>
      <c r="M202" s="67">
        <f t="shared" si="165"/>
        <v>0</v>
      </c>
      <c r="N202" s="67">
        <f t="shared" si="165"/>
        <v>0</v>
      </c>
      <c r="O202" s="67">
        <f t="shared" si="165"/>
        <v>0</v>
      </c>
      <c r="P202" s="67">
        <f t="shared" si="165"/>
        <v>0</v>
      </c>
      <c r="Q202" s="67">
        <f t="shared" si="165"/>
        <v>0</v>
      </c>
      <c r="R202" s="68">
        <f t="shared" si="165"/>
        <v>0</v>
      </c>
      <c r="S202" s="66">
        <f t="shared" si="165"/>
        <v>0</v>
      </c>
      <c r="T202" s="67">
        <f t="shared" si="165"/>
        <v>0</v>
      </c>
      <c r="U202" s="67">
        <f t="shared" si="165"/>
        <v>0</v>
      </c>
      <c r="V202" s="67">
        <f t="shared" si="165"/>
        <v>0</v>
      </c>
      <c r="W202" s="68">
        <f t="shared" si="165"/>
        <v>0</v>
      </c>
      <c r="X202" s="66">
        <f t="shared" si="165"/>
        <v>0</v>
      </c>
      <c r="Y202" s="67">
        <f t="shared" si="165"/>
        <v>0</v>
      </c>
      <c r="Z202" s="67">
        <f t="shared" si="165"/>
        <v>0</v>
      </c>
      <c r="AA202" s="67">
        <f t="shared" si="165"/>
        <v>0</v>
      </c>
      <c r="AB202" s="68">
        <f t="shared" si="165"/>
        <v>0</v>
      </c>
    </row>
    <row r="203" spans="1:28" ht="12.3" x14ac:dyDescent="0.35">
      <c r="D203" s="15" t="str">
        <f t="shared" si="158"/>
        <v>LV Services</v>
      </c>
      <c r="E203" s="52" t="s">
        <v>111</v>
      </c>
      <c r="F203" s="52" t="str">
        <f t="shared" si="159"/>
        <v>Dollars</v>
      </c>
      <c r="G203" s="52" t="str">
        <f t="shared" si="160"/>
        <v>Nominal</v>
      </c>
      <c r="H203" s="52" t="str">
        <f t="shared" si="161"/>
        <v>End_year</v>
      </c>
      <c r="J203" s="66">
        <f t="shared" si="162"/>
        <v>-4.1870241505062014E-3</v>
      </c>
      <c r="K203" s="67">
        <f t="shared" ref="K203:AB203" si="166">K151+K177</f>
        <v>-4.2910803719980713E-3</v>
      </c>
      <c r="L203" s="67">
        <f t="shared" si="166"/>
        <v>-4.4744175241504137E-3</v>
      </c>
      <c r="M203" s="67">
        <f t="shared" si="166"/>
        <v>-4.5834288038085636E-3</v>
      </c>
      <c r="N203" s="67">
        <f t="shared" si="166"/>
        <v>-4.7172153742981102E-3</v>
      </c>
      <c r="O203" s="67">
        <f t="shared" si="166"/>
        <v>-4.870822177452775E-3</v>
      </c>
      <c r="P203" s="67">
        <f t="shared" si="166"/>
        <v>-4.9501031081132484E-3</v>
      </c>
      <c r="Q203" s="67">
        <f t="shared" si="166"/>
        <v>-5.0739795622702366E-3</v>
      </c>
      <c r="R203" s="68">
        <f t="shared" si="166"/>
        <v>-5.2987323324175818E-3</v>
      </c>
      <c r="S203" s="66">
        <f t="shared" si="166"/>
        <v>-5.4250886655758418E-2</v>
      </c>
      <c r="T203" s="67">
        <f t="shared" si="166"/>
        <v>-0.10474781902871416</v>
      </c>
      <c r="U203" s="67">
        <f t="shared" si="166"/>
        <v>-0.15253470094034832</v>
      </c>
      <c r="V203" s="67">
        <f t="shared" si="166"/>
        <v>-0.15664173039970009</v>
      </c>
      <c r="W203" s="68">
        <f t="shared" si="166"/>
        <v>-0.20355575463943501</v>
      </c>
      <c r="X203" s="66">
        <f t="shared" si="166"/>
        <v>-0.20861914655078892</v>
      </c>
      <c r="Y203" s="67">
        <f t="shared" si="166"/>
        <v>-0.21664815752114527</v>
      </c>
      <c r="Z203" s="67">
        <f t="shared" si="166"/>
        <v>-0.22305598153822681</v>
      </c>
      <c r="AA203" s="67">
        <f t="shared" si="166"/>
        <v>-0.22812422487949729</v>
      </c>
      <c r="AB203" s="68">
        <f t="shared" si="166"/>
        <v>-0.23391832597783446</v>
      </c>
    </row>
    <row r="204" spans="1:28" ht="12.3" x14ac:dyDescent="0.35">
      <c r="D204" s="15" t="str">
        <f t="shared" si="158"/>
        <v>Distribution Substations</v>
      </c>
      <c r="E204" s="52" t="s">
        <v>111</v>
      </c>
      <c r="F204" s="52" t="str">
        <f t="shared" si="159"/>
        <v>Dollars</v>
      </c>
      <c r="G204" s="52" t="str">
        <f t="shared" si="160"/>
        <v>Nominal</v>
      </c>
      <c r="H204" s="52" t="str">
        <f t="shared" si="161"/>
        <v>End_year</v>
      </c>
      <c r="J204" s="66">
        <f t="shared" si="162"/>
        <v>-1.2371016818908203</v>
      </c>
      <c r="K204" s="67">
        <f t="shared" ref="K204:AB204" si="167">K152+K178</f>
        <v>-1.1921740568386097</v>
      </c>
      <c r="L204" s="67">
        <f t="shared" si="167"/>
        <v>-1.3370830016369748</v>
      </c>
      <c r="M204" s="67">
        <f t="shared" si="167"/>
        <v>-1.420539667918546</v>
      </c>
      <c r="N204" s="67">
        <f t="shared" si="167"/>
        <v>-1.7236948569088506</v>
      </c>
      <c r="O204" s="67">
        <f t="shared" si="167"/>
        <v>-2.0108798427355943</v>
      </c>
      <c r="P204" s="67">
        <f t="shared" si="167"/>
        <v>-2.06805047992126</v>
      </c>
      <c r="Q204" s="67">
        <f t="shared" si="167"/>
        <v>-2.1337848269450714</v>
      </c>
      <c r="R204" s="68">
        <f t="shared" si="167"/>
        <v>-2.1993613257971245</v>
      </c>
      <c r="S204" s="66">
        <f t="shared" si="167"/>
        <v>-2.3560683679742618</v>
      </c>
      <c r="T204" s="67">
        <f t="shared" si="167"/>
        <v>-2.4407034607779412</v>
      </c>
      <c r="U204" s="67">
        <f t="shared" si="167"/>
        <v>-2.4803254726938389</v>
      </c>
      <c r="V204" s="67">
        <f t="shared" si="167"/>
        <v>-2.4828875176077418</v>
      </c>
      <c r="W204" s="68">
        <f t="shared" si="167"/>
        <v>-2.6469632094773425</v>
      </c>
      <c r="X204" s="66">
        <f t="shared" si="167"/>
        <v>-2.6845897591267192</v>
      </c>
      <c r="Y204" s="67">
        <f t="shared" si="167"/>
        <v>-2.7360208333305174</v>
      </c>
      <c r="Z204" s="67">
        <f t="shared" si="167"/>
        <v>-2.7871826876110455</v>
      </c>
      <c r="AA204" s="67">
        <f t="shared" si="167"/>
        <v>-2.8587582980326456</v>
      </c>
      <c r="AB204" s="68">
        <f t="shared" si="167"/>
        <v>-2.9374725832991655</v>
      </c>
    </row>
    <row r="205" spans="1:28" ht="12.3" x14ac:dyDescent="0.35">
      <c r="D205" s="15" t="str">
        <f t="shared" si="158"/>
        <v>Distribution Switchgear</v>
      </c>
      <c r="E205" s="52" t="s">
        <v>111</v>
      </c>
      <c r="F205" s="52" t="str">
        <f t="shared" si="159"/>
        <v>Dollars</v>
      </c>
      <c r="G205" s="52" t="str">
        <f t="shared" si="160"/>
        <v>Nominal</v>
      </c>
      <c r="H205" s="52" t="str">
        <f t="shared" si="161"/>
        <v>End_year</v>
      </c>
      <c r="J205" s="66">
        <f t="shared" si="162"/>
        <v>-0.18833836174961244</v>
      </c>
      <c r="K205" s="67">
        <f t="shared" ref="K205:AB205" si="168">K153+K179</f>
        <v>-0.19301896008895189</v>
      </c>
      <c r="L205" s="67">
        <f t="shared" si="168"/>
        <v>-0.21080152268216062</v>
      </c>
      <c r="M205" s="67">
        <f t="shared" si="168"/>
        <v>-0.34697580428995889</v>
      </c>
      <c r="N205" s="67">
        <f t="shared" si="168"/>
        <v>-0.35710374668544953</v>
      </c>
      <c r="O205" s="67">
        <f t="shared" si="168"/>
        <v>-0.36873212499138325</v>
      </c>
      <c r="P205" s="67">
        <f t="shared" si="168"/>
        <v>-0.37473386863315555</v>
      </c>
      <c r="Q205" s="67">
        <f t="shared" si="168"/>
        <v>-0.38411159307342468</v>
      </c>
      <c r="R205" s="68">
        <f t="shared" si="168"/>
        <v>-0.4014864772697801</v>
      </c>
      <c r="S205" s="66">
        <f t="shared" si="168"/>
        <v>-0.52490399878474792</v>
      </c>
      <c r="T205" s="67">
        <f t="shared" si="168"/>
        <v>-0.67200974056923368</v>
      </c>
      <c r="U205" s="67">
        <f t="shared" si="168"/>
        <v>-0.80893899842907424</v>
      </c>
      <c r="V205" s="67">
        <f t="shared" si="168"/>
        <v>-0.93291043718256206</v>
      </c>
      <c r="W205" s="68">
        <f t="shared" si="168"/>
        <v>-1.1642616268479216</v>
      </c>
      <c r="X205" s="66">
        <f t="shared" si="168"/>
        <v>-1.2847930689622573</v>
      </c>
      <c r="Y205" s="67">
        <f t="shared" si="168"/>
        <v>-1.4163651693763848</v>
      </c>
      <c r="Z205" s="67">
        <f t="shared" si="168"/>
        <v>-1.5418444367661504</v>
      </c>
      <c r="AA205" s="67">
        <f t="shared" si="168"/>
        <v>-1.6834520478409754</v>
      </c>
      <c r="AB205" s="68">
        <f t="shared" si="168"/>
        <v>-1.8344187990194836</v>
      </c>
    </row>
    <row r="206" spans="1:28" ht="12.3" x14ac:dyDescent="0.35">
      <c r="D206" s="15" t="str">
        <f t="shared" si="158"/>
        <v>Protection</v>
      </c>
      <c r="E206" s="52" t="s">
        <v>111</v>
      </c>
      <c r="F206" s="52" t="str">
        <f t="shared" si="159"/>
        <v>Dollars</v>
      </c>
      <c r="G206" s="52" t="str">
        <f t="shared" si="160"/>
        <v>Nominal</v>
      </c>
      <c r="H206" s="52" t="str">
        <f t="shared" si="161"/>
        <v>End_year</v>
      </c>
      <c r="J206" s="66">
        <f t="shared" si="162"/>
        <v>0</v>
      </c>
      <c r="K206" s="67">
        <f t="shared" ref="K206:AB206" si="169">K154+K180</f>
        <v>0</v>
      </c>
      <c r="L206" s="67">
        <f t="shared" si="169"/>
        <v>0</v>
      </c>
      <c r="M206" s="67">
        <f t="shared" si="169"/>
        <v>0</v>
      </c>
      <c r="N206" s="67">
        <f t="shared" si="169"/>
        <v>0</v>
      </c>
      <c r="O206" s="67">
        <f t="shared" si="169"/>
        <v>0</v>
      </c>
      <c r="P206" s="67">
        <f t="shared" si="169"/>
        <v>0</v>
      </c>
      <c r="Q206" s="67">
        <f t="shared" si="169"/>
        <v>0</v>
      </c>
      <c r="R206" s="68">
        <f t="shared" si="169"/>
        <v>0</v>
      </c>
      <c r="S206" s="66">
        <f t="shared" si="169"/>
        <v>0</v>
      </c>
      <c r="T206" s="67">
        <f t="shared" si="169"/>
        <v>0</v>
      </c>
      <c r="U206" s="67">
        <f t="shared" si="169"/>
        <v>0</v>
      </c>
      <c r="V206" s="67">
        <f t="shared" si="169"/>
        <v>0</v>
      </c>
      <c r="W206" s="68">
        <f t="shared" si="169"/>
        <v>0</v>
      </c>
      <c r="X206" s="66">
        <f t="shared" si="169"/>
        <v>0</v>
      </c>
      <c r="Y206" s="67">
        <f t="shared" si="169"/>
        <v>0</v>
      </c>
      <c r="Z206" s="67">
        <f t="shared" si="169"/>
        <v>0</v>
      </c>
      <c r="AA206" s="67">
        <f t="shared" si="169"/>
        <v>0</v>
      </c>
      <c r="AB206" s="68">
        <f t="shared" si="169"/>
        <v>0</v>
      </c>
    </row>
    <row r="207" spans="1:28" ht="12.3" x14ac:dyDescent="0.35">
      <c r="D207" s="15" t="str">
        <f t="shared" si="158"/>
        <v>SCADA</v>
      </c>
      <c r="E207" s="52" t="s">
        <v>111</v>
      </c>
      <c r="F207" s="52" t="str">
        <f t="shared" si="159"/>
        <v>Dollars</v>
      </c>
      <c r="G207" s="52" t="str">
        <f t="shared" si="160"/>
        <v>Nominal</v>
      </c>
      <c r="H207" s="52" t="str">
        <f t="shared" si="161"/>
        <v>End_year</v>
      </c>
      <c r="J207" s="66">
        <f t="shared" si="162"/>
        <v>0</v>
      </c>
      <c r="K207" s="67">
        <f t="shared" ref="K207:AB207" si="170">K155+K181</f>
        <v>0</v>
      </c>
      <c r="L207" s="67">
        <f t="shared" si="170"/>
        <v>0</v>
      </c>
      <c r="M207" s="67">
        <f t="shared" si="170"/>
        <v>0</v>
      </c>
      <c r="N207" s="67">
        <f t="shared" si="170"/>
        <v>0</v>
      </c>
      <c r="O207" s="67">
        <f t="shared" si="170"/>
        <v>0</v>
      </c>
      <c r="P207" s="67">
        <f t="shared" si="170"/>
        <v>0</v>
      </c>
      <c r="Q207" s="67">
        <f t="shared" si="170"/>
        <v>0</v>
      </c>
      <c r="R207" s="68">
        <f t="shared" si="170"/>
        <v>0</v>
      </c>
      <c r="S207" s="66">
        <f t="shared" si="170"/>
        <v>0</v>
      </c>
      <c r="T207" s="67">
        <f t="shared" si="170"/>
        <v>0</v>
      </c>
      <c r="U207" s="67">
        <f t="shared" si="170"/>
        <v>0</v>
      </c>
      <c r="V207" s="67">
        <f t="shared" si="170"/>
        <v>0</v>
      </c>
      <c r="W207" s="68">
        <f t="shared" si="170"/>
        <v>0</v>
      </c>
      <c r="X207" s="66">
        <f t="shared" si="170"/>
        <v>0</v>
      </c>
      <c r="Y207" s="67">
        <f t="shared" si="170"/>
        <v>0</v>
      </c>
      <c r="Z207" s="67">
        <f t="shared" si="170"/>
        <v>0</v>
      </c>
      <c r="AA207" s="67">
        <f t="shared" si="170"/>
        <v>0</v>
      </c>
      <c r="AB207" s="68">
        <f t="shared" si="170"/>
        <v>0</v>
      </c>
    </row>
    <row r="208" spans="1:28" ht="12.3" x14ac:dyDescent="0.35">
      <c r="D208" s="15" t="str">
        <f t="shared" si="158"/>
        <v>Communications</v>
      </c>
      <c r="E208" s="52" t="s">
        <v>111</v>
      </c>
      <c r="F208" s="52" t="str">
        <f t="shared" si="159"/>
        <v>Dollars</v>
      </c>
      <c r="G208" s="52" t="str">
        <f t="shared" si="160"/>
        <v>Nominal</v>
      </c>
      <c r="H208" s="52" t="str">
        <f t="shared" si="161"/>
        <v>End_year</v>
      </c>
      <c r="J208" s="66">
        <f t="shared" si="162"/>
        <v>0</v>
      </c>
      <c r="K208" s="67">
        <f t="shared" ref="K208:AB208" si="171">K156+K182</f>
        <v>0</v>
      </c>
      <c r="L208" s="67">
        <f t="shared" si="171"/>
        <v>0</v>
      </c>
      <c r="M208" s="67">
        <f t="shared" si="171"/>
        <v>0</v>
      </c>
      <c r="N208" s="67">
        <f t="shared" si="171"/>
        <v>0</v>
      </c>
      <c r="O208" s="67">
        <f t="shared" si="171"/>
        <v>0</v>
      </c>
      <c r="P208" s="67">
        <f t="shared" si="171"/>
        <v>0</v>
      </c>
      <c r="Q208" s="67">
        <f t="shared" si="171"/>
        <v>0</v>
      </c>
      <c r="R208" s="68">
        <f t="shared" si="171"/>
        <v>0</v>
      </c>
      <c r="S208" s="66">
        <f t="shared" si="171"/>
        <v>0</v>
      </c>
      <c r="T208" s="67">
        <f t="shared" si="171"/>
        <v>0</v>
      </c>
      <c r="U208" s="67">
        <f t="shared" si="171"/>
        <v>0</v>
      </c>
      <c r="V208" s="67">
        <f t="shared" si="171"/>
        <v>0</v>
      </c>
      <c r="W208" s="68">
        <f t="shared" si="171"/>
        <v>0</v>
      </c>
      <c r="X208" s="66">
        <f t="shared" si="171"/>
        <v>0</v>
      </c>
      <c r="Y208" s="67">
        <f t="shared" si="171"/>
        <v>0</v>
      </c>
      <c r="Z208" s="67">
        <f t="shared" si="171"/>
        <v>0</v>
      </c>
      <c r="AA208" s="67">
        <f t="shared" si="171"/>
        <v>0</v>
      </c>
      <c r="AB208" s="68">
        <f t="shared" si="171"/>
        <v>0</v>
      </c>
    </row>
    <row r="209" spans="1:28" ht="12.3" x14ac:dyDescent="0.35">
      <c r="D209" s="15" t="str">
        <f t="shared" si="158"/>
        <v>Land and Easements</v>
      </c>
      <c r="E209" s="52" t="s">
        <v>111</v>
      </c>
      <c r="F209" s="52" t="str">
        <f t="shared" si="159"/>
        <v>Dollars</v>
      </c>
      <c r="G209" s="52" t="str">
        <f t="shared" si="160"/>
        <v>Nominal</v>
      </c>
      <c r="H209" s="52" t="str">
        <f t="shared" si="161"/>
        <v>End_year</v>
      </c>
      <c r="J209" s="66">
        <f t="shared" si="162"/>
        <v>0</v>
      </c>
      <c r="K209" s="67">
        <f t="shared" ref="K209:AB209" si="172">K157+K183</f>
        <v>0</v>
      </c>
      <c r="L209" s="67">
        <f t="shared" si="172"/>
        <v>0</v>
      </c>
      <c r="M209" s="67">
        <f t="shared" si="172"/>
        <v>0</v>
      </c>
      <c r="N209" s="67">
        <f t="shared" si="172"/>
        <v>0</v>
      </c>
      <c r="O209" s="67">
        <f t="shared" si="172"/>
        <v>0</v>
      </c>
      <c r="P209" s="67">
        <f t="shared" si="172"/>
        <v>0</v>
      </c>
      <c r="Q209" s="67">
        <f t="shared" si="172"/>
        <v>0</v>
      </c>
      <c r="R209" s="68">
        <f t="shared" si="172"/>
        <v>0</v>
      </c>
      <c r="S209" s="66">
        <f t="shared" si="172"/>
        <v>0</v>
      </c>
      <c r="T209" s="67">
        <f t="shared" si="172"/>
        <v>0</v>
      </c>
      <c r="U209" s="67">
        <f t="shared" si="172"/>
        <v>0</v>
      </c>
      <c r="V209" s="67">
        <f t="shared" si="172"/>
        <v>0</v>
      </c>
      <c r="W209" s="68">
        <f t="shared" si="172"/>
        <v>0</v>
      </c>
      <c r="X209" s="66">
        <f t="shared" si="172"/>
        <v>0</v>
      </c>
      <c r="Y209" s="67">
        <f t="shared" si="172"/>
        <v>0</v>
      </c>
      <c r="Z209" s="67">
        <f t="shared" si="172"/>
        <v>0</v>
      </c>
      <c r="AA209" s="67">
        <f t="shared" si="172"/>
        <v>0</v>
      </c>
      <c r="AB209" s="68">
        <f t="shared" si="172"/>
        <v>0</v>
      </c>
    </row>
    <row r="210" spans="1:28" ht="12.3" x14ac:dyDescent="0.35">
      <c r="D210" s="15" t="str">
        <f t="shared" si="158"/>
        <v>Property</v>
      </c>
      <c r="E210" s="52" t="s">
        <v>111</v>
      </c>
      <c r="F210" s="52" t="str">
        <f t="shared" si="159"/>
        <v>Dollars</v>
      </c>
      <c r="G210" s="52" t="str">
        <f t="shared" si="160"/>
        <v>Nominal</v>
      </c>
      <c r="H210" s="52" t="str">
        <f t="shared" si="161"/>
        <v>End_year</v>
      </c>
      <c r="J210" s="66">
        <f t="shared" si="162"/>
        <v>0</v>
      </c>
      <c r="K210" s="67">
        <f t="shared" ref="K210:AB210" si="173">K158+K184</f>
        <v>0</v>
      </c>
      <c r="L210" s="67">
        <f t="shared" si="173"/>
        <v>0</v>
      </c>
      <c r="M210" s="67">
        <f t="shared" si="173"/>
        <v>0</v>
      </c>
      <c r="N210" s="67">
        <f t="shared" si="173"/>
        <v>0</v>
      </c>
      <c r="O210" s="67">
        <f t="shared" si="173"/>
        <v>0</v>
      </c>
      <c r="P210" s="67">
        <f t="shared" si="173"/>
        <v>0</v>
      </c>
      <c r="Q210" s="67">
        <f t="shared" si="173"/>
        <v>0</v>
      </c>
      <c r="R210" s="68">
        <f t="shared" si="173"/>
        <v>0</v>
      </c>
      <c r="S210" s="66">
        <f t="shared" si="173"/>
        <v>0</v>
      </c>
      <c r="T210" s="67">
        <f t="shared" si="173"/>
        <v>0</v>
      </c>
      <c r="U210" s="67">
        <f t="shared" si="173"/>
        <v>0</v>
      </c>
      <c r="V210" s="67">
        <f t="shared" si="173"/>
        <v>0</v>
      </c>
      <c r="W210" s="68">
        <f t="shared" si="173"/>
        <v>0</v>
      </c>
      <c r="X210" s="66">
        <f t="shared" si="173"/>
        <v>0</v>
      </c>
      <c r="Y210" s="67">
        <f t="shared" si="173"/>
        <v>0</v>
      </c>
      <c r="Z210" s="67">
        <f t="shared" si="173"/>
        <v>0</v>
      </c>
      <c r="AA210" s="67">
        <f t="shared" si="173"/>
        <v>0</v>
      </c>
      <c r="AB210" s="68">
        <f t="shared" si="173"/>
        <v>0</v>
      </c>
    </row>
    <row r="211" spans="1:28" ht="12.3" x14ac:dyDescent="0.35">
      <c r="D211" s="15" t="str">
        <f t="shared" si="158"/>
        <v>IT and Communications</v>
      </c>
      <c r="E211" s="52" t="s">
        <v>111</v>
      </c>
      <c r="F211" s="52" t="str">
        <f t="shared" si="159"/>
        <v>Dollars</v>
      </c>
      <c r="G211" s="52" t="str">
        <f t="shared" si="160"/>
        <v>Nominal</v>
      </c>
      <c r="H211" s="52" t="str">
        <f t="shared" si="161"/>
        <v>End_year</v>
      </c>
      <c r="J211" s="66">
        <f t="shared" si="162"/>
        <v>0</v>
      </c>
      <c r="K211" s="67">
        <f t="shared" ref="K211:AB211" si="174">K159+K185</f>
        <v>0</v>
      </c>
      <c r="L211" s="67">
        <f t="shared" si="174"/>
        <v>0</v>
      </c>
      <c r="M211" s="67">
        <f t="shared" si="174"/>
        <v>0</v>
      </c>
      <c r="N211" s="67">
        <f t="shared" si="174"/>
        <v>0</v>
      </c>
      <c r="O211" s="67">
        <f t="shared" si="174"/>
        <v>0</v>
      </c>
      <c r="P211" s="67">
        <f t="shared" si="174"/>
        <v>0</v>
      </c>
      <c r="Q211" s="67">
        <f t="shared" si="174"/>
        <v>0</v>
      </c>
      <c r="R211" s="68">
        <f t="shared" si="174"/>
        <v>0</v>
      </c>
      <c r="S211" s="66">
        <f t="shared" si="174"/>
        <v>0</v>
      </c>
      <c r="T211" s="67">
        <f t="shared" si="174"/>
        <v>0</v>
      </c>
      <c r="U211" s="67">
        <f t="shared" si="174"/>
        <v>0</v>
      </c>
      <c r="V211" s="67">
        <f t="shared" si="174"/>
        <v>0</v>
      </c>
      <c r="W211" s="68">
        <f t="shared" si="174"/>
        <v>0</v>
      </c>
      <c r="X211" s="66">
        <f t="shared" si="174"/>
        <v>0</v>
      </c>
      <c r="Y211" s="67">
        <f t="shared" si="174"/>
        <v>0</v>
      </c>
      <c r="Z211" s="67">
        <f t="shared" si="174"/>
        <v>0</v>
      </c>
      <c r="AA211" s="67">
        <f t="shared" si="174"/>
        <v>0</v>
      </c>
      <c r="AB211" s="68">
        <f t="shared" si="174"/>
        <v>0</v>
      </c>
    </row>
    <row r="212" spans="1:28" ht="12.3" x14ac:dyDescent="0.35">
      <c r="D212" s="15" t="str">
        <f t="shared" si="158"/>
        <v>Motor Vehicles</v>
      </c>
      <c r="E212" s="52" t="s">
        <v>111</v>
      </c>
      <c r="F212" s="52" t="str">
        <f t="shared" si="159"/>
        <v>Dollars</v>
      </c>
      <c r="G212" s="52" t="str">
        <f t="shared" si="160"/>
        <v>Nominal</v>
      </c>
      <c r="H212" s="52" t="str">
        <f t="shared" si="161"/>
        <v>End_year</v>
      </c>
      <c r="J212" s="66">
        <f t="shared" si="162"/>
        <v>0</v>
      </c>
      <c r="K212" s="67">
        <f t="shared" ref="K212:AB212" si="175">K160+K186</f>
        <v>0</v>
      </c>
      <c r="L212" s="67">
        <f t="shared" si="175"/>
        <v>0</v>
      </c>
      <c r="M212" s="67">
        <f t="shared" si="175"/>
        <v>0</v>
      </c>
      <c r="N212" s="67">
        <f t="shared" si="175"/>
        <v>0</v>
      </c>
      <c r="O212" s="67">
        <f t="shared" si="175"/>
        <v>0</v>
      </c>
      <c r="P212" s="67">
        <f t="shared" si="175"/>
        <v>0</v>
      </c>
      <c r="Q212" s="67">
        <f t="shared" si="175"/>
        <v>0</v>
      </c>
      <c r="R212" s="68">
        <f t="shared" si="175"/>
        <v>0</v>
      </c>
      <c r="S212" s="66">
        <f t="shared" si="175"/>
        <v>0</v>
      </c>
      <c r="T212" s="67">
        <f t="shared" si="175"/>
        <v>0</v>
      </c>
      <c r="U212" s="67">
        <f t="shared" si="175"/>
        <v>0</v>
      </c>
      <c r="V212" s="67">
        <f t="shared" si="175"/>
        <v>0</v>
      </c>
      <c r="W212" s="68">
        <f t="shared" si="175"/>
        <v>0</v>
      </c>
      <c r="X212" s="66">
        <f t="shared" si="175"/>
        <v>0</v>
      </c>
      <c r="Y212" s="67">
        <f t="shared" si="175"/>
        <v>0</v>
      </c>
      <c r="Z212" s="67">
        <f t="shared" si="175"/>
        <v>0</v>
      </c>
      <c r="AA212" s="67">
        <f t="shared" si="175"/>
        <v>0</v>
      </c>
      <c r="AB212" s="68">
        <f t="shared" si="175"/>
        <v>0</v>
      </c>
    </row>
    <row r="213" spans="1:28" ht="12.3" x14ac:dyDescent="0.35">
      <c r="D213" s="15" t="str">
        <f t="shared" si="158"/>
        <v>Plant and Equipment</v>
      </c>
      <c r="E213" s="52" t="s">
        <v>111</v>
      </c>
      <c r="F213" s="52" t="str">
        <f t="shared" si="159"/>
        <v>Dollars</v>
      </c>
      <c r="G213" s="52" t="str">
        <f t="shared" si="160"/>
        <v>Nominal</v>
      </c>
      <c r="H213" s="52" t="str">
        <f t="shared" si="161"/>
        <v>End_year</v>
      </c>
      <c r="J213" s="66">
        <f t="shared" si="162"/>
        <v>0</v>
      </c>
      <c r="K213" s="67">
        <f t="shared" ref="K213:AB213" si="176">K161+K187</f>
        <v>0</v>
      </c>
      <c r="L213" s="67">
        <f t="shared" si="176"/>
        <v>0</v>
      </c>
      <c r="M213" s="67">
        <f t="shared" si="176"/>
        <v>0</v>
      </c>
      <c r="N213" s="67">
        <f t="shared" si="176"/>
        <v>0</v>
      </c>
      <c r="O213" s="67">
        <f t="shared" si="176"/>
        <v>0</v>
      </c>
      <c r="P213" s="67">
        <f t="shared" si="176"/>
        <v>0</v>
      </c>
      <c r="Q213" s="67">
        <f t="shared" si="176"/>
        <v>0</v>
      </c>
      <c r="R213" s="68">
        <f t="shared" si="176"/>
        <v>0</v>
      </c>
      <c r="S213" s="66">
        <f t="shared" si="176"/>
        <v>0</v>
      </c>
      <c r="T213" s="67">
        <f t="shared" si="176"/>
        <v>0</v>
      </c>
      <c r="U213" s="67">
        <f t="shared" si="176"/>
        <v>0</v>
      </c>
      <c r="V213" s="67">
        <f t="shared" si="176"/>
        <v>0</v>
      </c>
      <c r="W213" s="68">
        <f t="shared" si="176"/>
        <v>0</v>
      </c>
      <c r="X213" s="66">
        <f t="shared" si="176"/>
        <v>0</v>
      </c>
      <c r="Y213" s="67">
        <f t="shared" si="176"/>
        <v>0</v>
      </c>
      <c r="Z213" s="67">
        <f t="shared" si="176"/>
        <v>0</v>
      </c>
      <c r="AA213" s="67">
        <f t="shared" si="176"/>
        <v>0</v>
      </c>
      <c r="AB213" s="68">
        <f t="shared" si="176"/>
        <v>0</v>
      </c>
    </row>
    <row r="214" spans="1:28" ht="12.3" x14ac:dyDescent="0.35">
      <c r="D214" s="15" t="str">
        <f t="shared" ref="D214:D215" si="177">D32</f>
        <v>Property Leases</v>
      </c>
      <c r="E214" s="52" t="s">
        <v>111</v>
      </c>
      <c r="F214" s="52" t="str">
        <f t="shared" si="159"/>
        <v>Dollars</v>
      </c>
      <c r="G214" s="52" t="str">
        <f t="shared" si="160"/>
        <v>Nominal</v>
      </c>
      <c r="H214" s="52" t="str">
        <f t="shared" si="161"/>
        <v>End_year</v>
      </c>
      <c r="J214" s="66">
        <f t="shared" ref="J214:AB214" si="178">J162+J188</f>
        <v>0</v>
      </c>
      <c r="K214" s="67">
        <f t="shared" si="178"/>
        <v>0</v>
      </c>
      <c r="L214" s="67">
        <f t="shared" si="178"/>
        <v>0</v>
      </c>
      <c r="M214" s="67">
        <f t="shared" si="178"/>
        <v>0</v>
      </c>
      <c r="N214" s="67">
        <f t="shared" si="178"/>
        <v>0</v>
      </c>
      <c r="O214" s="67">
        <f t="shared" si="178"/>
        <v>0</v>
      </c>
      <c r="P214" s="67">
        <f t="shared" si="178"/>
        <v>0</v>
      </c>
      <c r="Q214" s="67">
        <f t="shared" si="178"/>
        <v>0</v>
      </c>
      <c r="R214" s="68">
        <f t="shared" si="178"/>
        <v>0</v>
      </c>
      <c r="S214" s="66">
        <f t="shared" si="178"/>
        <v>0</v>
      </c>
      <c r="T214" s="67">
        <f t="shared" si="178"/>
        <v>0</v>
      </c>
      <c r="U214" s="67">
        <f t="shared" si="178"/>
        <v>0</v>
      </c>
      <c r="V214" s="67">
        <f t="shared" si="178"/>
        <v>0</v>
      </c>
      <c r="W214" s="68">
        <f t="shared" si="178"/>
        <v>0</v>
      </c>
      <c r="X214" s="66">
        <f t="shared" si="178"/>
        <v>0</v>
      </c>
      <c r="Y214" s="67">
        <f t="shared" si="178"/>
        <v>0</v>
      </c>
      <c r="Z214" s="67">
        <f t="shared" si="178"/>
        <v>0</v>
      </c>
      <c r="AA214" s="67">
        <f t="shared" si="178"/>
        <v>0</v>
      </c>
      <c r="AB214" s="68">
        <f t="shared" si="178"/>
        <v>0</v>
      </c>
    </row>
    <row r="215" spans="1:28" ht="12.3" x14ac:dyDescent="0.35">
      <c r="D215" s="15" t="str">
        <f t="shared" si="177"/>
        <v>Fleet Leases</v>
      </c>
      <c r="E215" s="52" t="s">
        <v>111</v>
      </c>
      <c r="F215" s="52" t="str">
        <f t="shared" si="159"/>
        <v>Dollars</v>
      </c>
      <c r="G215" s="52" t="str">
        <f t="shared" si="160"/>
        <v>Nominal</v>
      </c>
      <c r="H215" s="52" t="str">
        <f t="shared" si="161"/>
        <v>End_year</v>
      </c>
      <c r="J215" s="66">
        <f t="shared" ref="J215:AB215" si="179">J163+J189</f>
        <v>0</v>
      </c>
      <c r="K215" s="67">
        <f t="shared" si="179"/>
        <v>0</v>
      </c>
      <c r="L215" s="67">
        <f t="shared" si="179"/>
        <v>0</v>
      </c>
      <c r="M215" s="67">
        <f t="shared" si="179"/>
        <v>0</v>
      </c>
      <c r="N215" s="67">
        <f t="shared" si="179"/>
        <v>0</v>
      </c>
      <c r="O215" s="67">
        <f t="shared" si="179"/>
        <v>0</v>
      </c>
      <c r="P215" s="67">
        <f t="shared" si="179"/>
        <v>0</v>
      </c>
      <c r="Q215" s="67">
        <f t="shared" si="179"/>
        <v>0</v>
      </c>
      <c r="R215" s="68">
        <f t="shared" si="179"/>
        <v>0</v>
      </c>
      <c r="S215" s="66">
        <f t="shared" si="179"/>
        <v>0</v>
      </c>
      <c r="T215" s="67">
        <f t="shared" si="179"/>
        <v>0</v>
      </c>
      <c r="U215" s="67">
        <f t="shared" si="179"/>
        <v>0</v>
      </c>
      <c r="V215" s="67">
        <f t="shared" si="179"/>
        <v>0</v>
      </c>
      <c r="W215" s="68">
        <f t="shared" si="179"/>
        <v>0</v>
      </c>
      <c r="X215" s="66">
        <f t="shared" si="179"/>
        <v>0</v>
      </c>
      <c r="Y215" s="67">
        <f t="shared" si="179"/>
        <v>0</v>
      </c>
      <c r="Z215" s="67">
        <f t="shared" si="179"/>
        <v>0</v>
      </c>
      <c r="AA215" s="67">
        <f t="shared" si="179"/>
        <v>0</v>
      </c>
      <c r="AB215" s="68">
        <f t="shared" si="179"/>
        <v>0</v>
      </c>
    </row>
    <row r="216" spans="1:28" ht="12.3" x14ac:dyDescent="0.35">
      <c r="D216" s="15" t="str">
        <f t="shared" ref="D216" si="180">D34</f>
        <v>Equity Raising Costs</v>
      </c>
      <c r="E216" s="52" t="s">
        <v>111</v>
      </c>
      <c r="F216" s="52" t="str">
        <f t="shared" si="159"/>
        <v>Dollars</v>
      </c>
      <c r="G216" s="52" t="str">
        <f t="shared" si="160"/>
        <v>Nominal</v>
      </c>
      <c r="H216" s="52" t="str">
        <f t="shared" si="161"/>
        <v>End_year</v>
      </c>
      <c r="J216" s="66">
        <f t="shared" ref="J216:Q216" si="181">J164+J190</f>
        <v>0</v>
      </c>
      <c r="K216" s="67">
        <f t="shared" si="181"/>
        <v>0</v>
      </c>
      <c r="L216" s="67">
        <f t="shared" si="181"/>
        <v>0</v>
      </c>
      <c r="M216" s="67">
        <f t="shared" si="181"/>
        <v>0</v>
      </c>
      <c r="N216" s="67">
        <f t="shared" si="181"/>
        <v>0</v>
      </c>
      <c r="O216" s="67">
        <f t="shared" si="181"/>
        <v>0</v>
      </c>
      <c r="P216" s="67">
        <f t="shared" si="181"/>
        <v>0</v>
      </c>
      <c r="Q216" s="67">
        <f t="shared" si="181"/>
        <v>0</v>
      </c>
      <c r="R216" s="68">
        <f t="shared" ref="R216:AB216" si="182">R164+R190</f>
        <v>0</v>
      </c>
      <c r="S216" s="66">
        <f t="shared" si="182"/>
        <v>0</v>
      </c>
      <c r="T216" s="67">
        <f t="shared" si="182"/>
        <v>0</v>
      </c>
      <c r="U216" s="67">
        <f t="shared" si="182"/>
        <v>0</v>
      </c>
      <c r="V216" s="67">
        <f t="shared" si="182"/>
        <v>0</v>
      </c>
      <c r="W216" s="68">
        <f t="shared" si="182"/>
        <v>0</v>
      </c>
      <c r="X216" s="66">
        <f t="shared" si="182"/>
        <v>0</v>
      </c>
      <c r="Y216" s="67">
        <f t="shared" si="182"/>
        <v>0</v>
      </c>
      <c r="Z216" s="67">
        <f t="shared" si="182"/>
        <v>0</v>
      </c>
      <c r="AA216" s="67">
        <f t="shared" si="182"/>
        <v>0</v>
      </c>
      <c r="AB216" s="68">
        <f t="shared" si="182"/>
        <v>0</v>
      </c>
    </row>
    <row r="217" spans="1:28" x14ac:dyDescent="0.35">
      <c r="J217" s="56"/>
      <c r="K217" s="57"/>
      <c r="L217" s="57"/>
      <c r="M217" s="57"/>
      <c r="N217" s="57"/>
      <c r="O217" s="57"/>
      <c r="P217" s="57"/>
      <c r="Q217" s="57"/>
      <c r="R217" s="58"/>
      <c r="S217" s="56"/>
      <c r="T217" s="57"/>
      <c r="U217" s="57"/>
      <c r="V217" s="57"/>
      <c r="W217" s="58"/>
      <c r="X217" s="56"/>
      <c r="Y217" s="57"/>
      <c r="Z217" s="57"/>
      <c r="AA217" s="57"/>
      <c r="AB217" s="58"/>
    </row>
    <row r="218" spans="1:28" ht="12.3" x14ac:dyDescent="0.35">
      <c r="D218" s="51" t="str">
        <f>"Total "&amp;D198</f>
        <v>Total RAB Asset Class</v>
      </c>
      <c r="E218" s="47" t="s">
        <v>111</v>
      </c>
      <c r="F218" s="47" t="str">
        <f>F200</f>
        <v>Dollars</v>
      </c>
      <c r="G218" s="47" t="str">
        <f>G200</f>
        <v>Nominal</v>
      </c>
      <c r="H218" s="47" t="str">
        <f>H200</f>
        <v>End_year</v>
      </c>
      <c r="J218" s="62">
        <f t="shared" ref="J218:AB218" si="183">SUM(J200:J216)</f>
        <v>-4.6518965293487566</v>
      </c>
      <c r="K218" s="46">
        <f t="shared" si="183"/>
        <v>-4.8833632853223534</v>
      </c>
      <c r="L218" s="46">
        <f t="shared" si="183"/>
        <v>-5.4102555864939195</v>
      </c>
      <c r="M218" s="46">
        <f t="shared" si="183"/>
        <v>-5.9032231869894165</v>
      </c>
      <c r="N218" s="46">
        <f t="shared" si="183"/>
        <v>-6.5072922958393811</v>
      </c>
      <c r="O218" s="46">
        <f t="shared" si="183"/>
        <v>-7.1154672986219101</v>
      </c>
      <c r="P218" s="46">
        <f t="shared" si="183"/>
        <v>-7.4652350195537522</v>
      </c>
      <c r="Q218" s="46">
        <f t="shared" si="183"/>
        <v>-8.1455894472494066</v>
      </c>
      <c r="R218" s="63">
        <f t="shared" si="183"/>
        <v>-8.628296324668419</v>
      </c>
      <c r="S218" s="62">
        <f t="shared" si="183"/>
        <v>-9.1766615178363384</v>
      </c>
      <c r="T218" s="46">
        <f t="shared" si="183"/>
        <v>-9.544615382098808</v>
      </c>
      <c r="U218" s="46">
        <f t="shared" si="183"/>
        <v>-9.8849715590544509</v>
      </c>
      <c r="V218" s="46">
        <f t="shared" si="183"/>
        <v>-10.052476256838229</v>
      </c>
      <c r="W218" s="63">
        <f t="shared" si="183"/>
        <v>-10.493169375637468</v>
      </c>
      <c r="X218" s="62">
        <f t="shared" si="183"/>
        <v>-11.091414086314213</v>
      </c>
      <c r="Y218" s="46">
        <f t="shared" si="183"/>
        <v>-11.824053333032456</v>
      </c>
      <c r="Z218" s="46">
        <f t="shared" si="183"/>
        <v>-12.401434262502161</v>
      </c>
      <c r="AA218" s="46">
        <f t="shared" si="183"/>
        <v>-12.963017752727135</v>
      </c>
      <c r="AB218" s="63">
        <f t="shared" si="183"/>
        <v>-13.599808888078806</v>
      </c>
    </row>
    <row r="219" spans="1:28" s="6" customFormat="1" ht="11.25" customHeight="1" x14ac:dyDescent="0.35"/>
    <row r="220" spans="1:28" s="6" customFormat="1" ht="11.25" customHeight="1" x14ac:dyDescent="0.35">
      <c r="A220" s="49">
        <f>IF(SUM($J220:$AB220)&lt;&gt;0,1,0)</f>
        <v>0</v>
      </c>
      <c r="D220" s="15" t="s">
        <v>114</v>
      </c>
      <c r="J220" s="70">
        <f>IF(ROUND(SUM(J36,J62,J88,J114,J140,J192)-J218,5)&lt;&gt;0,1,0)</f>
        <v>0</v>
      </c>
      <c r="K220" s="70">
        <f t="shared" ref="K220:AB220" si="184">IF(ROUND(SUM(K36,K62,K88,K114,K140,K192)-K218,5)&lt;&gt;0,1,0)</f>
        <v>0</v>
      </c>
      <c r="L220" s="70">
        <f t="shared" si="184"/>
        <v>0</v>
      </c>
      <c r="M220" s="70">
        <f t="shared" si="184"/>
        <v>0</v>
      </c>
      <c r="N220" s="70">
        <f t="shared" si="184"/>
        <v>0</v>
      </c>
      <c r="O220" s="70">
        <f t="shared" si="184"/>
        <v>0</v>
      </c>
      <c r="P220" s="70">
        <f t="shared" si="184"/>
        <v>0</v>
      </c>
      <c r="Q220" s="70">
        <f t="shared" si="184"/>
        <v>0</v>
      </c>
      <c r="R220" s="70">
        <f t="shared" si="184"/>
        <v>0</v>
      </c>
      <c r="S220" s="70">
        <f t="shared" si="184"/>
        <v>0</v>
      </c>
      <c r="T220" s="70">
        <f t="shared" si="184"/>
        <v>0</v>
      </c>
      <c r="U220" s="70">
        <f t="shared" si="184"/>
        <v>0</v>
      </c>
      <c r="V220" s="70">
        <f t="shared" si="184"/>
        <v>0</v>
      </c>
      <c r="W220" s="70">
        <f t="shared" si="184"/>
        <v>0</v>
      </c>
      <c r="X220" s="70">
        <f t="shared" si="184"/>
        <v>0</v>
      </c>
      <c r="Y220" s="70">
        <f t="shared" si="184"/>
        <v>0</v>
      </c>
      <c r="Z220" s="70">
        <f t="shared" si="184"/>
        <v>0</v>
      </c>
      <c r="AA220" s="70">
        <f t="shared" si="184"/>
        <v>0</v>
      </c>
      <c r="AB220" s="70">
        <f t="shared" si="184"/>
        <v>0</v>
      </c>
    </row>
    <row r="222" spans="1:28" s="4" customFormat="1" ht="15" x14ac:dyDescent="0.35">
      <c r="B222" s="4" t="s">
        <v>33</v>
      </c>
    </row>
  </sheetData>
  <conditionalFormatting sqref="B2">
    <cfRule type="cellIs" dxfId="13" priority="1" operator="notEqual">
      <formula>"No Errors Found"</formula>
    </cfRule>
  </conditionalFormatting>
  <hyperlinks>
    <hyperlink ref="B3:E3" location="TOC!A1" display="TOC!A1"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AB222"/>
  <sheetViews>
    <sheetView showGridLines="0" zoomScaleNormal="100" workbookViewId="0">
      <pane xSplit="1" ySplit="10" topLeftCell="B11" activePane="bottomRight" state="frozen"/>
      <selection activeCell="B5" sqref="B5"/>
      <selection pane="topRight" activeCell="B5" sqref="B5"/>
      <selection pane="bottomLeft" activeCell="B5" sqref="B5"/>
      <selection pane="bottomRight" activeCell="B11" sqref="B11"/>
    </sheetView>
  </sheetViews>
  <sheetFormatPr defaultColWidth="9.33203125" defaultRowHeight="10.199999999999999" outlineLevelRow="1" x14ac:dyDescent="0.35"/>
  <cols>
    <col min="1" max="1" width="3.33203125" style="7" customWidth="1"/>
    <col min="2" max="3" width="2.796875" style="7" customWidth="1"/>
    <col min="4" max="4" width="47.46484375" style="7" customWidth="1"/>
    <col min="5" max="5" width="43.1328125" style="7" customWidth="1"/>
    <col min="6" max="6" width="9.1328125" style="7" customWidth="1"/>
    <col min="7" max="7" width="12" style="7" customWidth="1"/>
    <col min="8" max="8" width="10" style="7" customWidth="1"/>
    <col min="9" max="9" width="4.46484375" style="7" customWidth="1"/>
    <col min="10" max="28" width="12.796875" style="7" customWidth="1"/>
    <col min="29" max="29" width="4.33203125" style="7" customWidth="1"/>
    <col min="30" max="31" width="10.796875" style="7" customWidth="1"/>
    <col min="32" max="16384" width="9.33203125" style="7"/>
  </cols>
  <sheetData>
    <row r="1" spans="1:28" ht="18.899999999999999" x14ac:dyDescent="0.35">
      <c r="A1" s="49">
        <f>IF(SUM($A11:$A222)&gt;0,1,0)</f>
        <v>0</v>
      </c>
      <c r="B1" s="379" t="s">
        <v>199</v>
      </c>
    </row>
    <row r="2" spans="1:28" x14ac:dyDescent="0.35">
      <c r="B2" s="18" t="str">
        <f>Title_Msg</f>
        <v>No Errors Found</v>
      </c>
    </row>
    <row r="3" spans="1:28" x14ac:dyDescent="0.35">
      <c r="B3" s="37" t="str">
        <f>TOC!B1</f>
        <v>Table of Contents</v>
      </c>
      <c r="C3" s="35"/>
      <c r="D3" s="35"/>
      <c r="E3" s="35"/>
    </row>
    <row r="4" spans="1:28" ht="12.3" x14ac:dyDescent="0.35">
      <c r="B4" s="34" t="str">
        <f>Model_Name</f>
        <v>Power and Water Corporation (PWC) - RAB Allocation - EB RIN - DRAFT</v>
      </c>
    </row>
    <row r="5" spans="1:28" ht="12.3" hidden="1" outlineLevel="1" x14ac:dyDescent="0.35">
      <c r="B5" s="15" t="str">
        <f>Lookup!B15</f>
        <v>Period Start Date</v>
      </c>
      <c r="J5" s="42">
        <f>Lookup!J15</f>
        <v>38534</v>
      </c>
      <c r="K5" s="42">
        <f>Lookup!K15</f>
        <v>38899</v>
      </c>
      <c r="L5" s="42">
        <f>Lookup!L15</f>
        <v>39264</v>
      </c>
      <c r="M5" s="42">
        <f>Lookup!M15</f>
        <v>39630</v>
      </c>
      <c r="N5" s="42">
        <f>Lookup!N15</f>
        <v>39995</v>
      </c>
      <c r="O5" s="42">
        <f>Lookup!O15</f>
        <v>40360</v>
      </c>
      <c r="P5" s="42">
        <f>Lookup!P15</f>
        <v>40725</v>
      </c>
      <c r="Q5" s="42">
        <f>Lookup!Q15</f>
        <v>41091</v>
      </c>
      <c r="R5" s="42">
        <f>Lookup!R15</f>
        <v>41456</v>
      </c>
      <c r="S5" s="42">
        <f>Lookup!S15</f>
        <v>41821</v>
      </c>
      <c r="T5" s="42">
        <f>Lookup!T15</f>
        <v>42186</v>
      </c>
      <c r="U5" s="42">
        <f>Lookup!U15</f>
        <v>42552</v>
      </c>
      <c r="V5" s="42">
        <f>Lookup!V15</f>
        <v>42917</v>
      </c>
      <c r="W5" s="42">
        <f>Lookup!W15</f>
        <v>43282</v>
      </c>
      <c r="X5" s="42">
        <f>Lookup!X15</f>
        <v>43647</v>
      </c>
      <c r="Y5" s="42">
        <f>Lookup!Y15</f>
        <v>44013</v>
      </c>
      <c r="Z5" s="42">
        <f>Lookup!Z15</f>
        <v>44378</v>
      </c>
      <c r="AA5" s="42">
        <f>Lookup!AA15</f>
        <v>44743</v>
      </c>
      <c r="AB5" s="42">
        <f>Lookup!AB15</f>
        <v>45108</v>
      </c>
    </row>
    <row r="6" spans="1:28" ht="12.3" hidden="1" outlineLevel="1" x14ac:dyDescent="0.35">
      <c r="B6" s="15" t="str">
        <f>Lookup!B16</f>
        <v>Period End Date</v>
      </c>
      <c r="J6" s="42">
        <f>Lookup!J16</f>
        <v>38898</v>
      </c>
      <c r="K6" s="42">
        <f>Lookup!K16</f>
        <v>39263</v>
      </c>
      <c r="L6" s="42">
        <f>Lookup!L16</f>
        <v>39629</v>
      </c>
      <c r="M6" s="42">
        <f>Lookup!M16</f>
        <v>39994</v>
      </c>
      <c r="N6" s="42">
        <f>Lookup!N16</f>
        <v>40359</v>
      </c>
      <c r="O6" s="42">
        <f>Lookup!O16</f>
        <v>40724</v>
      </c>
      <c r="P6" s="42">
        <f>Lookup!P16</f>
        <v>41090</v>
      </c>
      <c r="Q6" s="42">
        <f>Lookup!Q16</f>
        <v>41455</v>
      </c>
      <c r="R6" s="42">
        <f>Lookup!R16</f>
        <v>41820</v>
      </c>
      <c r="S6" s="42">
        <f>Lookup!S16</f>
        <v>42185</v>
      </c>
      <c r="T6" s="42">
        <f>Lookup!T16</f>
        <v>42551</v>
      </c>
      <c r="U6" s="42">
        <f>Lookup!U16</f>
        <v>42916</v>
      </c>
      <c r="V6" s="42">
        <f>Lookup!V16</f>
        <v>43281</v>
      </c>
      <c r="W6" s="42">
        <f>Lookup!W16</f>
        <v>43646</v>
      </c>
      <c r="X6" s="42">
        <f>Lookup!X16</f>
        <v>44012</v>
      </c>
      <c r="Y6" s="42">
        <f>Lookup!Y16</f>
        <v>44377</v>
      </c>
      <c r="Z6" s="42">
        <f>Lookup!Z16</f>
        <v>44742</v>
      </c>
      <c r="AA6" s="42">
        <f>Lookup!AA16</f>
        <v>45107</v>
      </c>
      <c r="AB6" s="42">
        <f>Lookup!AB16</f>
        <v>45473</v>
      </c>
    </row>
    <row r="7" spans="1:28" ht="12.3" hidden="1" outlineLevel="1" x14ac:dyDescent="0.35">
      <c r="B7" s="15" t="str">
        <f>Lookup!B17</f>
        <v>Period Counter</v>
      </c>
      <c r="J7" s="43">
        <f>Lookup!J17</f>
        <v>1</v>
      </c>
      <c r="K7" s="43">
        <f>Lookup!K17</f>
        <v>2</v>
      </c>
      <c r="L7" s="43">
        <f>Lookup!L17</f>
        <v>3</v>
      </c>
      <c r="M7" s="43">
        <f>Lookup!M17</f>
        <v>4</v>
      </c>
      <c r="N7" s="43">
        <f>Lookup!N17</f>
        <v>5</v>
      </c>
      <c r="O7" s="43">
        <f>Lookup!O17</f>
        <v>6</v>
      </c>
      <c r="P7" s="43">
        <f>Lookup!P17</f>
        <v>7</v>
      </c>
      <c r="Q7" s="43">
        <f>Lookup!Q17</f>
        <v>8</v>
      </c>
      <c r="R7" s="43">
        <f>Lookup!R17</f>
        <v>9</v>
      </c>
      <c r="S7" s="43">
        <f>Lookup!S17</f>
        <v>10</v>
      </c>
      <c r="T7" s="43">
        <f>Lookup!T17</f>
        <v>11</v>
      </c>
      <c r="U7" s="43">
        <f>Lookup!U17</f>
        <v>12</v>
      </c>
      <c r="V7" s="43">
        <f>Lookup!V17</f>
        <v>13</v>
      </c>
      <c r="W7" s="43">
        <f>Lookup!W17</f>
        <v>14</v>
      </c>
      <c r="X7" s="43">
        <f>Lookup!X17</f>
        <v>15</v>
      </c>
      <c r="Y7" s="43">
        <f>Lookup!Y17</f>
        <v>16</v>
      </c>
      <c r="Z7" s="43">
        <f>Lookup!Z17</f>
        <v>17</v>
      </c>
      <c r="AA7" s="43">
        <f>Lookup!AA17</f>
        <v>18</v>
      </c>
      <c r="AB7" s="43">
        <f>Lookup!AB17</f>
        <v>19</v>
      </c>
    </row>
    <row r="8" spans="1:28" ht="12.3" hidden="1" outlineLevel="1" x14ac:dyDescent="0.35">
      <c r="B8" s="15" t="str">
        <f>Lookup!B18</f>
        <v>Year</v>
      </c>
      <c r="J8" s="44">
        <f>Lookup!J18</f>
        <v>2006</v>
      </c>
      <c r="K8" s="44">
        <f>Lookup!K18</f>
        <v>2007</v>
      </c>
      <c r="L8" s="44">
        <f>Lookup!L18</f>
        <v>2008</v>
      </c>
      <c r="M8" s="44">
        <f>Lookup!M18</f>
        <v>2009</v>
      </c>
      <c r="N8" s="44">
        <f>Lookup!N18</f>
        <v>2010</v>
      </c>
      <c r="O8" s="44">
        <f>Lookup!O18</f>
        <v>2011</v>
      </c>
      <c r="P8" s="44">
        <f>Lookup!P18</f>
        <v>2012</v>
      </c>
      <c r="Q8" s="44">
        <f>Lookup!Q18</f>
        <v>2013</v>
      </c>
      <c r="R8" s="44">
        <f>Lookup!R18</f>
        <v>2014</v>
      </c>
      <c r="S8" s="44">
        <f>Lookup!S18</f>
        <v>2015</v>
      </c>
      <c r="T8" s="44">
        <f>Lookup!T18</f>
        <v>2016</v>
      </c>
      <c r="U8" s="44">
        <f>Lookup!U18</f>
        <v>2017</v>
      </c>
      <c r="V8" s="44">
        <f>Lookup!V18</f>
        <v>2018</v>
      </c>
      <c r="W8" s="44">
        <f>Lookup!W18</f>
        <v>2019</v>
      </c>
      <c r="X8" s="44">
        <f>Lookup!X18</f>
        <v>2020</v>
      </c>
      <c r="Y8" s="44">
        <f>Lookup!Y18</f>
        <v>2021</v>
      </c>
      <c r="Z8" s="44">
        <f>Lookup!Z18</f>
        <v>2022</v>
      </c>
      <c r="AA8" s="44">
        <f>Lookup!AA18</f>
        <v>2023</v>
      </c>
      <c r="AB8" s="44">
        <f>Lookup!AB18</f>
        <v>2024</v>
      </c>
    </row>
    <row r="9" spans="1:28" ht="12.3" hidden="1" outlineLevel="1" x14ac:dyDescent="0.35">
      <c r="B9" s="15" t="str">
        <f>Lookup!B19</f>
        <v>Period Type</v>
      </c>
      <c r="J9" s="44" t="str">
        <f>Lookup!J19</f>
        <v>Actual</v>
      </c>
      <c r="K9" s="44" t="str">
        <f>Lookup!K19</f>
        <v>Actual</v>
      </c>
      <c r="L9" s="44" t="str">
        <f>Lookup!L19</f>
        <v>Actual</v>
      </c>
      <c r="M9" s="44" t="str">
        <f>Lookup!M19</f>
        <v>Base Year</v>
      </c>
      <c r="N9" s="44" t="str">
        <f>Lookup!N19</f>
        <v>Forecast</v>
      </c>
      <c r="O9" s="44" t="str">
        <f>Lookup!O19</f>
        <v>Forecast</v>
      </c>
      <c r="P9" s="44" t="str">
        <f>Lookup!P19</f>
        <v>Forecast</v>
      </c>
      <c r="Q9" s="44" t="str">
        <f>Lookup!Q19</f>
        <v>Forecast</v>
      </c>
      <c r="R9" s="44" t="str">
        <f>Lookup!R19</f>
        <v>Forecast</v>
      </c>
      <c r="S9" s="44" t="str">
        <f>Lookup!S19</f>
        <v>Forecast</v>
      </c>
      <c r="T9" s="44" t="str">
        <f>Lookup!T19</f>
        <v>Forecast</v>
      </c>
      <c r="U9" s="44" t="str">
        <f>Lookup!U19</f>
        <v>Forecast</v>
      </c>
      <c r="V9" s="44" t="str">
        <f>Lookup!V19</f>
        <v>Forecast</v>
      </c>
      <c r="W9" s="44" t="str">
        <f>Lookup!W19</f>
        <v>Forecast</v>
      </c>
      <c r="X9" s="44" t="str">
        <f>Lookup!X19</f>
        <v>Forecast</v>
      </c>
      <c r="Y9" s="44" t="str">
        <f>Lookup!Y19</f>
        <v>Forecast</v>
      </c>
      <c r="Z9" s="44" t="str">
        <f>Lookup!Z19</f>
        <v>Forecast</v>
      </c>
      <c r="AA9" s="44" t="str">
        <f>Lookup!AA19</f>
        <v>Forecast</v>
      </c>
      <c r="AB9" s="44" t="str">
        <f>Lookup!AB19</f>
        <v>Forecast</v>
      </c>
    </row>
    <row r="10" spans="1:28" ht="12.3" collapsed="1" x14ac:dyDescent="0.35">
      <c r="B10" s="10" t="str">
        <f>Lookup!B20</f>
        <v>Regulatory Year</v>
      </c>
      <c r="E10" s="41" t="str">
        <f>Lookup!E20</f>
        <v>Source</v>
      </c>
      <c r="F10" s="41" t="str">
        <f>Lookup!F20</f>
        <v>Unit</v>
      </c>
      <c r="G10" s="41" t="str">
        <f>Lookup!G20</f>
        <v>Basis</v>
      </c>
      <c r="H10" s="41" t="str">
        <f>Lookup!H20</f>
        <v>Timing</v>
      </c>
      <c r="I10" s="41"/>
      <c r="J10" s="41" t="str">
        <f>Lookup!J20</f>
        <v>RY06</v>
      </c>
      <c r="K10" s="41" t="str">
        <f>Lookup!K20</f>
        <v>RY07</v>
      </c>
      <c r="L10" s="41" t="str">
        <f>Lookup!L20</f>
        <v>RY08</v>
      </c>
      <c r="M10" s="41" t="str">
        <f>Lookup!M20</f>
        <v>RY09</v>
      </c>
      <c r="N10" s="41" t="str">
        <f>Lookup!N20</f>
        <v>RY10</v>
      </c>
      <c r="O10" s="41" t="str">
        <f>Lookup!O20</f>
        <v>RY11</v>
      </c>
      <c r="P10" s="41" t="str">
        <f>Lookup!P20</f>
        <v>RY12</v>
      </c>
      <c r="Q10" s="41" t="str">
        <f>Lookup!Q20</f>
        <v>RY13</v>
      </c>
      <c r="R10" s="41" t="str">
        <f>Lookup!R20</f>
        <v>RY14</v>
      </c>
      <c r="S10" s="41" t="str">
        <f>Lookup!S20</f>
        <v>RY15</v>
      </c>
      <c r="T10" s="41" t="str">
        <f>Lookup!T20</f>
        <v>RY16</v>
      </c>
      <c r="U10" s="41" t="str">
        <f>Lookup!U20</f>
        <v>RY17</v>
      </c>
      <c r="V10" s="41" t="str">
        <f>Lookup!V20</f>
        <v>RY18</v>
      </c>
      <c r="W10" s="41" t="str">
        <f>Lookup!W20</f>
        <v>RY19</v>
      </c>
      <c r="X10" s="41" t="str">
        <f>Lookup!X20</f>
        <v>RY20</v>
      </c>
      <c r="Y10" s="41" t="str">
        <f>Lookup!Y20</f>
        <v>RY21</v>
      </c>
      <c r="Z10" s="41" t="str">
        <f>Lookup!Z20</f>
        <v>RY22</v>
      </c>
      <c r="AA10" s="41" t="str">
        <f>Lookup!AA20</f>
        <v>RY23</v>
      </c>
      <c r="AB10" s="41" t="str">
        <f>Lookup!AB20</f>
        <v>RY24</v>
      </c>
    </row>
    <row r="12" spans="1:28" s="4" customFormat="1" ht="15" x14ac:dyDescent="0.35">
      <c r="B12" s="4" t="s">
        <v>192</v>
      </c>
    </row>
    <row r="13" spans="1:28" s="6" customFormat="1" ht="4.5" customHeight="1" x14ac:dyDescent="0.35"/>
    <row r="14" spans="1:28" s="13" customFormat="1" ht="14.1" x14ac:dyDescent="0.35">
      <c r="C14" s="13" t="s">
        <v>147</v>
      </c>
    </row>
    <row r="15" spans="1:28" s="6" customFormat="1" ht="11.25" customHeight="1" x14ac:dyDescent="0.35"/>
    <row r="16" spans="1:28" ht="12.3" x14ac:dyDescent="0.35">
      <c r="D16" s="50" t="s">
        <v>193</v>
      </c>
      <c r="E16" s="45" t="str">
        <f>Lookup!E$20</f>
        <v>Source</v>
      </c>
      <c r="F16" s="45" t="str">
        <f>Lookup!F$20</f>
        <v>Unit</v>
      </c>
      <c r="G16" s="45" t="str">
        <f>Lookup!G$20</f>
        <v>Basis</v>
      </c>
      <c r="H16" s="45" t="str">
        <f>Lookup!H$20</f>
        <v>Timing</v>
      </c>
      <c r="J16" s="54" t="str">
        <f>J$10</f>
        <v>RY06</v>
      </c>
      <c r="K16" s="45" t="str">
        <f t="shared" ref="K16:AB16" si="0">K$10</f>
        <v>RY07</v>
      </c>
      <c r="L16" s="45" t="str">
        <f t="shared" si="0"/>
        <v>RY08</v>
      </c>
      <c r="M16" s="45" t="str">
        <f t="shared" si="0"/>
        <v>RY09</v>
      </c>
      <c r="N16" s="45" t="str">
        <f t="shared" si="0"/>
        <v>RY10</v>
      </c>
      <c r="O16" s="45" t="str">
        <f>O$10</f>
        <v>RY11</v>
      </c>
      <c r="P16" s="45" t="str">
        <f t="shared" si="0"/>
        <v>RY12</v>
      </c>
      <c r="Q16" s="45" t="str">
        <f t="shared" si="0"/>
        <v>RY13</v>
      </c>
      <c r="R16" s="55" t="str">
        <f t="shared" si="0"/>
        <v>RY14</v>
      </c>
      <c r="S16" s="54" t="str">
        <f t="shared" si="0"/>
        <v>RY15</v>
      </c>
      <c r="T16" s="45" t="str">
        <f>T$10</f>
        <v>RY16</v>
      </c>
      <c r="U16" s="45" t="str">
        <f t="shared" si="0"/>
        <v>RY17</v>
      </c>
      <c r="V16" s="45" t="str">
        <f t="shared" si="0"/>
        <v>RY18</v>
      </c>
      <c r="W16" s="55" t="str">
        <f t="shared" si="0"/>
        <v>RY19</v>
      </c>
      <c r="X16" s="54" t="str">
        <f t="shared" si="0"/>
        <v>RY20</v>
      </c>
      <c r="Y16" s="45" t="str">
        <f>Y$10</f>
        <v>RY21</v>
      </c>
      <c r="Z16" s="45" t="str">
        <f t="shared" si="0"/>
        <v>RY22</v>
      </c>
      <c r="AA16" s="45" t="str">
        <f t="shared" si="0"/>
        <v>RY23</v>
      </c>
      <c r="AB16" s="55" t="str">
        <f t="shared" si="0"/>
        <v>RY24</v>
      </c>
    </row>
    <row r="17" spans="4:28" x14ac:dyDescent="0.35">
      <c r="J17" s="56"/>
      <c r="K17" s="57"/>
      <c r="L17" s="57"/>
      <c r="M17" s="57"/>
      <c r="N17" s="57"/>
      <c r="O17" s="57"/>
      <c r="P17" s="57"/>
      <c r="Q17" s="57"/>
      <c r="R17" s="58"/>
      <c r="S17" s="56"/>
      <c r="T17" s="57"/>
      <c r="U17" s="57"/>
      <c r="V17" s="57"/>
      <c r="W17" s="58"/>
      <c r="X17" s="56"/>
      <c r="Y17" s="57"/>
      <c r="Z17" s="57"/>
      <c r="AA17" s="57"/>
      <c r="AB17" s="58"/>
    </row>
    <row r="18" spans="4:28" ht="12.3" x14ac:dyDescent="0.35">
      <c r="D18" s="15" t="str">
        <f>Lookup!D71</f>
        <v>Substations</v>
      </c>
      <c r="E18" s="52" t="s">
        <v>197</v>
      </c>
      <c r="F18" s="52" t="str">
        <f t="shared" ref="F18:F34" si="1">Dollars</f>
        <v>Dollars</v>
      </c>
      <c r="G18" s="52" t="str">
        <f t="shared" ref="G18:G34" si="2">Nominal</f>
        <v>Nominal</v>
      </c>
      <c r="H18" s="52" t="str">
        <f t="shared" ref="H18:H34" si="3">Start_year</f>
        <v>Start year</v>
      </c>
      <c r="J18" s="71">
        <f>Input_RAB_SCS!J18-Calc_RAB_Connection!J18</f>
        <v>25.800636047930681</v>
      </c>
      <c r="K18" s="67">
        <f>J200</f>
        <v>27.145326835638013</v>
      </c>
      <c r="L18" s="67">
        <f t="shared" ref="L18:AB18" si="4">K200</f>
        <v>28.789945965760523</v>
      </c>
      <c r="M18" s="67">
        <f t="shared" si="4"/>
        <v>47.542941186549477</v>
      </c>
      <c r="N18" s="67">
        <f t="shared" si="4"/>
        <v>78.157850057945751</v>
      </c>
      <c r="O18" s="67">
        <f t="shared" si="4"/>
        <v>110.70259983057763</v>
      </c>
      <c r="P18" s="67">
        <f t="shared" si="4"/>
        <v>156.85011317918401</v>
      </c>
      <c r="Q18" s="67">
        <f t="shared" si="4"/>
        <v>197.46856323640628</v>
      </c>
      <c r="R18" s="68">
        <f t="shared" si="4"/>
        <v>247.15838494764881</v>
      </c>
      <c r="S18" s="66">
        <f t="shared" si="4"/>
        <v>297.81718190620063</v>
      </c>
      <c r="T18" s="67">
        <f t="shared" si="4"/>
        <v>310.04735122802407</v>
      </c>
      <c r="U18" s="67">
        <f t="shared" si="4"/>
        <v>316.35383047585196</v>
      </c>
      <c r="V18" s="67">
        <f t="shared" si="4"/>
        <v>313.1738831635127</v>
      </c>
      <c r="W18" s="68">
        <f t="shared" si="4"/>
        <v>303.6508873774826</v>
      </c>
      <c r="X18" s="66">
        <f t="shared" si="4"/>
        <v>268.2460166794948</v>
      </c>
      <c r="Y18" s="67">
        <f t="shared" si="4"/>
        <v>271.74889501183935</v>
      </c>
      <c r="Z18" s="67">
        <f t="shared" si="4"/>
        <v>273.52264493040593</v>
      </c>
      <c r="AA18" s="67">
        <f t="shared" si="4"/>
        <v>279.82629165438982</v>
      </c>
      <c r="AB18" s="68">
        <f t="shared" si="4"/>
        <v>286.18454116556808</v>
      </c>
    </row>
    <row r="19" spans="4:28" ht="12.3" x14ac:dyDescent="0.35">
      <c r="D19" s="15" t="str">
        <f>Lookup!D72</f>
        <v>Distribution Lines</v>
      </c>
      <c r="E19" s="52" t="str">
        <f t="shared" ref="E19:E33" si="5">E18</f>
        <v>Input_RAB_SCS/Calc_RAB_Connection</v>
      </c>
      <c r="F19" s="52" t="str">
        <f t="shared" si="1"/>
        <v>Dollars</v>
      </c>
      <c r="G19" s="52" t="str">
        <f t="shared" si="2"/>
        <v>Nominal</v>
      </c>
      <c r="H19" s="52" t="str">
        <f t="shared" si="3"/>
        <v>Start year</v>
      </c>
      <c r="J19" s="72">
        <f>Input_RAB_SCS!J19-Calc_RAB_Connection!J19</f>
        <v>115.91487418299421</v>
      </c>
      <c r="K19" s="67">
        <f t="shared" ref="K19:AB19" si="6">J201</f>
        <v>124.48081132701651</v>
      </c>
      <c r="L19" s="67">
        <f t="shared" si="6"/>
        <v>134.97347791434888</v>
      </c>
      <c r="M19" s="67">
        <f t="shared" si="6"/>
        <v>149.03598537340031</v>
      </c>
      <c r="N19" s="67">
        <f t="shared" si="6"/>
        <v>159.59115429240285</v>
      </c>
      <c r="O19" s="67">
        <f t="shared" si="6"/>
        <v>170.81945812237757</v>
      </c>
      <c r="P19" s="67">
        <f t="shared" si="6"/>
        <v>182.76460024419703</v>
      </c>
      <c r="Q19" s="67">
        <f t="shared" si="6"/>
        <v>193.83311947564712</v>
      </c>
      <c r="R19" s="68">
        <f t="shared" si="6"/>
        <v>217.20969930868418</v>
      </c>
      <c r="S19" s="66">
        <f t="shared" si="6"/>
        <v>232.64413502482861</v>
      </c>
      <c r="T19" s="67">
        <f t="shared" si="6"/>
        <v>241.11555792328707</v>
      </c>
      <c r="U19" s="67">
        <f t="shared" si="6"/>
        <v>244.42689158521458</v>
      </c>
      <c r="V19" s="67">
        <f t="shared" si="6"/>
        <v>248.90883143731202</v>
      </c>
      <c r="W19" s="68">
        <f t="shared" si="6"/>
        <v>250.33294685340701</v>
      </c>
      <c r="X19" s="66">
        <f t="shared" si="6"/>
        <v>250.26929051986764</v>
      </c>
      <c r="Y19" s="67">
        <f t="shared" si="6"/>
        <v>267.07485483948437</v>
      </c>
      <c r="Z19" s="67">
        <f t="shared" si="6"/>
        <v>287.99789904612999</v>
      </c>
      <c r="AA19" s="67">
        <f t="shared" si="6"/>
        <v>303.23149941972673</v>
      </c>
      <c r="AB19" s="68">
        <f t="shared" si="6"/>
        <v>316.49489951231055</v>
      </c>
    </row>
    <row r="20" spans="4:28" ht="12.3" x14ac:dyDescent="0.35">
      <c r="D20" s="15" t="str">
        <f>Lookup!D73</f>
        <v>Transmission Lines</v>
      </c>
      <c r="E20" s="52" t="str">
        <f t="shared" si="5"/>
        <v>Input_RAB_SCS/Calc_RAB_Connection</v>
      </c>
      <c r="F20" s="52" t="str">
        <f t="shared" si="1"/>
        <v>Dollars</v>
      </c>
      <c r="G20" s="52" t="str">
        <f t="shared" si="2"/>
        <v>Nominal</v>
      </c>
      <c r="H20" s="52" t="str">
        <f t="shared" si="3"/>
        <v>Start year</v>
      </c>
      <c r="J20" s="72">
        <f>Input_RAB_SCS!J20-Calc_RAB_Connection!J20</f>
        <v>100.2273760460877</v>
      </c>
      <c r="K20" s="67">
        <f t="shared" ref="K20:AB20" si="7">J202</f>
        <v>106.13760142143478</v>
      </c>
      <c r="L20" s="67">
        <f t="shared" si="7"/>
        <v>113.44814996851447</v>
      </c>
      <c r="M20" s="67">
        <f t="shared" si="7"/>
        <v>115.37610379075579</v>
      </c>
      <c r="N20" s="67">
        <f t="shared" si="7"/>
        <v>114.39247831145167</v>
      </c>
      <c r="O20" s="67">
        <f t="shared" si="7"/>
        <v>130.51722905939732</v>
      </c>
      <c r="P20" s="67">
        <f t="shared" si="7"/>
        <v>146.36905449477163</v>
      </c>
      <c r="Q20" s="67">
        <f t="shared" si="7"/>
        <v>152.96368047708927</v>
      </c>
      <c r="R20" s="68">
        <f t="shared" si="7"/>
        <v>167.02589930043948</v>
      </c>
      <c r="S20" s="66">
        <f t="shared" si="7"/>
        <v>169.08021074388435</v>
      </c>
      <c r="T20" s="67">
        <f t="shared" si="7"/>
        <v>169.00938493811498</v>
      </c>
      <c r="U20" s="67">
        <f t="shared" si="7"/>
        <v>171.24815118737087</v>
      </c>
      <c r="V20" s="67">
        <f t="shared" si="7"/>
        <v>174.63818986801323</v>
      </c>
      <c r="W20" s="68">
        <f t="shared" si="7"/>
        <v>181.05596639188562</v>
      </c>
      <c r="X20" s="66">
        <f t="shared" si="7"/>
        <v>180.53440799429359</v>
      </c>
      <c r="Y20" s="67">
        <f t="shared" si="7"/>
        <v>181.41832683720614</v>
      </c>
      <c r="Z20" s="67">
        <f t="shared" si="7"/>
        <v>182.07937593696875</v>
      </c>
      <c r="AA20" s="67">
        <f t="shared" si="7"/>
        <v>182.52864385137025</v>
      </c>
      <c r="AB20" s="68">
        <f t="shared" si="7"/>
        <v>183.07405059001402</v>
      </c>
    </row>
    <row r="21" spans="4:28" ht="12.3" x14ac:dyDescent="0.35">
      <c r="D21" s="15" t="str">
        <f>Lookup!D74</f>
        <v>LV Services</v>
      </c>
      <c r="E21" s="52" t="str">
        <f t="shared" si="5"/>
        <v>Input_RAB_SCS/Calc_RAB_Connection</v>
      </c>
      <c r="F21" s="52" t="str">
        <f t="shared" si="1"/>
        <v>Dollars</v>
      </c>
      <c r="G21" s="52" t="str">
        <f t="shared" si="2"/>
        <v>Nominal</v>
      </c>
      <c r="H21" s="52" t="str">
        <f t="shared" si="3"/>
        <v>Start year</v>
      </c>
      <c r="J21" s="72">
        <f>Input_RAB_SCS!J21-Calc_RAB_Connection!J21</f>
        <v>0.15715654369853288</v>
      </c>
      <c r="K21" s="67">
        <f t="shared" ref="K21:AB21" si="8">J203</f>
        <v>0.16175064485415383</v>
      </c>
      <c r="L21" s="67">
        <f t="shared" si="8"/>
        <v>0.16577048336532213</v>
      </c>
      <c r="M21" s="67">
        <f t="shared" si="8"/>
        <v>0.17285305598023773</v>
      </c>
      <c r="N21" s="67">
        <f t="shared" si="8"/>
        <v>0.17706431537289025</v>
      </c>
      <c r="O21" s="67">
        <f t="shared" si="8"/>
        <v>0.18223267917296379</v>
      </c>
      <c r="P21" s="67">
        <f t="shared" si="8"/>
        <v>0.18816672649897415</v>
      </c>
      <c r="Q21" s="67">
        <f t="shared" si="8"/>
        <v>0.19122946060272147</v>
      </c>
      <c r="R21" s="68">
        <f t="shared" si="8"/>
        <v>0.19601498263982661</v>
      </c>
      <c r="S21" s="66">
        <f t="shared" si="8"/>
        <v>0.20469749895626468</v>
      </c>
      <c r="T21" s="67">
        <f t="shared" si="8"/>
        <v>2.0957882221476183</v>
      </c>
      <c r="U21" s="67">
        <f t="shared" si="8"/>
        <v>4.046555898874467</v>
      </c>
      <c r="V21" s="67">
        <f t="shared" si="8"/>
        <v>5.8926305062639752</v>
      </c>
      <c r="W21" s="68">
        <f t="shared" si="8"/>
        <v>6.0512908434404009</v>
      </c>
      <c r="X21" s="66">
        <f t="shared" si="8"/>
        <v>7.8636457286070209</v>
      </c>
      <c r="Y21" s="67">
        <f t="shared" si="8"/>
        <v>8.0592516953678732</v>
      </c>
      <c r="Z21" s="67">
        <f t="shared" si="8"/>
        <v>8.3694237066373116</v>
      </c>
      <c r="AA21" s="67">
        <f t="shared" si="8"/>
        <v>8.6169669807188729</v>
      </c>
      <c r="AB21" s="68">
        <f t="shared" si="8"/>
        <v>8.8127603650558513</v>
      </c>
    </row>
    <row r="22" spans="4:28" ht="12.3" x14ac:dyDescent="0.35">
      <c r="D22" s="15" t="str">
        <f>Lookup!D75</f>
        <v>Distribution Substations</v>
      </c>
      <c r="E22" s="52" t="str">
        <f t="shared" si="5"/>
        <v>Input_RAB_SCS/Calc_RAB_Connection</v>
      </c>
      <c r="F22" s="52" t="str">
        <f t="shared" si="1"/>
        <v>Dollars</v>
      </c>
      <c r="G22" s="52" t="str">
        <f t="shared" si="2"/>
        <v>Nominal</v>
      </c>
      <c r="H22" s="52" t="str">
        <f t="shared" si="3"/>
        <v>Start year</v>
      </c>
      <c r="J22" s="72">
        <f>Input_RAB_SCS!J22-Calc_RAB_Connection!J22</f>
        <v>49.438103440611506</v>
      </c>
      <c r="K22" s="67">
        <f t="shared" ref="K22:AB22" si="9">J204</f>
        <v>47.790981757725604</v>
      </c>
      <c r="L22" s="67">
        <f t="shared" si="9"/>
        <v>46.055364273149571</v>
      </c>
      <c r="M22" s="67">
        <f t="shared" si="9"/>
        <v>51.653401070581651</v>
      </c>
      <c r="N22" s="67">
        <f t="shared" si="9"/>
        <v>54.877449727380075</v>
      </c>
      <c r="O22" s="67">
        <f t="shared" si="9"/>
        <v>66.588761997727588</v>
      </c>
      <c r="P22" s="67">
        <f t="shared" si="9"/>
        <v>77.683122808684672</v>
      </c>
      <c r="Q22" s="67">
        <f t="shared" si="9"/>
        <v>79.891705109406843</v>
      </c>
      <c r="R22" s="68">
        <f t="shared" si="9"/>
        <v>82.431115592358736</v>
      </c>
      <c r="S22" s="66">
        <f t="shared" si="9"/>
        <v>84.964428177936924</v>
      </c>
      <c r="T22" s="67">
        <f t="shared" si="9"/>
        <v>91.018242107401491</v>
      </c>
      <c r="U22" s="67">
        <f t="shared" si="9"/>
        <v>94.287815041828253</v>
      </c>
      <c r="V22" s="67">
        <f t="shared" si="9"/>
        <v>95.818469212294545</v>
      </c>
      <c r="W22" s="68">
        <f t="shared" si="9"/>
        <v>95.917444618710348</v>
      </c>
      <c r="X22" s="66">
        <f t="shared" si="9"/>
        <v>102.2559198724513</v>
      </c>
      <c r="Y22" s="67">
        <f t="shared" si="9"/>
        <v>103.70948652281029</v>
      </c>
      <c r="Z22" s="67">
        <f t="shared" si="9"/>
        <v>105.69634141520456</v>
      </c>
      <c r="AA22" s="67">
        <f t="shared" si="9"/>
        <v>107.67279596247751</v>
      </c>
      <c r="AB22" s="68">
        <f t="shared" si="9"/>
        <v>110.43786268417863</v>
      </c>
    </row>
    <row r="23" spans="4:28" ht="12.3" x14ac:dyDescent="0.35">
      <c r="D23" s="15" t="str">
        <f>Lookup!D76</f>
        <v>Distribution Switchgear</v>
      </c>
      <c r="E23" s="52" t="str">
        <f t="shared" si="5"/>
        <v>Input_RAB_SCS/Calc_RAB_Connection</v>
      </c>
      <c r="F23" s="52" t="str">
        <f t="shared" si="1"/>
        <v>Dollars</v>
      </c>
      <c r="G23" s="52" t="str">
        <f t="shared" si="2"/>
        <v>Nominal</v>
      </c>
      <c r="H23" s="52" t="str">
        <f t="shared" si="3"/>
        <v>Start year</v>
      </c>
      <c r="J23" s="72">
        <f>Input_RAB_SCS!J23-Calc_RAB_Connection!J23</f>
        <v>7.0691271209492932</v>
      </c>
      <c r="K23" s="67">
        <f t="shared" ref="K23:AB23" si="10">J205</f>
        <v>7.2757763912328297</v>
      </c>
      <c r="L23" s="67">
        <f t="shared" si="10"/>
        <v>7.4565945027309226</v>
      </c>
      <c r="M23" s="67">
        <f t="shared" si="10"/>
        <v>8.1435599615432697</v>
      </c>
      <c r="N23" s="67">
        <f t="shared" si="10"/>
        <v>13.404164407770214</v>
      </c>
      <c r="O23" s="67">
        <f t="shared" si="10"/>
        <v>13.795421098591614</v>
      </c>
      <c r="P23" s="67">
        <f t="shared" si="10"/>
        <v>14.244641743608776</v>
      </c>
      <c r="Q23" s="67">
        <f t="shared" si="10"/>
        <v>14.476497560391831</v>
      </c>
      <c r="R23" s="68">
        <f t="shared" si="10"/>
        <v>14.83877227411535</v>
      </c>
      <c r="S23" s="66">
        <f t="shared" si="10"/>
        <v>15.509988541804409</v>
      </c>
      <c r="T23" s="67">
        <f t="shared" si="10"/>
        <v>20.27778136404882</v>
      </c>
      <c r="U23" s="67">
        <f t="shared" si="10"/>
        <v>25.960683525602519</v>
      </c>
      <c r="V23" s="67">
        <f t="shared" si="10"/>
        <v>31.2504537686407</v>
      </c>
      <c r="W23" s="68">
        <f t="shared" si="10"/>
        <v>36.039645194596432</v>
      </c>
      <c r="X23" s="66">
        <f t="shared" si="10"/>
        <v>44.97706775797559</v>
      </c>
      <c r="Y23" s="67">
        <f t="shared" si="10"/>
        <v>49.633367264831286</v>
      </c>
      <c r="Z23" s="67">
        <f t="shared" si="10"/>
        <v>54.716182964432079</v>
      </c>
      <c r="AA23" s="67">
        <f t="shared" si="10"/>
        <v>59.563623936003161</v>
      </c>
      <c r="AB23" s="68">
        <f t="shared" si="10"/>
        <v>65.034125558220936</v>
      </c>
    </row>
    <row r="24" spans="4:28" ht="12.3" x14ac:dyDescent="0.35">
      <c r="D24" s="15" t="str">
        <f>Lookup!D77</f>
        <v>Protection</v>
      </c>
      <c r="E24" s="52" t="str">
        <f t="shared" si="5"/>
        <v>Input_RAB_SCS/Calc_RAB_Connection</v>
      </c>
      <c r="F24" s="52" t="str">
        <f t="shared" si="1"/>
        <v>Dollars</v>
      </c>
      <c r="G24" s="52" t="str">
        <f t="shared" si="2"/>
        <v>Nominal</v>
      </c>
      <c r="H24" s="52" t="str">
        <f t="shared" si="3"/>
        <v>Start year</v>
      </c>
      <c r="J24" s="72">
        <f>Input_RAB_SCS!J24-Calc_RAB_Connection!J24</f>
        <v>1.7040232407929565</v>
      </c>
      <c r="K24" s="67">
        <f t="shared" ref="K24:AB24" si="11">J206</f>
        <v>1.7538363440560882</v>
      </c>
      <c r="L24" s="67">
        <f t="shared" si="11"/>
        <v>1.797422809411328</v>
      </c>
      <c r="M24" s="67">
        <f t="shared" si="11"/>
        <v>1.8742180102753225</v>
      </c>
      <c r="N24" s="67">
        <f t="shared" si="11"/>
        <v>1.9198800215998597</v>
      </c>
      <c r="O24" s="67">
        <f t="shared" si="11"/>
        <v>3.2186359938067923</v>
      </c>
      <c r="P24" s="67">
        <f t="shared" si="11"/>
        <v>4.1717675504927412</v>
      </c>
      <c r="Q24" s="67">
        <f t="shared" si="11"/>
        <v>5.1516017133570458</v>
      </c>
      <c r="R24" s="68">
        <f t="shared" si="11"/>
        <v>8.3903020321881421</v>
      </c>
      <c r="S24" s="66">
        <f t="shared" si="11"/>
        <v>9.6502261835778302</v>
      </c>
      <c r="T24" s="67">
        <f t="shared" si="11"/>
        <v>14.811037038025589</v>
      </c>
      <c r="U24" s="67">
        <f t="shared" si="11"/>
        <v>19.107025507893773</v>
      </c>
      <c r="V24" s="67">
        <f t="shared" si="11"/>
        <v>21.769855654442626</v>
      </c>
      <c r="W24" s="68">
        <f t="shared" si="11"/>
        <v>22.50409349187488</v>
      </c>
      <c r="X24" s="66">
        <f t="shared" si="11"/>
        <v>33.116638375029282</v>
      </c>
      <c r="Y24" s="67">
        <f t="shared" si="11"/>
        <v>35.792860357060931</v>
      </c>
      <c r="Z24" s="67">
        <f t="shared" si="11"/>
        <v>38.903977471155997</v>
      </c>
      <c r="AA24" s="67">
        <f t="shared" si="11"/>
        <v>40.252836715271322</v>
      </c>
      <c r="AB24" s="68">
        <f t="shared" si="11"/>
        <v>41.656435673611028</v>
      </c>
    </row>
    <row r="25" spans="4:28" ht="12.3" x14ac:dyDescent="0.35">
      <c r="D25" s="15" t="str">
        <f>Lookup!D78</f>
        <v>SCADA</v>
      </c>
      <c r="E25" s="52" t="str">
        <f t="shared" si="5"/>
        <v>Input_RAB_SCS/Calc_RAB_Connection</v>
      </c>
      <c r="F25" s="52" t="str">
        <f t="shared" si="1"/>
        <v>Dollars</v>
      </c>
      <c r="G25" s="52" t="str">
        <f t="shared" si="2"/>
        <v>Nominal</v>
      </c>
      <c r="H25" s="52" t="str">
        <f t="shared" si="3"/>
        <v>Start year</v>
      </c>
      <c r="J25" s="72">
        <f>Input_RAB_SCS!J25-Calc_RAB_Connection!J25</f>
        <v>0.22478663720436626</v>
      </c>
      <c r="K25" s="67">
        <f t="shared" ref="K25:AB25" si="12">J207</f>
        <v>0.1106811760912081</v>
      </c>
      <c r="L25" s="67">
        <f t="shared" si="12"/>
        <v>2.7755575615628914E-17</v>
      </c>
      <c r="M25" s="67">
        <f t="shared" si="12"/>
        <v>2.4515833721207874</v>
      </c>
      <c r="N25" s="67">
        <f t="shared" si="12"/>
        <v>1.9205108033528893</v>
      </c>
      <c r="O25" s="67">
        <f t="shared" si="12"/>
        <v>1.9765689565318383</v>
      </c>
      <c r="P25" s="67">
        <f t="shared" si="12"/>
        <v>2.0409320212928539</v>
      </c>
      <c r="Q25" s="67">
        <f t="shared" si="12"/>
        <v>2.0741516676211202</v>
      </c>
      <c r="R25" s="68">
        <f t="shared" si="12"/>
        <v>2.1260573650090362</v>
      </c>
      <c r="S25" s="66">
        <f t="shared" si="12"/>
        <v>1.4640594788423973</v>
      </c>
      <c r="T25" s="67">
        <f t="shared" si="12"/>
        <v>2.9852461490300075</v>
      </c>
      <c r="U25" s="67">
        <f t="shared" si="12"/>
        <v>3.2501274436275143</v>
      </c>
      <c r="V25" s="67">
        <f t="shared" si="12"/>
        <v>3.8257123433304967</v>
      </c>
      <c r="W25" s="68">
        <f t="shared" si="12"/>
        <v>4.2828678057780003</v>
      </c>
      <c r="X25" s="66">
        <f t="shared" si="12"/>
        <v>9.4940274448363766</v>
      </c>
      <c r="Y25" s="67">
        <f t="shared" si="12"/>
        <v>9.4550611257701309</v>
      </c>
      <c r="Z25" s="67">
        <f t="shared" si="12"/>
        <v>9.6042520000721527</v>
      </c>
      <c r="AA25" s="67">
        <f t="shared" si="12"/>
        <v>9.4938480139789334</v>
      </c>
      <c r="AB25" s="68">
        <f t="shared" si="12"/>
        <v>9.7456022070275541</v>
      </c>
    </row>
    <row r="26" spans="4:28" ht="12.3" x14ac:dyDescent="0.35">
      <c r="D26" s="15" t="str">
        <f>Lookup!D79</f>
        <v>Communications</v>
      </c>
      <c r="E26" s="52" t="str">
        <f t="shared" si="5"/>
        <v>Input_RAB_SCS/Calc_RAB_Connection</v>
      </c>
      <c r="F26" s="52" t="str">
        <f t="shared" si="1"/>
        <v>Dollars</v>
      </c>
      <c r="G26" s="52" t="str">
        <f t="shared" si="2"/>
        <v>Nominal</v>
      </c>
      <c r="H26" s="52" t="str">
        <f t="shared" si="3"/>
        <v>Start year</v>
      </c>
      <c r="J26" s="72">
        <f>Input_RAB_SCS!J26-Calc_RAB_Connection!J26</f>
        <v>19.342280185569852</v>
      </c>
      <c r="K26" s="67">
        <f t="shared" ref="K26:AB26" si="13">J208</f>
        <v>20.247703799177007</v>
      </c>
      <c r="L26" s="67">
        <f t="shared" si="13"/>
        <v>21.345706820760164</v>
      </c>
      <c r="M26" s="67">
        <f t="shared" si="13"/>
        <v>21.6977766750413</v>
      </c>
      <c r="N26" s="67">
        <f t="shared" si="13"/>
        <v>23.488991579219736</v>
      </c>
      <c r="O26" s="67">
        <f t="shared" si="13"/>
        <v>18.359645441125384</v>
      </c>
      <c r="P26" s="67">
        <f t="shared" si="13"/>
        <v>12.884905335816706</v>
      </c>
      <c r="Q26" s="67">
        <f t="shared" si="13"/>
        <v>6.8054745027587895</v>
      </c>
      <c r="R26" s="68">
        <f t="shared" si="13"/>
        <v>7.2356595534338561</v>
      </c>
      <c r="S26" s="66">
        <f t="shared" si="13"/>
        <v>6.0561408822847245</v>
      </c>
      <c r="T26" s="67">
        <f t="shared" si="13"/>
        <v>6.4641816116864348</v>
      </c>
      <c r="U26" s="67">
        <f t="shared" si="13"/>
        <v>5.4923569665291252</v>
      </c>
      <c r="V26" s="67">
        <f t="shared" si="13"/>
        <v>6.1697443120380386</v>
      </c>
      <c r="W26" s="68">
        <f t="shared" si="13"/>
        <v>11.212991107576503</v>
      </c>
      <c r="X26" s="66">
        <f t="shared" si="13"/>
        <v>15.044125562886432</v>
      </c>
      <c r="Y26" s="67">
        <f t="shared" si="13"/>
        <v>15.556632094611242</v>
      </c>
      <c r="Z26" s="67">
        <f t="shared" si="13"/>
        <v>16.800833390528286</v>
      </c>
      <c r="AA26" s="67">
        <f t="shared" si="13"/>
        <v>18.809278135350731</v>
      </c>
      <c r="AB26" s="68">
        <f t="shared" si="13"/>
        <v>20.366630084721326</v>
      </c>
    </row>
    <row r="27" spans="4:28" ht="12.3" x14ac:dyDescent="0.35">
      <c r="D27" s="15" t="str">
        <f>Lookup!D80</f>
        <v>Land and Easements</v>
      </c>
      <c r="E27" s="52" t="str">
        <f t="shared" si="5"/>
        <v>Input_RAB_SCS/Calc_RAB_Connection</v>
      </c>
      <c r="F27" s="52" t="str">
        <f t="shared" si="1"/>
        <v>Dollars</v>
      </c>
      <c r="G27" s="52" t="str">
        <f t="shared" si="2"/>
        <v>Nominal</v>
      </c>
      <c r="H27" s="52" t="str">
        <f t="shared" si="3"/>
        <v>Start year</v>
      </c>
      <c r="J27" s="72">
        <f>Input_RAB_SCS!J27-Calc_RAB_Connection!J27</f>
        <v>28.03394700308905</v>
      </c>
      <c r="K27" s="67">
        <f t="shared" ref="K27:AB27" si="14">J209</f>
        <v>29.444843897374323</v>
      </c>
      <c r="L27" s="67">
        <f t="shared" si="14"/>
        <v>30.922463155114897</v>
      </c>
      <c r="M27" s="67">
        <f t="shared" si="14"/>
        <v>32.243630749502024</v>
      </c>
      <c r="N27" s="67">
        <f t="shared" si="14"/>
        <v>33.029189859678155</v>
      </c>
      <c r="O27" s="67">
        <f t="shared" si="14"/>
        <v>33.993285131257949</v>
      </c>
      <c r="P27" s="67">
        <f t="shared" si="14"/>
        <v>35.10020933196067</v>
      </c>
      <c r="Q27" s="67">
        <f t="shared" si="14"/>
        <v>35.671525048452402</v>
      </c>
      <c r="R27" s="68">
        <f t="shared" si="14"/>
        <v>33.024999999999999</v>
      </c>
      <c r="S27" s="66">
        <f t="shared" si="14"/>
        <v>34.47125290902666</v>
      </c>
      <c r="T27" s="67">
        <f t="shared" si="14"/>
        <v>34.929125338558322</v>
      </c>
      <c r="U27" s="67">
        <f t="shared" si="14"/>
        <v>35.386997768089991</v>
      </c>
      <c r="V27" s="67">
        <f t="shared" si="14"/>
        <v>36.128882714951189</v>
      </c>
      <c r="W27" s="68">
        <f t="shared" si="14"/>
        <v>37.004962835958267</v>
      </c>
      <c r="X27" s="66">
        <f t="shared" si="14"/>
        <v>46.354917721396681</v>
      </c>
      <c r="Y27" s="67">
        <f t="shared" si="14"/>
        <v>47.478966373746196</v>
      </c>
      <c r="Z27" s="67">
        <f t="shared" si="14"/>
        <v>48.630271797004951</v>
      </c>
      <c r="AA27" s="67">
        <f t="shared" si="14"/>
        <v>49.809494933703185</v>
      </c>
      <c r="AB27" s="68">
        <f t="shared" si="14"/>
        <v>51.017312753399054</v>
      </c>
    </row>
    <row r="28" spans="4:28" ht="12.3" x14ac:dyDescent="0.35">
      <c r="D28" s="15" t="str">
        <f>Lookup!D81</f>
        <v>Property</v>
      </c>
      <c r="E28" s="52" t="str">
        <f t="shared" si="5"/>
        <v>Input_RAB_SCS/Calc_RAB_Connection</v>
      </c>
      <c r="F28" s="52" t="str">
        <f t="shared" si="1"/>
        <v>Dollars</v>
      </c>
      <c r="G28" s="52" t="str">
        <f t="shared" si="2"/>
        <v>Nominal</v>
      </c>
      <c r="H28" s="52" t="str">
        <f t="shared" si="3"/>
        <v>Start year</v>
      </c>
      <c r="J28" s="72">
        <f>Input_RAB_SCS!J28-Calc_RAB_Connection!J28</f>
        <v>0</v>
      </c>
      <c r="K28" s="67">
        <f t="shared" ref="K28:AB28" si="15">J210</f>
        <v>0</v>
      </c>
      <c r="L28" s="67">
        <f t="shared" si="15"/>
        <v>0</v>
      </c>
      <c r="M28" s="67">
        <f t="shared" si="15"/>
        <v>0.53702885927328614</v>
      </c>
      <c r="N28" s="67">
        <f t="shared" si="15"/>
        <v>0.8158000443607003</v>
      </c>
      <c r="O28" s="67">
        <f t="shared" si="15"/>
        <v>0.83961258619609369</v>
      </c>
      <c r="P28" s="67">
        <f t="shared" si="15"/>
        <v>0.8669529120071009</v>
      </c>
      <c r="Q28" s="67">
        <f t="shared" si="15"/>
        <v>0.88106404790955639</v>
      </c>
      <c r="R28" s="68">
        <f t="shared" si="15"/>
        <v>0.90311269775714287</v>
      </c>
      <c r="S28" s="66">
        <f t="shared" si="15"/>
        <v>1.1039263282242053</v>
      </c>
      <c r="T28" s="67">
        <f t="shared" si="15"/>
        <v>0.93206725537758273</v>
      </c>
      <c r="U28" s="67">
        <f t="shared" si="15"/>
        <v>0.75552593549132629</v>
      </c>
      <c r="V28" s="67">
        <f t="shared" si="15"/>
        <v>0.56013957998809183</v>
      </c>
      <c r="W28" s="68">
        <f t="shared" si="15"/>
        <v>0.35914667603444594</v>
      </c>
      <c r="X28" s="66">
        <f t="shared" si="15"/>
        <v>10.359004210140208</v>
      </c>
      <c r="Y28" s="67">
        <f t="shared" si="15"/>
        <v>18.238715073331456</v>
      </c>
      <c r="Z28" s="67">
        <f t="shared" si="15"/>
        <v>17.845341580978435</v>
      </c>
      <c r="AA28" s="67">
        <f t="shared" si="15"/>
        <v>17.352851813820539</v>
      </c>
      <c r="AB28" s="68">
        <f t="shared" si="15"/>
        <v>16.657702120249979</v>
      </c>
    </row>
    <row r="29" spans="4:28" ht="12.3" x14ac:dyDescent="0.35">
      <c r="D29" s="15" t="str">
        <f>Lookup!D82</f>
        <v>IT and Communications</v>
      </c>
      <c r="E29" s="52" t="str">
        <f t="shared" si="5"/>
        <v>Input_RAB_SCS/Calc_RAB_Connection</v>
      </c>
      <c r="F29" s="52" t="str">
        <f t="shared" si="1"/>
        <v>Dollars</v>
      </c>
      <c r="G29" s="52" t="str">
        <f t="shared" si="2"/>
        <v>Nominal</v>
      </c>
      <c r="H29" s="52" t="str">
        <f t="shared" si="3"/>
        <v>Start year</v>
      </c>
      <c r="J29" s="72">
        <f>Input_RAB_SCS!J29-Calc_RAB_Connection!J29</f>
        <v>0.56427078965620114</v>
      </c>
      <c r="K29" s="67">
        <f t="shared" ref="K29:AB29" si="16">J211</f>
        <v>0.58076591627221685</v>
      </c>
      <c r="L29" s="67">
        <f t="shared" si="16"/>
        <v>0.59519915206123042</v>
      </c>
      <c r="M29" s="67">
        <f t="shared" si="16"/>
        <v>0.62062913892758786</v>
      </c>
      <c r="N29" s="67">
        <f t="shared" si="16"/>
        <v>0.63574967165893548</v>
      </c>
      <c r="O29" s="67">
        <f t="shared" si="16"/>
        <v>0.654306689101953</v>
      </c>
      <c r="P29" s="67">
        <f t="shared" si="16"/>
        <v>0.67561289431430649</v>
      </c>
      <c r="Q29" s="67">
        <f t="shared" si="16"/>
        <v>0.68660964539165037</v>
      </c>
      <c r="R29" s="68">
        <f t="shared" si="16"/>
        <v>0.70379206895000002</v>
      </c>
      <c r="S29" s="66">
        <f t="shared" si="16"/>
        <v>0.63274905481995813</v>
      </c>
      <c r="T29" s="67">
        <f t="shared" si="16"/>
        <v>0.97299897474781272</v>
      </c>
      <c r="U29" s="67">
        <f t="shared" si="16"/>
        <v>1.6969518734413653</v>
      </c>
      <c r="V29" s="67">
        <f t="shared" si="16"/>
        <v>4.3149683990062879</v>
      </c>
      <c r="W29" s="68">
        <f t="shared" si="16"/>
        <v>8.7741730490967491</v>
      </c>
      <c r="X29" s="66">
        <f t="shared" si="16"/>
        <v>14.722412528496612</v>
      </c>
      <c r="Y29" s="67">
        <f t="shared" si="16"/>
        <v>25.000738998015706</v>
      </c>
      <c r="Z29" s="67">
        <f t="shared" si="16"/>
        <v>35.059740484846159</v>
      </c>
      <c r="AA29" s="67">
        <f t="shared" si="16"/>
        <v>48.881118520751485</v>
      </c>
      <c r="AB29" s="68">
        <f t="shared" si="16"/>
        <v>52.386027378882595</v>
      </c>
    </row>
    <row r="30" spans="4:28" ht="12.3" x14ac:dyDescent="0.35">
      <c r="D30" s="15" t="str">
        <f>Lookup!D83</f>
        <v>Motor Vehicles</v>
      </c>
      <c r="E30" s="52" t="str">
        <f t="shared" si="5"/>
        <v>Input_RAB_SCS/Calc_RAB_Connection</v>
      </c>
      <c r="F30" s="52" t="str">
        <f t="shared" si="1"/>
        <v>Dollars</v>
      </c>
      <c r="G30" s="52" t="str">
        <f t="shared" si="2"/>
        <v>Nominal</v>
      </c>
      <c r="H30" s="52" t="str">
        <f t="shared" si="3"/>
        <v>Start year</v>
      </c>
      <c r="J30" s="72">
        <f>Input_RAB_SCS!J30-Calc_RAB_Connection!J30</f>
        <v>3.503243880859376E-2</v>
      </c>
      <c r="K30" s="67">
        <f t="shared" ref="K30:AB30" si="17">J212</f>
        <v>3.6056529589843761E-2</v>
      </c>
      <c r="L30" s="67">
        <f t="shared" si="17"/>
        <v>3.6952609023437506E-2</v>
      </c>
      <c r="M30" s="67">
        <f t="shared" si="17"/>
        <v>3.8531415644531254E-2</v>
      </c>
      <c r="N30" s="67">
        <f t="shared" si="17"/>
        <v>3.9470165527343753E-2</v>
      </c>
      <c r="O30" s="67">
        <f t="shared" si="17"/>
        <v>4.0622267656250002E-2</v>
      </c>
      <c r="P30" s="67">
        <f t="shared" si="17"/>
        <v>4.1945051582031247E-2</v>
      </c>
      <c r="Q30" s="67">
        <f t="shared" si="17"/>
        <v>4.2627778769531249E-2</v>
      </c>
      <c r="R30" s="68">
        <f t="shared" si="17"/>
        <v>4.3694539999999997E-2</v>
      </c>
      <c r="S30" s="66">
        <f t="shared" si="17"/>
        <v>5.3410336523268272E-2</v>
      </c>
      <c r="T30" s="67">
        <f t="shared" si="17"/>
        <v>0.11854412273821796</v>
      </c>
      <c r="U30" s="67">
        <f t="shared" si="17"/>
        <v>0.11906284005719892</v>
      </c>
      <c r="V30" s="67">
        <f t="shared" si="17"/>
        <v>0.10468900852007203</v>
      </c>
      <c r="W30" s="68">
        <f t="shared" si="17"/>
        <v>9.684595611277938E-2</v>
      </c>
      <c r="X30" s="66">
        <f t="shared" si="17"/>
        <v>0.31276830796123112</v>
      </c>
      <c r="Y30" s="67">
        <f t="shared" si="17"/>
        <v>0.28272681265523691</v>
      </c>
      <c r="Z30" s="67">
        <f t="shared" si="17"/>
        <v>0.25104447183633627</v>
      </c>
      <c r="AA30" s="67">
        <f t="shared" si="17"/>
        <v>0.21765937306113065</v>
      </c>
      <c r="AB30" s="68">
        <f t="shared" si="17"/>
        <v>0.18250756610789015</v>
      </c>
    </row>
    <row r="31" spans="4:28" ht="12.3" x14ac:dyDescent="0.35">
      <c r="D31" s="15" t="str">
        <f>Lookup!D84</f>
        <v>Plant and Equipment</v>
      </c>
      <c r="E31" s="52" t="str">
        <f t="shared" si="5"/>
        <v>Input_RAB_SCS/Calc_RAB_Connection</v>
      </c>
      <c r="F31" s="52" t="str">
        <f t="shared" si="1"/>
        <v>Dollars</v>
      </c>
      <c r="G31" s="52" t="str">
        <f t="shared" si="2"/>
        <v>Nominal</v>
      </c>
      <c r="H31" s="52" t="str">
        <f t="shared" si="3"/>
        <v>Start year</v>
      </c>
      <c r="J31" s="72">
        <f>Input_RAB_SCS!J31-Calc_RAB_Connection!J31</f>
        <v>2.0534822288012564</v>
      </c>
      <c r="K31" s="67">
        <f t="shared" ref="K31:AB31" si="18">J213</f>
        <v>0.78486056098329571</v>
      </c>
      <c r="L31" s="67">
        <f t="shared" si="18"/>
        <v>0.56349216897117804</v>
      </c>
      <c r="M31" s="67">
        <f t="shared" si="18"/>
        <v>0.25393041120266607</v>
      </c>
      <c r="N31" s="67">
        <f t="shared" si="18"/>
        <v>-7.2858385991025898E-17</v>
      </c>
      <c r="O31" s="67">
        <f t="shared" si="18"/>
        <v>0</v>
      </c>
      <c r="P31" s="67">
        <f t="shared" si="18"/>
        <v>0.27398178843669374</v>
      </c>
      <c r="Q31" s="67">
        <f t="shared" si="18"/>
        <v>2.7754829172530551</v>
      </c>
      <c r="R31" s="68">
        <f t="shared" si="18"/>
        <v>7.2053953999153562</v>
      </c>
      <c r="S31" s="66">
        <f t="shared" si="18"/>
        <v>8.1172821226019565</v>
      </c>
      <c r="T31" s="67">
        <f t="shared" si="18"/>
        <v>7.4220508880892089</v>
      </c>
      <c r="U31" s="67">
        <f t="shared" si="18"/>
        <v>5.9401022550155727</v>
      </c>
      <c r="V31" s="67">
        <f t="shared" si="18"/>
        <v>4.3784346055016856</v>
      </c>
      <c r="W31" s="68">
        <f t="shared" si="18"/>
        <v>3.0635351349286006</v>
      </c>
      <c r="X31" s="66">
        <f t="shared" si="18"/>
        <v>0.44612408791802638</v>
      </c>
      <c r="Y31" s="67">
        <f t="shared" si="18"/>
        <v>1.651462668280232</v>
      </c>
      <c r="Z31" s="67">
        <f t="shared" si="18"/>
        <v>2.8762988539584056</v>
      </c>
      <c r="AA31" s="67">
        <f t="shared" si="18"/>
        <v>4.0210028130319504</v>
      </c>
      <c r="AB31" s="68">
        <f t="shared" si="18"/>
        <v>5.2243795102552442</v>
      </c>
    </row>
    <row r="32" spans="4:28" ht="12.3" x14ac:dyDescent="0.35">
      <c r="D32" s="15" t="str">
        <f>Lookup!D85</f>
        <v>Property Leases</v>
      </c>
      <c r="E32" s="52" t="str">
        <f t="shared" si="5"/>
        <v>Input_RAB_SCS/Calc_RAB_Connection</v>
      </c>
      <c r="F32" s="52" t="str">
        <f t="shared" si="1"/>
        <v>Dollars</v>
      </c>
      <c r="G32" s="52" t="str">
        <f t="shared" si="2"/>
        <v>Nominal</v>
      </c>
      <c r="H32" s="52" t="str">
        <f t="shared" si="3"/>
        <v>Start year</v>
      </c>
      <c r="J32" s="72">
        <f>Input_RAB_SCS!J32-Calc_RAB_Connection!J32</f>
        <v>0</v>
      </c>
      <c r="K32" s="67">
        <f t="shared" ref="K32:K33" si="19">J214</f>
        <v>0</v>
      </c>
      <c r="L32" s="67">
        <f t="shared" ref="L32:L33" si="20">K214</f>
        <v>0</v>
      </c>
      <c r="M32" s="67">
        <f t="shared" ref="M32:M33" si="21">L214</f>
        <v>0</v>
      </c>
      <c r="N32" s="67">
        <f t="shared" ref="N32:N33" si="22">M214</f>
        <v>0</v>
      </c>
      <c r="O32" s="67">
        <f t="shared" ref="O32:O33" si="23">N214</f>
        <v>0</v>
      </c>
      <c r="P32" s="67">
        <f t="shared" ref="P32:P33" si="24">O214</f>
        <v>0</v>
      </c>
      <c r="Q32" s="67">
        <f t="shared" ref="Q32:Q33" si="25">P214</f>
        <v>0</v>
      </c>
      <c r="R32" s="68">
        <f t="shared" ref="R32:R33" si="26">Q214</f>
        <v>0</v>
      </c>
      <c r="S32" s="66">
        <f t="shared" ref="S32:S33" si="27">R214</f>
        <v>0</v>
      </c>
      <c r="T32" s="67">
        <f t="shared" ref="T32:T33" si="28">S214</f>
        <v>0</v>
      </c>
      <c r="U32" s="67">
        <f t="shared" ref="U32:U33" si="29">T214</f>
        <v>0</v>
      </c>
      <c r="V32" s="67">
        <f t="shared" ref="V32:V33" si="30">U214</f>
        <v>0</v>
      </c>
      <c r="W32" s="68">
        <f t="shared" ref="W32:W33" si="31">V214</f>
        <v>0</v>
      </c>
      <c r="X32" s="66">
        <f t="shared" ref="X32:X33" si="32">W214</f>
        <v>0</v>
      </c>
      <c r="Y32" s="67">
        <f t="shared" ref="Y32:Y33" si="33">X214</f>
        <v>5.6545321858324371</v>
      </c>
      <c r="Z32" s="67">
        <f t="shared" ref="Z32:Z33" si="34">Y214</f>
        <v>5.425065426331364</v>
      </c>
      <c r="AA32" s="67">
        <f t="shared" ref="AA32:AA33" si="35">Z214</f>
        <v>29.871448739199082</v>
      </c>
      <c r="AB32" s="68">
        <f t="shared" ref="AB32:AB33" si="36">AA214</f>
        <v>28.610551045279017</v>
      </c>
    </row>
    <row r="33" spans="1:28" ht="12.3" x14ac:dyDescent="0.35">
      <c r="D33" s="15" t="str">
        <f>Lookup!D86</f>
        <v>Fleet Leases</v>
      </c>
      <c r="E33" s="52" t="str">
        <f t="shared" si="5"/>
        <v>Input_RAB_SCS/Calc_RAB_Connection</v>
      </c>
      <c r="F33" s="52" t="str">
        <f t="shared" si="1"/>
        <v>Dollars</v>
      </c>
      <c r="G33" s="52" t="str">
        <f t="shared" si="2"/>
        <v>Nominal</v>
      </c>
      <c r="H33" s="52" t="str">
        <f t="shared" si="3"/>
        <v>Start year</v>
      </c>
      <c r="J33" s="72">
        <f>Input_RAB_SCS!J33-Calc_RAB_Connection!J33</f>
        <v>0</v>
      </c>
      <c r="K33" s="67">
        <f t="shared" si="19"/>
        <v>0</v>
      </c>
      <c r="L33" s="67">
        <f t="shared" si="20"/>
        <v>0</v>
      </c>
      <c r="M33" s="67">
        <f t="shared" si="21"/>
        <v>0</v>
      </c>
      <c r="N33" s="67">
        <f t="shared" si="22"/>
        <v>0</v>
      </c>
      <c r="O33" s="67">
        <f t="shared" si="23"/>
        <v>0</v>
      </c>
      <c r="P33" s="67">
        <f t="shared" si="24"/>
        <v>0</v>
      </c>
      <c r="Q33" s="67">
        <f t="shared" si="25"/>
        <v>0</v>
      </c>
      <c r="R33" s="68">
        <f t="shared" si="26"/>
        <v>0</v>
      </c>
      <c r="S33" s="66">
        <f t="shared" si="27"/>
        <v>0</v>
      </c>
      <c r="T33" s="67">
        <f t="shared" si="28"/>
        <v>0</v>
      </c>
      <c r="U33" s="67">
        <f t="shared" si="29"/>
        <v>0</v>
      </c>
      <c r="V33" s="67">
        <f t="shared" si="30"/>
        <v>0</v>
      </c>
      <c r="W33" s="68">
        <f t="shared" si="31"/>
        <v>0</v>
      </c>
      <c r="X33" s="66">
        <f t="shared" si="32"/>
        <v>0</v>
      </c>
      <c r="Y33" s="67">
        <f t="shared" si="33"/>
        <v>17.442098565293531</v>
      </c>
      <c r="Z33" s="67">
        <f t="shared" si="34"/>
        <v>19.515612909606673</v>
      </c>
      <c r="AA33" s="67">
        <f t="shared" si="35"/>
        <v>20.205255562567572</v>
      </c>
      <c r="AB33" s="68">
        <f t="shared" si="36"/>
        <v>21.013124643323572</v>
      </c>
    </row>
    <row r="34" spans="1:28" ht="12.3" x14ac:dyDescent="0.35">
      <c r="D34" s="15" t="str">
        <f>Lookup!D87</f>
        <v>Equity Raising Costs</v>
      </c>
      <c r="E34" s="52" t="str">
        <f>E31</f>
        <v>Input_RAB_SCS/Calc_RAB_Connection</v>
      </c>
      <c r="F34" s="52" t="str">
        <f t="shared" si="1"/>
        <v>Dollars</v>
      </c>
      <c r="G34" s="52" t="str">
        <f t="shared" si="2"/>
        <v>Nominal</v>
      </c>
      <c r="H34" s="52" t="str">
        <f t="shared" si="3"/>
        <v>Start year</v>
      </c>
      <c r="J34" s="73">
        <f>Input_RAB_SCS!J34-Calc_RAB_Connection!J34</f>
        <v>0</v>
      </c>
      <c r="K34" s="67">
        <f t="shared" ref="K34:AB34" si="37">J216</f>
        <v>0</v>
      </c>
      <c r="L34" s="67">
        <f t="shared" si="37"/>
        <v>0</v>
      </c>
      <c r="M34" s="67">
        <f t="shared" si="37"/>
        <v>0</v>
      </c>
      <c r="N34" s="67">
        <f t="shared" si="37"/>
        <v>0</v>
      </c>
      <c r="O34" s="67">
        <f t="shared" si="37"/>
        <v>0</v>
      </c>
      <c r="P34" s="67">
        <f t="shared" si="37"/>
        <v>0</v>
      </c>
      <c r="Q34" s="67">
        <f t="shared" si="37"/>
        <v>0</v>
      </c>
      <c r="R34" s="68">
        <f t="shared" si="37"/>
        <v>0</v>
      </c>
      <c r="S34" s="66">
        <f t="shared" si="37"/>
        <v>0</v>
      </c>
      <c r="T34" s="67">
        <f t="shared" si="37"/>
        <v>0</v>
      </c>
      <c r="U34" s="67">
        <f t="shared" si="37"/>
        <v>0</v>
      </c>
      <c r="V34" s="67">
        <f t="shared" si="37"/>
        <v>0</v>
      </c>
      <c r="W34" s="68">
        <f t="shared" si="37"/>
        <v>0</v>
      </c>
      <c r="X34" s="66">
        <f t="shared" si="37"/>
        <v>0</v>
      </c>
      <c r="Y34" s="67">
        <f t="shared" si="37"/>
        <v>1.2872020192307105</v>
      </c>
      <c r="Z34" s="67">
        <f t="shared" si="37"/>
        <v>1.0547320438290999</v>
      </c>
      <c r="AA34" s="67">
        <f t="shared" si="37"/>
        <v>0.81023098039864649</v>
      </c>
      <c r="AB34" s="68">
        <f t="shared" si="37"/>
        <v>0.55325204407324569</v>
      </c>
    </row>
    <row r="35" spans="1:28" x14ac:dyDescent="0.35">
      <c r="J35" s="56"/>
      <c r="K35" s="57"/>
      <c r="L35" s="57"/>
      <c r="M35" s="57"/>
      <c r="N35" s="57"/>
      <c r="O35" s="57"/>
      <c r="P35" s="57"/>
      <c r="Q35" s="57"/>
      <c r="R35" s="58"/>
      <c r="S35" s="56"/>
      <c r="T35" s="57"/>
      <c r="U35" s="57"/>
      <c r="V35" s="57"/>
      <c r="W35" s="58"/>
      <c r="X35" s="56"/>
      <c r="Y35" s="57"/>
      <c r="Z35" s="57"/>
      <c r="AA35" s="57"/>
      <c r="AB35" s="58"/>
    </row>
    <row r="36" spans="1:28" ht="12.3" x14ac:dyDescent="0.35">
      <c r="D36" s="51" t="str">
        <f>"Total "&amp;D16</f>
        <v>Total RAB Asset Class</v>
      </c>
      <c r="E36" s="47" t="s">
        <v>111</v>
      </c>
      <c r="F36" s="47" t="str">
        <f>F18</f>
        <v>Dollars</v>
      </c>
      <c r="G36" s="47" t="str">
        <f>G18</f>
        <v>Nominal</v>
      </c>
      <c r="H36" s="47" t="str">
        <f>H18</f>
        <v>Start year</v>
      </c>
      <c r="J36" s="62">
        <f t="shared" ref="J36:AB36" si="38">SUM(J18:J34)</f>
        <v>350.56509590619419</v>
      </c>
      <c r="K36" s="46">
        <f t="shared" si="38"/>
        <v>365.95099660144598</v>
      </c>
      <c r="L36" s="46">
        <f t="shared" si="38"/>
        <v>386.15053982321189</v>
      </c>
      <c r="M36" s="46">
        <f t="shared" si="38"/>
        <v>431.64217307079821</v>
      </c>
      <c r="N36" s="46">
        <f t="shared" si="38"/>
        <v>482.44975325772106</v>
      </c>
      <c r="O36" s="46">
        <f t="shared" si="38"/>
        <v>551.68837985352081</v>
      </c>
      <c r="P36" s="46">
        <f t="shared" si="38"/>
        <v>634.15600608284831</v>
      </c>
      <c r="Q36" s="46">
        <f t="shared" si="38"/>
        <v>692.91333264105731</v>
      </c>
      <c r="R36" s="63">
        <f t="shared" si="38"/>
        <v>788.49290006313993</v>
      </c>
      <c r="S36" s="62">
        <f t="shared" si="38"/>
        <v>861.76968918951241</v>
      </c>
      <c r="T36" s="46">
        <f t="shared" si="38"/>
        <v>902.19935716127713</v>
      </c>
      <c r="U36" s="46">
        <f t="shared" si="38"/>
        <v>928.07207830488812</v>
      </c>
      <c r="V36" s="46">
        <f t="shared" si="38"/>
        <v>946.93488457381545</v>
      </c>
      <c r="W36" s="63">
        <f t="shared" si="38"/>
        <v>960.34679733688267</v>
      </c>
      <c r="X36" s="62">
        <f t="shared" si="38"/>
        <v>983.99636679135494</v>
      </c>
      <c r="Y36" s="46">
        <f t="shared" si="38"/>
        <v>1059.4851784453672</v>
      </c>
      <c r="Z36" s="46">
        <f t="shared" si="38"/>
        <v>1108.3490384299264</v>
      </c>
      <c r="AA36" s="46">
        <f t="shared" si="38"/>
        <v>1181.1648474058211</v>
      </c>
      <c r="AB36" s="63">
        <f t="shared" si="38"/>
        <v>1217.4517649022782</v>
      </c>
    </row>
    <row r="37" spans="1:28" s="6" customFormat="1" ht="11.25" customHeight="1" x14ac:dyDescent="0.35"/>
    <row r="38" spans="1:28" s="6" customFormat="1" ht="11.25" customHeight="1" x14ac:dyDescent="0.35">
      <c r="A38" s="49">
        <f>IF(SUM($J38:$AB38)&lt;&gt;0,1,0)</f>
        <v>0</v>
      </c>
      <c r="D38" s="15" t="s">
        <v>114</v>
      </c>
      <c r="J38" s="70">
        <f>IF(ISERROR(J36),1,0)</f>
        <v>0</v>
      </c>
      <c r="K38" s="70">
        <f t="shared" ref="K38:N38" si="39">IF(ISERROR(K36),1,0)</f>
        <v>0</v>
      </c>
      <c r="L38" s="70">
        <f t="shared" si="39"/>
        <v>0</v>
      </c>
      <c r="M38" s="70">
        <f t="shared" si="39"/>
        <v>0</v>
      </c>
      <c r="N38" s="70">
        <f t="shared" si="39"/>
        <v>0</v>
      </c>
      <c r="O38" s="70">
        <f>IF(ISERROR(O36),1,0)</f>
        <v>0</v>
      </c>
      <c r="P38" s="70">
        <f t="shared" ref="P38:S38" si="40">IF(ISERROR(P36),1,0)</f>
        <v>0</v>
      </c>
      <c r="Q38" s="70">
        <f t="shared" si="40"/>
        <v>0</v>
      </c>
      <c r="R38" s="70">
        <f t="shared" si="40"/>
        <v>0</v>
      </c>
      <c r="S38" s="70">
        <f t="shared" si="40"/>
        <v>0</v>
      </c>
      <c r="T38" s="70">
        <f>IF(ISERROR(T36),1,0)</f>
        <v>0</v>
      </c>
      <c r="U38" s="70">
        <f t="shared" ref="U38:X38" si="41">IF(ISERROR(U36),1,0)</f>
        <v>0</v>
      </c>
      <c r="V38" s="70">
        <f t="shared" si="41"/>
        <v>0</v>
      </c>
      <c r="W38" s="70">
        <f t="shared" si="41"/>
        <v>0</v>
      </c>
      <c r="X38" s="70">
        <f t="shared" si="41"/>
        <v>0</v>
      </c>
      <c r="Y38" s="70">
        <f>IF(ISERROR(Y36),1,0)</f>
        <v>0</v>
      </c>
      <c r="Z38" s="70">
        <f t="shared" ref="Z38:AB38" si="42">IF(ISERROR(Z36),1,0)</f>
        <v>0</v>
      </c>
      <c r="AA38" s="70">
        <f t="shared" si="42"/>
        <v>0</v>
      </c>
      <c r="AB38" s="70">
        <f t="shared" si="42"/>
        <v>0</v>
      </c>
    </row>
    <row r="39" spans="1:28" s="6" customFormat="1" ht="11.25" customHeight="1" x14ac:dyDescent="0.35">
      <c r="L39" s="10"/>
      <c r="Q39" s="10"/>
      <c r="V39" s="10"/>
      <c r="AA39" s="10"/>
    </row>
    <row r="40" spans="1:28" s="13" customFormat="1" ht="14.1" x14ac:dyDescent="0.35">
      <c r="C40" s="13" t="s">
        <v>148</v>
      </c>
    </row>
    <row r="41" spans="1:28" s="6" customFormat="1" ht="11.25" customHeight="1" x14ac:dyDescent="0.35"/>
    <row r="42" spans="1:28" ht="12.3" x14ac:dyDescent="0.35">
      <c r="D42" s="50" t="str">
        <f>D$16</f>
        <v>RAB Asset Class</v>
      </c>
      <c r="E42" s="45" t="str">
        <f>Lookup!E$20</f>
        <v>Source</v>
      </c>
      <c r="F42" s="45" t="str">
        <f>Lookup!F$20</f>
        <v>Unit</v>
      </c>
      <c r="G42" s="45" t="str">
        <f>Lookup!G$20</f>
        <v>Basis</v>
      </c>
      <c r="H42" s="45" t="str">
        <f>Lookup!H$20</f>
        <v>Timing</v>
      </c>
      <c r="J42" s="54" t="str">
        <f>J$10</f>
        <v>RY06</v>
      </c>
      <c r="K42" s="45" t="str">
        <f t="shared" ref="K42:AB42" si="43">K$10</f>
        <v>RY07</v>
      </c>
      <c r="L42" s="45" t="str">
        <f t="shared" si="43"/>
        <v>RY08</v>
      </c>
      <c r="M42" s="45" t="str">
        <f t="shared" si="43"/>
        <v>RY09</v>
      </c>
      <c r="N42" s="45" t="str">
        <f t="shared" si="43"/>
        <v>RY10</v>
      </c>
      <c r="O42" s="45" t="str">
        <f>O$10</f>
        <v>RY11</v>
      </c>
      <c r="P42" s="45" t="str">
        <f t="shared" si="43"/>
        <v>RY12</v>
      </c>
      <c r="Q42" s="45" t="str">
        <f t="shared" si="43"/>
        <v>RY13</v>
      </c>
      <c r="R42" s="55" t="str">
        <f t="shared" si="43"/>
        <v>RY14</v>
      </c>
      <c r="S42" s="54" t="str">
        <f t="shared" si="43"/>
        <v>RY15</v>
      </c>
      <c r="T42" s="45" t="str">
        <f>T$10</f>
        <v>RY16</v>
      </c>
      <c r="U42" s="45" t="str">
        <f t="shared" si="43"/>
        <v>RY17</v>
      </c>
      <c r="V42" s="45" t="str">
        <f t="shared" si="43"/>
        <v>RY18</v>
      </c>
      <c r="W42" s="55" t="str">
        <f t="shared" si="43"/>
        <v>RY19</v>
      </c>
      <c r="X42" s="54" t="str">
        <f t="shared" si="43"/>
        <v>RY20</v>
      </c>
      <c r="Y42" s="45" t="str">
        <f>Y$10</f>
        <v>RY21</v>
      </c>
      <c r="Z42" s="45" t="str">
        <f t="shared" si="43"/>
        <v>RY22</v>
      </c>
      <c r="AA42" s="45" t="str">
        <f t="shared" si="43"/>
        <v>RY23</v>
      </c>
      <c r="AB42" s="55" t="str">
        <f t="shared" si="43"/>
        <v>RY24</v>
      </c>
    </row>
    <row r="43" spans="1:28" x14ac:dyDescent="0.35">
      <c r="J43" s="56"/>
      <c r="K43" s="57"/>
      <c r="L43" s="57"/>
      <c r="M43" s="57"/>
      <c r="N43" s="57"/>
      <c r="O43" s="57"/>
      <c r="P43" s="57"/>
      <c r="Q43" s="57"/>
      <c r="R43" s="58"/>
      <c r="S43" s="56"/>
      <c r="T43" s="57"/>
      <c r="U43" s="57"/>
      <c r="V43" s="57"/>
      <c r="W43" s="58"/>
      <c r="X43" s="56"/>
      <c r="Y43" s="57"/>
      <c r="Z43" s="57"/>
      <c r="AA43" s="57"/>
      <c r="AB43" s="58"/>
    </row>
    <row r="44" spans="1:28" ht="12.3" x14ac:dyDescent="0.35">
      <c r="D44" s="15" t="str">
        <f t="shared" ref="D44:D57" si="44">D18</f>
        <v>Substations</v>
      </c>
      <c r="E44" s="52" t="s">
        <v>197</v>
      </c>
      <c r="F44" s="52" t="str">
        <f t="shared" ref="F44:F60" si="45">Dollars</f>
        <v>Dollars</v>
      </c>
      <c r="G44" s="52" t="str">
        <f t="shared" ref="G44:G60" si="46">Nominal</f>
        <v>Nominal</v>
      </c>
      <c r="H44" s="52" t="str">
        <f t="shared" ref="H44:H60" si="47">End_year</f>
        <v>End_year</v>
      </c>
      <c r="J44" s="66">
        <f>Input_RAB_SCS!J44-Calc_RAB_Connection!J44</f>
        <v>0.75422078581039909</v>
      </c>
      <c r="K44" s="67">
        <f>Input_RAB_SCS!K44-Calc_RAB_Connection!K44</f>
        <v>0.67461758999810062</v>
      </c>
      <c r="L44" s="67">
        <f>Input_RAB_SCS!L44-Calc_RAB_Connection!L44</f>
        <v>1.2300554280983136</v>
      </c>
      <c r="M44" s="67">
        <f>Input_RAB_SCS!M44-Calc_RAB_Connection!M44</f>
        <v>1.1582997852758461</v>
      </c>
      <c r="N44" s="67">
        <f>Input_RAB_SCS!N44-Calc_RAB_Connection!N44</f>
        <v>2.281364271961654</v>
      </c>
      <c r="O44" s="67">
        <f>Input_RAB_SCS!O44-Calc_RAB_Connection!O44</f>
        <v>3.6048115491049311</v>
      </c>
      <c r="P44" s="67">
        <f>Input_RAB_SCS!P44-Calc_RAB_Connection!P44</f>
        <v>2.5530028594780942</v>
      </c>
      <c r="Q44" s="67">
        <f>Input_RAB_SCS!Q44-Calc_RAB_Connection!Q44</f>
        <v>4.941655736646803</v>
      </c>
      <c r="R44" s="68">
        <f>Input_RAB_SCS!R44-Calc_RAB_Connection!R44</f>
        <v>6.0551051991628917</v>
      </c>
      <c r="S44" s="66">
        <f>Input_RAB_SCS!S44-Calc_RAB_Connection!S44</f>
        <v>3.9558259456231331</v>
      </c>
      <c r="T44" s="67">
        <f>Input_RAB_SCS!T44-Calc_RAB_Connection!T44</f>
        <v>4.0642911209666535</v>
      </c>
      <c r="U44" s="67">
        <f>Input_RAB_SCS!U44-Calc_RAB_Connection!U44</f>
        <v>6.7247117383960964</v>
      </c>
      <c r="V44" s="67">
        <f>Input_RAB_SCS!V44-Calc_RAB_Connection!V44</f>
        <v>7.5940741268649061</v>
      </c>
      <c r="W44" s="68">
        <f>Input_RAB_SCS!W44-Calc_RAB_Connection!W44</f>
        <v>7.363153415410892</v>
      </c>
      <c r="X44" s="66">
        <f>Input_RAB_SCS!X44-Calc_RAB_Connection!X44</f>
        <v>6.5046296783206987</v>
      </c>
      <c r="Y44" s="67">
        <f>Input_RAB_SCS!Y44-Calc_RAB_Connection!Y44</f>
        <v>6.5895700872861696</v>
      </c>
      <c r="Z44" s="67">
        <f>Input_RAB_SCS!Z44-Calc_RAB_Connection!Z44</f>
        <v>6.6325812995496207</v>
      </c>
      <c r="AA44" s="67">
        <f>Input_RAB_SCS!AA44-Calc_RAB_Connection!AA44</f>
        <v>6.7854368314603359</v>
      </c>
      <c r="AB44" s="68">
        <f>Input_RAB_SCS!AB44-Calc_RAB_Connection!AB44</f>
        <v>6.9396164125200368</v>
      </c>
    </row>
    <row r="45" spans="1:28" ht="12.3" x14ac:dyDescent="0.35">
      <c r="D45" s="15" t="str">
        <f t="shared" si="44"/>
        <v>Distribution Lines</v>
      </c>
      <c r="E45" s="52" t="str">
        <f t="shared" ref="E45:E59" si="48">E44</f>
        <v>Input_RAB_SCS/Calc_RAB_Connection</v>
      </c>
      <c r="F45" s="52" t="str">
        <f t="shared" si="45"/>
        <v>Dollars</v>
      </c>
      <c r="G45" s="52" t="str">
        <f t="shared" si="46"/>
        <v>Nominal</v>
      </c>
      <c r="H45" s="52" t="str">
        <f t="shared" si="47"/>
        <v>End_year</v>
      </c>
      <c r="J45" s="66">
        <f>Input_RAB_SCS!J45-Calc_RAB_Connection!J45</f>
        <v>3.3884981490765735</v>
      </c>
      <c r="K45" s="67">
        <f>Input_RAB_SCS!K45-Calc_RAB_Connection!K45</f>
        <v>3.0936059619731746</v>
      </c>
      <c r="L45" s="67">
        <f>Input_RAB_SCS!L45-Calc_RAB_Connection!L45</f>
        <v>5.7667652226684867</v>
      </c>
      <c r="M45" s="67">
        <f>Input_RAB_SCS!M45-Calc_RAB_Connection!M45</f>
        <v>3.6309985362290238</v>
      </c>
      <c r="N45" s="67">
        <f>Input_RAB_SCS!N45-Calc_RAB_Connection!N45</f>
        <v>4.6583363955620172</v>
      </c>
      <c r="O45" s="67">
        <f>Input_RAB_SCS!O45-Calc_RAB_Connection!O45</f>
        <v>5.5623983212118562</v>
      </c>
      <c r="P45" s="67">
        <f>Input_RAB_SCS!P45-Calc_RAB_Connection!P45</f>
        <v>2.9748052939035392</v>
      </c>
      <c r="Q45" s="67">
        <f>Input_RAB_SCS!Q45-Calc_RAB_Connection!Q45</f>
        <v>4.8506786655567335</v>
      </c>
      <c r="R45" s="68">
        <f>Input_RAB_SCS!R45-Calc_RAB_Connection!R45</f>
        <v>5.3213957514376986</v>
      </c>
      <c r="S45" s="66">
        <f>Input_RAB_SCS!S45-Calc_RAB_Connection!S45</f>
        <v>3.090149801088784</v>
      </c>
      <c r="T45" s="67">
        <f>Input_RAB_SCS!T45-Calc_RAB_Connection!T45</f>
        <v>3.1606908342004272</v>
      </c>
      <c r="U45" s="67">
        <f>Input_RAB_SCS!U45-Calc_RAB_Connection!U45</f>
        <v>5.1957657176154513</v>
      </c>
      <c r="V45" s="67">
        <f>Input_RAB_SCS!V45-Calc_RAB_Connection!V45</f>
        <v>6.0357271739015061</v>
      </c>
      <c r="W45" s="68">
        <f>Input_RAB_SCS!W45-Calc_RAB_Connection!W45</f>
        <v>6.0702601877205087</v>
      </c>
      <c r="X45" s="66">
        <f>Input_RAB_SCS!X45-Calc_RAB_Connection!X45</f>
        <v>6.0687166014205927</v>
      </c>
      <c r="Y45" s="67">
        <f>Input_RAB_SCS!Y45-Calc_RAB_Connection!Y45</f>
        <v>6.4762304716635075</v>
      </c>
      <c r="Z45" s="67">
        <f>Input_RAB_SCS!Z45-Calc_RAB_Connection!Z45</f>
        <v>6.9835880682162781</v>
      </c>
      <c r="AA45" s="67">
        <f>Input_RAB_SCS!AA45-Calc_RAB_Connection!AA45</f>
        <v>7.3529837831064953</v>
      </c>
      <c r="AB45" s="68">
        <f>Input_RAB_SCS!AB45-Calc_RAB_Connection!AB45</f>
        <v>7.6746046106796522</v>
      </c>
    </row>
    <row r="46" spans="1:28" ht="12.3" x14ac:dyDescent="0.35">
      <c r="D46" s="15" t="str">
        <f t="shared" si="44"/>
        <v>Transmission Lines</v>
      </c>
      <c r="E46" s="52" t="str">
        <f t="shared" si="48"/>
        <v>Input_RAB_SCS/Calc_RAB_Connection</v>
      </c>
      <c r="F46" s="52" t="str">
        <f t="shared" si="45"/>
        <v>Dollars</v>
      </c>
      <c r="G46" s="52" t="str">
        <f t="shared" si="46"/>
        <v>Nominal</v>
      </c>
      <c r="H46" s="52" t="str">
        <f t="shared" si="47"/>
        <v>End_year</v>
      </c>
      <c r="J46" s="66">
        <f>Input_RAB_SCS!J46-Calc_RAB_Connection!J46</f>
        <v>2.9299111146237635</v>
      </c>
      <c r="K46" s="67">
        <f>Input_RAB_SCS!K46-Calc_RAB_Connection!K46</f>
        <v>2.6377392069232166</v>
      </c>
      <c r="L46" s="67">
        <f>Input_RAB_SCS!L46-Calc_RAB_Connection!L46</f>
        <v>4.847091857777178</v>
      </c>
      <c r="M46" s="67">
        <f>Input_RAB_SCS!M46-Calc_RAB_Connection!M46</f>
        <v>2.8109349760760005</v>
      </c>
      <c r="N46" s="67">
        <f>Input_RAB_SCS!N46-Calc_RAB_Connection!N46</f>
        <v>3.3390236912531752</v>
      </c>
      <c r="O46" s="67">
        <f>Input_RAB_SCS!O46-Calc_RAB_Connection!O46</f>
        <v>4.2500358202114521</v>
      </c>
      <c r="P46" s="67">
        <f>Input_RAB_SCS!P46-Calc_RAB_Connection!P46</f>
        <v>2.3824057700064771</v>
      </c>
      <c r="Q46" s="67">
        <f>Input_RAB_SCS!Q46-Calc_RAB_Connection!Q46</f>
        <v>3.8279199318590895</v>
      </c>
      <c r="R46" s="68">
        <f>Input_RAB_SCS!R46-Calc_RAB_Connection!R46</f>
        <v>4.0919485352000775</v>
      </c>
      <c r="S46" s="66">
        <f>Input_RAB_SCS!S46-Calc_RAB_Connection!S46</f>
        <v>2.2458472015316553</v>
      </c>
      <c r="T46" s="67">
        <f>Input_RAB_SCS!T46-Calc_RAB_Connection!T46</f>
        <v>2.2154788287768121</v>
      </c>
      <c r="U46" s="67">
        <f>Input_RAB_SCS!U46-Calc_RAB_Connection!U46</f>
        <v>3.6402102378091663</v>
      </c>
      <c r="V46" s="67">
        <f>Input_RAB_SCS!V46-Calc_RAB_Connection!V46</f>
        <v>4.2347572084954574</v>
      </c>
      <c r="W46" s="68">
        <f>Input_RAB_SCS!W46-Calc_RAB_Connection!W46</f>
        <v>4.3903802450003697</v>
      </c>
      <c r="X46" s="66">
        <f>Input_RAB_SCS!X46-Calc_RAB_Connection!X46</f>
        <v>4.3777331075928902</v>
      </c>
      <c r="Y46" s="67">
        <f>Input_RAB_SCS!Y46-Calc_RAB_Connection!Y46</f>
        <v>4.3991670316078944</v>
      </c>
      <c r="Z46" s="67">
        <f>Input_RAB_SCS!Z46-Calc_RAB_Connection!Z46</f>
        <v>4.4151966437019325</v>
      </c>
      <c r="AA46" s="67">
        <f>Input_RAB_SCS!AA46-Calc_RAB_Connection!AA46</f>
        <v>4.4260908275027111</v>
      </c>
      <c r="AB46" s="68">
        <f>Input_RAB_SCS!AB46-Calc_RAB_Connection!AB46</f>
        <v>4.4393162572885982</v>
      </c>
    </row>
    <row r="47" spans="1:28" ht="12.3" x14ac:dyDescent="0.35">
      <c r="D47" s="15" t="str">
        <f t="shared" si="44"/>
        <v>LV Services</v>
      </c>
      <c r="E47" s="52" t="str">
        <f t="shared" si="48"/>
        <v>Input_RAB_SCS/Calc_RAB_Connection</v>
      </c>
      <c r="F47" s="52" t="str">
        <f t="shared" si="45"/>
        <v>Dollars</v>
      </c>
      <c r="G47" s="52" t="str">
        <f t="shared" si="46"/>
        <v>Nominal</v>
      </c>
      <c r="H47" s="52" t="str">
        <f t="shared" si="47"/>
        <v>End_year</v>
      </c>
      <c r="J47" s="66">
        <f>Input_RAB_SCS!J47-Calc_RAB_Connection!J47</f>
        <v>4.5941011556209464E-3</v>
      </c>
      <c r="K47" s="67">
        <f>Input_RAB_SCS!K47-Calc_RAB_Connection!K47</f>
        <v>4.0198385111682982E-3</v>
      </c>
      <c r="L47" s="67">
        <f>Input_RAB_SCS!L47-Calc_RAB_Connection!L47</f>
        <v>7.082572614915612E-3</v>
      </c>
      <c r="M47" s="67">
        <f>Input_RAB_SCS!M47-Calc_RAB_Connection!M47</f>
        <v>4.2112593926525279E-3</v>
      </c>
      <c r="N47" s="67">
        <f>Input_RAB_SCS!N47-Calc_RAB_Connection!N47</f>
        <v>5.16836380007354E-3</v>
      </c>
      <c r="O47" s="67">
        <f>Input_RAB_SCS!O47-Calc_RAB_Connection!O47</f>
        <v>5.9340473260103554E-3</v>
      </c>
      <c r="P47" s="67">
        <f>Input_RAB_SCS!P47-Calc_RAB_Connection!P47</f>
        <v>3.0627341037473181E-3</v>
      </c>
      <c r="Q47" s="67">
        <f>Input_RAB_SCS!Q47-Calc_RAB_Connection!Q47</f>
        <v>4.7855220371051414E-3</v>
      </c>
      <c r="R47" s="68">
        <f>Input_RAB_SCS!R47-Calc_RAB_Connection!R47</f>
        <v>4.8021487951850645E-3</v>
      </c>
      <c r="S47" s="66">
        <f>Input_RAB_SCS!S47-Calc_RAB_Connection!S47</f>
        <v>2.718942111373517E-3</v>
      </c>
      <c r="T47" s="67">
        <f>Input_RAB_SCS!T47-Calc_RAB_Connection!T47</f>
        <v>2.7472879316542114E-2</v>
      </c>
      <c r="U47" s="67">
        <f>Input_RAB_SCS!U47-Calc_RAB_Connection!U47</f>
        <v>8.6017361990861796E-2</v>
      </c>
      <c r="V47" s="67">
        <f>Input_RAB_SCS!V47-Calc_RAB_Connection!V47</f>
        <v>0.14288890380884645</v>
      </c>
      <c r="W47" s="68">
        <f>Input_RAB_SCS!W47-Calc_RAB_Connection!W47</f>
        <v>0.14673621811660456</v>
      </c>
      <c r="X47" s="66">
        <f>Input_RAB_SCS!X47-Calc_RAB_Connection!X47</f>
        <v>0.19068355243169208</v>
      </c>
      <c r="Y47" s="67">
        <f>Input_RAB_SCS!Y47-Calc_RAB_Connection!Y47</f>
        <v>0.19542675194831141</v>
      </c>
      <c r="Z47" s="67">
        <f>Input_RAB_SCS!Z47-Calc_RAB_Connection!Z47</f>
        <v>0.2029480344443651</v>
      </c>
      <c r="AA47" s="67">
        <f>Input_RAB_SCS!AA47-Calc_RAB_Connection!AA47</f>
        <v>0.20895064856401285</v>
      </c>
      <c r="AB47" s="68">
        <f>Input_RAB_SCS!AB47-Calc_RAB_Connection!AB47</f>
        <v>0.21369839272193941</v>
      </c>
    </row>
    <row r="48" spans="1:28" ht="12.3" x14ac:dyDescent="0.35">
      <c r="D48" s="15" t="str">
        <f t="shared" si="44"/>
        <v>Distribution Substations</v>
      </c>
      <c r="E48" s="52" t="str">
        <f t="shared" si="48"/>
        <v>Input_RAB_SCS/Calc_RAB_Connection</v>
      </c>
      <c r="F48" s="52" t="str">
        <f t="shared" si="45"/>
        <v>Dollars</v>
      </c>
      <c r="G48" s="52" t="str">
        <f t="shared" si="46"/>
        <v>Nominal</v>
      </c>
      <c r="H48" s="52" t="str">
        <f t="shared" si="47"/>
        <v>End_year</v>
      </c>
      <c r="J48" s="66">
        <f>Input_RAB_SCS!J48-Calc_RAB_Connection!J48</f>
        <v>1.4452064343175135</v>
      </c>
      <c r="K48" s="67">
        <f>Input_RAB_SCS!K48-Calc_RAB_Connection!K48</f>
        <v>1.1877048720854817</v>
      </c>
      <c r="L48" s="67">
        <f>Input_RAB_SCS!L48-Calc_RAB_Connection!L48</f>
        <v>1.9677234158274071</v>
      </c>
      <c r="M48" s="67">
        <f>Input_RAB_SCS!M48-Calc_RAB_Connection!M48</f>
        <v>1.2584438799034297</v>
      </c>
      <c r="N48" s="67">
        <f>Input_RAB_SCS!N48-Calc_RAB_Connection!N48</f>
        <v>1.6018282623127116</v>
      </c>
      <c r="O48" s="67">
        <f>Input_RAB_SCS!O48-Calc_RAB_Connection!O48</f>
        <v>2.1683315356402808</v>
      </c>
      <c r="P48" s="67">
        <f>Input_RAB_SCS!P48-Calc_RAB_Connection!P48</f>
        <v>1.2644251932237696</v>
      </c>
      <c r="Q48" s="67">
        <f>Input_RAB_SCS!Q48-Calc_RAB_Connection!Q48</f>
        <v>1.9992919196548247</v>
      </c>
      <c r="R48" s="68">
        <f>Input_RAB_SCS!R48-Calc_RAB_Connection!R48</f>
        <v>2.0194705378974303</v>
      </c>
      <c r="S48" s="66">
        <f>Input_RAB_SCS!S48-Calc_RAB_Connection!S48</f>
        <v>1.1285597670693632</v>
      </c>
      <c r="T48" s="67">
        <f>Input_RAB_SCS!T48-Calc_RAB_Connection!T48</f>
        <v>1.1931230238798078</v>
      </c>
      <c r="U48" s="67">
        <f>Input_RAB_SCS!U48-Calc_RAB_Connection!U48</f>
        <v>2.0042696358244392</v>
      </c>
      <c r="V48" s="67">
        <f>Input_RAB_SCS!V48-Calc_RAB_Connection!V48</f>
        <v>2.3234777771713775</v>
      </c>
      <c r="W48" s="68">
        <f>Input_RAB_SCS!W48-Calc_RAB_Connection!W48</f>
        <v>2.3258778067187516</v>
      </c>
      <c r="X48" s="66">
        <f>Input_RAB_SCS!X48-Calc_RAB_Connection!X48</f>
        <v>2.4795778868211391</v>
      </c>
      <c r="Y48" s="67">
        <f>Input_RAB_SCS!Y48-Calc_RAB_Connection!Y48</f>
        <v>2.5148250561561425</v>
      </c>
      <c r="Z48" s="67">
        <f>Input_RAB_SCS!Z48-Calc_RAB_Connection!Z48</f>
        <v>2.5630037969238977</v>
      </c>
      <c r="AA48" s="67">
        <f>Input_RAB_SCS!AA48-Calc_RAB_Connection!AA48</f>
        <v>2.6109303423585097</v>
      </c>
      <c r="AB48" s="68">
        <f>Input_RAB_SCS!AB48-Calc_RAB_Connection!AB48</f>
        <v>2.6779797445571032</v>
      </c>
    </row>
    <row r="49" spans="1:28" ht="12.3" x14ac:dyDescent="0.35">
      <c r="D49" s="15" t="str">
        <f t="shared" si="44"/>
        <v>Distribution Switchgear</v>
      </c>
      <c r="E49" s="52" t="str">
        <f t="shared" si="48"/>
        <v>Input_RAB_SCS/Calc_RAB_Connection</v>
      </c>
      <c r="F49" s="52" t="str">
        <f t="shared" si="45"/>
        <v>Dollars</v>
      </c>
      <c r="G49" s="52" t="str">
        <f t="shared" si="46"/>
        <v>Nominal</v>
      </c>
      <c r="H49" s="52" t="str">
        <f t="shared" si="47"/>
        <v>End_year</v>
      </c>
      <c r="J49" s="66">
        <f>Input_RAB_SCS!J49-Calc_RAB_Connection!J49</f>
        <v>0.20664927028353638</v>
      </c>
      <c r="K49" s="67">
        <f>Input_RAB_SCS!K49-Calc_RAB_Connection!K49</f>
        <v>0.18081811149809299</v>
      </c>
      <c r="L49" s="67">
        <f>Input_RAB_SCS!L49-Calc_RAB_Connection!L49</f>
        <v>0.31858429168711805</v>
      </c>
      <c r="M49" s="67">
        <f>Input_RAB_SCS!M49-Calc_RAB_Connection!M49</f>
        <v>0.19840345421257144</v>
      </c>
      <c r="N49" s="67">
        <f>Input_RAB_SCS!N49-Calc_RAB_Connection!N49</f>
        <v>0.39125669082139974</v>
      </c>
      <c r="O49" s="67">
        <f>Input_RAB_SCS!O49-Calc_RAB_Connection!O49</f>
        <v>0.44922064501716219</v>
      </c>
      <c r="P49" s="67">
        <f>Input_RAB_SCS!P49-Calc_RAB_Connection!P49</f>
        <v>0.23185581678305431</v>
      </c>
      <c r="Q49" s="67">
        <f>Input_RAB_SCS!Q49-Calc_RAB_Connection!Q49</f>
        <v>0.36227471372351899</v>
      </c>
      <c r="R49" s="68">
        <f>Input_RAB_SCS!R49-Calc_RAB_Connection!R49</f>
        <v>0.36353339647053196</v>
      </c>
      <c r="S49" s="66">
        <f>Input_RAB_SCS!S49-Calc_RAB_Connection!S49</f>
        <v>0.20601502806950683</v>
      </c>
      <c r="T49" s="67">
        <f>Input_RAB_SCS!T49-Calc_RAB_Connection!T49</f>
        <v>0.26581361338641057</v>
      </c>
      <c r="U49" s="67">
        <f>Input_RAB_SCS!U49-Calc_RAB_Connection!U49</f>
        <v>0.5518444742041182</v>
      </c>
      <c r="V49" s="67">
        <f>Input_RAB_SCS!V49-Calc_RAB_Connection!V49</f>
        <v>0.75778433380191779</v>
      </c>
      <c r="W49" s="68">
        <f>Input_RAB_SCS!W49-Calc_RAB_Connection!W49</f>
        <v>0.87391622299098082</v>
      </c>
      <c r="X49" s="66">
        <f>Input_RAB_SCS!X49-Calc_RAB_Connection!X49</f>
        <v>1.090637517767594</v>
      </c>
      <c r="Y49" s="67">
        <f>Input_RAB_SCS!Y49-Calc_RAB_Connection!Y49</f>
        <v>1.2035469444884821</v>
      </c>
      <c r="Z49" s="67">
        <f>Input_RAB_SCS!Z49-Calc_RAB_Connection!Z49</f>
        <v>1.3267988542775497</v>
      </c>
      <c r="AA49" s="67">
        <f>Input_RAB_SCS!AA49-Calc_RAB_Connection!AA49</f>
        <v>1.4443432219363714</v>
      </c>
      <c r="AB49" s="68">
        <f>Input_RAB_SCS!AB49-Calc_RAB_Connection!AB49</f>
        <v>1.5769960294138265</v>
      </c>
    </row>
    <row r="50" spans="1:28" ht="12.3" x14ac:dyDescent="0.35">
      <c r="D50" s="15" t="str">
        <f t="shared" si="44"/>
        <v>Protection</v>
      </c>
      <c r="E50" s="52" t="str">
        <f t="shared" si="48"/>
        <v>Input_RAB_SCS/Calc_RAB_Connection</v>
      </c>
      <c r="F50" s="52" t="str">
        <f t="shared" si="45"/>
        <v>Dollars</v>
      </c>
      <c r="G50" s="52" t="str">
        <f t="shared" si="46"/>
        <v>Nominal</v>
      </c>
      <c r="H50" s="52" t="str">
        <f t="shared" si="47"/>
        <v>End_year</v>
      </c>
      <c r="J50" s="66">
        <f>Input_RAB_SCS!J50-Calc_RAB_Connection!J50</f>
        <v>4.9813103263131597E-2</v>
      </c>
      <c r="K50" s="67">
        <f>Input_RAB_SCS!K50-Calc_RAB_Connection!K50</f>
        <v>4.3586465355239815E-2</v>
      </c>
      <c r="L50" s="67">
        <f>Input_RAB_SCS!L50-Calc_RAB_Connection!L50</f>
        <v>7.6795200863994398E-2</v>
      </c>
      <c r="M50" s="67">
        <f>Input_RAB_SCS!M50-Calc_RAB_Connection!M50</f>
        <v>4.5662011324537226E-2</v>
      </c>
      <c r="N50" s="67">
        <f>Input_RAB_SCS!N50-Calc_RAB_Connection!N50</f>
        <v>5.6039741171022783E-2</v>
      </c>
      <c r="O50" s="67">
        <f>Input_RAB_SCS!O50-Calc_RAB_Connection!O50</f>
        <v>0.10480852500841409</v>
      </c>
      <c r="P50" s="67">
        <f>Input_RAB_SCS!P50-Calc_RAB_Connection!P50</f>
        <v>6.7902625440370762E-2</v>
      </c>
      <c r="Q50" s="67">
        <f>Input_RAB_SCS!Q50-Calc_RAB_Connection!Q50</f>
        <v>0.12891896179572182</v>
      </c>
      <c r="R50" s="68">
        <f>Input_RAB_SCS!R50-Calc_RAB_Connection!R50</f>
        <v>0.20555305646786101</v>
      </c>
      <c r="S50" s="66">
        <f>Input_RAB_SCS!S50-Calc_RAB_Connection!S50</f>
        <v>0.12818137245738967</v>
      </c>
      <c r="T50" s="67">
        <f>Input_RAB_SCS!T50-Calc_RAB_Connection!T50</f>
        <v>0.19415217091044992</v>
      </c>
      <c r="U50" s="67">
        <f>Input_RAB_SCS!U50-Calc_RAB_Connection!U50</f>
        <v>0.40615673445615108</v>
      </c>
      <c r="V50" s="67">
        <f>Input_RAB_SCS!V50-Calc_RAB_Connection!V50</f>
        <v>0.52789171274754532</v>
      </c>
      <c r="W50" s="68">
        <f>Input_RAB_SCS!W50-Calc_RAB_Connection!W50</f>
        <v>0.54569605999350734</v>
      </c>
      <c r="X50" s="66">
        <f>Input_RAB_SCS!X50-Calc_RAB_Connection!X50</f>
        <v>0.80303697138514096</v>
      </c>
      <c r="Y50" s="67">
        <f>Input_RAB_SCS!Y50-Calc_RAB_Connection!Y50</f>
        <v>0.86793200000693227</v>
      </c>
      <c r="Z50" s="67">
        <f>Input_RAB_SCS!Z50-Calc_RAB_Connection!Z50</f>
        <v>0.94337269047300287</v>
      </c>
      <c r="AA50" s="67">
        <f>Input_RAB_SCS!AA50-Calc_RAB_Connection!AA50</f>
        <v>0.97608083644943655</v>
      </c>
      <c r="AB50" s="68">
        <f>Input_RAB_SCS!AB50-Calc_RAB_Connection!AB50</f>
        <v>1.0101163518837069</v>
      </c>
    </row>
    <row r="51" spans="1:28" ht="12.3" x14ac:dyDescent="0.35">
      <c r="D51" s="15" t="str">
        <f t="shared" si="44"/>
        <v>SCADA</v>
      </c>
      <c r="E51" s="52" t="str">
        <f t="shared" si="48"/>
        <v>Input_RAB_SCS/Calc_RAB_Connection</v>
      </c>
      <c r="F51" s="52" t="str">
        <f t="shared" si="45"/>
        <v>Dollars</v>
      </c>
      <c r="G51" s="52" t="str">
        <f t="shared" si="46"/>
        <v>Nominal</v>
      </c>
      <c r="H51" s="52" t="str">
        <f t="shared" si="47"/>
        <v>End_year</v>
      </c>
      <c r="J51" s="66">
        <f>Input_RAB_SCS!J51-Calc_RAB_Connection!J51</f>
        <v>6.5711075431239968E-3</v>
      </c>
      <c r="K51" s="67">
        <f>Input_RAB_SCS!K51-Calc_RAB_Connection!K51</f>
        <v>2.7506564472371082E-3</v>
      </c>
      <c r="L51" s="67">
        <f>Input_RAB_SCS!L51-Calc_RAB_Connection!L51</f>
        <v>0</v>
      </c>
      <c r="M51" s="67">
        <f>Input_RAB_SCS!M51-Calc_RAB_Connection!M51</f>
        <v>5.9728498545578455E-2</v>
      </c>
      <c r="N51" s="67">
        <f>Input_RAB_SCS!N51-Calc_RAB_Connection!N51</f>
        <v>5.6058153178949056E-2</v>
      </c>
      <c r="O51" s="67">
        <f>Input_RAB_SCS!O51-Calc_RAB_Connection!O51</f>
        <v>6.4363064761015512E-2</v>
      </c>
      <c r="P51" s="67">
        <f>Input_RAB_SCS!P51-Calc_RAB_Connection!P51</f>
        <v>3.3219646328266482E-2</v>
      </c>
      <c r="Q51" s="67">
        <f>Input_RAB_SCS!Q51-Calc_RAB_Connection!Q51</f>
        <v>5.1905697387915901E-2</v>
      </c>
      <c r="R51" s="68">
        <f>Input_RAB_SCS!R51-Calc_RAB_Connection!R51</f>
        <v>5.2086037895544335E-2</v>
      </c>
      <c r="S51" s="66">
        <f>Input_RAB_SCS!S51-Calc_RAB_Connection!S51</f>
        <v>1.9446710345155049E-2</v>
      </c>
      <c r="T51" s="67">
        <f>Input_RAB_SCS!T51-Calc_RAB_Connection!T51</f>
        <v>3.9132440155824497E-2</v>
      </c>
      <c r="U51" s="67">
        <f>Input_RAB_SCS!U51-Calc_RAB_Connection!U51</f>
        <v>6.9087736786906287E-2</v>
      </c>
      <c r="V51" s="67">
        <f>Input_RAB_SCS!V51-Calc_RAB_Connection!V51</f>
        <v>9.2768729083788123E-2</v>
      </c>
      <c r="W51" s="68">
        <f>Input_RAB_SCS!W51-Calc_RAB_Connection!W51</f>
        <v>0.10385417603823591</v>
      </c>
      <c r="X51" s="66">
        <f>Input_RAB_SCS!X51-Calc_RAB_Connection!X51</f>
        <v>0.23021826548969801</v>
      </c>
      <c r="Y51" s="67">
        <f>Input_RAB_SCS!Y51-Calc_RAB_Connection!Y51</f>
        <v>0.22927338109368459</v>
      </c>
      <c r="Z51" s="67">
        <f>Input_RAB_SCS!Z51-Calc_RAB_Connection!Z51</f>
        <v>0.23289107279599616</v>
      </c>
      <c r="AA51" s="67">
        <f>Input_RAB_SCS!AA51-Calc_RAB_Connection!AA51</f>
        <v>0.23021391451630807</v>
      </c>
      <c r="AB51" s="68">
        <f>Input_RAB_SCS!AB51-Calc_RAB_Connection!AB51</f>
        <v>0.23631863814283754</v>
      </c>
    </row>
    <row r="52" spans="1:28" ht="12.3" x14ac:dyDescent="0.35">
      <c r="D52" s="15" t="str">
        <f t="shared" si="44"/>
        <v>Communications</v>
      </c>
      <c r="E52" s="52" t="str">
        <f t="shared" si="48"/>
        <v>Input_RAB_SCS/Calc_RAB_Connection</v>
      </c>
      <c r="F52" s="52" t="str">
        <f t="shared" si="45"/>
        <v>Dollars</v>
      </c>
      <c r="G52" s="52" t="str">
        <f t="shared" si="46"/>
        <v>Nominal</v>
      </c>
      <c r="H52" s="52" t="str">
        <f t="shared" si="47"/>
        <v>End_year</v>
      </c>
      <c r="J52" s="66">
        <f>Input_RAB_SCS!J52-Calc_RAB_Connection!J52</f>
        <v>0.56542597375600168</v>
      </c>
      <c r="K52" s="67">
        <f>Input_RAB_SCS!K52-Calc_RAB_Connection!K52</f>
        <v>0.50319737252392283</v>
      </c>
      <c r="L52" s="67">
        <f>Input_RAB_SCS!L52-Calc_RAB_Connection!L52</f>
        <v>0.9119990212103074</v>
      </c>
      <c r="M52" s="67">
        <f>Input_RAB_SCS!M52-Calc_RAB_Connection!M52</f>
        <v>0.52862800315715264</v>
      </c>
      <c r="N52" s="67">
        <f>Input_RAB_SCS!N52-Calc_RAB_Connection!N52</f>
        <v>0.68562461906911487</v>
      </c>
      <c r="O52" s="67">
        <f>Input_RAB_SCS!O52-Calc_RAB_Connection!O52</f>
        <v>0.59784559734756815</v>
      </c>
      <c r="P52" s="67">
        <f>Input_RAB_SCS!P52-Calc_RAB_Connection!P52</f>
        <v>0.20972378979966338</v>
      </c>
      <c r="Q52" s="67">
        <f>Input_RAB_SCS!Q52-Calc_RAB_Connection!Q52</f>
        <v>0.17030716973870835</v>
      </c>
      <c r="R52" s="68">
        <f>Input_RAB_SCS!R52-Calc_RAB_Connection!R52</f>
        <v>0.17726560153178716</v>
      </c>
      <c r="S52" s="66">
        <f>Input_RAB_SCS!S52-Calc_RAB_Connection!S52</f>
        <v>8.0442099005678877E-2</v>
      </c>
      <c r="T52" s="67">
        <f>Input_RAB_SCS!T52-Calc_RAB_Connection!T52</f>
        <v>8.4736463074542176E-2</v>
      </c>
      <c r="U52" s="67">
        <f>Input_RAB_SCS!U52-Calc_RAB_Connection!U52</f>
        <v>0.11675065640496253</v>
      </c>
      <c r="V52" s="67">
        <f>Input_RAB_SCS!V52-Calc_RAB_Connection!V52</f>
        <v>0.14960856625760538</v>
      </c>
      <c r="W52" s="68">
        <f>Input_RAB_SCS!W52-Calc_RAB_Connection!W52</f>
        <v>0.27190097971979893</v>
      </c>
      <c r="X52" s="66">
        <f>Input_RAB_SCS!X52-Calc_RAB_Connection!X52</f>
        <v>0.36480118822287977</v>
      </c>
      <c r="Y52" s="67">
        <f>Input_RAB_SCS!Y52-Calc_RAB_Connection!Y52</f>
        <v>0.37722882922891016</v>
      </c>
      <c r="Z52" s="67">
        <f>Input_RAB_SCS!Z52-Calc_RAB_Connection!Z52</f>
        <v>0.40739915114238268</v>
      </c>
      <c r="AA52" s="67">
        <f>Input_RAB_SCS!AA52-Calc_RAB_Connection!AA52</f>
        <v>0.45610141877026933</v>
      </c>
      <c r="AB52" s="68">
        <f>Input_RAB_SCS!AB52-Calc_RAB_Connection!AB52</f>
        <v>0.49386525151925686</v>
      </c>
    </row>
    <row r="53" spans="1:28" ht="12.3" x14ac:dyDescent="0.35">
      <c r="D53" s="15" t="str">
        <f t="shared" si="44"/>
        <v>Land and Easements</v>
      </c>
      <c r="E53" s="52" t="str">
        <f t="shared" si="48"/>
        <v>Input_RAB_SCS/Calc_RAB_Connection</v>
      </c>
      <c r="F53" s="52" t="str">
        <f t="shared" si="45"/>
        <v>Dollars</v>
      </c>
      <c r="G53" s="52" t="str">
        <f t="shared" si="46"/>
        <v>Nominal</v>
      </c>
      <c r="H53" s="52" t="str">
        <f t="shared" si="47"/>
        <v>End_year</v>
      </c>
      <c r="J53" s="66">
        <f>Input_RAB_SCS!J53-Calc_RAB_Connection!J53</f>
        <v>0.81950636793439535</v>
      </c>
      <c r="K53" s="67">
        <f>Input_RAB_SCS!K53-Calc_RAB_Connection!K53</f>
        <v>0.73176535129568909</v>
      </c>
      <c r="L53" s="67">
        <f>Input_RAB_SCS!L53-Calc_RAB_Connection!L53</f>
        <v>1.3211675943871264</v>
      </c>
      <c r="M53" s="67">
        <f>Input_RAB_SCS!M53-Calc_RAB_Connection!M53</f>
        <v>0.78555911017612945</v>
      </c>
      <c r="N53" s="67">
        <f>Input_RAB_SCS!N53-Calc_RAB_Connection!N53</f>
        <v>0.96409527157979225</v>
      </c>
      <c r="O53" s="67">
        <f>Input_RAB_SCS!O53-Calc_RAB_Connection!O53</f>
        <v>1.1069242007027233</v>
      </c>
      <c r="P53" s="67">
        <f>Input_RAB_SCS!P53-Calc_RAB_Connection!P53</f>
        <v>0.57131571649173518</v>
      </c>
      <c r="Q53" s="67">
        <f>Input_RAB_SCS!Q53-Calc_RAB_Connection!Q53</f>
        <v>0.89268080701832808</v>
      </c>
      <c r="R53" s="68">
        <f>Input_RAB_SCS!R53-Calc_RAB_Connection!R53</f>
        <v>0.80907572383073523</v>
      </c>
      <c r="S53" s="66">
        <f>Input_RAB_SCS!S53-Calc_RAB_Connection!S53</f>
        <v>0.4578724295316603</v>
      </c>
      <c r="T53" s="67">
        <f>Input_RAB_SCS!T53-Calc_RAB_Connection!T53</f>
        <v>0.4578724295316684</v>
      </c>
      <c r="U53" s="67">
        <f>Input_RAB_SCS!U53-Calc_RAB_Connection!U53</f>
        <v>0.75221899137344483</v>
      </c>
      <c r="V53" s="67">
        <f>Input_RAB_SCS!V53-Calc_RAB_Connection!V53</f>
        <v>0.87608012100708033</v>
      </c>
      <c r="W53" s="68">
        <f>Input_RAB_SCS!W53-Calc_RAB_Connection!W53</f>
        <v>0.89732396584112384</v>
      </c>
      <c r="X53" s="66">
        <f>Input_RAB_SCS!X53-Calc_RAB_Connection!X53</f>
        <v>1.1240486523495119</v>
      </c>
      <c r="Y53" s="67">
        <f>Input_RAB_SCS!Y53-Calc_RAB_Connection!Y53</f>
        <v>1.1513054232587514</v>
      </c>
      <c r="Z53" s="67">
        <f>Input_RAB_SCS!Z53-Calc_RAB_Connection!Z53</f>
        <v>1.1792231366982326</v>
      </c>
      <c r="AA53" s="67">
        <f>Input_RAB_SCS!AA53-Calc_RAB_Connection!AA53</f>
        <v>1.2078178196958724</v>
      </c>
      <c r="AB53" s="68">
        <f>Input_RAB_SCS!AB53-Calc_RAB_Connection!AB53</f>
        <v>1.2371058879149257</v>
      </c>
    </row>
    <row r="54" spans="1:28" ht="12.3" x14ac:dyDescent="0.35">
      <c r="D54" s="15" t="str">
        <f t="shared" si="44"/>
        <v>Property</v>
      </c>
      <c r="E54" s="52" t="str">
        <f t="shared" si="48"/>
        <v>Input_RAB_SCS/Calc_RAB_Connection</v>
      </c>
      <c r="F54" s="52" t="str">
        <f t="shared" si="45"/>
        <v>Dollars</v>
      </c>
      <c r="G54" s="52" t="str">
        <f t="shared" si="46"/>
        <v>Nominal</v>
      </c>
      <c r="H54" s="52" t="str">
        <f t="shared" si="47"/>
        <v>End_year</v>
      </c>
      <c r="J54" s="66">
        <f>Input_RAB_SCS!J54-Calc_RAB_Connection!J54</f>
        <v>0</v>
      </c>
      <c r="K54" s="67">
        <f>Input_RAB_SCS!K54-Calc_RAB_Connection!K54</f>
        <v>0</v>
      </c>
      <c r="L54" s="67">
        <f>Input_RAB_SCS!L54-Calc_RAB_Connection!L54</f>
        <v>0</v>
      </c>
      <c r="M54" s="67">
        <f>Input_RAB_SCS!M54-Calc_RAB_Connection!M54</f>
        <v>1.3083759583623808E-2</v>
      </c>
      <c r="N54" s="67">
        <f>Input_RAB_SCS!N54-Calc_RAB_Connection!N54</f>
        <v>2.3812541835393348E-2</v>
      </c>
      <c r="O54" s="67">
        <f>Input_RAB_SCS!O54-Calc_RAB_Connection!O54</f>
        <v>2.7340325811007152E-2</v>
      </c>
      <c r="P54" s="67">
        <f>Input_RAB_SCS!P54-Calc_RAB_Connection!P54</f>
        <v>1.4111135902455479E-2</v>
      </c>
      <c r="Q54" s="67">
        <f>Input_RAB_SCS!Q54-Calc_RAB_Connection!Q54</f>
        <v>2.2048649847586487E-2</v>
      </c>
      <c r="R54" s="68">
        <f>Input_RAB_SCS!R54-Calc_RAB_Connection!R54</f>
        <v>2.2125255401622659E-2</v>
      </c>
      <c r="S54" s="66">
        <f>Input_RAB_SCS!S54-Calc_RAB_Connection!S54</f>
        <v>1.4663158059903952E-2</v>
      </c>
      <c r="T54" s="67">
        <f>Input_RAB_SCS!T54-Calc_RAB_Connection!T54</f>
        <v>1.2218110089219379E-2</v>
      </c>
      <c r="U54" s="67">
        <f>Input_RAB_SCS!U54-Calc_RAB_Connection!U54</f>
        <v>1.6060163138909841E-2</v>
      </c>
      <c r="V54" s="67">
        <f>Input_RAB_SCS!V54-Calc_RAB_Connection!V54</f>
        <v>1.3582682721980361E-2</v>
      </c>
      <c r="W54" s="68">
        <f>Input_RAB_SCS!W54-Calc_RAB_Connection!W54</f>
        <v>8.7088567305553602E-3</v>
      </c>
      <c r="X54" s="66">
        <f>Input_RAB_SCS!X54-Calc_RAB_Connection!X54</f>
        <v>0.25119286786515699</v>
      </c>
      <c r="Y54" s="67">
        <f>Input_RAB_SCS!Y54-Calc_RAB_Connection!Y54</f>
        <v>0.4422659796740816</v>
      </c>
      <c r="Z54" s="67">
        <f>Input_RAB_SCS!Z54-Calc_RAB_Connection!Z54</f>
        <v>0.43272716554853446</v>
      </c>
      <c r="AA54" s="67">
        <f>Input_RAB_SCS!AA54-Calc_RAB_Connection!AA54</f>
        <v>0.42078490599374657</v>
      </c>
      <c r="AB54" s="68">
        <f>Input_RAB_SCS!AB54-Calc_RAB_Connection!AB54</f>
        <v>0.40392839724238944</v>
      </c>
    </row>
    <row r="55" spans="1:28" ht="12.3" x14ac:dyDescent="0.35">
      <c r="D55" s="15" t="str">
        <f t="shared" si="44"/>
        <v>IT and Communications</v>
      </c>
      <c r="E55" s="52" t="str">
        <f t="shared" si="48"/>
        <v>Input_RAB_SCS/Calc_RAB_Connection</v>
      </c>
      <c r="F55" s="52" t="str">
        <f t="shared" si="45"/>
        <v>Dollars</v>
      </c>
      <c r="G55" s="52" t="str">
        <f t="shared" si="46"/>
        <v>Nominal</v>
      </c>
      <c r="H55" s="52" t="str">
        <f t="shared" si="47"/>
        <v>End_year</v>
      </c>
      <c r="J55" s="66">
        <f>Input_RAB_SCS!J55-Calc_RAB_Connection!J55</f>
        <v>1.6495126616015657E-2</v>
      </c>
      <c r="K55" s="67">
        <f>Input_RAB_SCS!K55-Calc_RAB_Connection!K55</f>
        <v>1.4433235789013591E-2</v>
      </c>
      <c r="L55" s="67">
        <f>Input_RAB_SCS!L55-Calc_RAB_Connection!L55</f>
        <v>2.5429986866357425E-2</v>
      </c>
      <c r="M55" s="67">
        <f>Input_RAB_SCS!M55-Calc_RAB_Connection!M55</f>
        <v>1.5120532731347662E-2</v>
      </c>
      <c r="N55" s="67">
        <f>Input_RAB_SCS!N55-Calc_RAB_Connection!N55</f>
        <v>1.8557017443017527E-2</v>
      </c>
      <c r="O55" s="67">
        <f>Input_RAB_SCS!O55-Calc_RAB_Connection!O55</f>
        <v>2.1306205212353435E-2</v>
      </c>
      <c r="P55" s="67">
        <f>Input_RAB_SCS!P55-Calc_RAB_Connection!P55</f>
        <v>1.0996751077343846E-2</v>
      </c>
      <c r="Q55" s="67">
        <f>Input_RAB_SCS!Q55-Calc_RAB_Connection!Q55</f>
        <v>1.7182423558349601E-2</v>
      </c>
      <c r="R55" s="68">
        <f>Input_RAB_SCS!R55-Calc_RAB_Connection!R55</f>
        <v>1.7242121956458804E-2</v>
      </c>
      <c r="S55" s="66">
        <f>Input_RAB_SCS!S55-Calc_RAB_Connection!S55</f>
        <v>8.4046364017830687E-3</v>
      </c>
      <c r="T55" s="67">
        <f>Input_RAB_SCS!T55-Calc_RAB_Connection!T55</f>
        <v>1.2754668208304801E-2</v>
      </c>
      <c r="U55" s="67">
        <f>Input_RAB_SCS!U55-Calc_RAB_Connection!U55</f>
        <v>3.6071989916036308E-2</v>
      </c>
      <c r="V55" s="67">
        <f>Input_RAB_SCS!V55-Calc_RAB_Connection!V55</f>
        <v>0.10463257518834855</v>
      </c>
      <c r="W55" s="68">
        <f>Input_RAB_SCS!W55-Calc_RAB_Connection!W55</f>
        <v>0.21276269867622249</v>
      </c>
      <c r="X55" s="66">
        <f>Input_RAB_SCS!X55-Calc_RAB_Connection!X55</f>
        <v>0.35700005038195914</v>
      </c>
      <c r="Y55" s="67">
        <f>Input_RAB_SCS!Y55-Calc_RAB_Connection!Y55</f>
        <v>0.60623658416051918</v>
      </c>
      <c r="Z55" s="67">
        <f>Input_RAB_SCS!Z55-Calc_RAB_Connection!Z55</f>
        <v>0.85015476201620899</v>
      </c>
      <c r="AA55" s="67">
        <f>Input_RAB_SCS!AA55-Calc_RAB_Connection!AA55</f>
        <v>1.1853058553316309</v>
      </c>
      <c r="AB55" s="68">
        <f>Input_RAB_SCS!AB55-Calc_RAB_Connection!AB55</f>
        <v>1.2702955020023152</v>
      </c>
    </row>
    <row r="56" spans="1:28" ht="12.3" x14ac:dyDescent="0.35">
      <c r="D56" s="15" t="str">
        <f t="shared" si="44"/>
        <v>Motor Vehicles</v>
      </c>
      <c r="E56" s="52" t="str">
        <f t="shared" si="48"/>
        <v>Input_RAB_SCS/Calc_RAB_Connection</v>
      </c>
      <c r="F56" s="52" t="str">
        <f t="shared" si="45"/>
        <v>Dollars</v>
      </c>
      <c r="G56" s="52" t="str">
        <f t="shared" si="46"/>
        <v>Nominal</v>
      </c>
      <c r="H56" s="52" t="str">
        <f t="shared" si="47"/>
        <v>End_year</v>
      </c>
      <c r="J56" s="66">
        <f>Input_RAB_SCS!J56-Calc_RAB_Connection!J56</f>
        <v>1.0240907812500025E-3</v>
      </c>
      <c r="K56" s="67">
        <f>Input_RAB_SCS!K56-Calc_RAB_Connection!K56</f>
        <v>8.9607943359374526E-4</v>
      </c>
      <c r="L56" s="67">
        <f>Input_RAB_SCS!L56-Calc_RAB_Connection!L56</f>
        <v>1.5788066210937505E-3</v>
      </c>
      <c r="M56" s="67">
        <f>Input_RAB_SCS!M56-Calc_RAB_Connection!M56</f>
        <v>9.3874988281250052E-4</v>
      </c>
      <c r="N56" s="67">
        <f>Input_RAB_SCS!N56-Calc_RAB_Connection!N56</f>
        <v>1.1521021289062471E-3</v>
      </c>
      <c r="O56" s="67">
        <f>Input_RAB_SCS!O56-Calc_RAB_Connection!O56</f>
        <v>1.3227839257812454E-3</v>
      </c>
      <c r="P56" s="67">
        <f>Input_RAB_SCS!P56-Calc_RAB_Connection!P56</f>
        <v>6.8272718750000602E-4</v>
      </c>
      <c r="Q56" s="67">
        <f>Input_RAB_SCS!Q56-Calc_RAB_Connection!Q56</f>
        <v>1.0667612304687496E-3</v>
      </c>
      <c r="R56" s="68">
        <f>Input_RAB_SCS!R56-Calc_RAB_Connection!R56</f>
        <v>1.0704675723830737E-3</v>
      </c>
      <c r="S56" s="66">
        <f>Input_RAB_SCS!S56-Calc_RAB_Connection!S56</f>
        <v>7.094352099864808E-4</v>
      </c>
      <c r="T56" s="67">
        <f>Input_RAB_SCS!T56-Calc_RAB_Connection!T56</f>
        <v>1.553949174471039E-3</v>
      </c>
      <c r="U56" s="67">
        <f>Input_RAB_SCS!U56-Calc_RAB_Connection!U56</f>
        <v>2.5309106481659583E-3</v>
      </c>
      <c r="V56" s="67">
        <f>Input_RAB_SCS!V56-Calc_RAB_Connection!V56</f>
        <v>2.5385772368327684E-3</v>
      </c>
      <c r="W56" s="68">
        <f>Input_RAB_SCS!W56-Calc_RAB_Connection!W56</f>
        <v>2.3483930466307746E-3</v>
      </c>
      <c r="X56" s="66">
        <f>Input_RAB_SCS!X56-Calc_RAB_Connection!X56</f>
        <v>7.5842394365675117E-3</v>
      </c>
      <c r="Y56" s="67">
        <f>Input_RAB_SCS!Y56-Calc_RAB_Connection!Y56</f>
        <v>6.8557708301464895E-3</v>
      </c>
      <c r="Z56" s="67">
        <f>Input_RAB_SCS!Z56-Calc_RAB_Connection!Z56</f>
        <v>6.0875137767136232E-3</v>
      </c>
      <c r="AA56" s="67">
        <f>Input_RAB_SCS!AA56-Calc_RAB_Connection!AA56</f>
        <v>5.277966977119076E-3</v>
      </c>
      <c r="AB56" s="68">
        <f>Input_RAB_SCS!AB56-Calc_RAB_Connection!AB56</f>
        <v>4.4255797186426816E-3</v>
      </c>
    </row>
    <row r="57" spans="1:28" ht="12.3" x14ac:dyDescent="0.35">
      <c r="D57" s="15" t="str">
        <f t="shared" si="44"/>
        <v>Plant and Equipment</v>
      </c>
      <c r="E57" s="52" t="str">
        <f t="shared" si="48"/>
        <v>Input_RAB_SCS/Calc_RAB_Connection</v>
      </c>
      <c r="F57" s="52" t="str">
        <f t="shared" si="45"/>
        <v>Dollars</v>
      </c>
      <c r="G57" s="52" t="str">
        <f t="shared" si="46"/>
        <v>Nominal</v>
      </c>
      <c r="H57" s="52" t="str">
        <f t="shared" si="47"/>
        <v>End_year</v>
      </c>
      <c r="J57" s="66">
        <f>Input_RAB_SCS!J57-Calc_RAB_Connection!J57</f>
        <v>6.0028713144007623E-2</v>
      </c>
      <c r="K57" s="67">
        <f>Input_RAB_SCS!K57-Calc_RAB_Connection!K57</f>
        <v>1.9505410391300732E-2</v>
      </c>
      <c r="L57" s="67">
        <f>Input_RAB_SCS!L57-Calc_RAB_Connection!L57</f>
        <v>2.4075300521863269E-2</v>
      </c>
      <c r="M57" s="67">
        <f>Input_RAB_SCS!M57-Calc_RAB_Connection!M57</f>
        <v>6.1865659429221013E-3</v>
      </c>
      <c r="N57" s="67">
        <f>Input_RAB_SCS!N57-Calc_RAB_Connection!N57</f>
        <v>0</v>
      </c>
      <c r="O57" s="67">
        <f>Input_RAB_SCS!O57-Calc_RAB_Connection!O57</f>
        <v>0</v>
      </c>
      <c r="P57" s="67">
        <f>Input_RAB_SCS!P57-Calc_RAB_Connection!P57</f>
        <v>4.4595204628556859E-3</v>
      </c>
      <c r="Q57" s="67">
        <f>Input_RAB_SCS!Q57-Calc_RAB_Connection!Q57</f>
        <v>6.9456529460787134E-2</v>
      </c>
      <c r="R57" s="68">
        <f>Input_RAB_SCS!R57-Calc_RAB_Connection!R57</f>
        <v>0.17652416347231392</v>
      </c>
      <c r="S57" s="66">
        <f>Input_RAB_SCS!S57-Calc_RAB_Connection!S57</f>
        <v>0.10781968663797592</v>
      </c>
      <c r="T57" s="67">
        <f>Input_RAB_SCS!T57-Calc_RAB_Connection!T57</f>
        <v>9.7292801903792192E-2</v>
      </c>
      <c r="U57" s="67">
        <f>Input_RAB_SCS!U57-Calc_RAB_Connection!U57</f>
        <v>0.12626834738018278</v>
      </c>
      <c r="V57" s="67">
        <f>Input_RAB_SCS!V57-Calc_RAB_Connection!V57</f>
        <v>0.10617155114575724</v>
      </c>
      <c r="W57" s="68">
        <f>Input_RAB_SCS!W57-Calc_RAB_Connection!W57</f>
        <v>7.428688711170725E-2</v>
      </c>
      <c r="X57" s="66">
        <f>Input_RAB_SCS!X57-Calc_RAB_Connection!X57</f>
        <v>1.0817949949104202E-2</v>
      </c>
      <c r="Y57" s="67">
        <f>Input_RAB_SCS!Y57-Calc_RAB_Connection!Y57</f>
        <v>4.004589972185571E-2</v>
      </c>
      <c r="Z57" s="67">
        <f>Input_RAB_SCS!Z57-Calc_RAB_Connection!Z57</f>
        <v>6.9746641984741231E-2</v>
      </c>
      <c r="AA57" s="67">
        <f>Input_RAB_SCS!AA57-Calc_RAB_Connection!AA57</f>
        <v>9.750427819216885E-2</v>
      </c>
      <c r="AB57" s="68">
        <f>Input_RAB_SCS!AB57-Calc_RAB_Connection!AB57</f>
        <v>0.12668465475787435</v>
      </c>
    </row>
    <row r="58" spans="1:28" ht="12.3" x14ac:dyDescent="0.35">
      <c r="D58" s="15" t="str">
        <f t="shared" ref="D58:D59" si="49">D32</f>
        <v>Property Leases</v>
      </c>
      <c r="E58" s="52" t="str">
        <f t="shared" si="48"/>
        <v>Input_RAB_SCS/Calc_RAB_Connection</v>
      </c>
      <c r="F58" s="52" t="str">
        <f t="shared" si="45"/>
        <v>Dollars</v>
      </c>
      <c r="G58" s="52" t="str">
        <f t="shared" si="46"/>
        <v>Nominal</v>
      </c>
      <c r="H58" s="52" t="str">
        <f t="shared" si="47"/>
        <v>End_year</v>
      </c>
      <c r="J58" s="66">
        <f>Input_RAB_SCS!J58-Calc_RAB_Connection!J58</f>
        <v>0</v>
      </c>
      <c r="K58" s="67">
        <f>Input_RAB_SCS!K58-Calc_RAB_Connection!K58</f>
        <v>0</v>
      </c>
      <c r="L58" s="67">
        <f>Input_RAB_SCS!L58-Calc_RAB_Connection!L58</f>
        <v>0</v>
      </c>
      <c r="M58" s="67">
        <f>Input_RAB_SCS!M58-Calc_RAB_Connection!M58</f>
        <v>0</v>
      </c>
      <c r="N58" s="67">
        <f>Input_RAB_SCS!N58-Calc_RAB_Connection!N58</f>
        <v>0</v>
      </c>
      <c r="O58" s="67">
        <f>Input_RAB_SCS!O58-Calc_RAB_Connection!O58</f>
        <v>0</v>
      </c>
      <c r="P58" s="67">
        <f>Input_RAB_SCS!P58-Calc_RAB_Connection!P58</f>
        <v>0</v>
      </c>
      <c r="Q58" s="67">
        <f>Input_RAB_SCS!Q58-Calc_RAB_Connection!Q58</f>
        <v>0</v>
      </c>
      <c r="R58" s="68">
        <f>Input_RAB_SCS!R58-Calc_RAB_Connection!R58</f>
        <v>0</v>
      </c>
      <c r="S58" s="66">
        <f>Input_RAB_SCS!S58-Calc_RAB_Connection!S58</f>
        <v>0</v>
      </c>
      <c r="T58" s="67">
        <f>Input_RAB_SCS!T58-Calc_RAB_Connection!T58</f>
        <v>0</v>
      </c>
      <c r="U58" s="67">
        <f>Input_RAB_SCS!U58-Calc_RAB_Connection!U58</f>
        <v>0</v>
      </c>
      <c r="V58" s="67">
        <f>Input_RAB_SCS!V58-Calc_RAB_Connection!V58</f>
        <v>0</v>
      </c>
      <c r="W58" s="68">
        <f>Input_RAB_SCS!W58-Calc_RAB_Connection!W58</f>
        <v>0</v>
      </c>
      <c r="X58" s="66">
        <f>Input_RAB_SCS!X58-Calc_RAB_Connection!X58</f>
        <v>0</v>
      </c>
      <c r="Y58" s="67">
        <f>Input_RAB_SCS!Y58-Calc_RAB_Connection!Y58</f>
        <v>0.13711531797667451</v>
      </c>
      <c r="Z58" s="67">
        <f>Input_RAB_SCS!Z58-Calc_RAB_Connection!Z58</f>
        <v>0.13155103667805551</v>
      </c>
      <c r="AA58" s="67">
        <f>Input_RAB_SCS!AA58-Calc_RAB_Connection!AA58</f>
        <v>0.72434519031679068</v>
      </c>
      <c r="AB58" s="68">
        <f>Input_RAB_SCS!AB58-Calc_RAB_Connection!AB58</f>
        <v>0.69377000167942093</v>
      </c>
    </row>
    <row r="59" spans="1:28" ht="12.3" x14ac:dyDescent="0.35">
      <c r="D59" s="15" t="str">
        <f t="shared" si="49"/>
        <v>Fleet Leases</v>
      </c>
      <c r="E59" s="52" t="str">
        <f t="shared" si="48"/>
        <v>Input_RAB_SCS/Calc_RAB_Connection</v>
      </c>
      <c r="F59" s="52" t="str">
        <f t="shared" si="45"/>
        <v>Dollars</v>
      </c>
      <c r="G59" s="52" t="str">
        <f t="shared" si="46"/>
        <v>Nominal</v>
      </c>
      <c r="H59" s="52" t="str">
        <f t="shared" si="47"/>
        <v>End_year</v>
      </c>
      <c r="J59" s="66">
        <f>Input_RAB_SCS!J59-Calc_RAB_Connection!J59</f>
        <v>0</v>
      </c>
      <c r="K59" s="67">
        <f>Input_RAB_SCS!K59-Calc_RAB_Connection!K59</f>
        <v>0</v>
      </c>
      <c r="L59" s="67">
        <f>Input_RAB_SCS!L59-Calc_RAB_Connection!L59</f>
        <v>0</v>
      </c>
      <c r="M59" s="67">
        <f>Input_RAB_SCS!M59-Calc_RAB_Connection!M59</f>
        <v>0</v>
      </c>
      <c r="N59" s="67">
        <f>Input_RAB_SCS!N59-Calc_RAB_Connection!N59</f>
        <v>0</v>
      </c>
      <c r="O59" s="67">
        <f>Input_RAB_SCS!O59-Calc_RAB_Connection!O59</f>
        <v>0</v>
      </c>
      <c r="P59" s="67">
        <f>Input_RAB_SCS!P59-Calc_RAB_Connection!P59</f>
        <v>0</v>
      </c>
      <c r="Q59" s="67">
        <f>Input_RAB_SCS!Q59-Calc_RAB_Connection!Q59</f>
        <v>0</v>
      </c>
      <c r="R59" s="68">
        <f>Input_RAB_SCS!R59-Calc_RAB_Connection!R59</f>
        <v>0</v>
      </c>
      <c r="S59" s="66">
        <f>Input_RAB_SCS!S59-Calc_RAB_Connection!S59</f>
        <v>0</v>
      </c>
      <c r="T59" s="67">
        <f>Input_RAB_SCS!T59-Calc_RAB_Connection!T59</f>
        <v>0</v>
      </c>
      <c r="U59" s="67">
        <f>Input_RAB_SCS!U59-Calc_RAB_Connection!U59</f>
        <v>0</v>
      </c>
      <c r="V59" s="67">
        <f>Input_RAB_SCS!V59-Calc_RAB_Connection!V59</f>
        <v>0</v>
      </c>
      <c r="W59" s="68">
        <f>Input_RAB_SCS!W59-Calc_RAB_Connection!W59</f>
        <v>0</v>
      </c>
      <c r="X59" s="66">
        <f>Input_RAB_SCS!X59-Calc_RAB_Connection!X59</f>
        <v>0</v>
      </c>
      <c r="Y59" s="67">
        <f>Input_RAB_SCS!Y59-Calc_RAB_Connection!Y59</f>
        <v>0.42294902785289257</v>
      </c>
      <c r="Z59" s="67">
        <f>Input_RAB_SCS!Z59-Calc_RAB_Connection!Z59</f>
        <v>0.4732291517085917</v>
      </c>
      <c r="AA59" s="67">
        <f>Input_RAB_SCS!AA59-Calc_RAB_Connection!AA59</f>
        <v>0.48995212162782475</v>
      </c>
      <c r="AB59" s="68">
        <f>Input_RAB_SCS!AB59-Calc_RAB_Connection!AB59</f>
        <v>0.50954193423317562</v>
      </c>
    </row>
    <row r="60" spans="1:28" ht="12.3" x14ac:dyDescent="0.35">
      <c r="D60" s="15" t="str">
        <f t="shared" ref="D60" si="50">D34</f>
        <v>Equity Raising Costs</v>
      </c>
      <c r="E60" s="52" t="str">
        <f>E57</f>
        <v>Input_RAB_SCS/Calc_RAB_Connection</v>
      </c>
      <c r="F60" s="52" t="str">
        <f t="shared" si="45"/>
        <v>Dollars</v>
      </c>
      <c r="G60" s="52" t="str">
        <f t="shared" si="46"/>
        <v>Nominal</v>
      </c>
      <c r="H60" s="52" t="str">
        <f t="shared" si="47"/>
        <v>End_year</v>
      </c>
      <c r="J60" s="66">
        <f>Input_RAB_SCS!J60-Calc_RAB_Connection!J60</f>
        <v>0</v>
      </c>
      <c r="K60" s="67">
        <f>Input_RAB_SCS!K60-Calc_RAB_Connection!K60</f>
        <v>0</v>
      </c>
      <c r="L60" s="67">
        <f>Input_RAB_SCS!L60-Calc_RAB_Connection!L60</f>
        <v>0</v>
      </c>
      <c r="M60" s="67">
        <f>Input_RAB_SCS!M60-Calc_RAB_Connection!M60</f>
        <v>0</v>
      </c>
      <c r="N60" s="67">
        <f>Input_RAB_SCS!N60-Calc_RAB_Connection!N60</f>
        <v>0</v>
      </c>
      <c r="O60" s="67">
        <f>Input_RAB_SCS!O60-Calc_RAB_Connection!O60</f>
        <v>0</v>
      </c>
      <c r="P60" s="67">
        <f>Input_RAB_SCS!P60-Calc_RAB_Connection!P60</f>
        <v>0</v>
      </c>
      <c r="Q60" s="67">
        <f>Input_RAB_SCS!Q60-Calc_RAB_Connection!Q60</f>
        <v>0</v>
      </c>
      <c r="R60" s="68">
        <f>Input_RAB_SCS!R60-Calc_RAB_Connection!R60</f>
        <v>0</v>
      </c>
      <c r="S60" s="66">
        <f>Input_RAB_SCS!S60-Calc_RAB_Connection!S60</f>
        <v>0</v>
      </c>
      <c r="T60" s="67">
        <f>Input_RAB_SCS!T60-Calc_RAB_Connection!T60</f>
        <v>0</v>
      </c>
      <c r="U60" s="67">
        <f>Input_RAB_SCS!U60-Calc_RAB_Connection!U60</f>
        <v>0</v>
      </c>
      <c r="V60" s="67">
        <f>Input_RAB_SCS!V60-Calc_RAB_Connection!V60</f>
        <v>0</v>
      </c>
      <c r="W60" s="68">
        <f>Input_RAB_SCS!W60-Calc_RAB_Connection!W60</f>
        <v>0</v>
      </c>
      <c r="X60" s="66">
        <f>Input_RAB_SCS!X60-Calc_RAB_Connection!X60</f>
        <v>0</v>
      </c>
      <c r="Y60" s="67">
        <f>Input_RAB_SCS!Y60-Calc_RAB_Connection!Y60</f>
        <v>3.1213035555664362E-2</v>
      </c>
      <c r="Z60" s="67">
        <f>Input_RAB_SCS!Z60-Calc_RAB_Connection!Z60</f>
        <v>2.5575930035762008E-2</v>
      </c>
      <c r="AA60" s="67">
        <f>Input_RAB_SCS!AA60-Calc_RAB_Connection!AA60</f>
        <v>1.9647085711221958E-2</v>
      </c>
      <c r="AB60" s="68">
        <f>Input_RAB_SCS!AB60-Calc_RAB_Connection!AB60</f>
        <v>1.3415668609052319E-2</v>
      </c>
    </row>
    <row r="61" spans="1:28" x14ac:dyDescent="0.35">
      <c r="J61" s="56"/>
      <c r="K61" s="57"/>
      <c r="L61" s="57"/>
      <c r="M61" s="57"/>
      <c r="N61" s="57"/>
      <c r="O61" s="57"/>
      <c r="P61" s="57"/>
      <c r="Q61" s="57"/>
      <c r="R61" s="58"/>
      <c r="S61" s="56"/>
      <c r="T61" s="57"/>
      <c r="U61" s="57"/>
      <c r="V61" s="57"/>
      <c r="W61" s="58"/>
      <c r="X61" s="56"/>
      <c r="Y61" s="57"/>
      <c r="Z61" s="57"/>
      <c r="AA61" s="57"/>
      <c r="AB61" s="58"/>
    </row>
    <row r="62" spans="1:28" ht="12.3" x14ac:dyDescent="0.35">
      <c r="D62" s="51" t="str">
        <f>"Total "&amp;D42</f>
        <v>Total RAB Asset Class</v>
      </c>
      <c r="E62" s="47" t="s">
        <v>111</v>
      </c>
      <c r="F62" s="47" t="str">
        <f>F44</f>
        <v>Dollars</v>
      </c>
      <c r="G62" s="47" t="str">
        <f>G44</f>
        <v>Nominal</v>
      </c>
      <c r="H62" s="47" t="str">
        <f>H44</f>
        <v>End_year</v>
      </c>
      <c r="J62" s="62">
        <f t="shared" ref="J62:AB62" si="51">SUM(J44:J60)</f>
        <v>10.247944338305333</v>
      </c>
      <c r="K62" s="46">
        <f t="shared" si="51"/>
        <v>9.0946401522252298</v>
      </c>
      <c r="L62" s="46">
        <f t="shared" si="51"/>
        <v>16.498348699144163</v>
      </c>
      <c r="M62" s="46">
        <f t="shared" si="51"/>
        <v>10.51619912243363</v>
      </c>
      <c r="N62" s="46">
        <f t="shared" si="51"/>
        <v>14.082317122117228</v>
      </c>
      <c r="O62" s="46">
        <f t="shared" si="51"/>
        <v>17.964642621280561</v>
      </c>
      <c r="P62" s="46">
        <f t="shared" si="51"/>
        <v>10.321969580188874</v>
      </c>
      <c r="Q62" s="46">
        <f t="shared" si="51"/>
        <v>17.340173489515941</v>
      </c>
      <c r="R62" s="63">
        <f t="shared" si="51"/>
        <v>19.317197997092524</v>
      </c>
      <c r="S62" s="62">
        <f t="shared" si="51"/>
        <v>11.446656213143347</v>
      </c>
      <c r="T62" s="46">
        <f t="shared" si="51"/>
        <v>11.826583333574927</v>
      </c>
      <c r="U62" s="46">
        <f t="shared" si="51"/>
        <v>19.727964695944891</v>
      </c>
      <c r="V62" s="46">
        <f t="shared" si="51"/>
        <v>22.961984039432949</v>
      </c>
      <c r="W62" s="63">
        <f t="shared" si="51"/>
        <v>23.287206113115893</v>
      </c>
      <c r="X62" s="62">
        <f t="shared" si="51"/>
        <v>23.860678529434626</v>
      </c>
      <c r="Y62" s="46">
        <f t="shared" si="51"/>
        <v>25.691187592510627</v>
      </c>
      <c r="Z62" s="46">
        <f t="shared" si="51"/>
        <v>26.876074949971859</v>
      </c>
      <c r="AA62" s="46">
        <f t="shared" si="51"/>
        <v>28.641767048510822</v>
      </c>
      <c r="AB62" s="63">
        <f t="shared" si="51"/>
        <v>29.521679314884757</v>
      </c>
    </row>
    <row r="63" spans="1:28" s="6" customFormat="1" ht="11.25" customHeight="1" x14ac:dyDescent="0.35"/>
    <row r="64" spans="1:28" s="6" customFormat="1" ht="11.25" customHeight="1" x14ac:dyDescent="0.35">
      <c r="A64" s="49">
        <f>IF(SUM($J64:$AB64)&lt;&gt;0,1,0)</f>
        <v>0</v>
      </c>
      <c r="D64" s="15" t="s">
        <v>114</v>
      </c>
      <c r="J64" s="70">
        <f>IF(ISERROR(J62),1,0)</f>
        <v>0</v>
      </c>
      <c r="K64" s="70">
        <f t="shared" ref="K64:N64" si="52">IF(ISERROR(K62),1,0)</f>
        <v>0</v>
      </c>
      <c r="L64" s="70">
        <f t="shared" si="52"/>
        <v>0</v>
      </c>
      <c r="M64" s="70">
        <f t="shared" si="52"/>
        <v>0</v>
      </c>
      <c r="N64" s="70">
        <f t="shared" si="52"/>
        <v>0</v>
      </c>
      <c r="O64" s="70">
        <f>IF(ISERROR(O62),1,0)</f>
        <v>0</v>
      </c>
      <c r="P64" s="70">
        <f t="shared" ref="P64:S64" si="53">IF(ISERROR(P62),1,0)</f>
        <v>0</v>
      </c>
      <c r="Q64" s="70">
        <f t="shared" si="53"/>
        <v>0</v>
      </c>
      <c r="R64" s="70">
        <f t="shared" si="53"/>
        <v>0</v>
      </c>
      <c r="S64" s="70">
        <f t="shared" si="53"/>
        <v>0</v>
      </c>
      <c r="T64" s="70">
        <f>IF(ISERROR(T62),1,0)</f>
        <v>0</v>
      </c>
      <c r="U64" s="70">
        <f t="shared" ref="U64:X64" si="54">IF(ISERROR(U62),1,0)</f>
        <v>0</v>
      </c>
      <c r="V64" s="70">
        <f t="shared" si="54"/>
        <v>0</v>
      </c>
      <c r="W64" s="70">
        <f t="shared" si="54"/>
        <v>0</v>
      </c>
      <c r="X64" s="70">
        <f t="shared" si="54"/>
        <v>0</v>
      </c>
      <c r="Y64" s="70">
        <f>IF(ISERROR(Y62),1,0)</f>
        <v>0</v>
      </c>
      <c r="Z64" s="70">
        <f t="shared" ref="Z64:AB64" si="55">IF(ISERROR(Z62),1,0)</f>
        <v>0</v>
      </c>
      <c r="AA64" s="70">
        <f t="shared" si="55"/>
        <v>0</v>
      </c>
      <c r="AB64" s="70">
        <f t="shared" si="55"/>
        <v>0</v>
      </c>
    </row>
    <row r="65" spans="3:28" s="6" customFormat="1" ht="11.25" customHeight="1" x14ac:dyDescent="0.35">
      <c r="L65" s="10"/>
      <c r="Q65" s="10"/>
      <c r="V65" s="10"/>
      <c r="AA65" s="10"/>
    </row>
    <row r="66" spans="3:28" s="13" customFormat="1" ht="14.1" x14ac:dyDescent="0.35">
      <c r="C66" s="13" t="s">
        <v>149</v>
      </c>
    </row>
    <row r="67" spans="3:28" s="6" customFormat="1" ht="11.25" customHeight="1" x14ac:dyDescent="0.35"/>
    <row r="68" spans="3:28" ht="12.3" x14ac:dyDescent="0.35">
      <c r="D68" s="50" t="str">
        <f>D$16</f>
        <v>RAB Asset Class</v>
      </c>
      <c r="E68" s="45" t="str">
        <f>Lookup!E$20</f>
        <v>Source</v>
      </c>
      <c r="F68" s="45" t="str">
        <f>Lookup!F$20</f>
        <v>Unit</v>
      </c>
      <c r="G68" s="45" t="str">
        <f>Lookup!G$20</f>
        <v>Basis</v>
      </c>
      <c r="H68" s="45" t="str">
        <f>Lookup!H$20</f>
        <v>Timing</v>
      </c>
      <c r="J68" s="54" t="str">
        <f>J$10</f>
        <v>RY06</v>
      </c>
      <c r="K68" s="45" t="str">
        <f t="shared" ref="K68:AB68" si="56">K$10</f>
        <v>RY07</v>
      </c>
      <c r="L68" s="45" t="str">
        <f t="shared" si="56"/>
        <v>RY08</v>
      </c>
      <c r="M68" s="45" t="str">
        <f t="shared" si="56"/>
        <v>RY09</v>
      </c>
      <c r="N68" s="45" t="str">
        <f t="shared" si="56"/>
        <v>RY10</v>
      </c>
      <c r="O68" s="45" t="str">
        <f>O$10</f>
        <v>RY11</v>
      </c>
      <c r="P68" s="45" t="str">
        <f t="shared" si="56"/>
        <v>RY12</v>
      </c>
      <c r="Q68" s="45" t="str">
        <f t="shared" si="56"/>
        <v>RY13</v>
      </c>
      <c r="R68" s="55" t="str">
        <f t="shared" si="56"/>
        <v>RY14</v>
      </c>
      <c r="S68" s="54" t="str">
        <f t="shared" si="56"/>
        <v>RY15</v>
      </c>
      <c r="T68" s="45" t="str">
        <f>T$10</f>
        <v>RY16</v>
      </c>
      <c r="U68" s="45" t="str">
        <f t="shared" si="56"/>
        <v>RY17</v>
      </c>
      <c r="V68" s="45" t="str">
        <f t="shared" si="56"/>
        <v>RY18</v>
      </c>
      <c r="W68" s="55" t="str">
        <f t="shared" si="56"/>
        <v>RY19</v>
      </c>
      <c r="X68" s="54" t="str">
        <f t="shared" si="56"/>
        <v>RY20</v>
      </c>
      <c r="Y68" s="45" t="str">
        <f>Y$10</f>
        <v>RY21</v>
      </c>
      <c r="Z68" s="45" t="str">
        <f t="shared" si="56"/>
        <v>RY22</v>
      </c>
      <c r="AA68" s="45" t="str">
        <f t="shared" si="56"/>
        <v>RY23</v>
      </c>
      <c r="AB68" s="55" t="str">
        <f t="shared" si="56"/>
        <v>RY24</v>
      </c>
    </row>
    <row r="69" spans="3:28" x14ac:dyDescent="0.35">
      <c r="J69" s="56"/>
      <c r="K69" s="57"/>
      <c r="L69" s="57"/>
      <c r="M69" s="57"/>
      <c r="N69" s="57"/>
      <c r="O69" s="57"/>
      <c r="P69" s="57"/>
      <c r="Q69" s="57"/>
      <c r="R69" s="58"/>
      <c r="S69" s="56"/>
      <c r="T69" s="57"/>
      <c r="U69" s="57"/>
      <c r="V69" s="57"/>
      <c r="W69" s="58"/>
      <c r="X69" s="56"/>
      <c r="Y69" s="57"/>
      <c r="Z69" s="57"/>
      <c r="AA69" s="57"/>
      <c r="AB69" s="58"/>
    </row>
    <row r="70" spans="3:28" ht="12.3" x14ac:dyDescent="0.35">
      <c r="D70" s="15" t="str">
        <f t="shared" ref="D70:D83" si="57">D18</f>
        <v>Substations</v>
      </c>
      <c r="E70" s="52" t="s">
        <v>197</v>
      </c>
      <c r="F70" s="52" t="str">
        <f t="shared" ref="F70:F86" si="58">Dollars</f>
        <v>Dollars</v>
      </c>
      <c r="G70" s="52" t="str">
        <f t="shared" ref="G70:G86" si="59">Nominal</f>
        <v>Nominal</v>
      </c>
      <c r="H70" s="52" t="str">
        <f t="shared" ref="H70:H86" si="60">End_year</f>
        <v>End_year</v>
      </c>
      <c r="J70" s="66">
        <f>Input_RAB_SCS!J71-Calc_RAB_Connection!J70</f>
        <v>-1.1392496117099304</v>
      </c>
      <c r="K70" s="67">
        <f>Input_RAB_SCS!K71-Calc_RAB_Connection!K70</f>
        <v>-1.2114979485866719</v>
      </c>
      <c r="L70" s="67">
        <f>Input_RAB_SCS!L71-Calc_RAB_Connection!L70</f>
        <v>-1.499813778117886</v>
      </c>
      <c r="M70" s="67">
        <f>Input_RAB_SCS!M71-Calc_RAB_Connection!M70</f>
        <v>-2.103448737939225</v>
      </c>
      <c r="N70" s="67">
        <f>Input_RAB_SCS!N71-Calc_RAB_Connection!N70</f>
        <v>-2.5524493387208453</v>
      </c>
      <c r="O70" s="67">
        <f>Input_RAB_SCS!O71-Calc_RAB_Connection!O70</f>
        <v>-3.3561744249789585</v>
      </c>
      <c r="P70" s="67">
        <f>Input_RAB_SCS!P71-Calc_RAB_Connection!P70</f>
        <v>-4.4028073099309673</v>
      </c>
      <c r="Q70" s="67">
        <f>Input_RAB_SCS!Q71-Calc_RAB_Connection!Q70</f>
        <v>-5.4387487242396189</v>
      </c>
      <c r="R70" s="68">
        <f>Input_RAB_SCS!R71-Calc_RAB_Connection!R70</f>
        <v>-16.256574526659879</v>
      </c>
      <c r="S70" s="66">
        <f>Input_RAB_SCS!S71-Calc_RAB_Connection!S70</f>
        <v>-24.74229958880742</v>
      </c>
      <c r="T70" s="67">
        <f>Input_RAB_SCS!T71-Calc_RAB_Connection!T70</f>
        <v>-26.062766539954062</v>
      </c>
      <c r="U70" s="67">
        <f>Input_RAB_SCS!U71-Calc_RAB_Connection!U70</f>
        <v>-24.279286748736411</v>
      </c>
      <c r="V70" s="67">
        <f>Input_RAB_SCS!V71-Calc_RAB_Connection!V70</f>
        <v>-25.236564538756291</v>
      </c>
      <c r="W70" s="68">
        <f>Input_RAB_SCS!W71-Calc_RAB_Connection!W70</f>
        <v>-26.324513351096982</v>
      </c>
      <c r="X70" s="66">
        <f>Input_RAB_SCS!X71-Calc_RAB_Connection!X70</f>
        <v>-15.595432809739373</v>
      </c>
      <c r="Y70" s="67">
        <f>Input_RAB_SCS!Y71-Calc_RAB_Connection!Y70</f>
        <v>-16.286400002349641</v>
      </c>
      <c r="Z70" s="67">
        <f>Input_RAB_SCS!Z71-Calc_RAB_Connection!Z70</f>
        <v>-16.966227074332586</v>
      </c>
      <c r="AA70" s="67">
        <f>Input_RAB_SCS!AA71-Calc_RAB_Connection!AA70</f>
        <v>-17.790868118866044</v>
      </c>
      <c r="AB70" s="68">
        <f>Input_RAB_SCS!AB71-Calc_RAB_Connection!AB70</f>
        <v>-18.653547455896803</v>
      </c>
    </row>
    <row r="71" spans="3:28" ht="12.3" x14ac:dyDescent="0.35">
      <c r="D71" s="15" t="str">
        <f t="shared" si="57"/>
        <v>Distribution Lines</v>
      </c>
      <c r="E71" s="52" t="str">
        <f t="shared" ref="E71:E85" si="61">E70</f>
        <v>Input_RAB_SCS/Calc_RAB_Connection</v>
      </c>
      <c r="F71" s="52" t="str">
        <f t="shared" si="58"/>
        <v>Dollars</v>
      </c>
      <c r="G71" s="52" t="str">
        <f t="shared" si="59"/>
        <v>Nominal</v>
      </c>
      <c r="H71" s="52" t="str">
        <f t="shared" si="60"/>
        <v>End_year</v>
      </c>
      <c r="J71" s="66">
        <f>Input_RAB_SCS!J72-Calc_RAB_Connection!J71</f>
        <v>-4.4903106488763811</v>
      </c>
      <c r="K71" s="67">
        <f>Input_RAB_SCS!K72-Calc_RAB_Connection!K71</f>
        <v>-4.7937772999776094</v>
      </c>
      <c r="L71" s="67">
        <f>Input_RAB_SCS!L72-Calc_RAB_Connection!L71</f>
        <v>-5.2245860633045185</v>
      </c>
      <c r="M71" s="67">
        <f>Input_RAB_SCS!M72-Calc_RAB_Connection!M71</f>
        <v>-5.5808816120026385</v>
      </c>
      <c r="N71" s="67">
        <f>Input_RAB_SCS!N72-Calc_RAB_Connection!N71</f>
        <v>-6.1663971965522322</v>
      </c>
      <c r="O71" s="67">
        <f>Input_RAB_SCS!O72-Calc_RAB_Connection!O71</f>
        <v>-6.5948167673012188</v>
      </c>
      <c r="P71" s="67">
        <f>Input_RAB_SCS!P72-Calc_RAB_Connection!P71</f>
        <v>-6.9304340772051338</v>
      </c>
      <c r="Q71" s="67">
        <f>Input_RAB_SCS!Q72-Calc_RAB_Connection!Q71</f>
        <v>-7.3704182217092633</v>
      </c>
      <c r="R71" s="68">
        <f>Input_RAB_SCS!R72-Calc_RAB_Connection!R71</f>
        <v>-6.6685895034055971</v>
      </c>
      <c r="S71" s="66">
        <f>Input_RAB_SCS!S72-Calc_RAB_Connection!S71</f>
        <v>-10.020745115663431</v>
      </c>
      <c r="T71" s="67">
        <f>Input_RAB_SCS!T72-Calc_RAB_Connection!T71</f>
        <v>-10.239173963691483</v>
      </c>
      <c r="U71" s="67">
        <f>Input_RAB_SCS!U72-Calc_RAB_Connection!U71</f>
        <v>-10.470221500841506</v>
      </c>
      <c r="V71" s="67">
        <f>Input_RAB_SCS!V72-Calc_RAB_Connection!V71</f>
        <v>-10.740220696869882</v>
      </c>
      <c r="W71" s="68">
        <f>Input_RAB_SCS!W72-Calc_RAB_Connection!W71</f>
        <v>-11.060580794908343</v>
      </c>
      <c r="X71" s="66">
        <f>Input_RAB_SCS!X72-Calc_RAB_Connection!X71</f>
        <v>-8.6869031682098967</v>
      </c>
      <c r="Y71" s="67">
        <f>Input_RAB_SCS!Y72-Calc_RAB_Connection!Y71</f>
        <v>-9.2530127594397751</v>
      </c>
      <c r="Z71" s="67">
        <f>Input_RAB_SCS!Z72-Calc_RAB_Connection!Z71</f>
        <v>-9.9111038395887334</v>
      </c>
      <c r="AA71" s="67">
        <f>Input_RAB_SCS!AA72-Calc_RAB_Connection!AA71</f>
        <v>-10.483791998472263</v>
      </c>
      <c r="AB71" s="68">
        <f>Input_RAB_SCS!AB72-Calc_RAB_Connection!AB71</f>
        <v>-11.038031946526923</v>
      </c>
    </row>
    <row r="72" spans="3:28" ht="12.3" x14ac:dyDescent="0.35">
      <c r="D72" s="15" t="str">
        <f t="shared" si="57"/>
        <v>Transmission Lines</v>
      </c>
      <c r="E72" s="52" t="str">
        <f t="shared" si="61"/>
        <v>Input_RAB_SCS/Calc_RAB_Connection</v>
      </c>
      <c r="F72" s="52" t="str">
        <f t="shared" si="58"/>
        <v>Dollars</v>
      </c>
      <c r="G72" s="52" t="str">
        <f t="shared" si="59"/>
        <v>Nominal</v>
      </c>
      <c r="H72" s="52" t="str">
        <f t="shared" si="60"/>
        <v>End_year</v>
      </c>
      <c r="J72" s="66">
        <f>Input_RAB_SCS!J73-Calc_RAB_Connection!J72</f>
        <v>-4.6057232559132997</v>
      </c>
      <c r="K72" s="67">
        <f>Input_RAB_SCS!K73-Calc_RAB_Connection!K72</f>
        <v>-4.8946007959739317</v>
      </c>
      <c r="L72" s="67">
        <f>Input_RAB_SCS!L73-Calc_RAB_Connection!L72</f>
        <v>-5.227899474858531</v>
      </c>
      <c r="M72" s="67">
        <f>Input_RAB_SCS!M73-Calc_RAB_Connection!M72</f>
        <v>-5.3960039707601206</v>
      </c>
      <c r="N72" s="67">
        <f>Input_RAB_SCS!N73-Calc_RAB_Connection!N72</f>
        <v>-3.2140973455719322</v>
      </c>
      <c r="O72" s="67">
        <f>Input_RAB_SCS!O73-Calc_RAB_Connection!O72</f>
        <v>-3.6426958644954595</v>
      </c>
      <c r="P72" s="67">
        <f>Input_RAB_SCS!P73-Calc_RAB_Connection!P72</f>
        <v>-4.0057637203909167</v>
      </c>
      <c r="Q72" s="67">
        <f>Input_RAB_SCS!Q73-Calc_RAB_Connection!Q72</f>
        <v>-4.271177453547315</v>
      </c>
      <c r="R72" s="68">
        <f>Input_RAB_SCS!R73-Calc_RAB_Connection!R72</f>
        <v>-5.289107288404109</v>
      </c>
      <c r="S72" s="66">
        <f>Input_RAB_SCS!S73-Calc_RAB_Connection!S72</f>
        <v>-5.739817160462958</v>
      </c>
      <c r="T72" s="67">
        <f>Input_RAB_SCS!T73-Calc_RAB_Connection!T72</f>
        <v>-6.0426783090670906</v>
      </c>
      <c r="U72" s="67">
        <f>Input_RAB_SCS!U73-Calc_RAB_Connection!U72</f>
        <v>-6.2297458028896111</v>
      </c>
      <c r="V72" s="67">
        <f>Input_RAB_SCS!V73-Calc_RAB_Connection!V72</f>
        <v>-6.3942765477553412</v>
      </c>
      <c r="W72" s="68">
        <f>Input_RAB_SCS!W73-Calc_RAB_Connection!W72</f>
        <v>-6.6969122541972039</v>
      </c>
      <c r="X72" s="66">
        <f>Input_RAB_SCS!X73-Calc_RAB_Connection!X72</f>
        <v>-6.5113711924279887</v>
      </c>
      <c r="Y72" s="67">
        <f>Input_RAB_SCS!Y73-Calc_RAB_Connection!Y72</f>
        <v>-6.7239178931299071</v>
      </c>
      <c r="Z72" s="67">
        <f>Input_RAB_SCS!Z73-Calc_RAB_Connection!Z72</f>
        <v>-6.9410434014760316</v>
      </c>
      <c r="AA72" s="67">
        <f>Input_RAB_SCS!AA73-Calc_RAB_Connection!AA72</f>
        <v>-7.1632403988688083</v>
      </c>
      <c r="AB72" s="68">
        <f>Input_RAB_SCS!AB73-Calc_RAB_Connection!AB72</f>
        <v>-7.3963937900835264</v>
      </c>
    </row>
    <row r="73" spans="3:28" ht="12.3" x14ac:dyDescent="0.35">
      <c r="D73" s="15" t="str">
        <f t="shared" si="57"/>
        <v>LV Services</v>
      </c>
      <c r="E73" s="52" t="str">
        <f t="shared" si="61"/>
        <v>Input_RAB_SCS/Calc_RAB_Connection</v>
      </c>
      <c r="F73" s="52" t="str">
        <f t="shared" si="58"/>
        <v>Dollars</v>
      </c>
      <c r="G73" s="52" t="str">
        <f t="shared" si="59"/>
        <v>Nominal</v>
      </c>
      <c r="H73" s="52" t="str">
        <f t="shared" si="60"/>
        <v>End_year</v>
      </c>
      <c r="J73" s="66">
        <f>Input_RAB_SCS!J74-Calc_RAB_Connection!J73</f>
        <v>0</v>
      </c>
      <c r="K73" s="67">
        <f>Input_RAB_SCS!K74-Calc_RAB_Connection!K73</f>
        <v>0</v>
      </c>
      <c r="L73" s="67">
        <f>Input_RAB_SCS!L74-Calc_RAB_Connection!L73</f>
        <v>0</v>
      </c>
      <c r="M73" s="67">
        <f>Input_RAB_SCS!M74-Calc_RAB_Connection!M73</f>
        <v>0</v>
      </c>
      <c r="N73" s="67">
        <f>Input_RAB_SCS!N74-Calc_RAB_Connection!N73</f>
        <v>0</v>
      </c>
      <c r="O73" s="67">
        <f>Input_RAB_SCS!O74-Calc_RAB_Connection!O73</f>
        <v>0</v>
      </c>
      <c r="P73" s="67">
        <f>Input_RAB_SCS!P74-Calc_RAB_Connection!P73</f>
        <v>0</v>
      </c>
      <c r="Q73" s="67">
        <f>Input_RAB_SCS!Q74-Calc_RAB_Connection!Q73</f>
        <v>0</v>
      </c>
      <c r="R73" s="68">
        <f>Input_RAB_SCS!R74-Calc_RAB_Connection!R73</f>
        <v>-6.0161700715297391E-3</v>
      </c>
      <c r="S73" s="66">
        <f>Input_RAB_SCS!S74-Calc_RAB_Connection!S73</f>
        <v>-5.9058083986222674E-3</v>
      </c>
      <c r="T73" s="67">
        <f>Input_RAB_SCS!T74-Calc_RAB_Connection!T73</f>
        <v>-6.0326696748261906E-3</v>
      </c>
      <c r="U73" s="67">
        <f>Input_RAB_SCS!U74-Calc_RAB_Connection!U73</f>
        <v>-6.1669365707801085E-3</v>
      </c>
      <c r="V73" s="67">
        <f>Input_RAB_SCS!V74-Calc_RAB_Connection!V73</f>
        <v>-6.3295528534183278E-3</v>
      </c>
      <c r="W73" s="68">
        <f>Input_RAB_SCS!W74-Calc_RAB_Connection!W73</f>
        <v>-6.5163172865495998E-3</v>
      </c>
      <c r="X73" s="66">
        <f>Input_RAB_SCS!X74-Calc_RAB_Connection!X73</f>
        <v>-0.28275838934993192</v>
      </c>
      <c r="Y73" s="67">
        <f>Input_RAB_SCS!Y74-Calc_RAB_Connection!Y73</f>
        <v>-0.29487779802800179</v>
      </c>
      <c r="Z73" s="67">
        <f>Input_RAB_SCS!Z74-Calc_RAB_Connection!Z73</f>
        <v>-0.30952191552044561</v>
      </c>
      <c r="AA73" s="67">
        <f>Input_RAB_SCS!AA74-Calc_RAB_Connection!AA73</f>
        <v>-0.32350570190504013</v>
      </c>
      <c r="AB73" s="68">
        <f>Input_RAB_SCS!AB74-Calc_RAB_Connection!AB73</f>
        <v>-0.3370278666500176</v>
      </c>
    </row>
    <row r="74" spans="3:28" ht="12.3" x14ac:dyDescent="0.35">
      <c r="D74" s="15" t="str">
        <f t="shared" si="57"/>
        <v>Distribution Substations</v>
      </c>
      <c r="E74" s="52" t="str">
        <f t="shared" si="61"/>
        <v>Input_RAB_SCS/Calc_RAB_Connection</v>
      </c>
      <c r="F74" s="52" t="str">
        <f t="shared" si="58"/>
        <v>Dollars</v>
      </c>
      <c r="G74" s="52" t="str">
        <f t="shared" si="59"/>
        <v>Nominal</v>
      </c>
      <c r="H74" s="52" t="str">
        <f t="shared" si="60"/>
        <v>End_year</v>
      </c>
      <c r="J74" s="66">
        <f>Input_RAB_SCS!J75-Calc_RAB_Connection!J74</f>
        <v>-4.299418360856528</v>
      </c>
      <c r="K74" s="67">
        <f>Input_RAB_SCS!K75-Calc_RAB_Connection!K74</f>
        <v>-4.4456885995154307</v>
      </c>
      <c r="L74" s="67">
        <f>Input_RAB_SCS!L75-Calc_RAB_Connection!L74</f>
        <v>-0.21362189526881459</v>
      </c>
      <c r="M74" s="67">
        <f>Input_RAB_SCS!M75-Calc_RAB_Connection!M74</f>
        <v>-0.30750454111192549</v>
      </c>
      <c r="N74" s="67">
        <f>Input_RAB_SCS!N75-Calc_RAB_Connection!N74</f>
        <v>-2.8564431898719493</v>
      </c>
      <c r="O74" s="67">
        <f>Input_RAB_SCS!O75-Calc_RAB_Connection!O74</f>
        <v>-3.269989401092686</v>
      </c>
      <c r="P74" s="67">
        <f>Input_RAB_SCS!P75-Calc_RAB_Connection!P74</f>
        <v>-3.6055633651365468</v>
      </c>
      <c r="Q74" s="67">
        <f>Input_RAB_SCS!Q75-Calc_RAB_Connection!Q74</f>
        <v>-3.8154384119507756</v>
      </c>
      <c r="R74" s="68">
        <f>Input_RAB_SCS!R75-Calc_RAB_Connection!R74</f>
        <v>-3.5448807900923738</v>
      </c>
      <c r="S74" s="66">
        <f>Input_RAB_SCS!S75-Calc_RAB_Connection!S74</f>
        <v>-3.8303173525708099</v>
      </c>
      <c r="T74" s="67">
        <f>Input_RAB_SCS!T75-Calc_RAB_Connection!T74</f>
        <v>-3.9259412190553515</v>
      </c>
      <c r="U74" s="67">
        <f>Input_RAB_SCS!U75-Calc_RAB_Connection!U74</f>
        <v>-4.0123957455712445</v>
      </c>
      <c r="V74" s="67">
        <f>Input_RAB_SCS!V75-Calc_RAB_Connection!V74</f>
        <v>-4.1384142828227741</v>
      </c>
      <c r="W74" s="68">
        <f>Input_RAB_SCS!W75-Calc_RAB_Connection!W74</f>
        <v>-4.3113692898619593</v>
      </c>
      <c r="X74" s="66">
        <f>Input_RAB_SCS!X75-Calc_RAB_Connection!X74</f>
        <v>-5.4513596947903444</v>
      </c>
      <c r="Y74" s="67">
        <f>Input_RAB_SCS!Y75-Calc_RAB_Connection!Y74</f>
        <v>-5.6842805532405185</v>
      </c>
      <c r="Z74" s="67">
        <f>Input_RAB_SCS!Z75-Calc_RAB_Connection!Z74</f>
        <v>-5.9394880085888513</v>
      </c>
      <c r="AA74" s="67">
        <f>Input_RAB_SCS!AA75-Calc_RAB_Connection!AA74</f>
        <v>-6.2053596880781505</v>
      </c>
      <c r="AB74" s="68">
        <f>Input_RAB_SCS!AB75-Calc_RAB_Connection!AB74</f>
        <v>-6.5005902343281372</v>
      </c>
    </row>
    <row r="75" spans="3:28" ht="12.3" x14ac:dyDescent="0.35">
      <c r="D75" s="15" t="str">
        <f t="shared" si="57"/>
        <v>Distribution Switchgear</v>
      </c>
      <c r="E75" s="52" t="str">
        <f t="shared" si="61"/>
        <v>Input_RAB_SCS/Calc_RAB_Connection</v>
      </c>
      <c r="F75" s="52" t="str">
        <f t="shared" si="58"/>
        <v>Dollars</v>
      </c>
      <c r="G75" s="52" t="str">
        <f t="shared" si="59"/>
        <v>Nominal</v>
      </c>
      <c r="H75" s="52" t="str">
        <f t="shared" si="60"/>
        <v>End_year</v>
      </c>
      <c r="J75" s="66">
        <f>Input_RAB_SCS!J76-Calc_RAB_Connection!J75</f>
        <v>0</v>
      </c>
      <c r="K75" s="67">
        <f>Input_RAB_SCS!K76-Calc_RAB_Connection!K75</f>
        <v>0</v>
      </c>
      <c r="L75" s="67">
        <f>Input_RAB_SCS!L76-Calc_RAB_Connection!L75</f>
        <v>-4.1391142373621171E-3</v>
      </c>
      <c r="M75" s="67">
        <f>Input_RAB_SCS!M76-Calc_RAB_Connection!M75</f>
        <v>-6.5453855641118525E-2</v>
      </c>
      <c r="N75" s="67">
        <f>Input_RAB_SCS!N76-Calc_RAB_Connection!N75</f>
        <v>0</v>
      </c>
      <c r="O75" s="67">
        <f>Input_RAB_SCS!O76-Calc_RAB_Connection!O75</f>
        <v>0</v>
      </c>
      <c r="P75" s="67">
        <f>Input_RAB_SCS!P76-Calc_RAB_Connection!P75</f>
        <v>0</v>
      </c>
      <c r="Q75" s="67">
        <f>Input_RAB_SCS!Q76-Calc_RAB_Connection!Q75</f>
        <v>0</v>
      </c>
      <c r="R75" s="68">
        <f>Input_RAB_SCS!R76-Calc_RAB_Connection!R75</f>
        <v>-0.47401480168874721</v>
      </c>
      <c r="S75" s="66">
        <f>Input_RAB_SCS!S76-Calc_RAB_Connection!S75</f>
        <v>-0.56400198418988512</v>
      </c>
      <c r="T75" s="67">
        <f>Input_RAB_SCS!T76-Calc_RAB_Connection!T75</f>
        <v>-0.5753177058087019</v>
      </c>
      <c r="U75" s="67">
        <f>Input_RAB_SCS!U76-Calc_RAB_Connection!U75</f>
        <v>-0.58721837500850183</v>
      </c>
      <c r="V75" s="67">
        <f>Input_RAB_SCS!V76-Calc_RAB_Connection!V75</f>
        <v>-0.60219099011721233</v>
      </c>
      <c r="W75" s="68">
        <f>Input_RAB_SCS!W76-Calc_RAB_Connection!W75</f>
        <v>-0.61942210979421597</v>
      </c>
      <c r="X75" s="66">
        <f>Input_RAB_SCS!X76-Calc_RAB_Connection!X75</f>
        <v>-1.6943781697710683</v>
      </c>
      <c r="Y75" s="67">
        <f>Input_RAB_SCS!Y76-Calc_RAB_Connection!Y75</f>
        <v>-1.8339941454322466</v>
      </c>
      <c r="Z75" s="67">
        <f>Input_RAB_SCS!Z76-Calc_RAB_Connection!Z75</f>
        <v>-1.9854852602983699</v>
      </c>
      <c r="AA75" s="67">
        <f>Input_RAB_SCS!AA76-Calc_RAB_Connection!AA75</f>
        <v>-2.1367698469183578</v>
      </c>
      <c r="AB75" s="68">
        <f>Input_RAB_SCS!AB76-Calc_RAB_Connection!AB75</f>
        <v>-2.3040258838200258</v>
      </c>
    </row>
    <row r="76" spans="3:28" ht="12.3" x14ac:dyDescent="0.35">
      <c r="D76" s="15" t="str">
        <f t="shared" si="57"/>
        <v>Protection</v>
      </c>
      <c r="E76" s="52" t="str">
        <f t="shared" si="61"/>
        <v>Input_RAB_SCS/Calc_RAB_Connection</v>
      </c>
      <c r="F76" s="52" t="str">
        <f t="shared" si="58"/>
        <v>Dollars</v>
      </c>
      <c r="G76" s="52" t="str">
        <f t="shared" si="59"/>
        <v>Nominal</v>
      </c>
      <c r="H76" s="52" t="str">
        <f t="shared" si="60"/>
        <v>End_year</v>
      </c>
      <c r="J76" s="66">
        <f>Input_RAB_SCS!J77-Calc_RAB_Connection!J76</f>
        <v>0</v>
      </c>
      <c r="K76" s="67">
        <f>Input_RAB_SCS!K77-Calc_RAB_Connection!K76</f>
        <v>0</v>
      </c>
      <c r="L76" s="67">
        <f>Input_RAB_SCS!L77-Calc_RAB_Connection!L76</f>
        <v>0</v>
      </c>
      <c r="M76" s="67">
        <f>Input_RAB_SCS!M77-Calc_RAB_Connection!M76</f>
        <v>0</v>
      </c>
      <c r="N76" s="67">
        <f>Input_RAB_SCS!N77-Calc_RAB_Connection!N76</f>
        <v>-0.8856812022805578</v>
      </c>
      <c r="O76" s="67">
        <f>Input_RAB_SCS!O77-Calc_RAB_Connection!O76</f>
        <v>-1.13429211085798</v>
      </c>
      <c r="P76" s="67">
        <f>Input_RAB_SCS!P77-Calc_RAB_Connection!P76</f>
        <v>-1.3542432059882197</v>
      </c>
      <c r="Q76" s="67">
        <f>Input_RAB_SCS!Q77-Calc_RAB_Connection!Q76</f>
        <v>-1.620421758415757</v>
      </c>
      <c r="R76" s="68">
        <f>Input_RAB_SCS!R77-Calc_RAB_Connection!R76</f>
        <v>-0.52762032497120848</v>
      </c>
      <c r="S76" s="66">
        <f>Input_RAB_SCS!S77-Calc_RAB_Connection!S76</f>
        <v>-0.77478645479446406</v>
      </c>
      <c r="T76" s="67">
        <f>Input_RAB_SCS!T77-Calc_RAB_Connection!T76</f>
        <v>-0.80872840921616751</v>
      </c>
      <c r="U76" s="67">
        <f>Input_RAB_SCS!U77-Calc_RAB_Connection!U76</f>
        <v>-0.77132811206003848</v>
      </c>
      <c r="V76" s="67">
        <f>Input_RAB_SCS!V77-Calc_RAB_Connection!V76</f>
        <v>-0.7989985312950888</v>
      </c>
      <c r="W76" s="68">
        <f>Input_RAB_SCS!W77-Calc_RAB_Connection!W76</f>
        <v>-0.83059288338821047</v>
      </c>
      <c r="X76" s="66">
        <f>Input_RAB_SCS!X77-Calc_RAB_Connection!X76</f>
        <v>-2.0631872102030786</v>
      </c>
      <c r="Y76" s="67">
        <f>Input_RAB_SCS!Y77-Calc_RAB_Connection!Y76</f>
        <v>-2.2105015124664962</v>
      </c>
      <c r="Z76" s="67">
        <f>Input_RAB_SCS!Z77-Calc_RAB_Connection!Z76</f>
        <v>-2.3741730540914205</v>
      </c>
      <c r="AA76" s="67">
        <f>Input_RAB_SCS!AA77-Calc_RAB_Connection!AA76</f>
        <v>-2.5004410558654446</v>
      </c>
      <c r="AB76" s="68">
        <f>Input_RAB_SCS!AB77-Calc_RAB_Connection!AB76</f>
        <v>-2.6334360152568639</v>
      </c>
    </row>
    <row r="77" spans="3:28" ht="12.3" x14ac:dyDescent="0.35">
      <c r="D77" s="15" t="str">
        <f t="shared" si="57"/>
        <v>SCADA</v>
      </c>
      <c r="E77" s="52" t="str">
        <f t="shared" si="61"/>
        <v>Input_RAB_SCS/Calc_RAB_Connection</v>
      </c>
      <c r="F77" s="52" t="str">
        <f t="shared" si="58"/>
        <v>Dollars</v>
      </c>
      <c r="G77" s="52" t="str">
        <f t="shared" si="59"/>
        <v>Nominal</v>
      </c>
      <c r="H77" s="52" t="str">
        <f t="shared" si="60"/>
        <v>End_year</v>
      </c>
      <c r="J77" s="66">
        <f>Input_RAB_SCS!J78-Calc_RAB_Connection!J77</f>
        <v>-0.20461959511593386</v>
      </c>
      <c r="K77" s="67">
        <f>Input_RAB_SCS!K78-Calc_RAB_Connection!K77</f>
        <v>-0.21929966675970392</v>
      </c>
      <c r="L77" s="67">
        <f>Input_RAB_SCS!L78-Calc_RAB_Connection!L77</f>
        <v>-0.97402409461455219</v>
      </c>
      <c r="M77" s="67">
        <f>Input_RAB_SCS!M78-Calc_RAB_Connection!M77</f>
        <v>-0.59080106731347659</v>
      </c>
      <c r="N77" s="67">
        <f>Input_RAB_SCS!N78-Calc_RAB_Connection!N77</f>
        <v>0</v>
      </c>
      <c r="O77" s="67">
        <f>Input_RAB_SCS!O78-Calc_RAB_Connection!O77</f>
        <v>0</v>
      </c>
      <c r="P77" s="67">
        <f>Input_RAB_SCS!P78-Calc_RAB_Connection!P77</f>
        <v>0</v>
      </c>
      <c r="Q77" s="67">
        <f>Input_RAB_SCS!Q78-Calc_RAB_Connection!Q77</f>
        <v>0</v>
      </c>
      <c r="R77" s="68">
        <f>Input_RAB_SCS!R78-Calc_RAB_Connection!R77</f>
        <v>-1.4259437724275821</v>
      </c>
      <c r="S77" s="66">
        <f>Input_RAB_SCS!S78-Calc_RAB_Connection!S77</f>
        <v>-0.80203151733871292</v>
      </c>
      <c r="T77" s="67">
        <f>Input_RAB_SCS!T78-Calc_RAB_Connection!T77</f>
        <v>-0.86685514554906928</v>
      </c>
      <c r="U77" s="67">
        <f>Input_RAB_SCS!U78-Calc_RAB_Connection!U77</f>
        <v>-8.6822896997050966E-2</v>
      </c>
      <c r="V77" s="67">
        <f>Input_RAB_SCS!V78-Calc_RAB_Connection!V77</f>
        <v>-0.11485269172440669</v>
      </c>
      <c r="W77" s="68">
        <f>Input_RAB_SCS!W78-Calc_RAB_Connection!W77</f>
        <v>-0.14065610555553587</v>
      </c>
      <c r="X77" s="66">
        <f>Input_RAB_SCS!X78-Calc_RAB_Connection!X77</f>
        <v>-1.3542734226562225</v>
      </c>
      <c r="Y77" s="67">
        <f>Input_RAB_SCS!Y78-Calc_RAB_Connection!Y77</f>
        <v>-1.4663467745309533</v>
      </c>
      <c r="Z77" s="67">
        <f>Input_RAB_SCS!Z78-Calc_RAB_Connection!Z77</f>
        <v>-1.5907968460316366</v>
      </c>
      <c r="AA77" s="67">
        <f>Input_RAB_SCS!AA78-Calc_RAB_Connection!AA77</f>
        <v>-0.96120034514348351</v>
      </c>
      <c r="AB77" s="68">
        <f>Input_RAB_SCS!AB78-Calc_RAB_Connection!AB77</f>
        <v>-1.0562686319244312</v>
      </c>
    </row>
    <row r="78" spans="3:28" ht="12.3" x14ac:dyDescent="0.35">
      <c r="D78" s="15" t="str">
        <f t="shared" si="57"/>
        <v>Communications</v>
      </c>
      <c r="E78" s="52" t="str">
        <f t="shared" si="61"/>
        <v>Input_RAB_SCS/Calc_RAB_Connection</v>
      </c>
      <c r="F78" s="52" t="str">
        <f t="shared" si="58"/>
        <v>Dollars</v>
      </c>
      <c r="G78" s="52" t="str">
        <f t="shared" si="59"/>
        <v>Nominal</v>
      </c>
      <c r="H78" s="52" t="str">
        <f t="shared" si="60"/>
        <v>End_year</v>
      </c>
      <c r="J78" s="66">
        <f>Input_RAB_SCS!J79-Calc_RAB_Connection!J78</f>
        <v>-0.86359904057745362</v>
      </c>
      <c r="K78" s="67">
        <f>Input_RAB_SCS!K79-Calc_RAB_Connection!K78</f>
        <v>-0.92315455808340385</v>
      </c>
      <c r="L78" s="67">
        <f>Input_RAB_SCS!L79-Calc_RAB_Connection!L78</f>
        <v>-1.0005019638841322</v>
      </c>
      <c r="M78" s="67">
        <f>Input_RAB_SCS!M79-Calc_RAB_Connection!M78</f>
        <v>-1.0800502205507598</v>
      </c>
      <c r="N78" s="67">
        <f>Input_RAB_SCS!N79-Calc_RAB_Connection!N78</f>
        <v>-6.2104675907381663</v>
      </c>
      <c r="O78" s="67">
        <f>Input_RAB_SCS!O79-Calc_RAB_Connection!O78</f>
        <v>-6.4943742848491626</v>
      </c>
      <c r="P78" s="67">
        <f>Input_RAB_SCS!P79-Calc_RAB_Connection!P78</f>
        <v>-6.6858120745538736</v>
      </c>
      <c r="Q78" s="67">
        <f>Input_RAB_SCS!Q79-Calc_RAB_Connection!Q78</f>
        <v>-0.25427463161267816</v>
      </c>
      <c r="R78" s="68">
        <f>Input_RAB_SCS!R79-Calc_RAB_Connection!R78</f>
        <v>-3.7027991039471182</v>
      </c>
      <c r="S78" s="66">
        <f>Input_RAB_SCS!S79-Calc_RAB_Connection!S78</f>
        <v>-2.6763103441691802</v>
      </c>
      <c r="T78" s="67">
        <f>Input_RAB_SCS!T79-Calc_RAB_Connection!T78</f>
        <v>-2.891733867054314</v>
      </c>
      <c r="U78" s="67">
        <f>Input_RAB_SCS!U79-Calc_RAB_Connection!U78</f>
        <v>-0.29763346863436707</v>
      </c>
      <c r="V78" s="67">
        <f>Input_RAB_SCS!V79-Calc_RAB_Connection!V78</f>
        <v>-0.3909079706139989</v>
      </c>
      <c r="W78" s="68">
        <f>Input_RAB_SCS!W79-Calc_RAB_Connection!W78</f>
        <v>-0.47679001507698199</v>
      </c>
      <c r="X78" s="66">
        <f>Input_RAB_SCS!X79-Calc_RAB_Connection!X78</f>
        <v>-2.7602342101357049</v>
      </c>
      <c r="Y78" s="67">
        <f>Input_RAB_SCS!Y79-Calc_RAB_Connection!Y78</f>
        <v>-2.3847585317126727</v>
      </c>
      <c r="Z78" s="67">
        <f>Input_RAB_SCS!Z79-Calc_RAB_Connection!Z78</f>
        <v>-1.4776996160184286</v>
      </c>
      <c r="AA78" s="67">
        <f>Input_RAB_SCS!AA79-Calc_RAB_Connection!AA78</f>
        <v>-1.7282898512644442</v>
      </c>
      <c r="AB78" s="68">
        <f>Input_RAB_SCS!AB79-Calc_RAB_Connection!AB78</f>
        <v>-1.9675733028827997</v>
      </c>
    </row>
    <row r="79" spans="3:28" ht="12.3" x14ac:dyDescent="0.35">
      <c r="D79" s="15" t="str">
        <f t="shared" si="57"/>
        <v>Land and Easements</v>
      </c>
      <c r="E79" s="52" t="str">
        <f t="shared" si="61"/>
        <v>Input_RAB_SCS/Calc_RAB_Connection</v>
      </c>
      <c r="F79" s="52" t="str">
        <f t="shared" si="58"/>
        <v>Dollars</v>
      </c>
      <c r="G79" s="52" t="str">
        <f t="shared" si="59"/>
        <v>Nominal</v>
      </c>
      <c r="H79" s="52" t="str">
        <f t="shared" si="60"/>
        <v>End_year</v>
      </c>
      <c r="J79" s="66">
        <f>Input_RAB_SCS!J80-Calc_RAB_Connection!J79</f>
        <v>0</v>
      </c>
      <c r="K79" s="67">
        <f>Input_RAB_SCS!K80-Calc_RAB_Connection!K79</f>
        <v>0</v>
      </c>
      <c r="L79" s="67">
        <f>Input_RAB_SCS!L80-Calc_RAB_Connection!L79</f>
        <v>0</v>
      </c>
      <c r="M79" s="67">
        <f>Input_RAB_SCS!M80-Calc_RAB_Connection!M79</f>
        <v>0</v>
      </c>
      <c r="N79" s="67">
        <f>Input_RAB_SCS!N80-Calc_RAB_Connection!N79</f>
        <v>0</v>
      </c>
      <c r="O79" s="67">
        <f>Input_RAB_SCS!O80-Calc_RAB_Connection!O79</f>
        <v>0</v>
      </c>
      <c r="P79" s="67">
        <f>Input_RAB_SCS!P80-Calc_RAB_Connection!P79</f>
        <v>0</v>
      </c>
      <c r="Q79" s="67">
        <f>Input_RAB_SCS!Q80-Calc_RAB_Connection!Q79</f>
        <v>0</v>
      </c>
      <c r="R79" s="68">
        <f>Input_RAB_SCS!R80-Calc_RAB_Connection!R79</f>
        <v>-9.0828959042256185E-2</v>
      </c>
      <c r="S79" s="66">
        <f>Input_RAB_SCS!S80-Calc_RAB_Connection!S79</f>
        <v>0</v>
      </c>
      <c r="T79" s="67">
        <f>Input_RAB_SCS!T80-Calc_RAB_Connection!T79</f>
        <v>0</v>
      </c>
      <c r="U79" s="67">
        <f>Input_RAB_SCS!U80-Calc_RAB_Connection!U79</f>
        <v>0</v>
      </c>
      <c r="V79" s="67">
        <f>Input_RAB_SCS!V80-Calc_RAB_Connection!V79</f>
        <v>0</v>
      </c>
      <c r="W79" s="68">
        <f>Input_RAB_SCS!W80-Calc_RAB_Connection!W79</f>
        <v>0</v>
      </c>
      <c r="X79" s="66">
        <f>Input_RAB_SCS!X80-Calc_RAB_Connection!X79</f>
        <v>0</v>
      </c>
      <c r="Y79" s="67">
        <f>Input_RAB_SCS!Y80-Calc_RAB_Connection!Y79</f>
        <v>0</v>
      </c>
      <c r="Z79" s="67">
        <f>Input_RAB_SCS!Z80-Calc_RAB_Connection!Z79</f>
        <v>0</v>
      </c>
      <c r="AA79" s="67">
        <f>Input_RAB_SCS!AA80-Calc_RAB_Connection!AA79</f>
        <v>0</v>
      </c>
      <c r="AB79" s="68">
        <f>Input_RAB_SCS!AB80-Calc_RAB_Connection!AB79</f>
        <v>0</v>
      </c>
    </row>
    <row r="80" spans="3:28" ht="12.3" x14ac:dyDescent="0.35">
      <c r="D80" s="15" t="str">
        <f t="shared" si="57"/>
        <v>Property</v>
      </c>
      <c r="E80" s="52" t="str">
        <f t="shared" si="61"/>
        <v>Input_RAB_SCS/Calc_RAB_Connection</v>
      </c>
      <c r="F80" s="52" t="str">
        <f t="shared" si="58"/>
        <v>Dollars</v>
      </c>
      <c r="G80" s="52" t="str">
        <f t="shared" si="59"/>
        <v>Nominal</v>
      </c>
      <c r="H80" s="52" t="str">
        <f t="shared" si="60"/>
        <v>End_year</v>
      </c>
      <c r="J80" s="66">
        <f>Input_RAB_SCS!J81-Calc_RAB_Connection!J80</f>
        <v>-9.1570493467389755E-2</v>
      </c>
      <c r="K80" s="67">
        <f>Input_RAB_SCS!K81-Calc_RAB_Connection!K80</f>
        <v>-0.11548749468336357</v>
      </c>
      <c r="L80" s="67">
        <f>Input_RAB_SCS!L81-Calc_RAB_Connection!L80</f>
        <v>-1.2503114474974337</v>
      </c>
      <c r="M80" s="67">
        <f>Input_RAB_SCS!M81-Calc_RAB_Connection!M80</f>
        <v>-8.3950888300187862E-2</v>
      </c>
      <c r="N80" s="67">
        <f>Input_RAB_SCS!N81-Calc_RAB_Connection!N80</f>
        <v>0</v>
      </c>
      <c r="O80" s="67">
        <f>Input_RAB_SCS!O81-Calc_RAB_Connection!O80</f>
        <v>0</v>
      </c>
      <c r="P80" s="67">
        <f>Input_RAB_SCS!P81-Calc_RAB_Connection!P80</f>
        <v>0</v>
      </c>
      <c r="Q80" s="67">
        <f>Input_RAB_SCS!Q81-Calc_RAB_Connection!Q80</f>
        <v>0</v>
      </c>
      <c r="R80" s="68">
        <f>Input_RAB_SCS!R81-Calc_RAB_Connection!R80</f>
        <v>-8.0782779591869705E-2</v>
      </c>
      <c r="S80" s="66">
        <f>Input_RAB_SCS!S81-Calc_RAB_Connection!S80</f>
        <v>-0.1971496871843002</v>
      </c>
      <c r="T80" s="67">
        <f>Input_RAB_SCS!T81-Calc_RAB_Connection!T80</f>
        <v>-0.22297259831527302</v>
      </c>
      <c r="U80" s="67">
        <f>Input_RAB_SCS!U81-Calc_RAB_Connection!U80</f>
        <v>-0.2494038599035025</v>
      </c>
      <c r="V80" s="67">
        <f>Input_RAB_SCS!V81-Calc_RAB_Connection!V80</f>
        <v>-0.21457558667562623</v>
      </c>
      <c r="W80" s="68">
        <f>Input_RAB_SCS!W81-Calc_RAB_Connection!W80</f>
        <v>-0.24436905868471545</v>
      </c>
      <c r="X80" s="66">
        <f>Input_RAB_SCS!X81-Calc_RAB_Connection!X80</f>
        <v>-1.2461785119742006</v>
      </c>
      <c r="Y80" s="67">
        <f>Input_RAB_SCS!Y81-Calc_RAB_Connection!Y80</f>
        <v>-1.9107512614376407</v>
      </c>
      <c r="Z80" s="67">
        <f>Input_RAB_SCS!Z81-Calc_RAB_Connection!Z80</f>
        <v>-2.0339325063055607</v>
      </c>
      <c r="AA80" s="67">
        <f>Input_RAB_SCS!AA81-Calc_RAB_Connection!AA80</f>
        <v>-2.1625027070458485</v>
      </c>
      <c r="AB80" s="68">
        <f>Input_RAB_SCS!AB81-Calc_RAB_Connection!AB80</f>
        <v>-2.2897483349140204</v>
      </c>
    </row>
    <row r="81" spans="1:28" ht="12.3" x14ac:dyDescent="0.35">
      <c r="D81" s="15" t="str">
        <f t="shared" si="57"/>
        <v>IT and Communications</v>
      </c>
      <c r="E81" s="52" t="str">
        <f t="shared" si="61"/>
        <v>Input_RAB_SCS/Calc_RAB_Connection</v>
      </c>
      <c r="F81" s="52" t="str">
        <f t="shared" si="58"/>
        <v>Dollars</v>
      </c>
      <c r="G81" s="52" t="str">
        <f t="shared" si="59"/>
        <v>Nominal</v>
      </c>
      <c r="H81" s="52" t="str">
        <f t="shared" si="60"/>
        <v>End_year</v>
      </c>
      <c r="J81" s="66">
        <f>Input_RAB_SCS!J82-Calc_RAB_Connection!J81</f>
        <v>0</v>
      </c>
      <c r="K81" s="67">
        <f>Input_RAB_SCS!K82-Calc_RAB_Connection!K81</f>
        <v>0</v>
      </c>
      <c r="L81" s="67">
        <f>Input_RAB_SCS!L82-Calc_RAB_Connection!L81</f>
        <v>0</v>
      </c>
      <c r="M81" s="67">
        <f>Input_RAB_SCS!M82-Calc_RAB_Connection!M81</f>
        <v>0</v>
      </c>
      <c r="N81" s="67">
        <f>Input_RAB_SCS!N82-Calc_RAB_Connection!N81</f>
        <v>0</v>
      </c>
      <c r="O81" s="67">
        <f>Input_RAB_SCS!O82-Calc_RAB_Connection!O81</f>
        <v>0</v>
      </c>
      <c r="P81" s="67">
        <f>Input_RAB_SCS!P82-Calc_RAB_Connection!P81</f>
        <v>0</v>
      </c>
      <c r="Q81" s="67">
        <f>Input_RAB_SCS!Q82-Calc_RAB_Connection!Q81</f>
        <v>0</v>
      </c>
      <c r="R81" s="68">
        <f>Input_RAB_SCS!R82-Calc_RAB_Connection!R81</f>
        <v>-8.8285136086500626E-2</v>
      </c>
      <c r="S81" s="66">
        <f>Input_RAB_SCS!S82-Calc_RAB_Connection!S81</f>
        <v>-0.10378054754609714</v>
      </c>
      <c r="T81" s="67">
        <f>Input_RAB_SCS!T82-Calc_RAB_Connection!T81</f>
        <v>-0.21227575779623456</v>
      </c>
      <c r="U81" s="67">
        <f>Input_RAB_SCS!U82-Calc_RAB_Connection!U81</f>
        <v>-0.24804175929783751</v>
      </c>
      <c r="V81" s="67">
        <f>Input_RAB_SCS!V82-Calc_RAB_Connection!V81</f>
        <v>-0.25331436601119262</v>
      </c>
      <c r="W81" s="68">
        <f>Input_RAB_SCS!W82-Calc_RAB_Connection!W81</f>
        <v>-0.25945692187650532</v>
      </c>
      <c r="X81" s="66">
        <f>Input_RAB_SCS!X82-Calc_RAB_Connection!X81</f>
        <v>-2.8878948251794307</v>
      </c>
      <c r="Y81" s="67">
        <f>Input_RAB_SCS!Y82-Calc_RAB_Connection!Y81</f>
        <v>-3.264531228727555</v>
      </c>
      <c r="Z81" s="67">
        <f>Input_RAB_SCS!Z82-Calc_RAB_Connection!Z81</f>
        <v>-3.976960837446406</v>
      </c>
      <c r="AA81" s="67">
        <f>Input_RAB_SCS!AA82-Calc_RAB_Connection!AA81</f>
        <v>-5.5394273161395029</v>
      </c>
      <c r="AB81" s="68">
        <f>Input_RAB_SCS!AB82-Calc_RAB_Connection!AB81</f>
        <v>-6.3535632825667898</v>
      </c>
    </row>
    <row r="82" spans="1:28" ht="12.3" x14ac:dyDescent="0.35">
      <c r="D82" s="15" t="str">
        <f t="shared" si="57"/>
        <v>Motor Vehicles</v>
      </c>
      <c r="E82" s="52" t="str">
        <f t="shared" si="61"/>
        <v>Input_RAB_SCS/Calc_RAB_Connection</v>
      </c>
      <c r="F82" s="52" t="str">
        <f t="shared" si="58"/>
        <v>Dollars</v>
      </c>
      <c r="G82" s="52" t="str">
        <f t="shared" si="59"/>
        <v>Nominal</v>
      </c>
      <c r="H82" s="52" t="str">
        <f t="shared" si="60"/>
        <v>End_year</v>
      </c>
      <c r="J82" s="66">
        <f>Input_RAB_SCS!J83-Calc_RAB_Connection!J82</f>
        <v>0</v>
      </c>
      <c r="K82" s="67">
        <f>Input_RAB_SCS!K83-Calc_RAB_Connection!K82</f>
        <v>0</v>
      </c>
      <c r="L82" s="67">
        <f>Input_RAB_SCS!L83-Calc_RAB_Connection!L82</f>
        <v>0</v>
      </c>
      <c r="M82" s="67">
        <f>Input_RAB_SCS!M83-Calc_RAB_Connection!M82</f>
        <v>0</v>
      </c>
      <c r="N82" s="67">
        <f>Input_RAB_SCS!N83-Calc_RAB_Connection!N82</f>
        <v>0</v>
      </c>
      <c r="O82" s="67">
        <f>Input_RAB_SCS!O83-Calc_RAB_Connection!O82</f>
        <v>0</v>
      </c>
      <c r="P82" s="67">
        <f>Input_RAB_SCS!P83-Calc_RAB_Connection!P82</f>
        <v>0</v>
      </c>
      <c r="Q82" s="67">
        <f>Input_RAB_SCS!Q83-Calc_RAB_Connection!Q82</f>
        <v>0</v>
      </c>
      <c r="R82" s="68">
        <f>Input_RAB_SCS!R83-Calc_RAB_Connection!R82</f>
        <v>-3.9084450954506769E-3</v>
      </c>
      <c r="S82" s="66">
        <f>Input_RAB_SCS!S83-Calc_RAB_Connection!S82</f>
        <v>-9.5385270454678012E-3</v>
      </c>
      <c r="T82" s="67">
        <f>Input_RAB_SCS!T83-Calc_RAB_Connection!T82</f>
        <v>-1.0787895176522641E-2</v>
      </c>
      <c r="U82" s="67">
        <f>Input_RAB_SCS!U83-Calc_RAB_Connection!U82</f>
        <v>-1.2066696614688137E-2</v>
      </c>
      <c r="V82" s="67">
        <f>Input_RAB_SCS!V83-Calc_RAB_Connection!V82</f>
        <v>-1.0381629644125402E-2</v>
      </c>
      <c r="W82" s="68">
        <f>Input_RAB_SCS!W83-Calc_RAB_Connection!W82</f>
        <v>-1.1823102073505527E-2</v>
      </c>
      <c r="X82" s="66">
        <f>Input_RAB_SCS!X83-Calc_RAB_Connection!X82</f>
        <v>-3.7625734742561687E-2</v>
      </c>
      <c r="Y82" s="67">
        <f>Input_RAB_SCS!Y83-Calc_RAB_Connection!Y82</f>
        <v>-3.8538111649047163E-2</v>
      </c>
      <c r="Z82" s="67">
        <f>Input_RAB_SCS!Z83-Calc_RAB_Connection!Z82</f>
        <v>-3.9472612551919251E-2</v>
      </c>
      <c r="AA82" s="67">
        <f>Input_RAB_SCS!AA83-Calc_RAB_Connection!AA82</f>
        <v>-4.0429773930359562E-2</v>
      </c>
      <c r="AB82" s="68">
        <f>Input_RAB_SCS!AB83-Calc_RAB_Connection!AB82</f>
        <v>-4.141014527249743E-2</v>
      </c>
    </row>
    <row r="83" spans="1:28" ht="12.3" x14ac:dyDescent="0.35">
      <c r="D83" s="15" t="str">
        <f t="shared" si="57"/>
        <v>Plant and Equipment</v>
      </c>
      <c r="E83" s="52" t="str">
        <f t="shared" si="61"/>
        <v>Input_RAB_SCS/Calc_RAB_Connection</v>
      </c>
      <c r="F83" s="52" t="str">
        <f t="shared" si="58"/>
        <v>Dollars</v>
      </c>
      <c r="G83" s="52" t="str">
        <f t="shared" si="59"/>
        <v>Nominal</v>
      </c>
      <c r="H83" s="52" t="str">
        <f t="shared" si="60"/>
        <v>End_year</v>
      </c>
      <c r="J83" s="66">
        <f>Input_RAB_SCS!J84-Calc_RAB_Connection!J83</f>
        <v>-1.6866154201882169</v>
      </c>
      <c r="K83" s="67">
        <f>Input_RAB_SCS!K84-Calc_RAB_Connection!K83</f>
        <v>-0.69233457321594694</v>
      </c>
      <c r="L83" s="67">
        <f>Input_RAB_SCS!L84-Calc_RAB_Connection!L83</f>
        <v>-0.33882921743439359</v>
      </c>
      <c r="M83" s="67">
        <f>Input_RAB_SCS!M84-Calc_RAB_Connection!M83</f>
        <v>-0.27596460609987622</v>
      </c>
      <c r="N83" s="67">
        <f>Input_RAB_SCS!N84-Calc_RAB_Connection!N83</f>
        <v>-2.7903342389835935</v>
      </c>
      <c r="O83" s="67">
        <f>Input_RAB_SCS!O84-Calc_RAB_Connection!O83</f>
        <v>-1.9341440812118655</v>
      </c>
      <c r="P83" s="67">
        <f>Input_RAB_SCS!P84-Calc_RAB_Connection!P83</f>
        <v>-0.66186864003919288</v>
      </c>
      <c r="Q83" s="67">
        <f>Input_RAB_SCS!Q84-Calc_RAB_Connection!Q83</f>
        <v>-0.77404867680624723</v>
      </c>
      <c r="R83" s="68">
        <f>Input_RAB_SCS!R84-Calc_RAB_Connection!R83</f>
        <v>-0.70566350338596595</v>
      </c>
      <c r="S83" s="66">
        <f>Input_RAB_SCS!S84-Calc_RAB_Connection!S83</f>
        <v>-1.4178132529328729</v>
      </c>
      <c r="T83" s="67">
        <f>Input_RAB_SCS!T84-Calc_RAB_Connection!T83</f>
        <v>-1.898797430199922</v>
      </c>
      <c r="U83" s="67">
        <f>Input_RAB_SCS!U84-Calc_RAB_Connection!U83</f>
        <v>-2.1568709695770636</v>
      </c>
      <c r="V83" s="67">
        <f>Input_RAB_SCS!V84-Calc_RAB_Connection!V83</f>
        <v>-1.9798501972401825</v>
      </c>
      <c r="W83" s="68">
        <f>Input_RAB_SCS!W84-Calc_RAB_Connection!W83</f>
        <v>-2.1644262428410053</v>
      </c>
      <c r="X83" s="66">
        <f>Input_RAB_SCS!X84-Calc_RAB_Connection!X83</f>
        <v>-6.0536720352146252E-2</v>
      </c>
      <c r="Y83" s="67">
        <f>Input_RAB_SCS!Y84-Calc_RAB_Connection!Y83</f>
        <v>-0.15671331216935971</v>
      </c>
      <c r="Z83" s="67">
        <f>Input_RAB_SCS!Z84-Calc_RAB_Connection!Z83</f>
        <v>-0.26174543906064718</v>
      </c>
      <c r="AA83" s="67">
        <f>Input_RAB_SCS!AA84-Calc_RAB_Connection!AA83</f>
        <v>-0.36896218409941239</v>
      </c>
      <c r="AB83" s="68">
        <f>Input_RAB_SCS!AB84-Calc_RAB_Connection!AB83</f>
        <v>-0.4690663164051283</v>
      </c>
    </row>
    <row r="84" spans="1:28" ht="12.3" x14ac:dyDescent="0.35">
      <c r="D84" s="15" t="str">
        <f t="shared" ref="D84:D85" si="62">D32</f>
        <v>Property Leases</v>
      </c>
      <c r="E84" s="52" t="str">
        <f t="shared" si="61"/>
        <v>Input_RAB_SCS/Calc_RAB_Connection</v>
      </c>
      <c r="F84" s="52" t="str">
        <f t="shared" si="58"/>
        <v>Dollars</v>
      </c>
      <c r="G84" s="52" t="str">
        <f t="shared" si="59"/>
        <v>Nominal</v>
      </c>
      <c r="H84" s="52" t="str">
        <f t="shared" si="60"/>
        <v>End_year</v>
      </c>
      <c r="J84" s="66">
        <f>Input_RAB_SCS!J85-Calc_RAB_Connection!J84</f>
        <v>0</v>
      </c>
      <c r="K84" s="67">
        <f>Input_RAB_SCS!K85-Calc_RAB_Connection!K84</f>
        <v>0</v>
      </c>
      <c r="L84" s="67">
        <f>Input_RAB_SCS!L85-Calc_RAB_Connection!L84</f>
        <v>0</v>
      </c>
      <c r="M84" s="67">
        <f>Input_RAB_SCS!M85-Calc_RAB_Connection!M84</f>
        <v>0</v>
      </c>
      <c r="N84" s="67">
        <f>Input_RAB_SCS!N85-Calc_RAB_Connection!N84</f>
        <v>0</v>
      </c>
      <c r="O84" s="67">
        <f>Input_RAB_SCS!O85-Calc_RAB_Connection!O84</f>
        <v>0</v>
      </c>
      <c r="P84" s="67">
        <f>Input_RAB_SCS!P85-Calc_RAB_Connection!P84</f>
        <v>0</v>
      </c>
      <c r="Q84" s="67">
        <f>Input_RAB_SCS!Q85-Calc_RAB_Connection!Q84</f>
        <v>0</v>
      </c>
      <c r="R84" s="68">
        <f>Input_RAB_SCS!R85-Calc_RAB_Connection!R84</f>
        <v>0</v>
      </c>
      <c r="S84" s="66">
        <f>Input_RAB_SCS!S85-Calc_RAB_Connection!S84</f>
        <v>0</v>
      </c>
      <c r="T84" s="67">
        <f>Input_RAB_SCS!T85-Calc_RAB_Connection!T84</f>
        <v>0</v>
      </c>
      <c r="U84" s="67">
        <f>Input_RAB_SCS!U85-Calc_RAB_Connection!U84</f>
        <v>0</v>
      </c>
      <c r="V84" s="67">
        <f>Input_RAB_SCS!V85-Calc_RAB_Connection!V84</f>
        <v>0</v>
      </c>
      <c r="W84" s="68">
        <f>Input_RAB_SCS!W85-Calc_RAB_Connection!W84</f>
        <v>0</v>
      </c>
      <c r="X84" s="66">
        <f>Input_RAB_SCS!X85-Calc_RAB_Connection!X84</f>
        <v>0</v>
      </c>
      <c r="Y84" s="67">
        <f>Input_RAB_SCS!Y85-Calc_RAB_Connection!Y84</f>
        <v>-0.36658207747774829</v>
      </c>
      <c r="Z84" s="67">
        <f>Input_RAB_SCS!Z85-Calc_RAB_Connection!Z84</f>
        <v>-0.37547123337358862</v>
      </c>
      <c r="AA84" s="67">
        <f>Input_RAB_SCS!AA85-Calc_RAB_Connection!AA84</f>
        <v>-1.9852428842368537</v>
      </c>
      <c r="AB84" s="68">
        <f>Input_RAB_SCS!AB85-Calc_RAB_Connection!AB84</f>
        <v>-2.033382535827323</v>
      </c>
    </row>
    <row r="85" spans="1:28" ht="12.3" x14ac:dyDescent="0.35">
      <c r="D85" s="15" t="str">
        <f t="shared" si="62"/>
        <v>Fleet Leases</v>
      </c>
      <c r="E85" s="52" t="str">
        <f t="shared" si="61"/>
        <v>Input_RAB_SCS/Calc_RAB_Connection</v>
      </c>
      <c r="F85" s="52" t="str">
        <f t="shared" si="58"/>
        <v>Dollars</v>
      </c>
      <c r="G85" s="52" t="str">
        <f t="shared" si="59"/>
        <v>Nominal</v>
      </c>
      <c r="H85" s="52" t="str">
        <f t="shared" si="60"/>
        <v>End_year</v>
      </c>
      <c r="J85" s="66">
        <f>Input_RAB_SCS!J86-Calc_RAB_Connection!J85</f>
        <v>0</v>
      </c>
      <c r="K85" s="67">
        <f>Input_RAB_SCS!K86-Calc_RAB_Connection!K85</f>
        <v>0</v>
      </c>
      <c r="L85" s="67">
        <f>Input_RAB_SCS!L86-Calc_RAB_Connection!L85</f>
        <v>0</v>
      </c>
      <c r="M85" s="67">
        <f>Input_RAB_SCS!M86-Calc_RAB_Connection!M85</f>
        <v>0</v>
      </c>
      <c r="N85" s="67">
        <f>Input_RAB_SCS!N86-Calc_RAB_Connection!N85</f>
        <v>0</v>
      </c>
      <c r="O85" s="67">
        <f>Input_RAB_SCS!O86-Calc_RAB_Connection!O85</f>
        <v>0</v>
      </c>
      <c r="P85" s="67">
        <f>Input_RAB_SCS!P86-Calc_RAB_Connection!P85</f>
        <v>0</v>
      </c>
      <c r="Q85" s="67">
        <f>Input_RAB_SCS!Q86-Calc_RAB_Connection!Q85</f>
        <v>0</v>
      </c>
      <c r="R85" s="68">
        <f>Input_RAB_SCS!R86-Calc_RAB_Connection!R85</f>
        <v>0</v>
      </c>
      <c r="S85" s="66">
        <f>Input_RAB_SCS!S86-Calc_RAB_Connection!S85</f>
        <v>0</v>
      </c>
      <c r="T85" s="67">
        <f>Input_RAB_SCS!T86-Calc_RAB_Connection!T85</f>
        <v>0</v>
      </c>
      <c r="U85" s="67">
        <f>Input_RAB_SCS!U86-Calc_RAB_Connection!U85</f>
        <v>0</v>
      </c>
      <c r="V85" s="67">
        <f>Input_RAB_SCS!V86-Calc_RAB_Connection!V85</f>
        <v>0</v>
      </c>
      <c r="W85" s="68">
        <f>Input_RAB_SCS!W86-Calc_RAB_Connection!W85</f>
        <v>0</v>
      </c>
      <c r="X85" s="66">
        <f>Input_RAB_SCS!X86-Calc_RAB_Connection!X85</f>
        <v>0</v>
      </c>
      <c r="Y85" s="67">
        <f>Input_RAB_SCS!Y86-Calc_RAB_Connection!Y85</f>
        <v>-3.1519477908446887</v>
      </c>
      <c r="Z85" s="67">
        <f>Input_RAB_SCS!Z86-Calc_RAB_Connection!Z85</f>
        <v>-4.0962369067098079</v>
      </c>
      <c r="AA85" s="67">
        <f>Input_RAB_SCS!AA86-Calc_RAB_Connection!AA85</f>
        <v>-4.9749011503636664</v>
      </c>
      <c r="AB85" s="68">
        <f>Input_RAB_SCS!AB86-Calc_RAB_Connection!AB85</f>
        <v>-6.0519972281342813</v>
      </c>
    </row>
    <row r="86" spans="1:28" ht="12.3" x14ac:dyDescent="0.35">
      <c r="D86" s="15" t="str">
        <f t="shared" ref="D86" si="63">D34</f>
        <v>Equity Raising Costs</v>
      </c>
      <c r="E86" s="52" t="str">
        <f>E83</f>
        <v>Input_RAB_SCS/Calc_RAB_Connection</v>
      </c>
      <c r="F86" s="52" t="str">
        <f t="shared" si="58"/>
        <v>Dollars</v>
      </c>
      <c r="G86" s="52" t="str">
        <f t="shared" si="59"/>
        <v>Nominal</v>
      </c>
      <c r="H86" s="52" t="str">
        <f t="shared" si="60"/>
        <v>End_year</v>
      </c>
      <c r="J86" s="66">
        <f>Input_RAB_SCS!J87-Calc_RAB_Connection!J86</f>
        <v>0</v>
      </c>
      <c r="K86" s="67">
        <f>Input_RAB_SCS!K87-Calc_RAB_Connection!K86</f>
        <v>0</v>
      </c>
      <c r="L86" s="67">
        <f>Input_RAB_SCS!L87-Calc_RAB_Connection!L86</f>
        <v>0</v>
      </c>
      <c r="M86" s="67">
        <f>Input_RAB_SCS!M87-Calc_RAB_Connection!M86</f>
        <v>0</v>
      </c>
      <c r="N86" s="67">
        <f>Input_RAB_SCS!N87-Calc_RAB_Connection!N86</f>
        <v>0</v>
      </c>
      <c r="O86" s="67">
        <f>Input_RAB_SCS!O87-Calc_RAB_Connection!O86</f>
        <v>0</v>
      </c>
      <c r="P86" s="67">
        <f>Input_RAB_SCS!P87-Calc_RAB_Connection!P86</f>
        <v>0</v>
      </c>
      <c r="Q86" s="67">
        <f>Input_RAB_SCS!Q87-Calc_RAB_Connection!Q86</f>
        <v>0</v>
      </c>
      <c r="R86" s="68">
        <f>Input_RAB_SCS!R87-Calc_RAB_Connection!R86</f>
        <v>0</v>
      </c>
      <c r="S86" s="66">
        <f>Input_RAB_SCS!S87-Calc_RAB_Connection!S86</f>
        <v>0</v>
      </c>
      <c r="T86" s="67">
        <f>Input_RAB_SCS!T87-Calc_RAB_Connection!T86</f>
        <v>0</v>
      </c>
      <c r="U86" s="67">
        <f>Input_RAB_SCS!U87-Calc_RAB_Connection!U86</f>
        <v>0</v>
      </c>
      <c r="V86" s="67">
        <f>Input_RAB_SCS!V87-Calc_RAB_Connection!V86</f>
        <v>0</v>
      </c>
      <c r="W86" s="68">
        <f>Input_RAB_SCS!W87-Calc_RAB_Connection!W86</f>
        <v>0</v>
      </c>
      <c r="X86" s="66">
        <f>Input_RAB_SCS!X87-Calc_RAB_Connection!X86</f>
        <v>0</v>
      </c>
      <c r="Y86" s="67">
        <f>Input_RAB_SCS!Y87-Calc_RAB_Connection!Y86</f>
        <v>-0.26368301095727498</v>
      </c>
      <c r="Z86" s="67">
        <f>Input_RAB_SCS!Z87-Calc_RAB_Connection!Z86</f>
        <v>-0.2700769934662155</v>
      </c>
      <c r="AA86" s="67">
        <f>Input_RAB_SCS!AA87-Calc_RAB_Connection!AA86</f>
        <v>-0.27662602203662279</v>
      </c>
      <c r="AB86" s="68">
        <f>Input_RAB_SCS!AB87-Calc_RAB_Connection!AB86</f>
        <v>-0.28333385634114899</v>
      </c>
    </row>
    <row r="87" spans="1:28" x14ac:dyDescent="0.35">
      <c r="J87" s="56"/>
      <c r="K87" s="57"/>
      <c r="L87" s="57"/>
      <c r="M87" s="57"/>
      <c r="N87" s="57"/>
      <c r="O87" s="57"/>
      <c r="P87" s="57"/>
      <c r="Q87" s="57"/>
      <c r="R87" s="58"/>
      <c r="S87" s="56"/>
      <c r="T87" s="57"/>
      <c r="U87" s="57"/>
      <c r="V87" s="57"/>
      <c r="W87" s="58"/>
      <c r="X87" s="56"/>
      <c r="Y87" s="57"/>
      <c r="Z87" s="57"/>
      <c r="AA87" s="57"/>
      <c r="AB87" s="58"/>
    </row>
    <row r="88" spans="1:28" ht="12.3" x14ac:dyDescent="0.35">
      <c r="D88" s="51" t="str">
        <f>"Total "&amp;D68</f>
        <v>Total RAB Asset Class</v>
      </c>
      <c r="E88" s="47" t="s">
        <v>111</v>
      </c>
      <c r="F88" s="47" t="str">
        <f>F70</f>
        <v>Dollars</v>
      </c>
      <c r="G88" s="47" t="str">
        <f>G70</f>
        <v>Nominal</v>
      </c>
      <c r="H88" s="47" t="str">
        <f>H70</f>
        <v>End_year</v>
      </c>
      <c r="J88" s="62">
        <f t="shared" ref="J88:AB88" si="64">SUM(J70:J86)</f>
        <v>-17.381106426705134</v>
      </c>
      <c r="K88" s="46">
        <f t="shared" si="64"/>
        <v>-17.295840936796068</v>
      </c>
      <c r="L88" s="46">
        <f t="shared" si="64"/>
        <v>-15.733727049217622</v>
      </c>
      <c r="M88" s="46">
        <f t="shared" si="64"/>
        <v>-15.484059499719327</v>
      </c>
      <c r="N88" s="46">
        <f t="shared" si="64"/>
        <v>-24.675870102719276</v>
      </c>
      <c r="O88" s="46">
        <f t="shared" si="64"/>
        <v>-26.426486934787331</v>
      </c>
      <c r="P88" s="46">
        <f t="shared" si="64"/>
        <v>-27.646492393244849</v>
      </c>
      <c r="Q88" s="46">
        <f t="shared" si="64"/>
        <v>-23.544527878281656</v>
      </c>
      <c r="R88" s="63">
        <f t="shared" si="64"/>
        <v>-38.865015104870182</v>
      </c>
      <c r="S88" s="62">
        <f t="shared" si="64"/>
        <v>-50.884497341104222</v>
      </c>
      <c r="T88" s="46">
        <f t="shared" si="64"/>
        <v>-53.76406151055901</v>
      </c>
      <c r="U88" s="46">
        <f t="shared" si="64"/>
        <v>-49.407202872702598</v>
      </c>
      <c r="V88" s="46">
        <f t="shared" si="64"/>
        <v>-50.880877582379547</v>
      </c>
      <c r="W88" s="63">
        <f t="shared" si="64"/>
        <v>-53.147428446641712</v>
      </c>
      <c r="X88" s="62">
        <f t="shared" si="64"/>
        <v>-48.63213405953195</v>
      </c>
      <c r="Y88" s="46">
        <f t="shared" si="64"/>
        <v>-55.290836763593525</v>
      </c>
      <c r="Z88" s="46">
        <f t="shared" si="64"/>
        <v>-58.549435544860643</v>
      </c>
      <c r="AA88" s="46">
        <f t="shared" si="64"/>
        <v>-64.641559043234295</v>
      </c>
      <c r="AB88" s="63">
        <f t="shared" si="64"/>
        <v>-69.409396826830715</v>
      </c>
    </row>
    <row r="89" spans="1:28" s="6" customFormat="1" ht="11.25" customHeight="1" x14ac:dyDescent="0.35"/>
    <row r="90" spans="1:28" s="6" customFormat="1" ht="11.25" customHeight="1" x14ac:dyDescent="0.35">
      <c r="A90" s="49">
        <f>IF(SUM($J90:$AB90)&lt;&gt;0,1,0)</f>
        <v>0</v>
      </c>
      <c r="D90" s="15" t="s">
        <v>114</v>
      </c>
      <c r="J90" s="70">
        <f>IF(ISERROR(J88),1,0)</f>
        <v>0</v>
      </c>
      <c r="K90" s="70">
        <f t="shared" ref="K90:N90" si="65">IF(ISERROR(K88),1,0)</f>
        <v>0</v>
      </c>
      <c r="L90" s="70">
        <f t="shared" si="65"/>
        <v>0</v>
      </c>
      <c r="M90" s="70">
        <f t="shared" si="65"/>
        <v>0</v>
      </c>
      <c r="N90" s="70">
        <f t="shared" si="65"/>
        <v>0</v>
      </c>
      <c r="O90" s="70">
        <f>IF(ISERROR(O88),1,0)</f>
        <v>0</v>
      </c>
      <c r="P90" s="70">
        <f t="shared" ref="P90:S90" si="66">IF(ISERROR(P88),1,0)</f>
        <v>0</v>
      </c>
      <c r="Q90" s="70">
        <f t="shared" si="66"/>
        <v>0</v>
      </c>
      <c r="R90" s="70">
        <f t="shared" si="66"/>
        <v>0</v>
      </c>
      <c r="S90" s="70">
        <f t="shared" si="66"/>
        <v>0</v>
      </c>
      <c r="T90" s="70">
        <f>IF(ISERROR(T88),1,0)</f>
        <v>0</v>
      </c>
      <c r="U90" s="70">
        <f t="shared" ref="U90:X90" si="67">IF(ISERROR(U88),1,0)</f>
        <v>0</v>
      </c>
      <c r="V90" s="70">
        <f t="shared" si="67"/>
        <v>0</v>
      </c>
      <c r="W90" s="70">
        <f t="shared" si="67"/>
        <v>0</v>
      </c>
      <c r="X90" s="70">
        <f t="shared" si="67"/>
        <v>0</v>
      </c>
      <c r="Y90" s="70">
        <f>IF(ISERROR(Y88),1,0)</f>
        <v>0</v>
      </c>
      <c r="Z90" s="70">
        <f t="shared" ref="Z90:AB90" si="68">IF(ISERROR(Z88),1,0)</f>
        <v>0</v>
      </c>
      <c r="AA90" s="70">
        <f t="shared" si="68"/>
        <v>0</v>
      </c>
      <c r="AB90" s="70">
        <f t="shared" si="68"/>
        <v>0</v>
      </c>
    </row>
    <row r="91" spans="1:28" s="6" customFormat="1" ht="11.25" customHeight="1" x14ac:dyDescent="0.35">
      <c r="L91" s="10"/>
      <c r="Q91" s="10"/>
      <c r="V91" s="10"/>
      <c r="AA91" s="10"/>
    </row>
    <row r="92" spans="1:28" s="13" customFormat="1" ht="14.1" x14ac:dyDescent="0.35">
      <c r="C92" s="13" t="s">
        <v>150</v>
      </c>
    </row>
    <row r="93" spans="1:28" s="6" customFormat="1" ht="11.25" customHeight="1" x14ac:dyDescent="0.35"/>
    <row r="94" spans="1:28" ht="12.3" x14ac:dyDescent="0.35">
      <c r="D94" s="50" t="str">
        <f>D$16</f>
        <v>RAB Asset Class</v>
      </c>
      <c r="E94" s="45" t="str">
        <f>Lookup!E$20</f>
        <v>Source</v>
      </c>
      <c r="F94" s="45" t="str">
        <f>Lookup!F$20</f>
        <v>Unit</v>
      </c>
      <c r="G94" s="45" t="str">
        <f>Lookup!G$20</f>
        <v>Basis</v>
      </c>
      <c r="H94" s="45" t="str">
        <f>Lookup!H$20</f>
        <v>Timing</v>
      </c>
      <c r="J94" s="54" t="str">
        <f>J$10</f>
        <v>RY06</v>
      </c>
      <c r="K94" s="45" t="str">
        <f t="shared" ref="K94:AB94" si="69">K$10</f>
        <v>RY07</v>
      </c>
      <c r="L94" s="45" t="str">
        <f t="shared" si="69"/>
        <v>RY08</v>
      </c>
      <c r="M94" s="45" t="str">
        <f t="shared" si="69"/>
        <v>RY09</v>
      </c>
      <c r="N94" s="45" t="str">
        <f t="shared" si="69"/>
        <v>RY10</v>
      </c>
      <c r="O94" s="45" t="str">
        <f>O$10</f>
        <v>RY11</v>
      </c>
      <c r="P94" s="45" t="str">
        <f t="shared" si="69"/>
        <v>RY12</v>
      </c>
      <c r="Q94" s="45" t="str">
        <f t="shared" si="69"/>
        <v>RY13</v>
      </c>
      <c r="R94" s="55" t="str">
        <f t="shared" si="69"/>
        <v>RY14</v>
      </c>
      <c r="S94" s="54" t="str">
        <f t="shared" si="69"/>
        <v>RY15</v>
      </c>
      <c r="T94" s="45" t="str">
        <f>T$10</f>
        <v>RY16</v>
      </c>
      <c r="U94" s="45" t="str">
        <f t="shared" si="69"/>
        <v>RY17</v>
      </c>
      <c r="V94" s="45" t="str">
        <f t="shared" si="69"/>
        <v>RY18</v>
      </c>
      <c r="W94" s="55" t="str">
        <f t="shared" si="69"/>
        <v>RY19</v>
      </c>
      <c r="X94" s="54" t="str">
        <f t="shared" si="69"/>
        <v>RY20</v>
      </c>
      <c r="Y94" s="45" t="str">
        <f>Y$10</f>
        <v>RY21</v>
      </c>
      <c r="Z94" s="45" t="str">
        <f t="shared" si="69"/>
        <v>RY22</v>
      </c>
      <c r="AA94" s="45" t="str">
        <f t="shared" si="69"/>
        <v>RY23</v>
      </c>
      <c r="AB94" s="55" t="str">
        <f t="shared" si="69"/>
        <v>RY24</v>
      </c>
    </row>
    <row r="95" spans="1:28" x14ac:dyDescent="0.35">
      <c r="J95" s="56"/>
      <c r="K95" s="57"/>
      <c r="L95" s="57"/>
      <c r="M95" s="57"/>
      <c r="N95" s="57"/>
      <c r="O95" s="57"/>
      <c r="P95" s="57"/>
      <c r="Q95" s="57"/>
      <c r="R95" s="58"/>
      <c r="S95" s="56"/>
      <c r="T95" s="57"/>
      <c r="U95" s="57"/>
      <c r="V95" s="57"/>
      <c r="W95" s="58"/>
      <c r="X95" s="56"/>
      <c r="Y95" s="57"/>
      <c r="Z95" s="57"/>
      <c r="AA95" s="57"/>
      <c r="AB95" s="58"/>
    </row>
    <row r="96" spans="1:28" ht="12.3" x14ac:dyDescent="0.35">
      <c r="D96" s="15" t="str">
        <f t="shared" ref="D96:D109" si="70">D18</f>
        <v>Substations</v>
      </c>
      <c r="E96" s="52" t="s">
        <v>197</v>
      </c>
      <c r="F96" s="52" t="str">
        <f t="shared" ref="F96:F112" si="71">Dollars</f>
        <v>Dollars</v>
      </c>
      <c r="G96" s="52" t="str">
        <f t="shared" ref="G96:G112" si="72">Nominal</f>
        <v>Nominal</v>
      </c>
      <c r="H96" s="52" t="str">
        <f t="shared" ref="H96:H112" si="73">End_year</f>
        <v>End_year</v>
      </c>
      <c r="J96" s="66">
        <f>Input_RAB_SCS!J98-Calc_RAB_Connection!J96</f>
        <v>1.7297196136068642</v>
      </c>
      <c r="K96" s="67">
        <f>Input_RAB_SCS!K98-Calc_RAB_Connection!K96</f>
        <v>2.1814994887110837</v>
      </c>
      <c r="L96" s="67">
        <f>Input_RAB_SCS!L98-Calc_RAB_Connection!L96</f>
        <v>19.022753570808526</v>
      </c>
      <c r="M96" s="67">
        <f>Input_RAB_SCS!M98-Calc_RAB_Connection!M96</f>
        <v>31.560057824059658</v>
      </c>
      <c r="N96" s="67">
        <f>Input_RAB_SCS!N98-Calc_RAB_Connection!N96</f>
        <v>32.998431793890191</v>
      </c>
      <c r="O96" s="67">
        <f>Input_RAB_SCS!O98-Calc_RAB_Connection!O96</f>
        <v>46.08523705020761</v>
      </c>
      <c r="P96" s="67">
        <f>Input_RAB_SCS!P98-Calc_RAB_Connection!P96</f>
        <v>42.575795653792696</v>
      </c>
      <c r="Q96" s="67">
        <f>Input_RAB_SCS!Q98-Calc_RAB_Connection!Q96</f>
        <v>50.205419839945108</v>
      </c>
      <c r="R96" s="68">
        <f>Input_RAB_SCS!R98-Calc_RAB_Connection!R96</f>
        <v>60.991620807906195</v>
      </c>
      <c r="S96" s="66">
        <f>Input_RAB_SCS!S98-Calc_RAB_Connection!S96</f>
        <v>33.048882340693943</v>
      </c>
      <c r="T96" s="67">
        <f>Input_RAB_SCS!T98-Calc_RAB_Connection!T96</f>
        <v>28.338276198485278</v>
      </c>
      <c r="U96" s="67">
        <f>Input_RAB_SCS!U98-Calc_RAB_Connection!U96</f>
        <v>14.51412420790942</v>
      </c>
      <c r="V96" s="67">
        <f>Input_RAB_SCS!V98-Calc_RAB_Connection!V96</f>
        <v>8.1194946258613196</v>
      </c>
      <c r="W96" s="68">
        <f>Input_RAB_SCS!W98-Calc_RAB_Connection!W96</f>
        <v>13.548615742032716</v>
      </c>
      <c r="X96" s="66">
        <f>Input_RAB_SCS!X98-Calc_RAB_Connection!X96</f>
        <v>12.59368146376316</v>
      </c>
      <c r="Y96" s="67">
        <f>Input_RAB_SCS!Y98-Calc_RAB_Connection!Y96</f>
        <v>11.470579833630053</v>
      </c>
      <c r="Z96" s="67">
        <f>Input_RAB_SCS!Z98-Calc_RAB_Connection!Z96</f>
        <v>16.637292498766907</v>
      </c>
      <c r="AA96" s="67">
        <f>Input_RAB_SCS!AA98-Calc_RAB_Connection!AA96</f>
        <v>17.363680798583964</v>
      </c>
      <c r="AB96" s="68">
        <f>Input_RAB_SCS!AB98-Calc_RAB_Connection!AB96</f>
        <v>11.288381760269168</v>
      </c>
    </row>
    <row r="97" spans="4:28" ht="12.3" x14ac:dyDescent="0.35">
      <c r="D97" s="15" t="str">
        <f t="shared" si="70"/>
        <v>Distribution Lines</v>
      </c>
      <c r="E97" s="52" t="str">
        <f t="shared" ref="E97:E111" si="74">E96</f>
        <v>Input_RAB_SCS/Calc_RAB_Connection</v>
      </c>
      <c r="F97" s="52" t="str">
        <f t="shared" si="71"/>
        <v>Dollars</v>
      </c>
      <c r="G97" s="52" t="str">
        <f t="shared" si="72"/>
        <v>Nominal</v>
      </c>
      <c r="H97" s="52" t="str">
        <f t="shared" si="73"/>
        <v>End_year</v>
      </c>
      <c r="J97" s="66">
        <f>Input_RAB_SCS!J99-Calc_RAB_Connection!J97</f>
        <v>9.6677496438221073</v>
      </c>
      <c r="K97" s="67">
        <f>Input_RAB_SCS!K99-Calc_RAB_Connection!K97</f>
        <v>12.1928379253368</v>
      </c>
      <c r="L97" s="67">
        <f>Input_RAB_SCS!L99-Calc_RAB_Connection!L97</f>
        <v>13.520328299687474</v>
      </c>
      <c r="M97" s="67">
        <f>Input_RAB_SCS!M99-Calc_RAB_Connection!M97</f>
        <v>12.505051994776162</v>
      </c>
      <c r="N97" s="67">
        <f>Input_RAB_SCS!N99-Calc_RAB_Connection!N97</f>
        <v>12.736364630964932</v>
      </c>
      <c r="O97" s="67">
        <f>Input_RAB_SCS!O99-Calc_RAB_Connection!O97</f>
        <v>13.232666370021549</v>
      </c>
      <c r="P97" s="67">
        <f>Input_RAB_SCS!P99-Calc_RAB_Connection!P97</f>
        <v>15.044860680503229</v>
      </c>
      <c r="Q97" s="67">
        <f>Input_RAB_SCS!Q99-Calc_RAB_Connection!Q97</f>
        <v>26.672808280035632</v>
      </c>
      <c r="R97" s="68">
        <f>Input_RAB_SCS!R99-Calc_RAB_Connection!R97</f>
        <v>17.041715212555154</v>
      </c>
      <c r="S97" s="66">
        <f>Input_RAB_SCS!S99-Calc_RAB_Connection!S97</f>
        <v>15.468210393482522</v>
      </c>
      <c r="T97" s="67">
        <f>Input_RAB_SCS!T99-Calc_RAB_Connection!T97</f>
        <v>10.455812134269729</v>
      </c>
      <c r="U97" s="67">
        <f>Input_RAB_SCS!U99-Calc_RAB_Connection!U97</f>
        <v>9.8822595326919469</v>
      </c>
      <c r="V97" s="67">
        <f>Input_RAB_SCS!V99-Calc_RAB_Connection!V97</f>
        <v>6.1286089390633558</v>
      </c>
      <c r="W97" s="68">
        <f>Input_RAB_SCS!W99-Calc_RAB_Connection!W97</f>
        <v>9.2858511671420327</v>
      </c>
      <c r="X97" s="66">
        <f>Input_RAB_SCS!X99-Calc_RAB_Connection!X97</f>
        <v>19.423750886406051</v>
      </c>
      <c r="Y97" s="67">
        <f>Input_RAB_SCS!Y99-Calc_RAB_Connection!Y97</f>
        <v>23.699826494421909</v>
      </c>
      <c r="Z97" s="67">
        <f>Input_RAB_SCS!Z99-Calc_RAB_Connection!Z97</f>
        <v>18.16111614496922</v>
      </c>
      <c r="AA97" s="67">
        <f>Input_RAB_SCS!AA99-Calc_RAB_Connection!AA97</f>
        <v>16.394208307949597</v>
      </c>
      <c r="AB97" s="68">
        <f>Input_RAB_SCS!AB99-Calc_RAB_Connection!AB97</f>
        <v>18.866830015751638</v>
      </c>
    </row>
    <row r="98" spans="4:28" ht="12.3" x14ac:dyDescent="0.35">
      <c r="D98" s="15" t="str">
        <f t="shared" si="70"/>
        <v>Transmission Lines</v>
      </c>
      <c r="E98" s="52" t="str">
        <f t="shared" si="74"/>
        <v>Input_RAB_SCS/Calc_RAB_Connection</v>
      </c>
      <c r="F98" s="52" t="str">
        <f t="shared" si="71"/>
        <v>Dollars</v>
      </c>
      <c r="G98" s="52" t="str">
        <f t="shared" si="72"/>
        <v>Nominal</v>
      </c>
      <c r="H98" s="52" t="str">
        <f t="shared" si="73"/>
        <v>End_year</v>
      </c>
      <c r="J98" s="66">
        <f>Input_RAB_SCS!J100-Calc_RAB_Connection!J98</f>
        <v>7.586037516636619</v>
      </c>
      <c r="K98" s="67">
        <f>Input_RAB_SCS!K100-Calc_RAB_Connection!K98</f>
        <v>9.5674101361304071</v>
      </c>
      <c r="L98" s="67">
        <f>Input_RAB_SCS!L100-Calc_RAB_Connection!L98</f>
        <v>2.3087614393226743</v>
      </c>
      <c r="M98" s="67">
        <f>Input_RAB_SCS!M100-Calc_RAB_Connection!M98</f>
        <v>1.6014435153799942</v>
      </c>
      <c r="N98" s="67">
        <f>Input_RAB_SCS!N100-Calc_RAB_Connection!N98</f>
        <v>15.999824402264412</v>
      </c>
      <c r="O98" s="67">
        <f>Input_RAB_SCS!O100-Calc_RAB_Connection!O98</f>
        <v>15.244485479658326</v>
      </c>
      <c r="P98" s="67">
        <f>Input_RAB_SCS!P100-Calc_RAB_Connection!P98</f>
        <v>8.2179839327020812</v>
      </c>
      <c r="Q98" s="67">
        <f>Input_RAB_SCS!Q100-Calc_RAB_Connection!Q98</f>
        <v>14.50547634503843</v>
      </c>
      <c r="R98" s="68">
        <f>Input_RAB_SCS!R100-Calc_RAB_Connection!R98</f>
        <v>3.2551895210875088</v>
      </c>
      <c r="S98" s="66">
        <f>Input_RAB_SCS!S100-Calc_RAB_Connection!S98</f>
        <v>3.4338906117240073</v>
      </c>
      <c r="T98" s="67">
        <f>Input_RAB_SCS!T100-Calc_RAB_Connection!T98</f>
        <v>6.0766802310541319</v>
      </c>
      <c r="U98" s="67">
        <f>Input_RAB_SCS!U100-Calc_RAB_Connection!U98</f>
        <v>6.0000085500220193</v>
      </c>
      <c r="V98" s="67">
        <f>Input_RAB_SCS!V100-Calc_RAB_Connection!V98</f>
        <v>8.5772958631322709</v>
      </c>
      <c r="W98" s="68">
        <f>Input_RAB_SCS!W100-Calc_RAB_Connection!W98</f>
        <v>0.24227691108625349</v>
      </c>
      <c r="X98" s="66">
        <f>Input_RAB_SCS!X100-Calc_RAB_Connection!X98</f>
        <v>3.0175569277476519</v>
      </c>
      <c r="Y98" s="67">
        <f>Input_RAB_SCS!Y100-Calc_RAB_Connection!Y98</f>
        <v>2.9857999612846271</v>
      </c>
      <c r="Z98" s="67">
        <f>Input_RAB_SCS!Z100-Calc_RAB_Connection!Z98</f>
        <v>2.9751146721756165</v>
      </c>
      <c r="AA98" s="67">
        <f>Input_RAB_SCS!AA100-Calc_RAB_Connection!AA98</f>
        <v>3.2825563100098716</v>
      </c>
      <c r="AB98" s="68">
        <f>Input_RAB_SCS!AB100-Calc_RAB_Connection!AB98</f>
        <v>3.4076697804021387</v>
      </c>
    </row>
    <row r="99" spans="4:28" ht="12.3" x14ac:dyDescent="0.35">
      <c r="D99" s="15" t="str">
        <f t="shared" si="70"/>
        <v>LV Services</v>
      </c>
      <c r="E99" s="52" t="str">
        <f t="shared" si="74"/>
        <v>Input_RAB_SCS/Calc_RAB_Connection</v>
      </c>
      <c r="F99" s="52" t="str">
        <f t="shared" si="71"/>
        <v>Dollars</v>
      </c>
      <c r="G99" s="52" t="str">
        <f t="shared" si="72"/>
        <v>Nominal</v>
      </c>
      <c r="H99" s="52" t="str">
        <f t="shared" si="73"/>
        <v>End_year</v>
      </c>
      <c r="J99" s="66">
        <f>Input_RAB_SCS!J101-Calc_RAB_Connection!J99</f>
        <v>0</v>
      </c>
      <c r="K99" s="67">
        <f>Input_RAB_SCS!K101-Calc_RAB_Connection!K99</f>
        <v>0</v>
      </c>
      <c r="L99" s="67">
        <f>Input_RAB_SCS!L101-Calc_RAB_Connection!L99</f>
        <v>0</v>
      </c>
      <c r="M99" s="67">
        <f>Input_RAB_SCS!M101-Calc_RAB_Connection!M99</f>
        <v>0</v>
      </c>
      <c r="N99" s="67">
        <f>Input_RAB_SCS!N101-Calc_RAB_Connection!N99</f>
        <v>0</v>
      </c>
      <c r="O99" s="67">
        <f>Input_RAB_SCS!O101-Calc_RAB_Connection!O99</f>
        <v>0</v>
      </c>
      <c r="P99" s="67">
        <f>Input_RAB_SCS!P101-Calc_RAB_Connection!P99</f>
        <v>0</v>
      </c>
      <c r="Q99" s="67">
        <f>Input_RAB_SCS!Q101-Calc_RAB_Connection!Q99</f>
        <v>0</v>
      </c>
      <c r="R99" s="68">
        <f>Input_RAB_SCS!R101-Calc_RAB_Connection!R99</f>
        <v>1.0050266161659728E-2</v>
      </c>
      <c r="S99" s="66">
        <f>Input_RAB_SCS!S101-Calc_RAB_Connection!S99</f>
        <v>1.8942775894786021</v>
      </c>
      <c r="T99" s="67">
        <f>Input_RAB_SCS!T101-Calc_RAB_Connection!T99</f>
        <v>1.9293274670851326</v>
      </c>
      <c r="U99" s="67">
        <f>Input_RAB_SCS!U101-Calc_RAB_Connection!U99</f>
        <v>1.7662241819694264</v>
      </c>
      <c r="V99" s="67">
        <f>Input_RAB_SCS!V101-Calc_RAB_Connection!V99</f>
        <v>2.2100986220997761E-2</v>
      </c>
      <c r="W99" s="68">
        <f>Input_RAB_SCS!W101-Calc_RAB_Connection!W99</f>
        <v>6.357981339634769E-2</v>
      </c>
      <c r="X99" s="66">
        <f>Input_RAB_SCS!X101-Calc_RAB_Connection!X99</f>
        <v>0.28768080367909155</v>
      </c>
      <c r="Y99" s="67">
        <f>Input_RAB_SCS!Y101-Calc_RAB_Connection!Y99</f>
        <v>0.40962305734912829</v>
      </c>
      <c r="Z99" s="67">
        <f>Input_RAB_SCS!Z101-Calc_RAB_Connection!Z99</f>
        <v>0.35411715515764175</v>
      </c>
      <c r="AA99" s="67">
        <f>Input_RAB_SCS!AA101-Calc_RAB_Connection!AA99</f>
        <v>0.31034843767800468</v>
      </c>
      <c r="AB99" s="68">
        <f>Input_RAB_SCS!AB101-Calc_RAB_Connection!AB99</f>
        <v>0.34716376657071635</v>
      </c>
    </row>
    <row r="100" spans="4:28" ht="12.3" x14ac:dyDescent="0.35">
      <c r="D100" s="15" t="str">
        <f t="shared" si="70"/>
        <v>Distribution Substations</v>
      </c>
      <c r="E100" s="52" t="str">
        <f t="shared" si="74"/>
        <v>Input_RAB_SCS/Calc_RAB_Connection</v>
      </c>
      <c r="F100" s="52" t="str">
        <f t="shared" si="71"/>
        <v>Dollars</v>
      </c>
      <c r="G100" s="52" t="str">
        <f t="shared" si="72"/>
        <v>Nominal</v>
      </c>
      <c r="H100" s="52" t="str">
        <f t="shared" si="73"/>
        <v>End_year</v>
      </c>
      <c r="J100" s="66">
        <f>Input_RAB_SCS!J102-Calc_RAB_Connection!J100</f>
        <v>1.2070902436531148</v>
      </c>
      <c r="K100" s="67">
        <f>Input_RAB_SCS!K102-Calc_RAB_Connection!K100</f>
        <v>1.5223662428539149</v>
      </c>
      <c r="L100" s="67">
        <f>Input_RAB_SCS!L102-Calc_RAB_Connection!L100</f>
        <v>3.8439352768734882</v>
      </c>
      <c r="M100" s="67">
        <f>Input_RAB_SCS!M102-Calc_RAB_Connection!M100</f>
        <v>2.2731093180069135</v>
      </c>
      <c r="N100" s="67">
        <f>Input_RAB_SCS!N102-Calc_RAB_Connection!N100</f>
        <v>12.965927197906746</v>
      </c>
      <c r="O100" s="67">
        <f>Input_RAB_SCS!O102-Calc_RAB_Connection!O100</f>
        <v>12.610711778961104</v>
      </c>
      <c r="P100" s="67">
        <f>Input_RAB_SCS!P102-Calc_RAB_Connection!P100</f>
        <v>5.111326321986299</v>
      </c>
      <c r="Q100" s="67">
        <f>Input_RAB_SCS!Q102-Calc_RAB_Connection!Q100</f>
        <v>5.050242795891605</v>
      </c>
      <c r="R100" s="68">
        <f>Input_RAB_SCS!R102-Calc_RAB_Connection!R100</f>
        <v>4.5089550178269784</v>
      </c>
      <c r="S100" s="66">
        <f>Input_RAB_SCS!S102-Calc_RAB_Connection!S100</f>
        <v>8.7636211277955116</v>
      </c>
      <c r="T100" s="67">
        <f>Input_RAB_SCS!T102-Calc_RAB_Connection!T100</f>
        <v>6.0023911296023078</v>
      </c>
      <c r="U100" s="67">
        <f>Input_RAB_SCS!U102-Calc_RAB_Connection!U100</f>
        <v>3.5387802802130901</v>
      </c>
      <c r="V100" s="67">
        <f>Input_RAB_SCS!V102-Calc_RAB_Connection!V100</f>
        <v>1.9139119120672021</v>
      </c>
      <c r="W100" s="68">
        <f>Input_RAB_SCS!W102-Calc_RAB_Connection!W100</f>
        <v>3.9119083524491804</v>
      </c>
      <c r="X100" s="66">
        <f>Input_RAB_SCS!X102-Calc_RAB_Connection!X100</f>
        <v>4.4253484583281972</v>
      </c>
      <c r="Y100" s="67">
        <f>Input_RAB_SCS!Y102-Calc_RAB_Connection!Y100</f>
        <v>5.1563103894786328</v>
      </c>
      <c r="Z100" s="67">
        <f>Input_RAB_SCS!Z102-Calc_RAB_Connection!Z100</f>
        <v>5.352938758937916</v>
      </c>
      <c r="AA100" s="67">
        <f>Input_RAB_SCS!AA102-Calc_RAB_Connection!AA100</f>
        <v>6.359496067420749</v>
      </c>
      <c r="AB100" s="68">
        <f>Input_RAB_SCS!AB102-Calc_RAB_Connection!AB100</f>
        <v>6.8634542832213725</v>
      </c>
    </row>
    <row r="101" spans="4:28" ht="12.3" x14ac:dyDescent="0.35">
      <c r="D101" s="15" t="str">
        <f t="shared" si="70"/>
        <v>Distribution Switchgear</v>
      </c>
      <c r="E101" s="52" t="str">
        <f t="shared" si="74"/>
        <v>Input_RAB_SCS/Calc_RAB_Connection</v>
      </c>
      <c r="F101" s="52" t="str">
        <f t="shared" si="71"/>
        <v>Dollars</v>
      </c>
      <c r="G101" s="52" t="str">
        <f t="shared" si="72"/>
        <v>Nominal</v>
      </c>
      <c r="H101" s="52" t="str">
        <f t="shared" si="73"/>
        <v>End_year</v>
      </c>
      <c r="J101" s="66">
        <f>Input_RAB_SCS!J103-Calc_RAB_Connection!J101</f>
        <v>0</v>
      </c>
      <c r="K101" s="67">
        <f>Input_RAB_SCS!K103-Calc_RAB_Connection!K101</f>
        <v>0</v>
      </c>
      <c r="L101" s="67">
        <f>Input_RAB_SCS!L103-Calc_RAB_Connection!L101</f>
        <v>0.37252028136259052</v>
      </c>
      <c r="M101" s="67">
        <f>Input_RAB_SCS!M103-Calc_RAB_Connection!M101</f>
        <v>5.1276548476554904</v>
      </c>
      <c r="N101" s="67">
        <f>Input_RAB_SCS!N103-Calc_RAB_Connection!N101</f>
        <v>0</v>
      </c>
      <c r="O101" s="67">
        <f>Input_RAB_SCS!O103-Calc_RAB_Connection!O101</f>
        <v>0</v>
      </c>
      <c r="P101" s="67">
        <f>Input_RAB_SCS!P103-Calc_RAB_Connection!P101</f>
        <v>0</v>
      </c>
      <c r="Q101" s="67">
        <f>Input_RAB_SCS!Q103-Calc_RAB_Connection!Q101</f>
        <v>0</v>
      </c>
      <c r="R101" s="68">
        <f>Input_RAB_SCS!R103-Calc_RAB_Connection!R101</f>
        <v>0.79384022917242159</v>
      </c>
      <c r="S101" s="66">
        <f>Input_RAB_SCS!S103-Calc_RAB_Connection!S101</f>
        <v>5.1257797783647874</v>
      </c>
      <c r="T101" s="67">
        <f>Input_RAB_SCS!T103-Calc_RAB_Connection!T101</f>
        <v>5.9924062539759877</v>
      </c>
      <c r="U101" s="67">
        <f>Input_RAB_SCS!U103-Calc_RAB_Connection!U101</f>
        <v>5.3251441438425653</v>
      </c>
      <c r="V101" s="67">
        <f>Input_RAB_SCS!V103-Calc_RAB_Connection!V101</f>
        <v>4.6335980822710274</v>
      </c>
      <c r="W101" s="68">
        <f>Input_RAB_SCS!W103-Calc_RAB_Connection!W101</f>
        <v>3.5990459043718319</v>
      </c>
      <c r="X101" s="66">
        <f>Input_RAB_SCS!X103-Calc_RAB_Connection!X101</f>
        <v>5.2600401588591712</v>
      </c>
      <c r="Y101" s="67">
        <f>Input_RAB_SCS!Y103-Calc_RAB_Connection!Y101</f>
        <v>5.7132629005445645</v>
      </c>
      <c r="Z101" s="67">
        <f>Input_RAB_SCS!Z103-Calc_RAB_Connection!Z101</f>
        <v>5.506127377591902</v>
      </c>
      <c r="AA101" s="67">
        <f>Input_RAB_SCS!AA103-Calc_RAB_Connection!AA101</f>
        <v>6.1629282471997575</v>
      </c>
      <c r="AB101" s="68">
        <f>Input_RAB_SCS!AB103-Calc_RAB_Connection!AB101</f>
        <v>6.5590882512291744</v>
      </c>
    </row>
    <row r="102" spans="4:28" ht="12.3" x14ac:dyDescent="0.35">
      <c r="D102" s="15" t="str">
        <f t="shared" si="70"/>
        <v>Protection</v>
      </c>
      <c r="E102" s="52" t="str">
        <f t="shared" si="74"/>
        <v>Input_RAB_SCS/Calc_RAB_Connection</v>
      </c>
      <c r="F102" s="52" t="str">
        <f t="shared" si="71"/>
        <v>Dollars</v>
      </c>
      <c r="G102" s="52" t="str">
        <f t="shared" si="72"/>
        <v>Nominal</v>
      </c>
      <c r="H102" s="52" t="str">
        <f t="shared" si="73"/>
        <v>End_year</v>
      </c>
      <c r="J102" s="66">
        <f>Input_RAB_SCS!J104-Calc_RAB_Connection!J102</f>
        <v>0</v>
      </c>
      <c r="K102" s="67">
        <f>Input_RAB_SCS!K104-Calc_RAB_Connection!K102</f>
        <v>0</v>
      </c>
      <c r="L102" s="67">
        <f>Input_RAB_SCS!L104-Calc_RAB_Connection!L102</f>
        <v>0</v>
      </c>
      <c r="M102" s="67">
        <f>Input_RAB_SCS!M104-Calc_RAB_Connection!M102</f>
        <v>0</v>
      </c>
      <c r="N102" s="67">
        <f>Input_RAB_SCS!N104-Calc_RAB_Connection!N102</f>
        <v>2.1283974333164677</v>
      </c>
      <c r="O102" s="67">
        <f>Input_RAB_SCS!O104-Calc_RAB_Connection!O102</f>
        <v>1.9826151425355152</v>
      </c>
      <c r="P102" s="67">
        <f>Input_RAB_SCS!P104-Calc_RAB_Connection!P102</f>
        <v>2.2661747434121531</v>
      </c>
      <c r="Q102" s="67">
        <f>Input_RAB_SCS!Q104-Calc_RAB_Connection!Q102</f>
        <v>4.7302031154511317</v>
      </c>
      <c r="R102" s="68">
        <f>Input_RAB_SCS!R104-Calc_RAB_Connection!R102</f>
        <v>1.5853315412159839</v>
      </c>
      <c r="S102" s="66">
        <f>Input_RAB_SCS!S104-Calc_RAB_Connection!S102</f>
        <v>5.8074159367848326</v>
      </c>
      <c r="T102" s="67">
        <f>Input_RAB_SCS!T104-Calc_RAB_Connection!T102</f>
        <v>4.9105647081739008</v>
      </c>
      <c r="U102" s="67">
        <f>Input_RAB_SCS!U104-Calc_RAB_Connection!U102</f>
        <v>3.0280015241527409</v>
      </c>
      <c r="V102" s="67">
        <f>Input_RAB_SCS!V104-Calc_RAB_Connection!V102</f>
        <v>1.0053446559797936</v>
      </c>
      <c r="W102" s="68">
        <f>Input_RAB_SCS!W104-Calc_RAB_Connection!W102</f>
        <v>2.5801616727050334</v>
      </c>
      <c r="X102" s="66">
        <f>Input_RAB_SCS!X104-Calc_RAB_Connection!X102</f>
        <v>3.9363722208495893</v>
      </c>
      <c r="Y102" s="67">
        <f>Input_RAB_SCS!Y104-Calc_RAB_Connection!Y102</f>
        <v>4.4536866265546262</v>
      </c>
      <c r="Z102" s="67">
        <f>Input_RAB_SCS!Z104-Calc_RAB_Connection!Z102</f>
        <v>2.7796596077337443</v>
      </c>
      <c r="AA102" s="67">
        <f>Input_RAB_SCS!AA104-Calc_RAB_Connection!AA102</f>
        <v>2.9279591777557186</v>
      </c>
      <c r="AB102" s="68">
        <f>Input_RAB_SCS!AB104-Calc_RAB_Connection!AB102</f>
        <v>2.4168734306737818</v>
      </c>
    </row>
    <row r="103" spans="4:28" ht="12.3" x14ac:dyDescent="0.35">
      <c r="D103" s="15" t="str">
        <f t="shared" si="70"/>
        <v>SCADA</v>
      </c>
      <c r="E103" s="52" t="str">
        <f t="shared" si="74"/>
        <v>Input_RAB_SCS/Calc_RAB_Connection</v>
      </c>
      <c r="F103" s="52" t="str">
        <f t="shared" si="71"/>
        <v>Dollars</v>
      </c>
      <c r="G103" s="52" t="str">
        <f t="shared" si="72"/>
        <v>Nominal</v>
      </c>
      <c r="H103" s="52" t="str">
        <f t="shared" si="73"/>
        <v>End_year</v>
      </c>
      <c r="J103" s="66">
        <f>Input_RAB_SCS!J105-Calc_RAB_Connection!J103</f>
        <v>8.3943026459651696E-2</v>
      </c>
      <c r="K103" s="67">
        <f>Input_RAB_SCS!K105-Calc_RAB_Connection!K103</f>
        <v>0.10586783422125873</v>
      </c>
      <c r="L103" s="67">
        <f>Input_RAB_SCS!L105-Calc_RAB_Connection!L103</f>
        <v>3.4256074667353396</v>
      </c>
      <c r="M103" s="67">
        <f>Input_RAB_SCS!M105-Calc_RAB_Connection!M103</f>
        <v>0</v>
      </c>
      <c r="N103" s="67">
        <f>Input_RAB_SCS!N105-Calc_RAB_Connection!N103</f>
        <v>0</v>
      </c>
      <c r="O103" s="67">
        <f>Input_RAB_SCS!O105-Calc_RAB_Connection!O103</f>
        <v>0</v>
      </c>
      <c r="P103" s="67">
        <f>Input_RAB_SCS!P105-Calc_RAB_Connection!P103</f>
        <v>0</v>
      </c>
      <c r="Q103" s="67">
        <f>Input_RAB_SCS!Q105-Calc_RAB_Connection!Q103</f>
        <v>0</v>
      </c>
      <c r="R103" s="68">
        <f>Input_RAB_SCS!R105-Calc_RAB_Connection!R103</f>
        <v>0.71187385993712382</v>
      </c>
      <c r="S103" s="66">
        <f>Input_RAB_SCS!S105-Calc_RAB_Connection!S103</f>
        <v>2.3037714771811681</v>
      </c>
      <c r="T103" s="67">
        <f>Input_RAB_SCS!T105-Calc_RAB_Connection!T103</f>
        <v>1.0926039999907513</v>
      </c>
      <c r="U103" s="67">
        <f>Input_RAB_SCS!U105-Calc_RAB_Connection!U103</f>
        <v>0.59332005991312708</v>
      </c>
      <c r="V103" s="67">
        <f>Input_RAB_SCS!V105-Calc_RAB_Connection!V103</f>
        <v>0.47923942508812239</v>
      </c>
      <c r="W103" s="68">
        <f>Input_RAB_SCS!W105-Calc_RAB_Connection!W103</f>
        <v>1.2188129762007469</v>
      </c>
      <c r="X103" s="66">
        <f>Input_RAB_SCS!X105-Calc_RAB_Connection!X103</f>
        <v>1.0850888381002781</v>
      </c>
      <c r="Y103" s="67">
        <f>Input_RAB_SCS!Y105-Calc_RAB_Connection!Y103</f>
        <v>1.3862642677392913</v>
      </c>
      <c r="Z103" s="67">
        <f>Input_RAB_SCS!Z105-Calc_RAB_Connection!Z103</f>
        <v>1.2475017871424214</v>
      </c>
      <c r="AA103" s="67">
        <f>Input_RAB_SCS!AA105-Calc_RAB_Connection!AA103</f>
        <v>0.98274062367579496</v>
      </c>
      <c r="AB103" s="68">
        <f>Input_RAB_SCS!AB105-Calc_RAB_Connection!AB103</f>
        <v>0.78076578711312961</v>
      </c>
    </row>
    <row r="104" spans="4:28" ht="12.3" x14ac:dyDescent="0.35">
      <c r="D104" s="15" t="str">
        <f t="shared" si="70"/>
        <v>Communications</v>
      </c>
      <c r="E104" s="52" t="str">
        <f t="shared" si="74"/>
        <v>Input_RAB_SCS/Calc_RAB_Connection</v>
      </c>
      <c r="F104" s="52" t="str">
        <f t="shared" si="71"/>
        <v>Dollars</v>
      </c>
      <c r="G104" s="52" t="str">
        <f t="shared" si="72"/>
        <v>Nominal</v>
      </c>
      <c r="H104" s="52" t="str">
        <f t="shared" si="73"/>
        <v>End_year</v>
      </c>
      <c r="J104" s="66">
        <f>Input_RAB_SCS!J106-Calc_RAB_Connection!J104</f>
        <v>1.2035966804286071</v>
      </c>
      <c r="K104" s="67">
        <f>Input_RAB_SCS!K106-Calc_RAB_Connection!K104</f>
        <v>1.5179602071426408</v>
      </c>
      <c r="L104" s="67">
        <f>Input_RAB_SCS!L106-Calc_RAB_Connection!L104</f>
        <v>0.44057279695496276</v>
      </c>
      <c r="M104" s="67">
        <f>Input_RAB_SCS!M106-Calc_RAB_Connection!M104</f>
        <v>2.3426371215720421</v>
      </c>
      <c r="N104" s="67">
        <f>Input_RAB_SCS!N106-Calc_RAB_Connection!N104</f>
        <v>0.39549683357469811</v>
      </c>
      <c r="O104" s="67">
        <f>Input_RAB_SCS!O106-Calc_RAB_Connection!O104</f>
        <v>0.42178858219291632</v>
      </c>
      <c r="P104" s="67">
        <f>Input_RAB_SCS!P106-Calc_RAB_Connection!P104</f>
        <v>0.39665745169629274</v>
      </c>
      <c r="Q104" s="67">
        <f>Input_RAB_SCS!Q106-Calc_RAB_Connection!Q104</f>
        <v>0.51415251254903616</v>
      </c>
      <c r="R104" s="68">
        <f>Input_RAB_SCS!R106-Calc_RAB_Connection!R104</f>
        <v>2.3460148312661988</v>
      </c>
      <c r="S104" s="66">
        <f>Input_RAB_SCS!S106-Calc_RAB_Connection!S104</f>
        <v>3.0039089745652112</v>
      </c>
      <c r="T104" s="67">
        <f>Input_RAB_SCS!T106-Calc_RAB_Connection!T104</f>
        <v>1.8351727588224627</v>
      </c>
      <c r="U104" s="67">
        <f>Input_RAB_SCS!U106-Calc_RAB_Connection!U104</f>
        <v>0.85827015773831794</v>
      </c>
      <c r="V104" s="67">
        <f>Input_RAB_SCS!V106-Calc_RAB_Connection!V104</f>
        <v>5.2845461998948595</v>
      </c>
      <c r="W104" s="68">
        <f>Input_RAB_SCS!W106-Calc_RAB_Connection!W104</f>
        <v>1.8810137099825635</v>
      </c>
      <c r="X104" s="66">
        <f>Input_RAB_SCS!X106-Calc_RAB_Connection!X104</f>
        <v>2.907939553637636</v>
      </c>
      <c r="Y104" s="67">
        <f>Input_RAB_SCS!Y106-Calc_RAB_Connection!Y104</f>
        <v>3.2517309984008063</v>
      </c>
      <c r="Z104" s="67">
        <f>Input_RAB_SCS!Z106-Calc_RAB_Connection!Z104</f>
        <v>3.0787452096984897</v>
      </c>
      <c r="AA104" s="67">
        <f>Input_RAB_SCS!AA106-Calc_RAB_Connection!AA104</f>
        <v>2.8295403818647706</v>
      </c>
      <c r="AB104" s="68">
        <f>Input_RAB_SCS!AB106-Calc_RAB_Connection!AB104</f>
        <v>2.3453412825367113</v>
      </c>
    </row>
    <row r="105" spans="4:28" ht="12.3" x14ac:dyDescent="0.35">
      <c r="D105" s="15" t="str">
        <f t="shared" si="70"/>
        <v>Land and Easements</v>
      </c>
      <c r="E105" s="52" t="str">
        <f t="shared" si="74"/>
        <v>Input_RAB_SCS/Calc_RAB_Connection</v>
      </c>
      <c r="F105" s="52" t="str">
        <f t="shared" si="71"/>
        <v>Dollars</v>
      </c>
      <c r="G105" s="52" t="str">
        <f t="shared" si="72"/>
        <v>Nominal</v>
      </c>
      <c r="H105" s="52" t="str">
        <f t="shared" si="73"/>
        <v>End_year</v>
      </c>
      <c r="J105" s="66">
        <f>Input_RAB_SCS!J107-Calc_RAB_Connection!J105</f>
        <v>0.59139052635087741</v>
      </c>
      <c r="K105" s="67">
        <f>Input_RAB_SCS!K107-Calc_RAB_Connection!K105</f>
        <v>0.74585390644488558</v>
      </c>
      <c r="L105" s="67">
        <f>Input_RAB_SCS!L107-Calc_RAB_Connection!L105</f>
        <v>0</v>
      </c>
      <c r="M105" s="67">
        <f>Input_RAB_SCS!M107-Calc_RAB_Connection!M105</f>
        <v>0</v>
      </c>
      <c r="N105" s="67">
        <f>Input_RAB_SCS!N107-Calc_RAB_Connection!N105</f>
        <v>0</v>
      </c>
      <c r="O105" s="67">
        <f>Input_RAB_SCS!O107-Calc_RAB_Connection!O105</f>
        <v>0</v>
      </c>
      <c r="P105" s="67">
        <f>Input_RAB_SCS!P107-Calc_RAB_Connection!P105</f>
        <v>0</v>
      </c>
      <c r="Q105" s="67">
        <f>Input_RAB_SCS!Q107-Calc_RAB_Connection!Q105</f>
        <v>-4.4607753397497785E-2</v>
      </c>
      <c r="R105" s="68">
        <f>Input_RAB_SCS!R107-Calc_RAB_Connection!R105</f>
        <v>0.72800614423817966</v>
      </c>
      <c r="S105" s="66">
        <f>Input_RAB_SCS!S107-Calc_RAB_Connection!S105</f>
        <v>0</v>
      </c>
      <c r="T105" s="67">
        <f>Input_RAB_SCS!T107-Calc_RAB_Connection!T105</f>
        <v>0</v>
      </c>
      <c r="U105" s="67">
        <f>Input_RAB_SCS!U107-Calc_RAB_Connection!U105</f>
        <v>-1.081144242647495E-4</v>
      </c>
      <c r="V105" s="67">
        <f>Input_RAB_SCS!V107-Calc_RAB_Connection!V105</f>
        <v>0</v>
      </c>
      <c r="W105" s="68">
        <f>Input_RAB_SCS!W107-Calc_RAB_Connection!W105</f>
        <v>9.4537731622486891</v>
      </c>
      <c r="X105" s="66">
        <f>Input_RAB_SCS!X107-Calc_RAB_Connection!X105</f>
        <v>0</v>
      </c>
      <c r="Y105" s="67">
        <f>Input_RAB_SCS!Y107-Calc_RAB_Connection!Y105</f>
        <v>0</v>
      </c>
      <c r="Z105" s="67">
        <f>Input_RAB_SCS!Z107-Calc_RAB_Connection!Z105</f>
        <v>0</v>
      </c>
      <c r="AA105" s="67">
        <f>Input_RAB_SCS!AA107-Calc_RAB_Connection!AA105</f>
        <v>0</v>
      </c>
      <c r="AB105" s="68">
        <f>Input_RAB_SCS!AB107-Calc_RAB_Connection!AB105</f>
        <v>0</v>
      </c>
    </row>
    <row r="106" spans="4:28" ht="12.3" x14ac:dyDescent="0.35">
      <c r="D106" s="15" t="str">
        <f t="shared" si="70"/>
        <v>Property</v>
      </c>
      <c r="E106" s="52" t="str">
        <f t="shared" si="74"/>
        <v>Input_RAB_SCS/Calc_RAB_Connection</v>
      </c>
      <c r="F106" s="52" t="str">
        <f t="shared" si="71"/>
        <v>Dollars</v>
      </c>
      <c r="G106" s="52" t="str">
        <f t="shared" si="72"/>
        <v>Nominal</v>
      </c>
      <c r="H106" s="52" t="str">
        <f t="shared" si="73"/>
        <v>End_year</v>
      </c>
      <c r="J106" s="66">
        <f>Input_RAB_SCS!J108-Calc_RAB_Connection!J106</f>
        <v>9.1570493467389755E-2</v>
      </c>
      <c r="K106" s="67">
        <f>Input_RAB_SCS!K108-Calc_RAB_Connection!K106</f>
        <v>0.11548749468336357</v>
      </c>
      <c r="L106" s="67">
        <f>Input_RAB_SCS!L108-Calc_RAB_Connection!L106</f>
        <v>1.7873403067707199</v>
      </c>
      <c r="M106" s="67">
        <f>Input_RAB_SCS!M108-Calc_RAB_Connection!M106</f>
        <v>0.3496383138039782</v>
      </c>
      <c r="N106" s="67">
        <f>Input_RAB_SCS!N108-Calc_RAB_Connection!N106</f>
        <v>0</v>
      </c>
      <c r="O106" s="67">
        <f>Input_RAB_SCS!O108-Calc_RAB_Connection!O106</f>
        <v>0</v>
      </c>
      <c r="P106" s="67">
        <f>Input_RAB_SCS!P108-Calc_RAB_Connection!P106</f>
        <v>0</v>
      </c>
      <c r="Q106" s="67">
        <f>Input_RAB_SCS!Q108-Calc_RAB_Connection!Q106</f>
        <v>0</v>
      </c>
      <c r="R106" s="68">
        <f>Input_RAB_SCS!R108-Calc_RAB_Connection!R106</f>
        <v>0.25947115465730947</v>
      </c>
      <c r="S106" s="66">
        <f>Input_RAB_SCS!S108-Calc_RAB_Connection!S106</f>
        <v>1.0627456277773667E-2</v>
      </c>
      <c r="T106" s="67">
        <f>Input_RAB_SCS!T108-Calc_RAB_Connection!T106</f>
        <v>4.3281891275304935E-2</v>
      </c>
      <c r="U106" s="67">
        <f>Input_RAB_SCS!U108-Calc_RAB_Connection!U106</f>
        <v>3.7957341261358149E-2</v>
      </c>
      <c r="V106" s="67">
        <f>Input_RAB_SCS!V108-Calc_RAB_Connection!V106</f>
        <v>0</v>
      </c>
      <c r="W106" s="68">
        <f>Input_RAB_SCS!W108-Calc_RAB_Connection!W106</f>
        <v>10.581564316316422</v>
      </c>
      <c r="X106" s="66">
        <f>Input_RAB_SCS!X108-Calc_RAB_Connection!X106</f>
        <v>8.874696507300289</v>
      </c>
      <c r="Y106" s="67">
        <f>Input_RAB_SCS!Y108-Calc_RAB_Connection!Y106</f>
        <v>1.075111789410534</v>
      </c>
      <c r="Z106" s="67">
        <f>Input_RAB_SCS!Z108-Calc_RAB_Connection!Z106</f>
        <v>1.1087155735991321</v>
      </c>
      <c r="AA106" s="67">
        <f>Input_RAB_SCS!AA108-Calc_RAB_Connection!AA106</f>
        <v>1.0465681074815427</v>
      </c>
      <c r="AB106" s="68">
        <f>Input_RAB_SCS!AB108-Calc_RAB_Connection!AB106</f>
        <v>1.0759500452234445</v>
      </c>
    </row>
    <row r="107" spans="4:28" ht="12.3" x14ac:dyDescent="0.35">
      <c r="D107" s="15" t="str">
        <f t="shared" si="70"/>
        <v>IT and Communications</v>
      </c>
      <c r="E107" s="52" t="str">
        <f t="shared" si="74"/>
        <v>Input_RAB_SCS/Calc_RAB_Connection</v>
      </c>
      <c r="F107" s="52" t="str">
        <f t="shared" si="71"/>
        <v>Dollars</v>
      </c>
      <c r="G107" s="52" t="str">
        <f t="shared" si="72"/>
        <v>Nominal</v>
      </c>
      <c r="H107" s="52" t="str">
        <f t="shared" si="73"/>
        <v>End_year</v>
      </c>
      <c r="J107" s="66">
        <f>Input_RAB_SCS!J109-Calc_RAB_Connection!J107</f>
        <v>0</v>
      </c>
      <c r="K107" s="67">
        <f>Input_RAB_SCS!K109-Calc_RAB_Connection!K107</f>
        <v>0</v>
      </c>
      <c r="L107" s="67">
        <f>Input_RAB_SCS!L109-Calc_RAB_Connection!L107</f>
        <v>0</v>
      </c>
      <c r="M107" s="67">
        <f>Input_RAB_SCS!M109-Calc_RAB_Connection!M107</f>
        <v>0</v>
      </c>
      <c r="N107" s="67">
        <f>Input_RAB_SCS!N109-Calc_RAB_Connection!N107</f>
        <v>0</v>
      </c>
      <c r="O107" s="67">
        <f>Input_RAB_SCS!O109-Calc_RAB_Connection!O107</f>
        <v>0</v>
      </c>
      <c r="P107" s="67">
        <f>Input_RAB_SCS!P109-Calc_RAB_Connection!P107</f>
        <v>0</v>
      </c>
      <c r="Q107" s="67">
        <f>Input_RAB_SCS!Q109-Calc_RAB_Connection!Q107</f>
        <v>0</v>
      </c>
      <c r="R107" s="68">
        <f>Input_RAB_SCS!R109-Calc_RAB_Connection!R107</f>
        <v>0</v>
      </c>
      <c r="S107" s="66">
        <f>Input_RAB_SCS!S109-Calc_RAB_Connection!S107</f>
        <v>0.43562583107216868</v>
      </c>
      <c r="T107" s="67">
        <f>Input_RAB_SCS!T109-Calc_RAB_Connection!T107</f>
        <v>0.92347398828148231</v>
      </c>
      <c r="U107" s="67">
        <f>Input_RAB_SCS!U109-Calc_RAB_Connection!U107</f>
        <v>2.8299862949467238</v>
      </c>
      <c r="V107" s="67">
        <f>Input_RAB_SCS!V109-Calc_RAB_Connection!V107</f>
        <v>4.6078864409133056</v>
      </c>
      <c r="W107" s="68">
        <f>Input_RAB_SCS!W109-Calc_RAB_Connection!W107</f>
        <v>5.0931793882574237</v>
      </c>
      <c r="X107" s="66">
        <f>Input_RAB_SCS!X109-Calc_RAB_Connection!X107</f>
        <v>12.809221244316564</v>
      </c>
      <c r="Y107" s="67">
        <f>Input_RAB_SCS!Y109-Calc_RAB_Connection!Y107</f>
        <v>12.717296131397488</v>
      </c>
      <c r="Z107" s="67">
        <f>Input_RAB_SCS!Z109-Calc_RAB_Connection!Z107</f>
        <v>16.948184111335525</v>
      </c>
      <c r="AA107" s="67">
        <f>Input_RAB_SCS!AA109-Calc_RAB_Connection!AA107</f>
        <v>7.859030318938979</v>
      </c>
      <c r="AB107" s="68">
        <f>Input_RAB_SCS!AB109-Calc_RAB_Connection!AB107</f>
        <v>7.2293128436400895</v>
      </c>
    </row>
    <row r="108" spans="4:28" ht="12.3" x14ac:dyDescent="0.35">
      <c r="D108" s="15" t="str">
        <f t="shared" si="70"/>
        <v>Motor Vehicles</v>
      </c>
      <c r="E108" s="52" t="str">
        <f t="shared" si="74"/>
        <v>Input_RAB_SCS/Calc_RAB_Connection</v>
      </c>
      <c r="F108" s="52" t="str">
        <f t="shared" si="71"/>
        <v>Dollars</v>
      </c>
      <c r="G108" s="52" t="str">
        <f t="shared" si="72"/>
        <v>Nominal</v>
      </c>
      <c r="H108" s="52" t="str">
        <f t="shared" si="73"/>
        <v>End_year</v>
      </c>
      <c r="J108" s="66">
        <f>Input_RAB_SCS!J110-Calc_RAB_Connection!J108</f>
        <v>0</v>
      </c>
      <c r="K108" s="67">
        <f>Input_RAB_SCS!K110-Calc_RAB_Connection!K108</f>
        <v>0</v>
      </c>
      <c r="L108" s="67">
        <f>Input_RAB_SCS!L110-Calc_RAB_Connection!L108</f>
        <v>0</v>
      </c>
      <c r="M108" s="67">
        <f>Input_RAB_SCS!M110-Calc_RAB_Connection!M108</f>
        <v>0</v>
      </c>
      <c r="N108" s="67">
        <f>Input_RAB_SCS!N110-Calc_RAB_Connection!N108</f>
        <v>0</v>
      </c>
      <c r="O108" s="67">
        <f>Input_RAB_SCS!O110-Calc_RAB_Connection!O108</f>
        <v>0</v>
      </c>
      <c r="P108" s="67">
        <f>Input_RAB_SCS!P110-Calc_RAB_Connection!P108</f>
        <v>0</v>
      </c>
      <c r="Q108" s="67">
        <f>Input_RAB_SCS!Q110-Calc_RAB_Connection!Q108</f>
        <v>0</v>
      </c>
      <c r="R108" s="68">
        <f>Input_RAB_SCS!R110-Calc_RAB_Connection!R108</f>
        <v>1.2553774046335875E-2</v>
      </c>
      <c r="S108" s="66">
        <f>Input_RAB_SCS!S110-Calc_RAB_Connection!S108</f>
        <v>7.3962878050431016E-2</v>
      </c>
      <c r="T108" s="67">
        <f>Input_RAB_SCS!T110-Calc_RAB_Connection!T108</f>
        <v>9.7526633210325512E-3</v>
      </c>
      <c r="U108" s="67">
        <f>Input_RAB_SCS!U110-Calc_RAB_Connection!U108</f>
        <v>4.7822017993493296E-5</v>
      </c>
      <c r="V108" s="67">
        <f>Input_RAB_SCS!V110-Calc_RAB_Connection!V108</f>
        <v>0</v>
      </c>
      <c r="W108" s="68">
        <f>Input_RAB_SCS!W110-Calc_RAB_Connection!W108</f>
        <v>0</v>
      </c>
      <c r="X108" s="66">
        <f>Input_RAB_SCS!X110-Calc_RAB_Connection!X108</f>
        <v>0</v>
      </c>
      <c r="Y108" s="67">
        <f>Input_RAB_SCS!Y110-Calc_RAB_Connection!Y108</f>
        <v>0</v>
      </c>
      <c r="Z108" s="67">
        <f>Input_RAB_SCS!Z110-Calc_RAB_Connection!Z108</f>
        <v>0</v>
      </c>
      <c r="AA108" s="67">
        <f>Input_RAB_SCS!AA110-Calc_RAB_Connection!AA108</f>
        <v>0</v>
      </c>
      <c r="AB108" s="68">
        <f>Input_RAB_SCS!AB110-Calc_RAB_Connection!AB108</f>
        <v>0</v>
      </c>
    </row>
    <row r="109" spans="4:28" ht="12.3" x14ac:dyDescent="0.35">
      <c r="D109" s="15" t="str">
        <f t="shared" si="70"/>
        <v>Plant and Equipment</v>
      </c>
      <c r="E109" s="52" t="str">
        <f t="shared" si="74"/>
        <v>Input_RAB_SCS/Calc_RAB_Connection</v>
      </c>
      <c r="F109" s="52" t="str">
        <f t="shared" si="71"/>
        <v>Dollars</v>
      </c>
      <c r="G109" s="52" t="str">
        <f t="shared" si="72"/>
        <v>Nominal</v>
      </c>
      <c r="H109" s="52" t="str">
        <f t="shared" si="73"/>
        <v>End_year</v>
      </c>
      <c r="J109" s="66">
        <f>Input_RAB_SCS!J111-Calc_RAB_Connection!J109</f>
        <v>0.35796503922624839</v>
      </c>
      <c r="K109" s="67">
        <f>Input_RAB_SCS!K111-Calc_RAB_Connection!K109</f>
        <v>0.45146077081252856</v>
      </c>
      <c r="L109" s="67">
        <f>Input_RAB_SCS!L111-Calc_RAB_Connection!L109</f>
        <v>5.1921591440183806E-3</v>
      </c>
      <c r="M109" s="67">
        <f>Input_RAB_SCS!M111-Calc_RAB_Connection!M109</f>
        <v>1.5847628954287967E-2</v>
      </c>
      <c r="N109" s="67">
        <f>Input_RAB_SCS!N111-Calc_RAB_Connection!N109</f>
        <v>2.7903342389835935</v>
      </c>
      <c r="O109" s="67">
        <f>Input_RAB_SCS!O111-Calc_RAB_Connection!O109</f>
        <v>2.2081258696485593</v>
      </c>
      <c r="P109" s="67">
        <f>Input_RAB_SCS!P111-Calc_RAB_Connection!P109</f>
        <v>3.1589102483926985</v>
      </c>
      <c r="Q109" s="67">
        <f>Input_RAB_SCS!Q111-Calc_RAB_Connection!Q109</f>
        <v>5.1414366399532092</v>
      </c>
      <c r="R109" s="68">
        <f>Input_RAB_SCS!R111-Calc_RAB_Connection!R109</f>
        <v>1.4410260626002531</v>
      </c>
      <c r="S109" s="66">
        <f>Input_RAB_SCS!S111-Calc_RAB_Connection!S109</f>
        <v>0.61754889773112565</v>
      </c>
      <c r="T109" s="67">
        <f>Input_RAB_SCS!T111-Calc_RAB_Connection!T109</f>
        <v>0.32178710910095115</v>
      </c>
      <c r="U109" s="67">
        <f>Input_RAB_SCS!U111-Calc_RAB_Connection!U109</f>
        <v>0.46893497268299356</v>
      </c>
      <c r="V109" s="67">
        <f>Input_RAB_SCS!V111-Calc_RAB_Connection!V109</f>
        <v>0.55877917552134027</v>
      </c>
      <c r="W109" s="68">
        <f>Input_RAB_SCS!W111-Calc_RAB_Connection!W109</f>
        <v>0.60740988661772466</v>
      </c>
      <c r="X109" s="66">
        <f>Input_RAB_SCS!X111-Calc_RAB_Connection!X109</f>
        <v>1.2550573507652478</v>
      </c>
      <c r="Y109" s="67">
        <f>Input_RAB_SCS!Y111-Calc_RAB_Connection!Y109</f>
        <v>1.3415035981256773</v>
      </c>
      <c r="Z109" s="67">
        <f>Input_RAB_SCS!Z111-Calc_RAB_Connection!Z109</f>
        <v>1.3367027561494504</v>
      </c>
      <c r="AA109" s="67">
        <f>Input_RAB_SCS!AA111-Calc_RAB_Connection!AA109</f>
        <v>1.4748346031305375</v>
      </c>
      <c r="AB109" s="68">
        <f>Input_RAB_SCS!AB111-Calc_RAB_Connection!AB109</f>
        <v>1.5508778500356317</v>
      </c>
    </row>
    <row r="110" spans="4:28" ht="12.3" x14ac:dyDescent="0.35">
      <c r="D110" s="15" t="str">
        <f t="shared" ref="D110:D111" si="75">D32</f>
        <v>Property Leases</v>
      </c>
      <c r="E110" s="52" t="str">
        <f t="shared" si="74"/>
        <v>Input_RAB_SCS/Calc_RAB_Connection</v>
      </c>
      <c r="F110" s="52" t="str">
        <f t="shared" si="71"/>
        <v>Dollars</v>
      </c>
      <c r="G110" s="52" t="str">
        <f t="shared" si="72"/>
        <v>Nominal</v>
      </c>
      <c r="H110" s="52" t="str">
        <f t="shared" si="73"/>
        <v>End_year</v>
      </c>
      <c r="J110" s="66">
        <f>Input_RAB_SCS!J112-Calc_RAB_Connection!J110</f>
        <v>0</v>
      </c>
      <c r="K110" s="67">
        <f>Input_RAB_SCS!K112-Calc_RAB_Connection!K110</f>
        <v>0</v>
      </c>
      <c r="L110" s="67">
        <f>Input_RAB_SCS!L112-Calc_RAB_Connection!L110</f>
        <v>0</v>
      </c>
      <c r="M110" s="67">
        <f>Input_RAB_SCS!M112-Calc_RAB_Connection!M110</f>
        <v>0</v>
      </c>
      <c r="N110" s="67">
        <f>Input_RAB_SCS!N112-Calc_RAB_Connection!N110</f>
        <v>0</v>
      </c>
      <c r="O110" s="67">
        <f>Input_RAB_SCS!O112-Calc_RAB_Connection!O110</f>
        <v>0</v>
      </c>
      <c r="P110" s="67">
        <f>Input_RAB_SCS!P112-Calc_RAB_Connection!P110</f>
        <v>0</v>
      </c>
      <c r="Q110" s="67">
        <f>Input_RAB_SCS!Q112-Calc_RAB_Connection!Q110</f>
        <v>0</v>
      </c>
      <c r="R110" s="68">
        <f>Input_RAB_SCS!R112-Calc_RAB_Connection!R110</f>
        <v>0</v>
      </c>
      <c r="S110" s="66">
        <f>Input_RAB_SCS!S112-Calc_RAB_Connection!S110</f>
        <v>0</v>
      </c>
      <c r="T110" s="67">
        <f>Input_RAB_SCS!T112-Calc_RAB_Connection!T110</f>
        <v>0</v>
      </c>
      <c r="U110" s="67">
        <f>Input_RAB_SCS!U112-Calc_RAB_Connection!U110</f>
        <v>0</v>
      </c>
      <c r="V110" s="67">
        <f>Input_RAB_SCS!V112-Calc_RAB_Connection!V110</f>
        <v>0</v>
      </c>
      <c r="W110" s="68">
        <f>Input_RAB_SCS!W112-Calc_RAB_Connection!W110</f>
        <v>0</v>
      </c>
      <c r="X110" s="66">
        <f>Input_RAB_SCS!X112-Calc_RAB_Connection!X110</f>
        <v>5.6545321858324371</v>
      </c>
      <c r="Y110" s="67">
        <f>Input_RAB_SCS!Y112-Calc_RAB_Connection!Y110</f>
        <v>0</v>
      </c>
      <c r="Z110" s="67">
        <f>Input_RAB_SCS!Z112-Calc_RAB_Connection!Z110</f>
        <v>24.69030350956325</v>
      </c>
      <c r="AA110" s="67">
        <f>Input_RAB_SCS!AA112-Calc_RAB_Connection!AA110</f>
        <v>0</v>
      </c>
      <c r="AB110" s="68">
        <f>Input_RAB_SCS!AB112-Calc_RAB_Connection!AB110</f>
        <v>0.65444305742426057</v>
      </c>
    </row>
    <row r="111" spans="4:28" ht="12.3" x14ac:dyDescent="0.35">
      <c r="D111" s="15" t="str">
        <f t="shared" si="75"/>
        <v>Fleet Leases</v>
      </c>
      <c r="E111" s="52" t="str">
        <f t="shared" si="74"/>
        <v>Input_RAB_SCS/Calc_RAB_Connection</v>
      </c>
      <c r="F111" s="52" t="str">
        <f t="shared" si="71"/>
        <v>Dollars</v>
      </c>
      <c r="G111" s="52" t="str">
        <f t="shared" si="72"/>
        <v>Nominal</v>
      </c>
      <c r="H111" s="52" t="str">
        <f t="shared" si="73"/>
        <v>End_year</v>
      </c>
      <c r="J111" s="66">
        <f>Input_RAB_SCS!J113-Calc_RAB_Connection!J111</f>
        <v>0</v>
      </c>
      <c r="K111" s="67">
        <f>Input_RAB_SCS!K113-Calc_RAB_Connection!K111</f>
        <v>0</v>
      </c>
      <c r="L111" s="67">
        <f>Input_RAB_SCS!L113-Calc_RAB_Connection!L111</f>
        <v>0</v>
      </c>
      <c r="M111" s="67">
        <f>Input_RAB_SCS!M113-Calc_RAB_Connection!M111</f>
        <v>0</v>
      </c>
      <c r="N111" s="67">
        <f>Input_RAB_SCS!N113-Calc_RAB_Connection!N111</f>
        <v>0</v>
      </c>
      <c r="O111" s="67">
        <f>Input_RAB_SCS!O113-Calc_RAB_Connection!O111</f>
        <v>0</v>
      </c>
      <c r="P111" s="67">
        <f>Input_RAB_SCS!P113-Calc_RAB_Connection!P111</f>
        <v>0</v>
      </c>
      <c r="Q111" s="67">
        <f>Input_RAB_SCS!Q113-Calc_RAB_Connection!Q111</f>
        <v>0</v>
      </c>
      <c r="R111" s="68">
        <f>Input_RAB_SCS!R113-Calc_RAB_Connection!R111</f>
        <v>0</v>
      </c>
      <c r="S111" s="66">
        <f>Input_RAB_SCS!S113-Calc_RAB_Connection!S111</f>
        <v>0</v>
      </c>
      <c r="T111" s="67">
        <f>Input_RAB_SCS!T113-Calc_RAB_Connection!T111</f>
        <v>0</v>
      </c>
      <c r="U111" s="67">
        <f>Input_RAB_SCS!U113-Calc_RAB_Connection!U111</f>
        <v>0</v>
      </c>
      <c r="V111" s="67">
        <f>Input_RAB_SCS!V113-Calc_RAB_Connection!V111</f>
        <v>0</v>
      </c>
      <c r="W111" s="68">
        <f>Input_RAB_SCS!W113-Calc_RAB_Connection!W111</f>
        <v>0</v>
      </c>
      <c r="X111" s="66">
        <f>Input_RAB_SCS!X113-Calc_RAB_Connection!X111</f>
        <v>17.442098565293531</v>
      </c>
      <c r="Y111" s="67">
        <f>Input_RAB_SCS!Y113-Calc_RAB_Connection!Y111</f>
        <v>4.8025131073049385</v>
      </c>
      <c r="Z111" s="67">
        <f>Input_RAB_SCS!Z113-Calc_RAB_Connection!Z111</f>
        <v>4.312650407962118</v>
      </c>
      <c r="AA111" s="67">
        <f>Input_RAB_SCS!AA113-Calc_RAB_Connection!AA111</f>
        <v>5.2928181094918427</v>
      </c>
      <c r="AB111" s="68">
        <f>Input_RAB_SCS!AB113-Calc_RAB_Connection!AB111</f>
        <v>4.4134985349634714</v>
      </c>
    </row>
    <row r="112" spans="4:28" ht="12.3" x14ac:dyDescent="0.35">
      <c r="D112" s="15" t="str">
        <f t="shared" ref="D112" si="76">D34</f>
        <v>Equity Raising Costs</v>
      </c>
      <c r="E112" s="52" t="str">
        <f>E109</f>
        <v>Input_RAB_SCS/Calc_RAB_Connection</v>
      </c>
      <c r="F112" s="52" t="str">
        <f t="shared" si="71"/>
        <v>Dollars</v>
      </c>
      <c r="G112" s="52" t="str">
        <f t="shared" si="72"/>
        <v>Nominal</v>
      </c>
      <c r="H112" s="52" t="str">
        <f t="shared" si="73"/>
        <v>End_year</v>
      </c>
      <c r="J112" s="66">
        <f>Input_RAB_SCS!J114-Calc_RAB_Connection!J112</f>
        <v>0</v>
      </c>
      <c r="K112" s="67">
        <f>Input_RAB_SCS!K114-Calc_RAB_Connection!K112</f>
        <v>0</v>
      </c>
      <c r="L112" s="67">
        <f>Input_RAB_SCS!L114-Calc_RAB_Connection!L112</f>
        <v>0</v>
      </c>
      <c r="M112" s="67">
        <f>Input_RAB_SCS!M114-Calc_RAB_Connection!M112</f>
        <v>0</v>
      </c>
      <c r="N112" s="67">
        <f>Input_RAB_SCS!N114-Calc_RAB_Connection!N112</f>
        <v>0</v>
      </c>
      <c r="O112" s="67">
        <f>Input_RAB_SCS!O114-Calc_RAB_Connection!O112</f>
        <v>0</v>
      </c>
      <c r="P112" s="67">
        <f>Input_RAB_SCS!P114-Calc_RAB_Connection!P112</f>
        <v>0</v>
      </c>
      <c r="Q112" s="67">
        <f>Input_RAB_SCS!Q114-Calc_RAB_Connection!Q112</f>
        <v>0</v>
      </c>
      <c r="R112" s="68">
        <f>Input_RAB_SCS!R114-Calc_RAB_Connection!R112</f>
        <v>0</v>
      </c>
      <c r="S112" s="66">
        <f>Input_RAB_SCS!S114-Calc_RAB_Connection!S112</f>
        <v>0</v>
      </c>
      <c r="T112" s="67">
        <f>Input_RAB_SCS!T114-Calc_RAB_Connection!T112</f>
        <v>0</v>
      </c>
      <c r="U112" s="67">
        <f>Input_RAB_SCS!U114-Calc_RAB_Connection!U112</f>
        <v>0</v>
      </c>
      <c r="V112" s="67">
        <f>Input_RAB_SCS!V114-Calc_RAB_Connection!V112</f>
        <v>0</v>
      </c>
      <c r="W112" s="68">
        <f>Input_RAB_SCS!W114-Calc_RAB_Connection!W112</f>
        <v>0</v>
      </c>
      <c r="X112" s="66">
        <f>Input_RAB_SCS!X114-Calc_RAB_Connection!X112</f>
        <v>1.2872020192307105</v>
      </c>
      <c r="Y112" s="67">
        <f>Input_RAB_SCS!Y114-Calc_RAB_Connection!Y112</f>
        <v>0</v>
      </c>
      <c r="Z112" s="67">
        <f>Input_RAB_SCS!Z114-Calc_RAB_Connection!Z112</f>
        <v>0</v>
      </c>
      <c r="AA112" s="67">
        <f>Input_RAB_SCS!AA114-Calc_RAB_Connection!AA112</f>
        <v>0</v>
      </c>
      <c r="AB112" s="68">
        <f>Input_RAB_SCS!AB114-Calc_RAB_Connection!AB112</f>
        <v>0</v>
      </c>
    </row>
    <row r="113" spans="1:28" x14ac:dyDescent="0.35">
      <c r="J113" s="56"/>
      <c r="K113" s="57"/>
      <c r="L113" s="57"/>
      <c r="M113" s="57"/>
      <c r="N113" s="57"/>
      <c r="O113" s="57"/>
      <c r="P113" s="57"/>
      <c r="Q113" s="57"/>
      <c r="R113" s="58"/>
      <c r="S113" s="56"/>
      <c r="T113" s="57"/>
      <c r="U113" s="57"/>
      <c r="V113" s="57"/>
      <c r="W113" s="58"/>
      <c r="X113" s="56"/>
      <c r="Y113" s="57"/>
      <c r="Z113" s="57"/>
      <c r="AA113" s="57"/>
      <c r="AB113" s="58"/>
    </row>
    <row r="114" spans="1:28" ht="12.3" x14ac:dyDescent="0.35">
      <c r="D114" s="51" t="str">
        <f>"Total "&amp;D94</f>
        <v>Total RAB Asset Class</v>
      </c>
      <c r="E114" s="47" t="s">
        <v>111</v>
      </c>
      <c r="F114" s="47" t="str">
        <f>F96</f>
        <v>Dollars</v>
      </c>
      <c r="G114" s="47" t="str">
        <f>G96</f>
        <v>Nominal</v>
      </c>
      <c r="H114" s="47" t="str">
        <f>H96</f>
        <v>End_year</v>
      </c>
      <c r="J114" s="62">
        <f t="shared" ref="J114:AB114" si="77">SUM(J96:J112)</f>
        <v>22.519062783651478</v>
      </c>
      <c r="K114" s="46">
        <f t="shared" si="77"/>
        <v>28.400744006336883</v>
      </c>
      <c r="L114" s="46">
        <f t="shared" si="77"/>
        <v>44.727011597659782</v>
      </c>
      <c r="M114" s="46">
        <f t="shared" si="77"/>
        <v>55.77544056420853</v>
      </c>
      <c r="N114" s="46">
        <f t="shared" si="77"/>
        <v>80.014776530901031</v>
      </c>
      <c r="O114" s="46">
        <f t="shared" si="77"/>
        <v>91.785630273225578</v>
      </c>
      <c r="P114" s="46">
        <f t="shared" si="77"/>
        <v>76.771709032485447</v>
      </c>
      <c r="Q114" s="46">
        <f t="shared" si="77"/>
        <v>106.77513177546666</v>
      </c>
      <c r="R114" s="63">
        <f t="shared" si="77"/>
        <v>93.685648422671306</v>
      </c>
      <c r="S114" s="62">
        <f t="shared" si="77"/>
        <v>79.987523293202102</v>
      </c>
      <c r="T114" s="46">
        <f t="shared" si="77"/>
        <v>67.931530533438462</v>
      </c>
      <c r="U114" s="46">
        <f t="shared" si="77"/>
        <v>48.84295095493745</v>
      </c>
      <c r="V114" s="46">
        <f t="shared" si="77"/>
        <v>41.330806306013592</v>
      </c>
      <c r="W114" s="63">
        <f t="shared" si="77"/>
        <v>62.067193002806967</v>
      </c>
      <c r="X114" s="62">
        <f t="shared" si="77"/>
        <v>100.26026718410959</v>
      </c>
      <c r="Y114" s="46">
        <f t="shared" si="77"/>
        <v>78.463509155642285</v>
      </c>
      <c r="Z114" s="46">
        <f t="shared" si="77"/>
        <v>104.48916957078333</v>
      </c>
      <c r="AA114" s="46">
        <f t="shared" si="77"/>
        <v>72.286709491181128</v>
      </c>
      <c r="AB114" s="63">
        <f t="shared" si="77"/>
        <v>67.799650689054729</v>
      </c>
    </row>
    <row r="115" spans="1:28" s="6" customFormat="1" ht="11.25" customHeight="1" x14ac:dyDescent="0.35"/>
    <row r="116" spans="1:28" s="6" customFormat="1" ht="11.25" customHeight="1" x14ac:dyDescent="0.35">
      <c r="A116" s="49">
        <f>IF(SUM($J116:$AB116)&lt;&gt;0,1,0)</f>
        <v>0</v>
      </c>
      <c r="D116" s="15" t="s">
        <v>114</v>
      </c>
      <c r="J116" s="70">
        <f>IF(ISERROR(J114),1,0)</f>
        <v>0</v>
      </c>
      <c r="K116" s="70">
        <f t="shared" ref="K116:N116" si="78">IF(ISERROR(K114),1,0)</f>
        <v>0</v>
      </c>
      <c r="L116" s="70">
        <f t="shared" si="78"/>
        <v>0</v>
      </c>
      <c r="M116" s="70">
        <f t="shared" si="78"/>
        <v>0</v>
      </c>
      <c r="N116" s="70">
        <f t="shared" si="78"/>
        <v>0</v>
      </c>
      <c r="O116" s="70">
        <f>IF(ISERROR(O114),1,0)</f>
        <v>0</v>
      </c>
      <c r="P116" s="70">
        <f t="shared" ref="P116:S116" si="79">IF(ISERROR(P114),1,0)</f>
        <v>0</v>
      </c>
      <c r="Q116" s="70">
        <f t="shared" si="79"/>
        <v>0</v>
      </c>
      <c r="R116" s="70">
        <f t="shared" si="79"/>
        <v>0</v>
      </c>
      <c r="S116" s="70">
        <f t="shared" si="79"/>
        <v>0</v>
      </c>
      <c r="T116" s="70">
        <f>IF(ISERROR(T114),1,0)</f>
        <v>0</v>
      </c>
      <c r="U116" s="70">
        <f t="shared" ref="U116:X116" si="80">IF(ISERROR(U114),1,0)</f>
        <v>0</v>
      </c>
      <c r="V116" s="70">
        <f t="shared" si="80"/>
        <v>0</v>
      </c>
      <c r="W116" s="70">
        <f t="shared" si="80"/>
        <v>0</v>
      </c>
      <c r="X116" s="70">
        <f t="shared" si="80"/>
        <v>0</v>
      </c>
      <c r="Y116" s="70">
        <f>IF(ISERROR(Y114),1,0)</f>
        <v>0</v>
      </c>
      <c r="Z116" s="70">
        <f t="shared" ref="Z116:AB116" si="81">IF(ISERROR(Z114),1,0)</f>
        <v>0</v>
      </c>
      <c r="AA116" s="70">
        <f t="shared" si="81"/>
        <v>0</v>
      </c>
      <c r="AB116" s="70">
        <f t="shared" si="81"/>
        <v>0</v>
      </c>
    </row>
    <row r="118" spans="1:28" s="13" customFormat="1" ht="14.1" x14ac:dyDescent="0.35">
      <c r="C118" s="13" t="s">
        <v>151</v>
      </c>
    </row>
    <row r="119" spans="1:28" s="6" customFormat="1" ht="11.25" customHeight="1" x14ac:dyDescent="0.35"/>
    <row r="120" spans="1:28" ht="12.3" x14ac:dyDescent="0.35">
      <c r="D120" s="50" t="str">
        <f>D$16</f>
        <v>RAB Asset Class</v>
      </c>
      <c r="E120" s="45" t="str">
        <f>Lookup!E$20</f>
        <v>Source</v>
      </c>
      <c r="F120" s="45" t="str">
        <f>Lookup!F$20</f>
        <v>Unit</v>
      </c>
      <c r="G120" s="45" t="str">
        <f>Lookup!G$20</f>
        <v>Basis</v>
      </c>
      <c r="H120" s="45" t="str">
        <f>Lookup!H$20</f>
        <v>Timing</v>
      </c>
      <c r="J120" s="54" t="str">
        <f>J$10</f>
        <v>RY06</v>
      </c>
      <c r="K120" s="45" t="str">
        <f t="shared" ref="K120:AB120" si="82">K$10</f>
        <v>RY07</v>
      </c>
      <c r="L120" s="45" t="str">
        <f t="shared" si="82"/>
        <v>RY08</v>
      </c>
      <c r="M120" s="45" t="str">
        <f t="shared" si="82"/>
        <v>RY09</v>
      </c>
      <c r="N120" s="45" t="str">
        <f t="shared" si="82"/>
        <v>RY10</v>
      </c>
      <c r="O120" s="45" t="str">
        <f>O$10</f>
        <v>RY11</v>
      </c>
      <c r="P120" s="45" t="str">
        <f t="shared" si="82"/>
        <v>RY12</v>
      </c>
      <c r="Q120" s="45" t="str">
        <f t="shared" si="82"/>
        <v>RY13</v>
      </c>
      <c r="R120" s="55" t="str">
        <f t="shared" si="82"/>
        <v>RY14</v>
      </c>
      <c r="S120" s="54" t="str">
        <f t="shared" si="82"/>
        <v>RY15</v>
      </c>
      <c r="T120" s="45" t="str">
        <f>T$10</f>
        <v>RY16</v>
      </c>
      <c r="U120" s="45" t="str">
        <f t="shared" si="82"/>
        <v>RY17</v>
      </c>
      <c r="V120" s="45" t="str">
        <f t="shared" si="82"/>
        <v>RY18</v>
      </c>
      <c r="W120" s="55" t="str">
        <f t="shared" si="82"/>
        <v>RY19</v>
      </c>
      <c r="X120" s="54" t="str">
        <f t="shared" si="82"/>
        <v>RY20</v>
      </c>
      <c r="Y120" s="45" t="str">
        <f>Y$10</f>
        <v>RY21</v>
      </c>
      <c r="Z120" s="45" t="str">
        <f t="shared" si="82"/>
        <v>RY22</v>
      </c>
      <c r="AA120" s="45" t="str">
        <f t="shared" si="82"/>
        <v>RY23</v>
      </c>
      <c r="AB120" s="55" t="str">
        <f t="shared" si="82"/>
        <v>RY24</v>
      </c>
    </row>
    <row r="121" spans="1:28" x14ac:dyDescent="0.35">
      <c r="J121" s="56"/>
      <c r="K121" s="57"/>
      <c r="L121" s="57"/>
      <c r="M121" s="57"/>
      <c r="N121" s="57"/>
      <c r="O121" s="57"/>
      <c r="P121" s="57"/>
      <c r="Q121" s="57"/>
      <c r="R121" s="58"/>
      <c r="S121" s="56"/>
      <c r="T121" s="57"/>
      <c r="U121" s="57"/>
      <c r="V121" s="57"/>
      <c r="W121" s="58"/>
      <c r="X121" s="56"/>
      <c r="Y121" s="57"/>
      <c r="Z121" s="57"/>
      <c r="AA121" s="57"/>
      <c r="AB121" s="58"/>
    </row>
    <row r="122" spans="1:28" ht="12.3" x14ac:dyDescent="0.35">
      <c r="D122" s="15" t="str">
        <f t="shared" ref="D122:D135" si="83">D18</f>
        <v>Substations</v>
      </c>
      <c r="E122" s="52" t="s">
        <v>197</v>
      </c>
      <c r="F122" s="52" t="str">
        <f t="shared" ref="F122:F138" si="84">Dollars</f>
        <v>Dollars</v>
      </c>
      <c r="G122" s="52" t="str">
        <f t="shared" ref="G122:G138" si="85">Nominal</f>
        <v>Nominal</v>
      </c>
      <c r="H122" s="52" t="str">
        <f t="shared" ref="H122:H138" si="86">End_year</f>
        <v>End_year</v>
      </c>
      <c r="J122" s="66">
        <f>Input_RAB_SCS!J125-Calc_RAB_Connection!J122</f>
        <v>0</v>
      </c>
      <c r="K122" s="67">
        <f>Input_RAB_SCS!K125-Calc_RAB_Connection!K122</f>
        <v>0</v>
      </c>
      <c r="L122" s="67">
        <f>Input_RAB_SCS!L125-Calc_RAB_Connection!L122</f>
        <v>0</v>
      </c>
      <c r="M122" s="67">
        <f>Input_RAB_SCS!M125-Calc_RAB_Connection!M122</f>
        <v>0</v>
      </c>
      <c r="N122" s="67">
        <f>Input_RAB_SCS!N125-Calc_RAB_Connection!N122</f>
        <v>-0.18259695449911931</v>
      </c>
      <c r="O122" s="67">
        <f>Input_RAB_SCS!O125-Calc_RAB_Connection!O122</f>
        <v>-0.18636082572719792</v>
      </c>
      <c r="P122" s="67">
        <f>Input_RAB_SCS!P125-Calc_RAB_Connection!P122</f>
        <v>-0.10754114611750819</v>
      </c>
      <c r="Q122" s="67">
        <f>Input_RAB_SCS!Q125-Calc_RAB_Connection!Q122</f>
        <v>-1.8505141109755419E-2</v>
      </c>
      <c r="R122" s="68">
        <f>Input_RAB_SCS!R125-Calc_RAB_Connection!R122</f>
        <v>-0.13135452185733243</v>
      </c>
      <c r="S122" s="66">
        <f>Input_RAB_SCS!S125-Calc_RAB_Connection!S122</f>
        <v>-3.2239375686200979E-2</v>
      </c>
      <c r="T122" s="67">
        <f>Input_RAB_SCS!T125-Calc_RAB_Connection!T122</f>
        <v>-3.3321531669982897E-2</v>
      </c>
      <c r="U122" s="67">
        <f>Input_RAB_SCS!U125-Calc_RAB_Connection!U122</f>
        <v>-0.13949650990836202</v>
      </c>
      <c r="V122" s="67">
        <f>Input_RAB_SCS!V125-Calc_RAB_Connection!V122</f>
        <v>0</v>
      </c>
      <c r="W122" s="68">
        <f>Input_RAB_SCS!W125-Calc_RAB_Connection!W122</f>
        <v>0</v>
      </c>
      <c r="X122" s="66">
        <f>Input_RAB_SCS!X125-Calc_RAB_Connection!X122</f>
        <v>0</v>
      </c>
      <c r="Y122" s="67">
        <f>Input_RAB_SCS!Y125-Calc_RAB_Connection!Y122</f>
        <v>0</v>
      </c>
      <c r="Z122" s="67">
        <f>Input_RAB_SCS!Z125-Calc_RAB_Connection!Z122</f>
        <v>0</v>
      </c>
      <c r="AA122" s="67">
        <f>Input_RAB_SCS!AA125-Calc_RAB_Connection!AA122</f>
        <v>0</v>
      </c>
      <c r="AB122" s="68">
        <f>Input_RAB_SCS!AB125-Calc_RAB_Connection!AB122</f>
        <v>0</v>
      </c>
    </row>
    <row r="123" spans="1:28" ht="12.3" x14ac:dyDescent="0.35">
      <c r="D123" s="15" t="str">
        <f t="shared" si="83"/>
        <v>Distribution Lines</v>
      </c>
      <c r="E123" s="52" t="str">
        <f t="shared" ref="E123:E137" si="87">E122</f>
        <v>Input_RAB_SCS/Calc_RAB_Connection</v>
      </c>
      <c r="F123" s="52" t="str">
        <f t="shared" si="84"/>
        <v>Dollars</v>
      </c>
      <c r="G123" s="52" t="str">
        <f t="shared" si="85"/>
        <v>Nominal</v>
      </c>
      <c r="H123" s="52" t="str">
        <f t="shared" si="86"/>
        <v>End_year</v>
      </c>
      <c r="J123" s="66">
        <f>Input_RAB_SCS!J126-Calc_RAB_Connection!J123</f>
        <v>0</v>
      </c>
      <c r="K123" s="67">
        <f>Input_RAB_SCS!K126-Calc_RAB_Connection!K123</f>
        <v>0</v>
      </c>
      <c r="L123" s="67">
        <f>Input_RAB_SCS!L126-Calc_RAB_Connection!L123</f>
        <v>0</v>
      </c>
      <c r="M123" s="67">
        <f>Input_RAB_SCS!M126-Calc_RAB_Connection!M123</f>
        <v>0</v>
      </c>
      <c r="N123" s="67">
        <f>Input_RAB_SCS!N126-Calc_RAB_Connection!N123</f>
        <v>0</v>
      </c>
      <c r="O123" s="67">
        <f>Input_RAB_SCS!O126-Calc_RAB_Connection!O123</f>
        <v>-0.25510580211273631</v>
      </c>
      <c r="P123" s="67">
        <f>Input_RAB_SCS!P126-Calc_RAB_Connection!P123</f>
        <v>-2.0712665751534944E-2</v>
      </c>
      <c r="Q123" s="67">
        <f>Input_RAB_SCS!Q126-Calc_RAB_Connection!Q123</f>
        <v>-0.776488890846047</v>
      </c>
      <c r="R123" s="68">
        <f>Input_RAB_SCS!R126-Calc_RAB_Connection!R123</f>
        <v>-0.26008574444282684</v>
      </c>
      <c r="S123" s="66">
        <f>Input_RAB_SCS!S126-Calc_RAB_Connection!S123</f>
        <v>-6.6192180449400076E-2</v>
      </c>
      <c r="T123" s="67">
        <f>Input_RAB_SCS!T126-Calc_RAB_Connection!T123</f>
        <v>-6.59953428511727E-2</v>
      </c>
      <c r="U123" s="67">
        <f>Input_RAB_SCS!U126-Calc_RAB_Connection!U123</f>
        <v>-0.12586389736843848</v>
      </c>
      <c r="V123" s="67">
        <f>Input_RAB_SCS!V126-Calc_RAB_Connection!V123</f>
        <v>0</v>
      </c>
      <c r="W123" s="68">
        <f>Input_RAB_SCS!W126-Calc_RAB_Connection!W123</f>
        <v>0</v>
      </c>
      <c r="X123" s="66">
        <f>Input_RAB_SCS!X126-Calc_RAB_Connection!X123</f>
        <v>0</v>
      </c>
      <c r="Y123" s="67">
        <f>Input_RAB_SCS!Y126-Calc_RAB_Connection!Y123</f>
        <v>0</v>
      </c>
      <c r="Z123" s="67">
        <f>Input_RAB_SCS!Z126-Calc_RAB_Connection!Z123</f>
        <v>0</v>
      </c>
      <c r="AA123" s="67">
        <f>Input_RAB_SCS!AA126-Calc_RAB_Connection!AA123</f>
        <v>0</v>
      </c>
      <c r="AB123" s="68">
        <f>Input_RAB_SCS!AB126-Calc_RAB_Connection!AB123</f>
        <v>0</v>
      </c>
    </row>
    <row r="124" spans="1:28" ht="12.3" x14ac:dyDescent="0.35">
      <c r="D124" s="15" t="str">
        <f t="shared" si="83"/>
        <v>Transmission Lines</v>
      </c>
      <c r="E124" s="52" t="str">
        <f t="shared" si="87"/>
        <v>Input_RAB_SCS/Calc_RAB_Connection</v>
      </c>
      <c r="F124" s="52" t="str">
        <f t="shared" si="84"/>
        <v>Dollars</v>
      </c>
      <c r="G124" s="52" t="str">
        <f t="shared" si="85"/>
        <v>Nominal</v>
      </c>
      <c r="H124" s="52" t="str">
        <f t="shared" si="86"/>
        <v>End_year</v>
      </c>
      <c r="J124" s="66">
        <f>Input_RAB_SCS!J127-Calc_RAB_Connection!J124</f>
        <v>0</v>
      </c>
      <c r="K124" s="67">
        <f>Input_RAB_SCS!K127-Calc_RAB_Connection!K124</f>
        <v>0</v>
      </c>
      <c r="L124" s="67">
        <f>Input_RAB_SCS!L127-Calc_RAB_Connection!L124</f>
        <v>0</v>
      </c>
      <c r="M124" s="67">
        <f>Input_RAB_SCS!M127-Calc_RAB_Connection!M124</f>
        <v>0</v>
      </c>
      <c r="N124" s="67">
        <f>Input_RAB_SCS!N127-Calc_RAB_Connection!N124</f>
        <v>0</v>
      </c>
      <c r="O124" s="67">
        <f>Input_RAB_SCS!O127-Calc_RAB_Connection!O124</f>
        <v>0</v>
      </c>
      <c r="P124" s="67">
        <f>Input_RAB_SCS!P127-Calc_RAB_Connection!P124</f>
        <v>0</v>
      </c>
      <c r="Q124" s="67">
        <f>Input_RAB_SCS!Q127-Calc_RAB_Connection!Q124</f>
        <v>0</v>
      </c>
      <c r="R124" s="68">
        <f>Input_RAB_SCS!R127-Calc_RAB_Connection!R124</f>
        <v>-3.7193244386247203E-3</v>
      </c>
      <c r="S124" s="66">
        <f>Input_RAB_SCS!S127-Calc_RAB_Connection!S124</f>
        <v>-1.0746458562066994E-2</v>
      </c>
      <c r="T124" s="67">
        <f>Input_RAB_SCS!T127-Calc_RAB_Connection!T124</f>
        <v>-1.0714501507949037E-2</v>
      </c>
      <c r="U124" s="67">
        <f>Input_RAB_SCS!U127-Calc_RAB_Connection!U124</f>
        <v>-2.0434304299193639E-2</v>
      </c>
      <c r="V124" s="67">
        <f>Input_RAB_SCS!V127-Calc_RAB_Connection!V124</f>
        <v>0</v>
      </c>
      <c r="W124" s="68">
        <f>Input_RAB_SCS!W127-Calc_RAB_Connection!W124</f>
        <v>0</v>
      </c>
      <c r="X124" s="66">
        <f>Input_RAB_SCS!X127-Calc_RAB_Connection!X124</f>
        <v>0</v>
      </c>
      <c r="Y124" s="67">
        <f>Input_RAB_SCS!Y127-Calc_RAB_Connection!Y124</f>
        <v>0</v>
      </c>
      <c r="Z124" s="67">
        <f>Input_RAB_SCS!Z127-Calc_RAB_Connection!Z124</f>
        <v>0</v>
      </c>
      <c r="AA124" s="67">
        <f>Input_RAB_SCS!AA127-Calc_RAB_Connection!AA124</f>
        <v>0</v>
      </c>
      <c r="AB124" s="68">
        <f>Input_RAB_SCS!AB127-Calc_RAB_Connection!AB124</f>
        <v>0</v>
      </c>
    </row>
    <row r="125" spans="1:28" ht="12.3" x14ac:dyDescent="0.35">
      <c r="D125" s="15" t="str">
        <f t="shared" si="83"/>
        <v>LV Services</v>
      </c>
      <c r="E125" s="52" t="str">
        <f t="shared" si="87"/>
        <v>Input_RAB_SCS/Calc_RAB_Connection</v>
      </c>
      <c r="F125" s="52" t="str">
        <f t="shared" si="84"/>
        <v>Dollars</v>
      </c>
      <c r="G125" s="52" t="str">
        <f t="shared" si="85"/>
        <v>Nominal</v>
      </c>
      <c r="H125" s="52" t="str">
        <f t="shared" si="86"/>
        <v>End_year</v>
      </c>
      <c r="J125" s="66">
        <f>Input_RAB_SCS!J128-Calc_RAB_Connection!J125</f>
        <v>0</v>
      </c>
      <c r="K125" s="67">
        <f>Input_RAB_SCS!K128-Calc_RAB_Connection!K125</f>
        <v>0</v>
      </c>
      <c r="L125" s="67">
        <f>Input_RAB_SCS!L128-Calc_RAB_Connection!L125</f>
        <v>0</v>
      </c>
      <c r="M125" s="67">
        <f>Input_RAB_SCS!M128-Calc_RAB_Connection!M125</f>
        <v>0</v>
      </c>
      <c r="N125" s="67">
        <f>Input_RAB_SCS!N128-Calc_RAB_Connection!N125</f>
        <v>0</v>
      </c>
      <c r="O125" s="67">
        <f>Input_RAB_SCS!O128-Calc_RAB_Connection!O125</f>
        <v>0</v>
      </c>
      <c r="P125" s="67">
        <f>Input_RAB_SCS!P128-Calc_RAB_Connection!P125</f>
        <v>0</v>
      </c>
      <c r="Q125" s="67">
        <f>Input_RAB_SCS!Q128-Calc_RAB_Connection!Q125</f>
        <v>0</v>
      </c>
      <c r="R125" s="68">
        <f>Input_RAB_SCS!R128-Calc_RAB_Connection!R125</f>
        <v>-1.5372856887695772E-4</v>
      </c>
      <c r="S125" s="66">
        <f>Input_RAB_SCS!S128-Calc_RAB_Connection!S125</f>
        <v>0</v>
      </c>
      <c r="T125" s="67">
        <f>Input_RAB_SCS!T128-Calc_RAB_Connection!T125</f>
        <v>0</v>
      </c>
      <c r="U125" s="67">
        <f>Input_RAB_SCS!U128-Calc_RAB_Connection!U125</f>
        <v>0</v>
      </c>
      <c r="V125" s="67">
        <f>Input_RAB_SCS!V128-Calc_RAB_Connection!V125</f>
        <v>0</v>
      </c>
      <c r="W125" s="68">
        <f>Input_RAB_SCS!W128-Calc_RAB_Connection!W125</f>
        <v>0</v>
      </c>
      <c r="X125" s="66">
        <f>Input_RAB_SCS!X128-Calc_RAB_Connection!X125</f>
        <v>0</v>
      </c>
      <c r="Y125" s="67">
        <f>Input_RAB_SCS!Y128-Calc_RAB_Connection!Y125</f>
        <v>0</v>
      </c>
      <c r="Z125" s="67">
        <f>Input_RAB_SCS!Z128-Calc_RAB_Connection!Z125</f>
        <v>0</v>
      </c>
      <c r="AA125" s="67">
        <f>Input_RAB_SCS!AA128-Calc_RAB_Connection!AA125</f>
        <v>0</v>
      </c>
      <c r="AB125" s="68">
        <f>Input_RAB_SCS!AB128-Calc_RAB_Connection!AB125</f>
        <v>0</v>
      </c>
    </row>
    <row r="126" spans="1:28" ht="12.3" x14ac:dyDescent="0.35">
      <c r="D126" s="15" t="str">
        <f t="shared" si="83"/>
        <v>Distribution Substations</v>
      </c>
      <c r="E126" s="52" t="str">
        <f t="shared" si="87"/>
        <v>Input_RAB_SCS/Calc_RAB_Connection</v>
      </c>
      <c r="F126" s="52" t="str">
        <f t="shared" si="84"/>
        <v>Dollars</v>
      </c>
      <c r="G126" s="52" t="str">
        <f t="shared" si="85"/>
        <v>Nominal</v>
      </c>
      <c r="H126" s="52" t="str">
        <f t="shared" si="86"/>
        <v>End_year</v>
      </c>
      <c r="J126" s="66">
        <f>Input_RAB_SCS!J129-Calc_RAB_Connection!J126</f>
        <v>0</v>
      </c>
      <c r="K126" s="67">
        <f>Input_RAB_SCS!K129-Calc_RAB_Connection!K126</f>
        <v>0</v>
      </c>
      <c r="L126" s="67">
        <f>Input_RAB_SCS!L129-Calc_RAB_Connection!L126</f>
        <v>0</v>
      </c>
      <c r="M126" s="67">
        <f>Input_RAB_SCS!M129-Calc_RAB_Connection!M126</f>
        <v>0</v>
      </c>
      <c r="N126" s="67">
        <f>Input_RAB_SCS!N129-Calc_RAB_Connection!N126</f>
        <v>0</v>
      </c>
      <c r="O126" s="67">
        <f>Input_RAB_SCS!O129-Calc_RAB_Connection!O126</f>
        <v>-0.41469310255161584</v>
      </c>
      <c r="P126" s="67">
        <f>Input_RAB_SCS!P129-Calc_RAB_Connection!P126</f>
        <v>-0.5616058493513485</v>
      </c>
      <c r="Q126" s="67">
        <f>Input_RAB_SCS!Q129-Calc_RAB_Connection!Q126</f>
        <v>-0.69468582064374851</v>
      </c>
      <c r="R126" s="68">
        <f>Input_RAB_SCS!R129-Calc_RAB_Connection!R126</f>
        <v>-0.45023218005384014</v>
      </c>
      <c r="S126" s="66">
        <f>Input_RAB_SCS!S129-Calc_RAB_Connection!S126</f>
        <v>-8.049612829496058E-3</v>
      </c>
      <c r="T126" s="67">
        <f>Input_RAB_SCS!T129-Calc_RAB_Connection!T126</f>
        <v>0</v>
      </c>
      <c r="U126" s="67">
        <f>Input_RAB_SCS!U129-Calc_RAB_Connection!U126</f>
        <v>0</v>
      </c>
      <c r="V126" s="67">
        <f>Input_RAB_SCS!V129-Calc_RAB_Connection!V126</f>
        <v>0</v>
      </c>
      <c r="W126" s="68">
        <f>Input_RAB_SCS!W129-Calc_RAB_Connection!W126</f>
        <v>0</v>
      </c>
      <c r="X126" s="66">
        <f>Input_RAB_SCS!X129-Calc_RAB_Connection!X126</f>
        <v>0</v>
      </c>
      <c r="Y126" s="67">
        <f>Input_RAB_SCS!Y129-Calc_RAB_Connection!Y126</f>
        <v>0</v>
      </c>
      <c r="Z126" s="67">
        <f>Input_RAB_SCS!Z129-Calc_RAB_Connection!Z126</f>
        <v>0</v>
      </c>
      <c r="AA126" s="67">
        <f>Input_RAB_SCS!AA129-Calc_RAB_Connection!AA126</f>
        <v>0</v>
      </c>
      <c r="AB126" s="68">
        <f>Input_RAB_SCS!AB129-Calc_RAB_Connection!AB126</f>
        <v>0</v>
      </c>
    </row>
    <row r="127" spans="1:28" ht="12.3" x14ac:dyDescent="0.35">
      <c r="D127" s="15" t="str">
        <f t="shared" si="83"/>
        <v>Distribution Switchgear</v>
      </c>
      <c r="E127" s="52" t="str">
        <f t="shared" si="87"/>
        <v>Input_RAB_SCS/Calc_RAB_Connection</v>
      </c>
      <c r="F127" s="52" t="str">
        <f t="shared" si="84"/>
        <v>Dollars</v>
      </c>
      <c r="G127" s="52" t="str">
        <f t="shared" si="85"/>
        <v>Nominal</v>
      </c>
      <c r="H127" s="52" t="str">
        <f t="shared" si="86"/>
        <v>End_year</v>
      </c>
      <c r="J127" s="66">
        <f>Input_RAB_SCS!J130-Calc_RAB_Connection!J127</f>
        <v>0</v>
      </c>
      <c r="K127" s="67">
        <f>Input_RAB_SCS!K130-Calc_RAB_Connection!K127</f>
        <v>0</v>
      </c>
      <c r="L127" s="67">
        <f>Input_RAB_SCS!L130-Calc_RAB_Connection!L127</f>
        <v>0</v>
      </c>
      <c r="M127" s="67">
        <f>Input_RAB_SCS!M130-Calc_RAB_Connection!M127</f>
        <v>0</v>
      </c>
      <c r="N127" s="67">
        <f>Input_RAB_SCS!N130-Calc_RAB_Connection!N127</f>
        <v>0</v>
      </c>
      <c r="O127" s="67">
        <f>Input_RAB_SCS!O130-Calc_RAB_Connection!O127</f>
        <v>0</v>
      </c>
      <c r="P127" s="67">
        <f>Input_RAB_SCS!P130-Calc_RAB_Connection!P127</f>
        <v>0</v>
      </c>
      <c r="Q127" s="67">
        <f>Input_RAB_SCS!Q130-Calc_RAB_Connection!Q127</f>
        <v>0</v>
      </c>
      <c r="R127" s="68">
        <f>Input_RAB_SCS!R130-Calc_RAB_Connection!R127</f>
        <v>-1.2142556265144638E-2</v>
      </c>
      <c r="S127" s="66">
        <f>Input_RAB_SCS!S130-Calc_RAB_Connection!S127</f>
        <v>0</v>
      </c>
      <c r="T127" s="67">
        <f>Input_RAB_SCS!T130-Calc_RAB_Connection!T127</f>
        <v>0</v>
      </c>
      <c r="U127" s="67">
        <f>Input_RAB_SCS!U130-Calc_RAB_Connection!U127</f>
        <v>0</v>
      </c>
      <c r="V127" s="67">
        <f>Input_RAB_SCS!V130-Calc_RAB_Connection!V127</f>
        <v>0</v>
      </c>
      <c r="W127" s="68">
        <f>Input_RAB_SCS!W130-Calc_RAB_Connection!W127</f>
        <v>0</v>
      </c>
      <c r="X127" s="66">
        <f>Input_RAB_SCS!X130-Calc_RAB_Connection!X127</f>
        <v>0</v>
      </c>
      <c r="Y127" s="67">
        <f>Input_RAB_SCS!Y130-Calc_RAB_Connection!Y127</f>
        <v>0</v>
      </c>
      <c r="Z127" s="67">
        <f>Input_RAB_SCS!Z130-Calc_RAB_Connection!Z127</f>
        <v>0</v>
      </c>
      <c r="AA127" s="67">
        <f>Input_RAB_SCS!AA130-Calc_RAB_Connection!AA127</f>
        <v>0</v>
      </c>
      <c r="AB127" s="68">
        <f>Input_RAB_SCS!AB130-Calc_RAB_Connection!AB127</f>
        <v>0</v>
      </c>
    </row>
    <row r="128" spans="1:28" ht="12.3" x14ac:dyDescent="0.35">
      <c r="D128" s="15" t="str">
        <f t="shared" si="83"/>
        <v>Protection</v>
      </c>
      <c r="E128" s="52" t="str">
        <f t="shared" si="87"/>
        <v>Input_RAB_SCS/Calc_RAB_Connection</v>
      </c>
      <c r="F128" s="52" t="str">
        <f t="shared" si="84"/>
        <v>Dollars</v>
      </c>
      <c r="G128" s="52" t="str">
        <f t="shared" si="85"/>
        <v>Nominal</v>
      </c>
      <c r="H128" s="52" t="str">
        <f t="shared" si="86"/>
        <v>End_year</v>
      </c>
      <c r="J128" s="66">
        <f>Input_RAB_SCS!J131-Calc_RAB_Connection!J128</f>
        <v>0</v>
      </c>
      <c r="K128" s="67">
        <f>Input_RAB_SCS!K131-Calc_RAB_Connection!K128</f>
        <v>0</v>
      </c>
      <c r="L128" s="67">
        <f>Input_RAB_SCS!L131-Calc_RAB_Connection!L128</f>
        <v>0</v>
      </c>
      <c r="M128" s="67">
        <f>Input_RAB_SCS!M131-Calc_RAB_Connection!M128</f>
        <v>0</v>
      </c>
      <c r="N128" s="67">
        <f>Input_RAB_SCS!N131-Calc_RAB_Connection!N128</f>
        <v>0</v>
      </c>
      <c r="O128" s="67">
        <f>Input_RAB_SCS!O131-Calc_RAB_Connection!O128</f>
        <v>0</v>
      </c>
      <c r="P128" s="67">
        <f>Input_RAB_SCS!P131-Calc_RAB_Connection!P128</f>
        <v>0</v>
      </c>
      <c r="Q128" s="67">
        <f>Input_RAB_SCS!Q131-Calc_RAB_Connection!Q128</f>
        <v>0</v>
      </c>
      <c r="R128" s="68">
        <f>Input_RAB_SCS!R131-Calc_RAB_Connection!R128</f>
        <v>-3.3401213229489633E-3</v>
      </c>
      <c r="S128" s="66">
        <f>Input_RAB_SCS!S131-Calc_RAB_Connection!S128</f>
        <v>0</v>
      </c>
      <c r="T128" s="67">
        <f>Input_RAB_SCS!T131-Calc_RAB_Connection!T128</f>
        <v>0</v>
      </c>
      <c r="U128" s="67">
        <f>Input_RAB_SCS!U131-Calc_RAB_Connection!U128</f>
        <v>0</v>
      </c>
      <c r="V128" s="67">
        <f>Input_RAB_SCS!V131-Calc_RAB_Connection!V128</f>
        <v>0</v>
      </c>
      <c r="W128" s="68">
        <f>Input_RAB_SCS!W131-Calc_RAB_Connection!W128</f>
        <v>0</v>
      </c>
      <c r="X128" s="66">
        <f>Input_RAB_SCS!X131-Calc_RAB_Connection!X128</f>
        <v>0</v>
      </c>
      <c r="Y128" s="67">
        <f>Input_RAB_SCS!Y131-Calc_RAB_Connection!Y128</f>
        <v>0</v>
      </c>
      <c r="Z128" s="67">
        <f>Input_RAB_SCS!Z131-Calc_RAB_Connection!Z128</f>
        <v>0</v>
      </c>
      <c r="AA128" s="67">
        <f>Input_RAB_SCS!AA131-Calc_RAB_Connection!AA128</f>
        <v>0</v>
      </c>
      <c r="AB128" s="68">
        <f>Input_RAB_SCS!AB131-Calc_RAB_Connection!AB128</f>
        <v>0</v>
      </c>
    </row>
    <row r="129" spans="1:28" ht="12.3" x14ac:dyDescent="0.35">
      <c r="D129" s="15" t="str">
        <f t="shared" si="83"/>
        <v>SCADA</v>
      </c>
      <c r="E129" s="52" t="str">
        <f t="shared" si="87"/>
        <v>Input_RAB_SCS/Calc_RAB_Connection</v>
      </c>
      <c r="F129" s="52" t="str">
        <f t="shared" si="84"/>
        <v>Dollars</v>
      </c>
      <c r="G129" s="52" t="str">
        <f t="shared" si="85"/>
        <v>Nominal</v>
      </c>
      <c r="H129" s="52" t="str">
        <f t="shared" si="86"/>
        <v>End_year</v>
      </c>
      <c r="J129" s="66">
        <f>Input_RAB_SCS!J132-Calc_RAB_Connection!J129</f>
        <v>0</v>
      </c>
      <c r="K129" s="67">
        <f>Input_RAB_SCS!K132-Calc_RAB_Connection!K129</f>
        <v>0</v>
      </c>
      <c r="L129" s="67">
        <f>Input_RAB_SCS!L132-Calc_RAB_Connection!L129</f>
        <v>0</v>
      </c>
      <c r="M129" s="67">
        <f>Input_RAB_SCS!M132-Calc_RAB_Connection!M129</f>
        <v>0</v>
      </c>
      <c r="N129" s="67">
        <f>Input_RAB_SCS!N132-Calc_RAB_Connection!N129</f>
        <v>0</v>
      </c>
      <c r="O129" s="67">
        <f>Input_RAB_SCS!O132-Calc_RAB_Connection!O129</f>
        <v>0</v>
      </c>
      <c r="P129" s="67">
        <f>Input_RAB_SCS!P132-Calc_RAB_Connection!P129</f>
        <v>0</v>
      </c>
      <c r="Q129" s="67">
        <f>Input_RAB_SCS!Q132-Calc_RAB_Connection!Q129</f>
        <v>0</v>
      </c>
      <c r="R129" s="68">
        <f>Input_RAB_SCS!R132-Calc_RAB_Connection!R129</f>
        <v>-1.4011571724788875E-5</v>
      </c>
      <c r="S129" s="66">
        <f>Input_RAB_SCS!S132-Calc_RAB_Connection!S129</f>
        <v>0</v>
      </c>
      <c r="T129" s="67">
        <f>Input_RAB_SCS!T132-Calc_RAB_Connection!T129</f>
        <v>0</v>
      </c>
      <c r="U129" s="67">
        <f>Input_RAB_SCS!U132-Calc_RAB_Connection!U129</f>
        <v>0</v>
      </c>
      <c r="V129" s="67">
        <f>Input_RAB_SCS!V132-Calc_RAB_Connection!V129</f>
        <v>0</v>
      </c>
      <c r="W129" s="68">
        <f>Input_RAB_SCS!W132-Calc_RAB_Connection!W129</f>
        <v>0</v>
      </c>
      <c r="X129" s="66">
        <f>Input_RAB_SCS!X132-Calc_RAB_Connection!X129</f>
        <v>0</v>
      </c>
      <c r="Y129" s="67">
        <f>Input_RAB_SCS!Y132-Calc_RAB_Connection!Y129</f>
        <v>0</v>
      </c>
      <c r="Z129" s="67">
        <f>Input_RAB_SCS!Z132-Calc_RAB_Connection!Z129</f>
        <v>0</v>
      </c>
      <c r="AA129" s="67">
        <f>Input_RAB_SCS!AA132-Calc_RAB_Connection!AA129</f>
        <v>0</v>
      </c>
      <c r="AB129" s="68">
        <f>Input_RAB_SCS!AB132-Calc_RAB_Connection!AB129</f>
        <v>0</v>
      </c>
    </row>
    <row r="130" spans="1:28" ht="12.3" x14ac:dyDescent="0.35">
      <c r="D130" s="15" t="str">
        <f t="shared" si="83"/>
        <v>Communications</v>
      </c>
      <c r="E130" s="52" t="str">
        <f t="shared" si="87"/>
        <v>Input_RAB_SCS/Calc_RAB_Connection</v>
      </c>
      <c r="F130" s="52" t="str">
        <f t="shared" si="84"/>
        <v>Dollars</v>
      </c>
      <c r="G130" s="52" t="str">
        <f t="shared" si="85"/>
        <v>Nominal</v>
      </c>
      <c r="H130" s="52" t="str">
        <f t="shared" si="86"/>
        <v>End_year</v>
      </c>
      <c r="J130" s="66">
        <f>Input_RAB_SCS!J133-Calc_RAB_Connection!J130</f>
        <v>0</v>
      </c>
      <c r="K130" s="67">
        <f>Input_RAB_SCS!K133-Calc_RAB_Connection!K130</f>
        <v>0</v>
      </c>
      <c r="L130" s="67">
        <f>Input_RAB_SCS!L133-Calc_RAB_Connection!L130</f>
        <v>0</v>
      </c>
      <c r="M130" s="67">
        <f>Input_RAB_SCS!M133-Calc_RAB_Connection!M130</f>
        <v>0</v>
      </c>
      <c r="N130" s="67">
        <f>Input_RAB_SCS!N133-Calc_RAB_Connection!N130</f>
        <v>0</v>
      </c>
      <c r="O130" s="67">
        <f>Input_RAB_SCS!O133-Calc_RAB_Connection!O130</f>
        <v>0</v>
      </c>
      <c r="P130" s="67">
        <f>Input_RAB_SCS!P133-Calc_RAB_Connection!P130</f>
        <v>0</v>
      </c>
      <c r="Q130" s="67">
        <f>Input_RAB_SCS!Q133-Calc_RAB_Connection!Q130</f>
        <v>0</v>
      </c>
      <c r="R130" s="68">
        <f>Input_RAB_SCS!R133-Calc_RAB_Connection!R130</f>
        <v>0</v>
      </c>
      <c r="S130" s="66">
        <f>Input_RAB_SCS!S133-Calc_RAB_Connection!S130</f>
        <v>0</v>
      </c>
      <c r="T130" s="67">
        <f>Input_RAB_SCS!T133-Calc_RAB_Connection!T130</f>
        <v>0</v>
      </c>
      <c r="U130" s="67">
        <f>Input_RAB_SCS!U133-Calc_RAB_Connection!U130</f>
        <v>0</v>
      </c>
      <c r="V130" s="67">
        <f>Input_RAB_SCS!V133-Calc_RAB_Connection!V130</f>
        <v>0</v>
      </c>
      <c r="W130" s="68">
        <f>Input_RAB_SCS!W133-Calc_RAB_Connection!W130</f>
        <v>0</v>
      </c>
      <c r="X130" s="66">
        <f>Input_RAB_SCS!X133-Calc_RAB_Connection!X130</f>
        <v>0</v>
      </c>
      <c r="Y130" s="67">
        <f>Input_RAB_SCS!Y133-Calc_RAB_Connection!Y130</f>
        <v>0</v>
      </c>
      <c r="Z130" s="67">
        <f>Input_RAB_SCS!Z133-Calc_RAB_Connection!Z130</f>
        <v>0</v>
      </c>
      <c r="AA130" s="67">
        <f>Input_RAB_SCS!AA133-Calc_RAB_Connection!AA130</f>
        <v>0</v>
      </c>
      <c r="AB130" s="68">
        <f>Input_RAB_SCS!AB133-Calc_RAB_Connection!AB130</f>
        <v>0</v>
      </c>
    </row>
    <row r="131" spans="1:28" ht="12.3" x14ac:dyDescent="0.35">
      <c r="D131" s="15" t="str">
        <f t="shared" si="83"/>
        <v>Land and Easements</v>
      </c>
      <c r="E131" s="52" t="str">
        <f t="shared" si="87"/>
        <v>Input_RAB_SCS/Calc_RAB_Connection</v>
      </c>
      <c r="F131" s="52" t="str">
        <f t="shared" si="84"/>
        <v>Dollars</v>
      </c>
      <c r="G131" s="52" t="str">
        <f t="shared" si="85"/>
        <v>Nominal</v>
      </c>
      <c r="H131" s="52" t="str">
        <f t="shared" si="86"/>
        <v>End_year</v>
      </c>
      <c r="J131" s="66">
        <f>Input_RAB_SCS!J134-Calc_RAB_Connection!J131</f>
        <v>0</v>
      </c>
      <c r="K131" s="67">
        <f>Input_RAB_SCS!K134-Calc_RAB_Connection!K131</f>
        <v>0</v>
      </c>
      <c r="L131" s="67">
        <f>Input_RAB_SCS!L134-Calc_RAB_Connection!L131</f>
        <v>0</v>
      </c>
      <c r="M131" s="67">
        <f>Input_RAB_SCS!M134-Calc_RAB_Connection!M131</f>
        <v>0</v>
      </c>
      <c r="N131" s="67">
        <f>Input_RAB_SCS!N134-Calc_RAB_Connection!N131</f>
        <v>0</v>
      </c>
      <c r="O131" s="67">
        <f>Input_RAB_SCS!O134-Calc_RAB_Connection!O131</f>
        <v>0</v>
      </c>
      <c r="P131" s="67">
        <f>Input_RAB_SCS!P134-Calc_RAB_Connection!P131</f>
        <v>0</v>
      </c>
      <c r="Q131" s="67">
        <f>Input_RAB_SCS!Q134-Calc_RAB_Connection!Q131</f>
        <v>-3.4945981020732342</v>
      </c>
      <c r="R131" s="68">
        <f>Input_RAB_SCS!R134-Calc_RAB_Connection!R131</f>
        <v>0</v>
      </c>
      <c r="S131" s="66">
        <f>Input_RAB_SCS!S134-Calc_RAB_Connection!S131</f>
        <v>0</v>
      </c>
      <c r="T131" s="67">
        <f>Input_RAB_SCS!T134-Calc_RAB_Connection!T131</f>
        <v>0</v>
      </c>
      <c r="U131" s="67">
        <f>Input_RAB_SCS!U134-Calc_RAB_Connection!U131</f>
        <v>-1.0225930087984345E-2</v>
      </c>
      <c r="V131" s="67">
        <f>Input_RAB_SCS!V134-Calc_RAB_Connection!V131</f>
        <v>0</v>
      </c>
      <c r="W131" s="68">
        <f>Input_RAB_SCS!W134-Calc_RAB_Connection!W131</f>
        <v>0</v>
      </c>
      <c r="X131" s="66">
        <f>Input_RAB_SCS!X134-Calc_RAB_Connection!X131</f>
        <v>0</v>
      </c>
      <c r="Y131" s="67">
        <f>Input_RAB_SCS!Y134-Calc_RAB_Connection!Y131</f>
        <v>0</v>
      </c>
      <c r="Z131" s="67">
        <f>Input_RAB_SCS!Z134-Calc_RAB_Connection!Z131</f>
        <v>0</v>
      </c>
      <c r="AA131" s="67">
        <f>Input_RAB_SCS!AA134-Calc_RAB_Connection!AA131</f>
        <v>0</v>
      </c>
      <c r="AB131" s="68">
        <f>Input_RAB_SCS!AB134-Calc_RAB_Connection!AB131</f>
        <v>0</v>
      </c>
    </row>
    <row r="132" spans="1:28" ht="12.3" x14ac:dyDescent="0.35">
      <c r="D132" s="15" t="str">
        <f t="shared" si="83"/>
        <v>Property</v>
      </c>
      <c r="E132" s="52" t="str">
        <f t="shared" si="87"/>
        <v>Input_RAB_SCS/Calc_RAB_Connection</v>
      </c>
      <c r="F132" s="52" t="str">
        <f t="shared" si="84"/>
        <v>Dollars</v>
      </c>
      <c r="G132" s="52" t="str">
        <f t="shared" si="85"/>
        <v>Nominal</v>
      </c>
      <c r="H132" s="52" t="str">
        <f t="shared" si="86"/>
        <v>End_year</v>
      </c>
      <c r="J132" s="66">
        <f>Input_RAB_SCS!J135-Calc_RAB_Connection!J132</f>
        <v>0</v>
      </c>
      <c r="K132" s="67">
        <f>Input_RAB_SCS!K135-Calc_RAB_Connection!K132</f>
        <v>0</v>
      </c>
      <c r="L132" s="67">
        <f>Input_RAB_SCS!L135-Calc_RAB_Connection!L132</f>
        <v>0</v>
      </c>
      <c r="M132" s="67">
        <f>Input_RAB_SCS!M135-Calc_RAB_Connection!M132</f>
        <v>0</v>
      </c>
      <c r="N132" s="67">
        <f>Input_RAB_SCS!N135-Calc_RAB_Connection!N132</f>
        <v>0</v>
      </c>
      <c r="O132" s="67">
        <f>Input_RAB_SCS!O135-Calc_RAB_Connection!O132</f>
        <v>0</v>
      </c>
      <c r="P132" s="67">
        <f>Input_RAB_SCS!P135-Calc_RAB_Connection!P132</f>
        <v>0</v>
      </c>
      <c r="Q132" s="67">
        <f>Input_RAB_SCS!Q135-Calc_RAB_Connection!Q132</f>
        <v>0</v>
      </c>
      <c r="R132" s="68">
        <f>Input_RAB_SCS!R135-Calc_RAB_Connection!R132</f>
        <v>0</v>
      </c>
      <c r="S132" s="66">
        <f>Input_RAB_SCS!S135-Calc_RAB_Connection!S132</f>
        <v>0</v>
      </c>
      <c r="T132" s="67">
        <f>Input_RAB_SCS!T135-Calc_RAB_Connection!T132</f>
        <v>-9.0687229355076848E-3</v>
      </c>
      <c r="U132" s="67">
        <f>Input_RAB_SCS!U135-Calc_RAB_Connection!U132</f>
        <v>0</v>
      </c>
      <c r="V132" s="67">
        <f>Input_RAB_SCS!V135-Calc_RAB_Connection!V132</f>
        <v>0</v>
      </c>
      <c r="W132" s="68">
        <f>Input_RAB_SCS!W135-Calc_RAB_Connection!W132</f>
        <v>0</v>
      </c>
      <c r="X132" s="66">
        <f>Input_RAB_SCS!X135-Calc_RAB_Connection!X132</f>
        <v>0</v>
      </c>
      <c r="Y132" s="67">
        <f>Input_RAB_SCS!Y135-Calc_RAB_Connection!Y132</f>
        <v>0</v>
      </c>
      <c r="Z132" s="67">
        <f>Input_RAB_SCS!Z135-Calc_RAB_Connection!Z132</f>
        <v>0</v>
      </c>
      <c r="AA132" s="67">
        <f>Input_RAB_SCS!AA135-Calc_RAB_Connection!AA132</f>
        <v>0</v>
      </c>
      <c r="AB132" s="68">
        <f>Input_RAB_SCS!AB135-Calc_RAB_Connection!AB132</f>
        <v>0</v>
      </c>
    </row>
    <row r="133" spans="1:28" ht="12.3" x14ac:dyDescent="0.35">
      <c r="D133" s="15" t="str">
        <f t="shared" si="83"/>
        <v>IT and Communications</v>
      </c>
      <c r="E133" s="52" t="str">
        <f t="shared" si="87"/>
        <v>Input_RAB_SCS/Calc_RAB_Connection</v>
      </c>
      <c r="F133" s="52" t="str">
        <f t="shared" si="84"/>
        <v>Dollars</v>
      </c>
      <c r="G133" s="52" t="str">
        <f t="shared" si="85"/>
        <v>Nominal</v>
      </c>
      <c r="H133" s="52" t="str">
        <f t="shared" si="86"/>
        <v>End_year</v>
      </c>
      <c r="J133" s="66">
        <f>Input_RAB_SCS!J136-Calc_RAB_Connection!J133</f>
        <v>0</v>
      </c>
      <c r="K133" s="67">
        <f>Input_RAB_SCS!K136-Calc_RAB_Connection!K133</f>
        <v>0</v>
      </c>
      <c r="L133" s="67">
        <f>Input_RAB_SCS!L136-Calc_RAB_Connection!L133</f>
        <v>0</v>
      </c>
      <c r="M133" s="67">
        <f>Input_RAB_SCS!M136-Calc_RAB_Connection!M133</f>
        <v>0</v>
      </c>
      <c r="N133" s="67">
        <f>Input_RAB_SCS!N136-Calc_RAB_Connection!N133</f>
        <v>0</v>
      </c>
      <c r="O133" s="67">
        <f>Input_RAB_SCS!O136-Calc_RAB_Connection!O133</f>
        <v>0</v>
      </c>
      <c r="P133" s="67">
        <f>Input_RAB_SCS!P136-Calc_RAB_Connection!P133</f>
        <v>0</v>
      </c>
      <c r="Q133" s="67">
        <f>Input_RAB_SCS!Q136-Calc_RAB_Connection!Q133</f>
        <v>0</v>
      </c>
      <c r="R133" s="68">
        <f>Input_RAB_SCS!R136-Calc_RAB_Connection!R133</f>
        <v>0</v>
      </c>
      <c r="S133" s="66">
        <f>Input_RAB_SCS!S136-Calc_RAB_Connection!S133</f>
        <v>0</v>
      </c>
      <c r="T133" s="67">
        <f>Input_RAB_SCS!T136-Calc_RAB_Connection!T133</f>
        <v>0</v>
      </c>
      <c r="U133" s="67">
        <f>Input_RAB_SCS!U136-Calc_RAB_Connection!U133</f>
        <v>0</v>
      </c>
      <c r="V133" s="67">
        <f>Input_RAB_SCS!V136-Calc_RAB_Connection!V133</f>
        <v>0</v>
      </c>
      <c r="W133" s="68">
        <f>Input_RAB_SCS!W136-Calc_RAB_Connection!W133</f>
        <v>0</v>
      </c>
      <c r="X133" s="66">
        <f>Input_RAB_SCS!X136-Calc_RAB_Connection!X133</f>
        <v>0</v>
      </c>
      <c r="Y133" s="67">
        <f>Input_RAB_SCS!Y136-Calc_RAB_Connection!Y133</f>
        <v>0</v>
      </c>
      <c r="Z133" s="67">
        <f>Input_RAB_SCS!Z136-Calc_RAB_Connection!Z133</f>
        <v>0</v>
      </c>
      <c r="AA133" s="67">
        <f>Input_RAB_SCS!AA136-Calc_RAB_Connection!AA133</f>
        <v>0</v>
      </c>
      <c r="AB133" s="68">
        <f>Input_RAB_SCS!AB136-Calc_RAB_Connection!AB133</f>
        <v>0</v>
      </c>
    </row>
    <row r="134" spans="1:28" ht="12.3" x14ac:dyDescent="0.35">
      <c r="D134" s="15" t="str">
        <f t="shared" si="83"/>
        <v>Motor Vehicles</v>
      </c>
      <c r="E134" s="52" t="str">
        <f t="shared" si="87"/>
        <v>Input_RAB_SCS/Calc_RAB_Connection</v>
      </c>
      <c r="F134" s="52" t="str">
        <f t="shared" si="84"/>
        <v>Dollars</v>
      </c>
      <c r="G134" s="52" t="str">
        <f t="shared" si="85"/>
        <v>Nominal</v>
      </c>
      <c r="H134" s="52" t="str">
        <f t="shared" si="86"/>
        <v>End_year</v>
      </c>
      <c r="J134" s="66">
        <f>Input_RAB_SCS!J137-Calc_RAB_Connection!J134</f>
        <v>0</v>
      </c>
      <c r="K134" s="67">
        <f>Input_RAB_SCS!K137-Calc_RAB_Connection!K134</f>
        <v>0</v>
      </c>
      <c r="L134" s="67">
        <f>Input_RAB_SCS!L137-Calc_RAB_Connection!L134</f>
        <v>0</v>
      </c>
      <c r="M134" s="67">
        <f>Input_RAB_SCS!M137-Calc_RAB_Connection!M134</f>
        <v>0</v>
      </c>
      <c r="N134" s="67">
        <f>Input_RAB_SCS!N137-Calc_RAB_Connection!N134</f>
        <v>0</v>
      </c>
      <c r="O134" s="67">
        <f>Input_RAB_SCS!O137-Calc_RAB_Connection!O134</f>
        <v>0</v>
      </c>
      <c r="P134" s="67">
        <f>Input_RAB_SCS!P137-Calc_RAB_Connection!P134</f>
        <v>0</v>
      </c>
      <c r="Q134" s="67">
        <f>Input_RAB_SCS!Q137-Calc_RAB_Connection!Q134</f>
        <v>0</v>
      </c>
      <c r="R134" s="68">
        <f>Input_RAB_SCS!R137-Calc_RAB_Connection!R134</f>
        <v>0</v>
      </c>
      <c r="S134" s="66">
        <f>Input_RAB_SCS!S137-Calc_RAB_Connection!S134</f>
        <v>0</v>
      </c>
      <c r="T134" s="67">
        <f>Input_RAB_SCS!T137-Calc_RAB_Connection!T134</f>
        <v>0</v>
      </c>
      <c r="U134" s="67">
        <f>Input_RAB_SCS!U137-Calc_RAB_Connection!U134</f>
        <v>-4.8858675885982156E-3</v>
      </c>
      <c r="V134" s="67">
        <f>Input_RAB_SCS!V137-Calc_RAB_Connection!V134</f>
        <v>0</v>
      </c>
      <c r="W134" s="68">
        <f>Input_RAB_SCS!W137-Calc_RAB_Connection!W134</f>
        <v>0</v>
      </c>
      <c r="X134" s="66">
        <f>Input_RAB_SCS!X137-Calc_RAB_Connection!X134</f>
        <v>0</v>
      </c>
      <c r="Y134" s="67">
        <f>Input_RAB_SCS!Y137-Calc_RAB_Connection!Y134</f>
        <v>0</v>
      </c>
      <c r="Z134" s="67">
        <f>Input_RAB_SCS!Z137-Calc_RAB_Connection!Z134</f>
        <v>0</v>
      </c>
      <c r="AA134" s="67">
        <f>Input_RAB_SCS!AA137-Calc_RAB_Connection!AA134</f>
        <v>0</v>
      </c>
      <c r="AB134" s="68">
        <f>Input_RAB_SCS!AB137-Calc_RAB_Connection!AB134</f>
        <v>0</v>
      </c>
    </row>
    <row r="135" spans="1:28" ht="12.3" x14ac:dyDescent="0.35">
      <c r="D135" s="15" t="str">
        <f t="shared" si="83"/>
        <v>Plant and Equipment</v>
      </c>
      <c r="E135" s="52" t="str">
        <f t="shared" si="87"/>
        <v>Input_RAB_SCS/Calc_RAB_Connection</v>
      </c>
      <c r="F135" s="52" t="str">
        <f t="shared" si="84"/>
        <v>Dollars</v>
      </c>
      <c r="G135" s="52" t="str">
        <f t="shared" si="85"/>
        <v>Nominal</v>
      </c>
      <c r="H135" s="52" t="str">
        <f t="shared" si="86"/>
        <v>End_year</v>
      </c>
      <c r="J135" s="66">
        <f>Input_RAB_SCS!J138-Calc_RAB_Connection!J135</f>
        <v>0</v>
      </c>
      <c r="K135" s="67">
        <f>Input_RAB_SCS!K138-Calc_RAB_Connection!K135</f>
        <v>0</v>
      </c>
      <c r="L135" s="67">
        <f>Input_RAB_SCS!L138-Calc_RAB_Connection!L135</f>
        <v>0</v>
      </c>
      <c r="M135" s="67">
        <f>Input_RAB_SCS!M138-Calc_RAB_Connection!M135</f>
        <v>0</v>
      </c>
      <c r="N135" s="67">
        <f>Input_RAB_SCS!N138-Calc_RAB_Connection!N135</f>
        <v>0</v>
      </c>
      <c r="O135" s="67">
        <f>Input_RAB_SCS!O138-Calc_RAB_Connection!O135</f>
        <v>0</v>
      </c>
      <c r="P135" s="67">
        <f>Input_RAB_SCS!P138-Calc_RAB_Connection!P135</f>
        <v>0</v>
      </c>
      <c r="Q135" s="67">
        <f>Input_RAB_SCS!Q138-Calc_RAB_Connection!Q135</f>
        <v>-6.9320099454478904E-3</v>
      </c>
      <c r="R135" s="68">
        <f>Input_RAB_SCS!R138-Calc_RAB_Connection!R135</f>
        <v>0</v>
      </c>
      <c r="S135" s="66">
        <f>Input_RAB_SCS!S138-Calc_RAB_Connection!S135</f>
        <v>-2.7865659489757339E-3</v>
      </c>
      <c r="T135" s="67">
        <f>Input_RAB_SCS!T138-Calc_RAB_Connection!T135</f>
        <v>-2.2311138784566007E-3</v>
      </c>
      <c r="U135" s="67">
        <f>Input_RAB_SCS!U138-Calc_RAB_Connection!U135</f>
        <v>0</v>
      </c>
      <c r="V135" s="67">
        <f>Input_RAB_SCS!V138-Calc_RAB_Connection!V135</f>
        <v>0</v>
      </c>
      <c r="W135" s="68">
        <f>Input_RAB_SCS!W138-Calc_RAB_Connection!W135</f>
        <v>0</v>
      </c>
      <c r="X135" s="66">
        <f>Input_RAB_SCS!X138-Calc_RAB_Connection!X135</f>
        <v>0</v>
      </c>
      <c r="Y135" s="67">
        <f>Input_RAB_SCS!Y138-Calc_RAB_Connection!Y135</f>
        <v>0</v>
      </c>
      <c r="Z135" s="67">
        <f>Input_RAB_SCS!Z138-Calc_RAB_Connection!Z135</f>
        <v>0</v>
      </c>
      <c r="AA135" s="67">
        <f>Input_RAB_SCS!AA138-Calc_RAB_Connection!AA135</f>
        <v>0</v>
      </c>
      <c r="AB135" s="68">
        <f>Input_RAB_SCS!AB138-Calc_RAB_Connection!AB135</f>
        <v>0</v>
      </c>
    </row>
    <row r="136" spans="1:28" ht="12.3" x14ac:dyDescent="0.35">
      <c r="D136" s="15" t="str">
        <f t="shared" ref="D136:D137" si="88">D32</f>
        <v>Property Leases</v>
      </c>
      <c r="E136" s="52" t="str">
        <f t="shared" si="87"/>
        <v>Input_RAB_SCS/Calc_RAB_Connection</v>
      </c>
      <c r="F136" s="52" t="str">
        <f t="shared" si="84"/>
        <v>Dollars</v>
      </c>
      <c r="G136" s="52" t="str">
        <f t="shared" si="85"/>
        <v>Nominal</v>
      </c>
      <c r="H136" s="52" t="str">
        <f t="shared" si="86"/>
        <v>End_year</v>
      </c>
      <c r="J136" s="66">
        <f>Input_RAB_SCS!J139-Calc_RAB_Connection!J136</f>
        <v>0</v>
      </c>
      <c r="K136" s="67">
        <f>Input_RAB_SCS!K139-Calc_RAB_Connection!K136</f>
        <v>0</v>
      </c>
      <c r="L136" s="67">
        <f>Input_RAB_SCS!L139-Calc_RAB_Connection!L136</f>
        <v>0</v>
      </c>
      <c r="M136" s="67">
        <f>Input_RAB_SCS!M139-Calc_RAB_Connection!M136</f>
        <v>0</v>
      </c>
      <c r="N136" s="67">
        <f>Input_RAB_SCS!N139-Calc_RAB_Connection!N136</f>
        <v>0</v>
      </c>
      <c r="O136" s="67">
        <f>Input_RAB_SCS!O139-Calc_RAB_Connection!O136</f>
        <v>0</v>
      </c>
      <c r="P136" s="67">
        <f>Input_RAB_SCS!P139-Calc_RAB_Connection!P136</f>
        <v>0</v>
      </c>
      <c r="Q136" s="67">
        <f>Input_RAB_SCS!Q139-Calc_RAB_Connection!Q136</f>
        <v>0</v>
      </c>
      <c r="R136" s="68">
        <f>Input_RAB_SCS!R139-Calc_RAB_Connection!R136</f>
        <v>0</v>
      </c>
      <c r="S136" s="66">
        <f>Input_RAB_SCS!S139-Calc_RAB_Connection!S136</f>
        <v>0</v>
      </c>
      <c r="T136" s="67">
        <f>Input_RAB_SCS!T139-Calc_RAB_Connection!T136</f>
        <v>0</v>
      </c>
      <c r="U136" s="67">
        <f>Input_RAB_SCS!U139-Calc_RAB_Connection!U136</f>
        <v>0</v>
      </c>
      <c r="V136" s="67">
        <f>Input_RAB_SCS!V139-Calc_RAB_Connection!V136</f>
        <v>0</v>
      </c>
      <c r="W136" s="68">
        <f>Input_RAB_SCS!W139-Calc_RAB_Connection!W136</f>
        <v>0</v>
      </c>
      <c r="X136" s="66">
        <f>Input_RAB_SCS!X139-Calc_RAB_Connection!X136</f>
        <v>0</v>
      </c>
      <c r="Y136" s="67">
        <f>Input_RAB_SCS!Y139-Calc_RAB_Connection!Y136</f>
        <v>0</v>
      </c>
      <c r="Z136" s="67">
        <f>Input_RAB_SCS!Z139-Calc_RAB_Connection!Z136</f>
        <v>0</v>
      </c>
      <c r="AA136" s="67">
        <f>Input_RAB_SCS!AA139-Calc_RAB_Connection!AA136</f>
        <v>0</v>
      </c>
      <c r="AB136" s="68">
        <f>Input_RAB_SCS!AB139-Calc_RAB_Connection!AB136</f>
        <v>0</v>
      </c>
    </row>
    <row r="137" spans="1:28" ht="12.3" x14ac:dyDescent="0.35">
      <c r="D137" s="15" t="str">
        <f t="shared" si="88"/>
        <v>Fleet Leases</v>
      </c>
      <c r="E137" s="52" t="str">
        <f t="shared" si="87"/>
        <v>Input_RAB_SCS/Calc_RAB_Connection</v>
      </c>
      <c r="F137" s="52" t="str">
        <f t="shared" si="84"/>
        <v>Dollars</v>
      </c>
      <c r="G137" s="52" t="str">
        <f t="shared" si="85"/>
        <v>Nominal</v>
      </c>
      <c r="H137" s="52" t="str">
        <f t="shared" si="86"/>
        <v>End_year</v>
      </c>
      <c r="J137" s="66">
        <f>Input_RAB_SCS!J140-Calc_RAB_Connection!J137</f>
        <v>0</v>
      </c>
      <c r="K137" s="67">
        <f>Input_RAB_SCS!K140-Calc_RAB_Connection!K137</f>
        <v>0</v>
      </c>
      <c r="L137" s="67">
        <f>Input_RAB_SCS!L140-Calc_RAB_Connection!L137</f>
        <v>0</v>
      </c>
      <c r="M137" s="67">
        <f>Input_RAB_SCS!M140-Calc_RAB_Connection!M137</f>
        <v>0</v>
      </c>
      <c r="N137" s="67">
        <f>Input_RAB_SCS!N140-Calc_RAB_Connection!N137</f>
        <v>0</v>
      </c>
      <c r="O137" s="67">
        <f>Input_RAB_SCS!O140-Calc_RAB_Connection!O137</f>
        <v>0</v>
      </c>
      <c r="P137" s="67">
        <f>Input_RAB_SCS!P140-Calc_RAB_Connection!P137</f>
        <v>0</v>
      </c>
      <c r="Q137" s="67">
        <f>Input_RAB_SCS!Q140-Calc_RAB_Connection!Q137</f>
        <v>0</v>
      </c>
      <c r="R137" s="68">
        <f>Input_RAB_SCS!R140-Calc_RAB_Connection!R137</f>
        <v>0</v>
      </c>
      <c r="S137" s="66">
        <f>Input_RAB_SCS!S140-Calc_RAB_Connection!S137</f>
        <v>0</v>
      </c>
      <c r="T137" s="67">
        <f>Input_RAB_SCS!T140-Calc_RAB_Connection!T137</f>
        <v>0</v>
      </c>
      <c r="U137" s="67">
        <f>Input_RAB_SCS!U140-Calc_RAB_Connection!U137</f>
        <v>0</v>
      </c>
      <c r="V137" s="67">
        <f>Input_RAB_SCS!V140-Calc_RAB_Connection!V137</f>
        <v>0</v>
      </c>
      <c r="W137" s="68">
        <f>Input_RAB_SCS!W140-Calc_RAB_Connection!W137</f>
        <v>0</v>
      </c>
      <c r="X137" s="66">
        <f>Input_RAB_SCS!X140-Calc_RAB_Connection!X137</f>
        <v>0</v>
      </c>
      <c r="Y137" s="67">
        <f>Input_RAB_SCS!Y140-Calc_RAB_Connection!Y137</f>
        <v>0</v>
      </c>
      <c r="Z137" s="67">
        <f>Input_RAB_SCS!Z140-Calc_RAB_Connection!Z137</f>
        <v>0</v>
      </c>
      <c r="AA137" s="67">
        <f>Input_RAB_SCS!AA140-Calc_RAB_Connection!AA137</f>
        <v>0</v>
      </c>
      <c r="AB137" s="68">
        <f>Input_RAB_SCS!AB140-Calc_RAB_Connection!AB137</f>
        <v>0</v>
      </c>
    </row>
    <row r="138" spans="1:28" ht="12.3" x14ac:dyDescent="0.35">
      <c r="D138" s="15" t="str">
        <f t="shared" ref="D138" si="89">D34</f>
        <v>Equity Raising Costs</v>
      </c>
      <c r="E138" s="52" t="str">
        <f>E135</f>
        <v>Input_RAB_SCS/Calc_RAB_Connection</v>
      </c>
      <c r="F138" s="52" t="str">
        <f t="shared" si="84"/>
        <v>Dollars</v>
      </c>
      <c r="G138" s="52" t="str">
        <f t="shared" si="85"/>
        <v>Nominal</v>
      </c>
      <c r="H138" s="52" t="str">
        <f t="shared" si="86"/>
        <v>End_year</v>
      </c>
      <c r="J138" s="66">
        <f>Input_RAB_SCS!J141-Calc_RAB_Connection!J138</f>
        <v>0</v>
      </c>
      <c r="K138" s="67">
        <f>Input_RAB_SCS!K141-Calc_RAB_Connection!K138</f>
        <v>0</v>
      </c>
      <c r="L138" s="67">
        <f>Input_RAB_SCS!L141-Calc_RAB_Connection!L138</f>
        <v>0</v>
      </c>
      <c r="M138" s="67">
        <f>Input_RAB_SCS!M141-Calc_RAB_Connection!M138</f>
        <v>0</v>
      </c>
      <c r="N138" s="67">
        <f>Input_RAB_SCS!N141-Calc_RAB_Connection!N138</f>
        <v>0</v>
      </c>
      <c r="O138" s="67">
        <f>Input_RAB_SCS!O141-Calc_RAB_Connection!O138</f>
        <v>0</v>
      </c>
      <c r="P138" s="67">
        <f>Input_RAB_SCS!P141-Calc_RAB_Connection!P138</f>
        <v>0</v>
      </c>
      <c r="Q138" s="67">
        <f>Input_RAB_SCS!Q141-Calc_RAB_Connection!Q138</f>
        <v>0</v>
      </c>
      <c r="R138" s="68">
        <f>Input_RAB_SCS!R141-Calc_RAB_Connection!R138</f>
        <v>0</v>
      </c>
      <c r="S138" s="66">
        <f>Input_RAB_SCS!S141-Calc_RAB_Connection!S138</f>
        <v>0</v>
      </c>
      <c r="T138" s="67">
        <f>Input_RAB_SCS!T141-Calc_RAB_Connection!T138</f>
        <v>0</v>
      </c>
      <c r="U138" s="67">
        <f>Input_RAB_SCS!U141-Calc_RAB_Connection!U138</f>
        <v>0</v>
      </c>
      <c r="V138" s="67">
        <f>Input_RAB_SCS!V141-Calc_RAB_Connection!V138</f>
        <v>0</v>
      </c>
      <c r="W138" s="68">
        <f>Input_RAB_SCS!W141-Calc_RAB_Connection!W138</f>
        <v>0</v>
      </c>
      <c r="X138" s="66">
        <f>Input_RAB_SCS!X141-Calc_RAB_Connection!X138</f>
        <v>0</v>
      </c>
      <c r="Y138" s="67">
        <f>Input_RAB_SCS!Y141-Calc_RAB_Connection!Y138</f>
        <v>0</v>
      </c>
      <c r="Z138" s="67">
        <f>Input_RAB_SCS!Z141-Calc_RAB_Connection!Z138</f>
        <v>0</v>
      </c>
      <c r="AA138" s="67">
        <f>Input_RAB_SCS!AA141-Calc_RAB_Connection!AA138</f>
        <v>0</v>
      </c>
      <c r="AB138" s="68">
        <f>Input_RAB_SCS!AB141-Calc_RAB_Connection!AB138</f>
        <v>0</v>
      </c>
    </row>
    <row r="139" spans="1:28" x14ac:dyDescent="0.35">
      <c r="J139" s="56"/>
      <c r="K139" s="57"/>
      <c r="L139" s="57"/>
      <c r="M139" s="57"/>
      <c r="N139" s="57"/>
      <c r="O139" s="57"/>
      <c r="P139" s="57"/>
      <c r="Q139" s="57"/>
      <c r="R139" s="58"/>
      <c r="S139" s="56"/>
      <c r="T139" s="57"/>
      <c r="U139" s="57"/>
      <c r="V139" s="57"/>
      <c r="W139" s="58"/>
      <c r="X139" s="56"/>
      <c r="Y139" s="57"/>
      <c r="Z139" s="57"/>
      <c r="AA139" s="57"/>
      <c r="AB139" s="58"/>
    </row>
    <row r="140" spans="1:28" ht="12.3" x14ac:dyDescent="0.35">
      <c r="D140" s="51" t="str">
        <f>"Total "&amp;D120</f>
        <v>Total RAB Asset Class</v>
      </c>
      <c r="E140" s="47" t="s">
        <v>111</v>
      </c>
      <c r="F140" s="47" t="str">
        <f>F122</f>
        <v>Dollars</v>
      </c>
      <c r="G140" s="47" t="str">
        <f>G122</f>
        <v>Nominal</v>
      </c>
      <c r="H140" s="47" t="str">
        <f>H122</f>
        <v>End_year</v>
      </c>
      <c r="J140" s="62">
        <f t="shared" ref="J140:AB140" si="90">SUM(J122:J138)</f>
        <v>0</v>
      </c>
      <c r="K140" s="46">
        <f t="shared" si="90"/>
        <v>0</v>
      </c>
      <c r="L140" s="46">
        <f t="shared" si="90"/>
        <v>0</v>
      </c>
      <c r="M140" s="46">
        <f t="shared" si="90"/>
        <v>0</v>
      </c>
      <c r="N140" s="46">
        <f t="shared" si="90"/>
        <v>-0.18259695449911931</v>
      </c>
      <c r="O140" s="46">
        <f t="shared" si="90"/>
        <v>-0.85615973039155002</v>
      </c>
      <c r="P140" s="46">
        <f t="shared" si="90"/>
        <v>-0.68985966122039166</v>
      </c>
      <c r="Q140" s="46">
        <f t="shared" si="90"/>
        <v>-4.9912099646182329</v>
      </c>
      <c r="R140" s="63">
        <f t="shared" si="90"/>
        <v>-0.86104218852131931</v>
      </c>
      <c r="S140" s="62">
        <f t="shared" si="90"/>
        <v>-0.12001419347613984</v>
      </c>
      <c r="T140" s="46">
        <f t="shared" si="90"/>
        <v>-0.12133121284306891</v>
      </c>
      <c r="U140" s="46">
        <f t="shared" si="90"/>
        <v>-0.30090650925257667</v>
      </c>
      <c r="V140" s="46">
        <f t="shared" si="90"/>
        <v>0</v>
      </c>
      <c r="W140" s="63">
        <f t="shared" si="90"/>
        <v>0</v>
      </c>
      <c r="X140" s="62">
        <f t="shared" si="90"/>
        <v>0</v>
      </c>
      <c r="Y140" s="46">
        <f t="shared" si="90"/>
        <v>0</v>
      </c>
      <c r="Z140" s="46">
        <f t="shared" si="90"/>
        <v>0</v>
      </c>
      <c r="AA140" s="46">
        <f t="shared" si="90"/>
        <v>0</v>
      </c>
      <c r="AB140" s="63">
        <f t="shared" si="90"/>
        <v>0</v>
      </c>
    </row>
    <row r="141" spans="1:28" s="6" customFormat="1" ht="11.25" customHeight="1" x14ac:dyDescent="0.35"/>
    <row r="142" spans="1:28" s="6" customFormat="1" ht="11.25" customHeight="1" x14ac:dyDescent="0.35">
      <c r="A142" s="49">
        <f>IF(SUM($J142:$AB142)&lt;&gt;0,1,0)</f>
        <v>0</v>
      </c>
      <c r="D142" s="15" t="s">
        <v>114</v>
      </c>
      <c r="J142" s="70">
        <f>IF(ISERROR(J140),1,0)</f>
        <v>0</v>
      </c>
      <c r="K142" s="70">
        <f t="shared" ref="K142:N142" si="91">IF(ISERROR(K140),1,0)</f>
        <v>0</v>
      </c>
      <c r="L142" s="70">
        <f t="shared" si="91"/>
        <v>0</v>
      </c>
      <c r="M142" s="70">
        <f t="shared" si="91"/>
        <v>0</v>
      </c>
      <c r="N142" s="70">
        <f t="shared" si="91"/>
        <v>0</v>
      </c>
      <c r="O142" s="70">
        <f>IF(ISERROR(O140),1,0)</f>
        <v>0</v>
      </c>
      <c r="P142" s="70">
        <f t="shared" ref="P142:S142" si="92">IF(ISERROR(P140),1,0)</f>
        <v>0</v>
      </c>
      <c r="Q142" s="70">
        <f t="shared" si="92"/>
        <v>0</v>
      </c>
      <c r="R142" s="70">
        <f t="shared" si="92"/>
        <v>0</v>
      </c>
      <c r="S142" s="70">
        <f t="shared" si="92"/>
        <v>0</v>
      </c>
      <c r="T142" s="70">
        <f>IF(ISERROR(T140),1,0)</f>
        <v>0</v>
      </c>
      <c r="U142" s="70">
        <f t="shared" ref="U142:X142" si="93">IF(ISERROR(U140),1,0)</f>
        <v>0</v>
      </c>
      <c r="V142" s="70">
        <f t="shared" si="93"/>
        <v>0</v>
      </c>
      <c r="W142" s="70">
        <f t="shared" si="93"/>
        <v>0</v>
      </c>
      <c r="X142" s="70">
        <f t="shared" si="93"/>
        <v>0</v>
      </c>
      <c r="Y142" s="70">
        <f>IF(ISERROR(Y140),1,0)</f>
        <v>0</v>
      </c>
      <c r="Z142" s="70">
        <f t="shared" ref="Z142:AB142" si="94">IF(ISERROR(Z140),1,0)</f>
        <v>0</v>
      </c>
      <c r="AA142" s="70">
        <f t="shared" si="94"/>
        <v>0</v>
      </c>
      <c r="AB142" s="70">
        <f t="shared" si="94"/>
        <v>0</v>
      </c>
    </row>
    <row r="144" spans="1:28" s="13" customFormat="1" ht="14.1" x14ac:dyDescent="0.35">
      <c r="C144" s="13" t="s">
        <v>176</v>
      </c>
    </row>
    <row r="145" spans="4:28" s="6" customFormat="1" ht="11.25" customHeight="1" x14ac:dyDescent="0.35"/>
    <row r="146" spans="4:28" ht="12.3" x14ac:dyDescent="0.35">
      <c r="D146" s="50" t="str">
        <f>D$16</f>
        <v>RAB Asset Class</v>
      </c>
      <c r="E146" s="45" t="str">
        <f>Lookup!E$20</f>
        <v>Source</v>
      </c>
      <c r="F146" s="45" t="str">
        <f>Lookup!F$20</f>
        <v>Unit</v>
      </c>
      <c r="G146" s="45" t="str">
        <f>Lookup!G$20</f>
        <v>Basis</v>
      </c>
      <c r="H146" s="45" t="str">
        <f>Lookup!H$20</f>
        <v>Timing</v>
      </c>
      <c r="J146" s="54" t="str">
        <f>J$10</f>
        <v>RY06</v>
      </c>
      <c r="K146" s="45" t="str">
        <f t="shared" ref="K146:AB146" si="95">K$10</f>
        <v>RY07</v>
      </c>
      <c r="L146" s="45" t="str">
        <f t="shared" si="95"/>
        <v>RY08</v>
      </c>
      <c r="M146" s="45" t="str">
        <f t="shared" si="95"/>
        <v>RY09</v>
      </c>
      <c r="N146" s="45" t="str">
        <f t="shared" si="95"/>
        <v>RY10</v>
      </c>
      <c r="O146" s="45" t="str">
        <f>O$10</f>
        <v>RY11</v>
      </c>
      <c r="P146" s="45" t="str">
        <f t="shared" si="95"/>
        <v>RY12</v>
      </c>
      <c r="Q146" s="45" t="str">
        <f t="shared" si="95"/>
        <v>RY13</v>
      </c>
      <c r="R146" s="55" t="str">
        <f t="shared" si="95"/>
        <v>RY14</v>
      </c>
      <c r="S146" s="54" t="str">
        <f t="shared" si="95"/>
        <v>RY15</v>
      </c>
      <c r="T146" s="45" t="str">
        <f>T$10</f>
        <v>RY16</v>
      </c>
      <c r="U146" s="45" t="str">
        <f t="shared" si="95"/>
        <v>RY17</v>
      </c>
      <c r="V146" s="45" t="str">
        <f t="shared" si="95"/>
        <v>RY18</v>
      </c>
      <c r="W146" s="55" t="str">
        <f t="shared" si="95"/>
        <v>RY19</v>
      </c>
      <c r="X146" s="54" t="str">
        <f t="shared" si="95"/>
        <v>RY20</v>
      </c>
      <c r="Y146" s="45" t="str">
        <f>Y$10</f>
        <v>RY21</v>
      </c>
      <c r="Z146" s="45" t="str">
        <f t="shared" si="95"/>
        <v>RY22</v>
      </c>
      <c r="AA146" s="45" t="str">
        <f t="shared" si="95"/>
        <v>RY23</v>
      </c>
      <c r="AB146" s="55" t="str">
        <f t="shared" si="95"/>
        <v>RY24</v>
      </c>
    </row>
    <row r="147" spans="4:28" x14ac:dyDescent="0.35">
      <c r="J147" s="56"/>
      <c r="K147" s="57"/>
      <c r="L147" s="57"/>
      <c r="M147" s="57"/>
      <c r="N147" s="57"/>
      <c r="O147" s="57"/>
      <c r="P147" s="57"/>
      <c r="Q147" s="57"/>
      <c r="R147" s="58"/>
      <c r="S147" s="56"/>
      <c r="T147" s="57"/>
      <c r="U147" s="57"/>
      <c r="V147" s="57"/>
      <c r="W147" s="58"/>
      <c r="X147" s="56"/>
      <c r="Y147" s="57"/>
      <c r="Z147" s="57"/>
      <c r="AA147" s="57"/>
      <c r="AB147" s="58"/>
    </row>
    <row r="148" spans="4:28" ht="12.3" x14ac:dyDescent="0.35">
      <c r="D148" s="15" t="str">
        <f t="shared" ref="D148:D161" si="96">D18</f>
        <v>Substations</v>
      </c>
      <c r="E148" s="52" t="s">
        <v>111</v>
      </c>
      <c r="F148" s="52" t="str">
        <f t="shared" ref="F148:F164" si="97">Dollars</f>
        <v>Dollars</v>
      </c>
      <c r="G148" s="52" t="str">
        <f t="shared" ref="G148:G164" si="98">Nominal</f>
        <v>Nominal</v>
      </c>
      <c r="H148" s="52" t="str">
        <f t="shared" ref="H148:H164" si="99">End_year</f>
        <v>End_year</v>
      </c>
      <c r="J148" s="66">
        <f t="shared" ref="J148:J161" si="100">J18+J44+J70+J96+J122</f>
        <v>27.145326835638013</v>
      </c>
      <c r="K148" s="67">
        <f t="shared" ref="K148:AB148" si="101">K18+K44+K70+K96+K122</f>
        <v>28.789945965760523</v>
      </c>
      <c r="L148" s="67">
        <f t="shared" si="101"/>
        <v>47.542941186549477</v>
      </c>
      <c r="M148" s="67">
        <f t="shared" si="101"/>
        <v>78.157850057945751</v>
      </c>
      <c r="N148" s="67">
        <f t="shared" si="101"/>
        <v>110.70259983057763</v>
      </c>
      <c r="O148" s="67">
        <f t="shared" si="101"/>
        <v>156.85011317918401</v>
      </c>
      <c r="P148" s="67">
        <f t="shared" si="101"/>
        <v>197.46856323640628</v>
      </c>
      <c r="Q148" s="67">
        <f t="shared" si="101"/>
        <v>247.15838494764881</v>
      </c>
      <c r="R148" s="68">
        <f t="shared" si="101"/>
        <v>297.81718190620063</v>
      </c>
      <c r="S148" s="66">
        <f t="shared" si="101"/>
        <v>310.04735122802407</v>
      </c>
      <c r="T148" s="67">
        <f t="shared" si="101"/>
        <v>316.35383047585196</v>
      </c>
      <c r="U148" s="67">
        <f t="shared" si="101"/>
        <v>313.1738831635127</v>
      </c>
      <c r="V148" s="67">
        <f t="shared" si="101"/>
        <v>303.6508873774826</v>
      </c>
      <c r="W148" s="68">
        <f t="shared" si="101"/>
        <v>298.23814318382927</v>
      </c>
      <c r="X148" s="66">
        <f t="shared" si="101"/>
        <v>271.74889501183935</v>
      </c>
      <c r="Y148" s="67">
        <f t="shared" si="101"/>
        <v>273.52264493040593</v>
      </c>
      <c r="Z148" s="67">
        <f t="shared" si="101"/>
        <v>279.82629165438982</v>
      </c>
      <c r="AA148" s="67">
        <f t="shared" si="101"/>
        <v>286.18454116556808</v>
      </c>
      <c r="AB148" s="68">
        <f t="shared" si="101"/>
        <v>285.75899188246046</v>
      </c>
    </row>
    <row r="149" spans="4:28" ht="12.3" x14ac:dyDescent="0.35">
      <c r="D149" s="15" t="str">
        <f t="shared" si="96"/>
        <v>Distribution Lines</v>
      </c>
      <c r="E149" s="52" t="s">
        <v>111</v>
      </c>
      <c r="F149" s="52" t="str">
        <f t="shared" si="97"/>
        <v>Dollars</v>
      </c>
      <c r="G149" s="52" t="str">
        <f t="shared" si="98"/>
        <v>Nominal</v>
      </c>
      <c r="H149" s="52" t="str">
        <f t="shared" si="99"/>
        <v>End_year</v>
      </c>
      <c r="J149" s="66">
        <f t="shared" si="100"/>
        <v>124.48081132701651</v>
      </c>
      <c r="K149" s="67">
        <f t="shared" ref="K149:AB149" si="102">K19+K45+K71+K97+K123</f>
        <v>134.97347791434888</v>
      </c>
      <c r="L149" s="67">
        <f t="shared" si="102"/>
        <v>149.03598537340031</v>
      </c>
      <c r="M149" s="67">
        <f t="shared" si="102"/>
        <v>159.59115429240285</v>
      </c>
      <c r="N149" s="67">
        <f t="shared" si="102"/>
        <v>170.81945812237757</v>
      </c>
      <c r="O149" s="67">
        <f t="shared" si="102"/>
        <v>182.76460024419703</v>
      </c>
      <c r="P149" s="67">
        <f t="shared" si="102"/>
        <v>193.83311947564712</v>
      </c>
      <c r="Q149" s="67">
        <f t="shared" si="102"/>
        <v>217.20969930868418</v>
      </c>
      <c r="R149" s="68">
        <f t="shared" si="102"/>
        <v>232.64413502482861</v>
      </c>
      <c r="S149" s="66">
        <f t="shared" si="102"/>
        <v>241.11555792328707</v>
      </c>
      <c r="T149" s="67">
        <f t="shared" si="102"/>
        <v>244.42689158521458</v>
      </c>
      <c r="U149" s="67">
        <f t="shared" si="102"/>
        <v>248.90883143731202</v>
      </c>
      <c r="V149" s="67">
        <f t="shared" si="102"/>
        <v>250.33294685340701</v>
      </c>
      <c r="W149" s="68">
        <f t="shared" si="102"/>
        <v>254.62847741336122</v>
      </c>
      <c r="X149" s="66">
        <f t="shared" si="102"/>
        <v>267.07485483948437</v>
      </c>
      <c r="Y149" s="67">
        <f t="shared" si="102"/>
        <v>287.99789904612999</v>
      </c>
      <c r="Z149" s="67">
        <f t="shared" si="102"/>
        <v>303.23149941972673</v>
      </c>
      <c r="AA149" s="67">
        <f t="shared" si="102"/>
        <v>316.49489951231055</v>
      </c>
      <c r="AB149" s="68">
        <f t="shared" si="102"/>
        <v>331.99830219221491</v>
      </c>
    </row>
    <row r="150" spans="4:28" ht="12.3" x14ac:dyDescent="0.35">
      <c r="D150" s="15" t="str">
        <f t="shared" si="96"/>
        <v>Transmission Lines</v>
      </c>
      <c r="E150" s="52" t="s">
        <v>111</v>
      </c>
      <c r="F150" s="52" t="str">
        <f t="shared" si="97"/>
        <v>Dollars</v>
      </c>
      <c r="G150" s="52" t="str">
        <f t="shared" si="98"/>
        <v>Nominal</v>
      </c>
      <c r="H150" s="52" t="str">
        <f t="shared" si="99"/>
        <v>End_year</v>
      </c>
      <c r="J150" s="66">
        <f t="shared" si="100"/>
        <v>106.13760142143478</v>
      </c>
      <c r="K150" s="67">
        <f t="shared" ref="K150:AB150" si="103">K20+K46+K72+K98+K124</f>
        <v>113.44814996851447</v>
      </c>
      <c r="L150" s="67">
        <f t="shared" si="103"/>
        <v>115.37610379075579</v>
      </c>
      <c r="M150" s="67">
        <f t="shared" si="103"/>
        <v>114.39247831145167</v>
      </c>
      <c r="N150" s="67">
        <f t="shared" si="103"/>
        <v>130.51722905939732</v>
      </c>
      <c r="O150" s="67">
        <f t="shared" si="103"/>
        <v>146.36905449477163</v>
      </c>
      <c r="P150" s="67">
        <f t="shared" si="103"/>
        <v>152.96368047708927</v>
      </c>
      <c r="Q150" s="67">
        <f t="shared" si="103"/>
        <v>167.02589930043948</v>
      </c>
      <c r="R150" s="68">
        <f t="shared" si="103"/>
        <v>169.08021074388435</v>
      </c>
      <c r="S150" s="66">
        <f t="shared" si="103"/>
        <v>169.00938493811498</v>
      </c>
      <c r="T150" s="67">
        <f t="shared" si="103"/>
        <v>171.24815118737087</v>
      </c>
      <c r="U150" s="67">
        <f t="shared" si="103"/>
        <v>174.63818986801323</v>
      </c>
      <c r="V150" s="67">
        <f t="shared" si="103"/>
        <v>181.05596639188562</v>
      </c>
      <c r="W150" s="68">
        <f t="shared" si="103"/>
        <v>178.99171129377504</v>
      </c>
      <c r="X150" s="66">
        <f t="shared" si="103"/>
        <v>181.41832683720614</v>
      </c>
      <c r="Y150" s="67">
        <f t="shared" si="103"/>
        <v>182.07937593696875</v>
      </c>
      <c r="Z150" s="67">
        <f t="shared" si="103"/>
        <v>182.52864385137025</v>
      </c>
      <c r="AA150" s="67">
        <f t="shared" si="103"/>
        <v>183.07405059001402</v>
      </c>
      <c r="AB150" s="68">
        <f t="shared" si="103"/>
        <v>183.52464283762123</v>
      </c>
    </row>
    <row r="151" spans="4:28" ht="12.3" x14ac:dyDescent="0.35">
      <c r="D151" s="15" t="str">
        <f t="shared" si="96"/>
        <v>LV Services</v>
      </c>
      <c r="E151" s="52" t="s">
        <v>111</v>
      </c>
      <c r="F151" s="52" t="str">
        <f t="shared" si="97"/>
        <v>Dollars</v>
      </c>
      <c r="G151" s="52" t="str">
        <f t="shared" si="98"/>
        <v>Nominal</v>
      </c>
      <c r="H151" s="52" t="str">
        <f t="shared" si="99"/>
        <v>End_year</v>
      </c>
      <c r="J151" s="66">
        <f t="shared" si="100"/>
        <v>0.16175064485415383</v>
      </c>
      <c r="K151" s="67">
        <f t="shared" ref="K151:AB151" si="104">K21+K47+K73+K99+K125</f>
        <v>0.16577048336532213</v>
      </c>
      <c r="L151" s="67">
        <f t="shared" si="104"/>
        <v>0.17285305598023773</v>
      </c>
      <c r="M151" s="67">
        <f t="shared" si="104"/>
        <v>0.17706431537289025</v>
      </c>
      <c r="N151" s="67">
        <f t="shared" si="104"/>
        <v>0.18223267917296379</v>
      </c>
      <c r="O151" s="67">
        <f t="shared" si="104"/>
        <v>0.18816672649897415</v>
      </c>
      <c r="P151" s="67">
        <f t="shared" si="104"/>
        <v>0.19122946060272147</v>
      </c>
      <c r="Q151" s="67">
        <f t="shared" si="104"/>
        <v>0.19601498263982661</v>
      </c>
      <c r="R151" s="68">
        <f t="shared" si="104"/>
        <v>0.20469749895626468</v>
      </c>
      <c r="S151" s="66">
        <f t="shared" si="104"/>
        <v>2.0957882221476183</v>
      </c>
      <c r="T151" s="67">
        <f t="shared" si="104"/>
        <v>4.046555898874467</v>
      </c>
      <c r="U151" s="67">
        <f t="shared" si="104"/>
        <v>5.8926305062639752</v>
      </c>
      <c r="V151" s="67">
        <f t="shared" si="104"/>
        <v>6.0512908434404009</v>
      </c>
      <c r="W151" s="68">
        <f t="shared" si="104"/>
        <v>6.2550905576668034</v>
      </c>
      <c r="X151" s="66">
        <f t="shared" si="104"/>
        <v>8.0592516953678732</v>
      </c>
      <c r="Y151" s="67">
        <f t="shared" si="104"/>
        <v>8.3694237066373116</v>
      </c>
      <c r="Z151" s="67">
        <f t="shared" si="104"/>
        <v>8.6169669807188729</v>
      </c>
      <c r="AA151" s="67">
        <f t="shared" si="104"/>
        <v>8.8127603650558513</v>
      </c>
      <c r="AB151" s="68">
        <f t="shared" si="104"/>
        <v>9.0365946576984886</v>
      </c>
    </row>
    <row r="152" spans="4:28" ht="12.3" x14ac:dyDescent="0.35">
      <c r="D152" s="15" t="str">
        <f t="shared" si="96"/>
        <v>Distribution Substations</v>
      </c>
      <c r="E152" s="52" t="s">
        <v>111</v>
      </c>
      <c r="F152" s="52" t="str">
        <f t="shared" si="97"/>
        <v>Dollars</v>
      </c>
      <c r="G152" s="52" t="str">
        <f t="shared" si="98"/>
        <v>Nominal</v>
      </c>
      <c r="H152" s="52" t="str">
        <f t="shared" si="99"/>
        <v>End_year</v>
      </c>
      <c r="J152" s="66">
        <f t="shared" si="100"/>
        <v>47.790981757725604</v>
      </c>
      <c r="K152" s="67">
        <f t="shared" ref="K152:AB152" si="105">K22+K48+K74+K100+K126</f>
        <v>46.055364273149571</v>
      </c>
      <c r="L152" s="67">
        <f t="shared" si="105"/>
        <v>51.653401070581651</v>
      </c>
      <c r="M152" s="67">
        <f t="shared" si="105"/>
        <v>54.877449727380075</v>
      </c>
      <c r="N152" s="67">
        <f t="shared" si="105"/>
        <v>66.588761997727588</v>
      </c>
      <c r="O152" s="67">
        <f t="shared" si="105"/>
        <v>77.683122808684672</v>
      </c>
      <c r="P152" s="67">
        <f t="shared" si="105"/>
        <v>79.891705109406843</v>
      </c>
      <c r="Q152" s="67">
        <f t="shared" si="105"/>
        <v>82.431115592358736</v>
      </c>
      <c r="R152" s="68">
        <f t="shared" si="105"/>
        <v>84.964428177936924</v>
      </c>
      <c r="S152" s="66">
        <f t="shared" si="105"/>
        <v>91.018242107401491</v>
      </c>
      <c r="T152" s="67">
        <f t="shared" si="105"/>
        <v>94.287815041828253</v>
      </c>
      <c r="U152" s="67">
        <f t="shared" si="105"/>
        <v>95.818469212294545</v>
      </c>
      <c r="V152" s="67">
        <f t="shared" si="105"/>
        <v>95.917444618710348</v>
      </c>
      <c r="W152" s="68">
        <f t="shared" si="105"/>
        <v>97.843861488016316</v>
      </c>
      <c r="X152" s="66">
        <f t="shared" si="105"/>
        <v>103.70948652281029</v>
      </c>
      <c r="Y152" s="67">
        <f t="shared" si="105"/>
        <v>105.69634141520456</v>
      </c>
      <c r="Z152" s="67">
        <f t="shared" si="105"/>
        <v>107.67279596247751</v>
      </c>
      <c r="AA152" s="67">
        <f t="shared" si="105"/>
        <v>110.43786268417863</v>
      </c>
      <c r="AB152" s="68">
        <f t="shared" si="105"/>
        <v>113.47870647762896</v>
      </c>
    </row>
    <row r="153" spans="4:28" ht="12.3" x14ac:dyDescent="0.35">
      <c r="D153" s="15" t="str">
        <f t="shared" si="96"/>
        <v>Distribution Switchgear</v>
      </c>
      <c r="E153" s="52" t="s">
        <v>111</v>
      </c>
      <c r="F153" s="52" t="str">
        <f t="shared" si="97"/>
        <v>Dollars</v>
      </c>
      <c r="G153" s="52" t="str">
        <f t="shared" si="98"/>
        <v>Nominal</v>
      </c>
      <c r="H153" s="52" t="str">
        <f t="shared" si="99"/>
        <v>End_year</v>
      </c>
      <c r="J153" s="66">
        <f t="shared" si="100"/>
        <v>7.2757763912328297</v>
      </c>
      <c r="K153" s="67">
        <f t="shared" ref="K153:AB153" si="106">K23+K49+K75+K101+K127</f>
        <v>7.4565945027309226</v>
      </c>
      <c r="L153" s="67">
        <f t="shared" si="106"/>
        <v>8.1435599615432697</v>
      </c>
      <c r="M153" s="67">
        <f t="shared" si="106"/>
        <v>13.404164407770214</v>
      </c>
      <c r="N153" s="67">
        <f t="shared" si="106"/>
        <v>13.795421098591614</v>
      </c>
      <c r="O153" s="67">
        <f t="shared" si="106"/>
        <v>14.244641743608776</v>
      </c>
      <c r="P153" s="67">
        <f t="shared" si="106"/>
        <v>14.476497560391831</v>
      </c>
      <c r="Q153" s="67">
        <f t="shared" si="106"/>
        <v>14.83877227411535</v>
      </c>
      <c r="R153" s="68">
        <f t="shared" si="106"/>
        <v>15.509988541804409</v>
      </c>
      <c r="S153" s="66">
        <f t="shared" si="106"/>
        <v>20.27778136404882</v>
      </c>
      <c r="T153" s="67">
        <f t="shared" si="106"/>
        <v>25.960683525602519</v>
      </c>
      <c r="U153" s="67">
        <f t="shared" si="106"/>
        <v>31.2504537686407</v>
      </c>
      <c r="V153" s="67">
        <f t="shared" si="106"/>
        <v>36.039645194596432</v>
      </c>
      <c r="W153" s="68">
        <f t="shared" si="106"/>
        <v>39.893185212165029</v>
      </c>
      <c r="X153" s="66">
        <f t="shared" si="106"/>
        <v>49.633367264831286</v>
      </c>
      <c r="Y153" s="67">
        <f t="shared" si="106"/>
        <v>54.716182964432079</v>
      </c>
      <c r="Z153" s="67">
        <f t="shared" si="106"/>
        <v>59.563623936003161</v>
      </c>
      <c r="AA153" s="67">
        <f t="shared" si="106"/>
        <v>65.034125558220936</v>
      </c>
      <c r="AB153" s="68">
        <f t="shared" si="106"/>
        <v>70.866183955043894</v>
      </c>
    </row>
    <row r="154" spans="4:28" ht="12.3" x14ac:dyDescent="0.35">
      <c r="D154" s="15" t="str">
        <f t="shared" si="96"/>
        <v>Protection</v>
      </c>
      <c r="E154" s="52" t="s">
        <v>111</v>
      </c>
      <c r="F154" s="52" t="str">
        <f t="shared" si="97"/>
        <v>Dollars</v>
      </c>
      <c r="G154" s="52" t="str">
        <f t="shared" si="98"/>
        <v>Nominal</v>
      </c>
      <c r="H154" s="52" t="str">
        <f t="shared" si="99"/>
        <v>End_year</v>
      </c>
      <c r="J154" s="66">
        <f t="shared" si="100"/>
        <v>1.7538363440560882</v>
      </c>
      <c r="K154" s="67">
        <f t="shared" ref="K154:AB154" si="107">K24+K50+K76+K102+K128</f>
        <v>1.797422809411328</v>
      </c>
      <c r="L154" s="67">
        <f t="shared" si="107"/>
        <v>1.8742180102753225</v>
      </c>
      <c r="M154" s="67">
        <f t="shared" si="107"/>
        <v>1.9198800215998597</v>
      </c>
      <c r="N154" s="67">
        <f t="shared" si="107"/>
        <v>3.2186359938067923</v>
      </c>
      <c r="O154" s="67">
        <f t="shared" si="107"/>
        <v>4.1717675504927412</v>
      </c>
      <c r="P154" s="67">
        <f t="shared" si="107"/>
        <v>5.1516017133570458</v>
      </c>
      <c r="Q154" s="67">
        <f t="shared" si="107"/>
        <v>8.3903020321881421</v>
      </c>
      <c r="R154" s="68">
        <f t="shared" si="107"/>
        <v>9.6502261835778302</v>
      </c>
      <c r="S154" s="66">
        <f t="shared" si="107"/>
        <v>14.811037038025589</v>
      </c>
      <c r="T154" s="67">
        <f t="shared" si="107"/>
        <v>19.107025507893773</v>
      </c>
      <c r="U154" s="67">
        <f t="shared" si="107"/>
        <v>21.769855654442626</v>
      </c>
      <c r="V154" s="67">
        <f t="shared" si="107"/>
        <v>22.50409349187488</v>
      </c>
      <c r="W154" s="68">
        <f t="shared" si="107"/>
        <v>24.799358341185211</v>
      </c>
      <c r="X154" s="66">
        <f t="shared" si="107"/>
        <v>35.792860357060931</v>
      </c>
      <c r="Y154" s="67">
        <f t="shared" si="107"/>
        <v>38.903977471155997</v>
      </c>
      <c r="Z154" s="67">
        <f t="shared" si="107"/>
        <v>40.252836715271322</v>
      </c>
      <c r="AA154" s="67">
        <f t="shared" si="107"/>
        <v>41.656435673611028</v>
      </c>
      <c r="AB154" s="68">
        <f t="shared" si="107"/>
        <v>42.449989440911658</v>
      </c>
    </row>
    <row r="155" spans="4:28" ht="12.3" x14ac:dyDescent="0.35">
      <c r="D155" s="15" t="str">
        <f t="shared" si="96"/>
        <v>SCADA</v>
      </c>
      <c r="E155" s="52" t="s">
        <v>111</v>
      </c>
      <c r="F155" s="52" t="str">
        <f t="shared" si="97"/>
        <v>Dollars</v>
      </c>
      <c r="G155" s="52" t="str">
        <f t="shared" si="98"/>
        <v>Nominal</v>
      </c>
      <c r="H155" s="52" t="str">
        <f t="shared" si="99"/>
        <v>End_year</v>
      </c>
      <c r="J155" s="66">
        <f t="shared" si="100"/>
        <v>0.1106811760912081</v>
      </c>
      <c r="K155" s="67">
        <f t="shared" ref="K155:AB155" si="108">K25+K51+K77+K103+K129</f>
        <v>2.7755575615628914E-17</v>
      </c>
      <c r="L155" s="67">
        <f t="shared" si="108"/>
        <v>2.4515833721207874</v>
      </c>
      <c r="M155" s="67">
        <f t="shared" si="108"/>
        <v>1.9205108033528893</v>
      </c>
      <c r="N155" s="67">
        <f t="shared" si="108"/>
        <v>1.9765689565318383</v>
      </c>
      <c r="O155" s="67">
        <f t="shared" si="108"/>
        <v>2.0409320212928539</v>
      </c>
      <c r="P155" s="67">
        <f t="shared" si="108"/>
        <v>2.0741516676211202</v>
      </c>
      <c r="Q155" s="67">
        <f t="shared" si="108"/>
        <v>2.1260573650090362</v>
      </c>
      <c r="R155" s="68">
        <f t="shared" si="108"/>
        <v>1.4640594788423973</v>
      </c>
      <c r="S155" s="66">
        <f t="shared" si="108"/>
        <v>2.9852461490300075</v>
      </c>
      <c r="T155" s="67">
        <f t="shared" si="108"/>
        <v>3.2501274436275143</v>
      </c>
      <c r="U155" s="67">
        <f t="shared" si="108"/>
        <v>3.8257123433304967</v>
      </c>
      <c r="V155" s="67">
        <f t="shared" si="108"/>
        <v>4.2828678057780003</v>
      </c>
      <c r="W155" s="68">
        <f t="shared" si="108"/>
        <v>5.4648788524614469</v>
      </c>
      <c r="X155" s="66">
        <f t="shared" si="108"/>
        <v>9.4550611257701309</v>
      </c>
      <c r="Y155" s="67">
        <f t="shared" si="108"/>
        <v>9.6042520000721527</v>
      </c>
      <c r="Z155" s="67">
        <f t="shared" si="108"/>
        <v>9.4938480139789334</v>
      </c>
      <c r="AA155" s="67">
        <f t="shared" si="108"/>
        <v>9.7456022070275541</v>
      </c>
      <c r="AB155" s="68">
        <f t="shared" si="108"/>
        <v>9.7064180003590899</v>
      </c>
    </row>
    <row r="156" spans="4:28" ht="12.3" x14ac:dyDescent="0.35">
      <c r="D156" s="15" t="str">
        <f t="shared" si="96"/>
        <v>Communications</v>
      </c>
      <c r="E156" s="52" t="s">
        <v>111</v>
      </c>
      <c r="F156" s="52" t="str">
        <f t="shared" si="97"/>
        <v>Dollars</v>
      </c>
      <c r="G156" s="52" t="str">
        <f t="shared" si="98"/>
        <v>Nominal</v>
      </c>
      <c r="H156" s="52" t="str">
        <f t="shared" si="99"/>
        <v>End_year</v>
      </c>
      <c r="J156" s="66">
        <f t="shared" si="100"/>
        <v>20.247703799177007</v>
      </c>
      <c r="K156" s="67">
        <f t="shared" ref="K156:AB156" si="109">K26+K52+K78+K104+K130</f>
        <v>21.345706820760164</v>
      </c>
      <c r="L156" s="67">
        <f t="shared" si="109"/>
        <v>21.6977766750413</v>
      </c>
      <c r="M156" s="67">
        <f t="shared" si="109"/>
        <v>23.488991579219736</v>
      </c>
      <c r="N156" s="67">
        <f t="shared" si="109"/>
        <v>18.359645441125384</v>
      </c>
      <c r="O156" s="67">
        <f t="shared" si="109"/>
        <v>12.884905335816706</v>
      </c>
      <c r="P156" s="67">
        <f t="shared" si="109"/>
        <v>6.8054745027587895</v>
      </c>
      <c r="Q156" s="67">
        <f t="shared" si="109"/>
        <v>7.2356595534338561</v>
      </c>
      <c r="R156" s="68">
        <f t="shared" si="109"/>
        <v>6.0561408822847245</v>
      </c>
      <c r="S156" s="66">
        <f t="shared" si="109"/>
        <v>6.4641816116864348</v>
      </c>
      <c r="T156" s="67">
        <f t="shared" si="109"/>
        <v>5.4923569665291252</v>
      </c>
      <c r="U156" s="67">
        <f t="shared" si="109"/>
        <v>6.1697443120380386</v>
      </c>
      <c r="V156" s="67">
        <f t="shared" si="109"/>
        <v>11.212991107576503</v>
      </c>
      <c r="W156" s="68">
        <f t="shared" si="109"/>
        <v>12.889115782201882</v>
      </c>
      <c r="X156" s="66">
        <f t="shared" si="109"/>
        <v>15.556632094611242</v>
      </c>
      <c r="Y156" s="67">
        <f t="shared" si="109"/>
        <v>16.800833390528286</v>
      </c>
      <c r="Z156" s="67">
        <f t="shared" si="109"/>
        <v>18.809278135350731</v>
      </c>
      <c r="AA156" s="67">
        <f t="shared" si="109"/>
        <v>20.366630084721326</v>
      </c>
      <c r="AB156" s="68">
        <f t="shared" si="109"/>
        <v>21.238263315894493</v>
      </c>
    </row>
    <row r="157" spans="4:28" ht="12.3" x14ac:dyDescent="0.35">
      <c r="D157" s="15" t="str">
        <f t="shared" si="96"/>
        <v>Land and Easements</v>
      </c>
      <c r="E157" s="52" t="s">
        <v>111</v>
      </c>
      <c r="F157" s="52" t="str">
        <f t="shared" si="97"/>
        <v>Dollars</v>
      </c>
      <c r="G157" s="52" t="str">
        <f t="shared" si="98"/>
        <v>Nominal</v>
      </c>
      <c r="H157" s="52" t="str">
        <f t="shared" si="99"/>
        <v>End_year</v>
      </c>
      <c r="J157" s="66">
        <f t="shared" si="100"/>
        <v>29.444843897374323</v>
      </c>
      <c r="K157" s="67">
        <f t="shared" ref="K157:AB157" si="110">K27+K53+K79+K105+K131</f>
        <v>30.922463155114897</v>
      </c>
      <c r="L157" s="67">
        <f t="shared" si="110"/>
        <v>32.243630749502024</v>
      </c>
      <c r="M157" s="67">
        <f t="shared" si="110"/>
        <v>33.029189859678155</v>
      </c>
      <c r="N157" s="67">
        <f t="shared" si="110"/>
        <v>33.993285131257949</v>
      </c>
      <c r="O157" s="67">
        <f t="shared" si="110"/>
        <v>35.10020933196067</v>
      </c>
      <c r="P157" s="67">
        <f t="shared" si="110"/>
        <v>35.671525048452402</v>
      </c>
      <c r="Q157" s="67">
        <f t="shared" si="110"/>
        <v>33.024999999999999</v>
      </c>
      <c r="R157" s="68">
        <f t="shared" si="110"/>
        <v>34.47125290902666</v>
      </c>
      <c r="S157" s="66">
        <f t="shared" si="110"/>
        <v>34.929125338558322</v>
      </c>
      <c r="T157" s="67">
        <f t="shared" si="110"/>
        <v>35.386997768089991</v>
      </c>
      <c r="U157" s="67">
        <f t="shared" si="110"/>
        <v>36.128882714951189</v>
      </c>
      <c r="V157" s="67">
        <f t="shared" si="110"/>
        <v>37.004962835958267</v>
      </c>
      <c r="W157" s="68">
        <f t="shared" si="110"/>
        <v>47.356059964048079</v>
      </c>
      <c r="X157" s="66">
        <f t="shared" si="110"/>
        <v>47.478966373746196</v>
      </c>
      <c r="Y157" s="67">
        <f t="shared" si="110"/>
        <v>48.630271797004951</v>
      </c>
      <c r="Z157" s="67">
        <f t="shared" si="110"/>
        <v>49.809494933703185</v>
      </c>
      <c r="AA157" s="67">
        <f t="shared" si="110"/>
        <v>51.017312753399054</v>
      </c>
      <c r="AB157" s="68">
        <f t="shared" si="110"/>
        <v>52.254418641313983</v>
      </c>
    </row>
    <row r="158" spans="4:28" ht="12.3" x14ac:dyDescent="0.35">
      <c r="D158" s="15" t="str">
        <f t="shared" si="96"/>
        <v>Property</v>
      </c>
      <c r="E158" s="52" t="s">
        <v>111</v>
      </c>
      <c r="F158" s="52" t="str">
        <f t="shared" si="97"/>
        <v>Dollars</v>
      </c>
      <c r="G158" s="52" t="str">
        <f t="shared" si="98"/>
        <v>Nominal</v>
      </c>
      <c r="H158" s="52" t="str">
        <f t="shared" si="99"/>
        <v>End_year</v>
      </c>
      <c r="J158" s="66">
        <f t="shared" si="100"/>
        <v>0</v>
      </c>
      <c r="K158" s="67">
        <f t="shared" ref="K158:AB158" si="111">K28+K54+K80+K106+K132</f>
        <v>0</v>
      </c>
      <c r="L158" s="67">
        <f t="shared" si="111"/>
        <v>0.53702885927328614</v>
      </c>
      <c r="M158" s="67">
        <f t="shared" si="111"/>
        <v>0.8158000443607003</v>
      </c>
      <c r="N158" s="67">
        <f t="shared" si="111"/>
        <v>0.83961258619609369</v>
      </c>
      <c r="O158" s="67">
        <f t="shared" si="111"/>
        <v>0.8669529120071009</v>
      </c>
      <c r="P158" s="67">
        <f t="shared" si="111"/>
        <v>0.88106404790955639</v>
      </c>
      <c r="Q158" s="67">
        <f t="shared" si="111"/>
        <v>0.90311269775714287</v>
      </c>
      <c r="R158" s="68">
        <f t="shared" si="111"/>
        <v>1.1039263282242053</v>
      </c>
      <c r="S158" s="66">
        <f t="shared" si="111"/>
        <v>0.93206725537758273</v>
      </c>
      <c r="T158" s="67">
        <f t="shared" si="111"/>
        <v>0.75552593549132629</v>
      </c>
      <c r="U158" s="67">
        <f t="shared" si="111"/>
        <v>0.56013957998809183</v>
      </c>
      <c r="V158" s="67">
        <f t="shared" si="111"/>
        <v>0.35914667603444594</v>
      </c>
      <c r="W158" s="68">
        <f t="shared" si="111"/>
        <v>10.705050790396708</v>
      </c>
      <c r="X158" s="66">
        <f t="shared" si="111"/>
        <v>18.238715073331456</v>
      </c>
      <c r="Y158" s="67">
        <f t="shared" si="111"/>
        <v>17.845341580978435</v>
      </c>
      <c r="Z158" s="67">
        <f t="shared" si="111"/>
        <v>17.352851813820539</v>
      </c>
      <c r="AA158" s="67">
        <f t="shared" si="111"/>
        <v>16.657702120249979</v>
      </c>
      <c r="AB158" s="68">
        <f t="shared" si="111"/>
        <v>15.847832227801794</v>
      </c>
    </row>
    <row r="159" spans="4:28" ht="12.3" x14ac:dyDescent="0.35">
      <c r="D159" s="15" t="str">
        <f t="shared" si="96"/>
        <v>IT and Communications</v>
      </c>
      <c r="E159" s="52" t="s">
        <v>111</v>
      </c>
      <c r="F159" s="52" t="str">
        <f t="shared" si="97"/>
        <v>Dollars</v>
      </c>
      <c r="G159" s="52" t="str">
        <f t="shared" si="98"/>
        <v>Nominal</v>
      </c>
      <c r="H159" s="52" t="str">
        <f t="shared" si="99"/>
        <v>End_year</v>
      </c>
      <c r="J159" s="66">
        <f t="shared" si="100"/>
        <v>0.58076591627221685</v>
      </c>
      <c r="K159" s="67">
        <f t="shared" ref="K159:AB159" si="112">K29+K55+K81+K107+K133</f>
        <v>0.59519915206123042</v>
      </c>
      <c r="L159" s="67">
        <f t="shared" si="112"/>
        <v>0.62062913892758786</v>
      </c>
      <c r="M159" s="67">
        <f t="shared" si="112"/>
        <v>0.63574967165893548</v>
      </c>
      <c r="N159" s="67">
        <f t="shared" si="112"/>
        <v>0.654306689101953</v>
      </c>
      <c r="O159" s="67">
        <f t="shared" si="112"/>
        <v>0.67561289431430649</v>
      </c>
      <c r="P159" s="67">
        <f t="shared" si="112"/>
        <v>0.68660964539165037</v>
      </c>
      <c r="Q159" s="67">
        <f t="shared" si="112"/>
        <v>0.70379206895000002</v>
      </c>
      <c r="R159" s="68">
        <f t="shared" si="112"/>
        <v>0.63274905481995813</v>
      </c>
      <c r="S159" s="66">
        <f t="shared" si="112"/>
        <v>0.97299897474781272</v>
      </c>
      <c r="T159" s="67">
        <f t="shared" si="112"/>
        <v>1.6969518734413653</v>
      </c>
      <c r="U159" s="67">
        <f t="shared" si="112"/>
        <v>4.3149683990062879</v>
      </c>
      <c r="V159" s="67">
        <f t="shared" si="112"/>
        <v>8.7741730490967491</v>
      </c>
      <c r="W159" s="68">
        <f t="shared" si="112"/>
        <v>13.820658214153889</v>
      </c>
      <c r="X159" s="66">
        <f t="shared" si="112"/>
        <v>25.000738998015706</v>
      </c>
      <c r="Y159" s="67">
        <f t="shared" si="112"/>
        <v>35.059740484846159</v>
      </c>
      <c r="Z159" s="67">
        <f t="shared" si="112"/>
        <v>48.881118520751485</v>
      </c>
      <c r="AA159" s="67">
        <f t="shared" si="112"/>
        <v>52.386027378882595</v>
      </c>
      <c r="AB159" s="68">
        <f t="shared" si="112"/>
        <v>54.532072441958206</v>
      </c>
    </row>
    <row r="160" spans="4:28" ht="12.3" x14ac:dyDescent="0.35">
      <c r="D160" s="15" t="str">
        <f t="shared" si="96"/>
        <v>Motor Vehicles</v>
      </c>
      <c r="E160" s="52" t="s">
        <v>111</v>
      </c>
      <c r="F160" s="52" t="str">
        <f t="shared" si="97"/>
        <v>Dollars</v>
      </c>
      <c r="G160" s="52" t="str">
        <f t="shared" si="98"/>
        <v>Nominal</v>
      </c>
      <c r="H160" s="52" t="str">
        <f t="shared" si="99"/>
        <v>End_year</v>
      </c>
      <c r="J160" s="66">
        <f t="shared" si="100"/>
        <v>3.6056529589843761E-2</v>
      </c>
      <c r="K160" s="67">
        <f t="shared" ref="K160:AB160" si="113">K30+K56+K82+K108+K134</f>
        <v>3.6952609023437506E-2</v>
      </c>
      <c r="L160" s="67">
        <f t="shared" si="113"/>
        <v>3.8531415644531254E-2</v>
      </c>
      <c r="M160" s="67">
        <f t="shared" si="113"/>
        <v>3.9470165527343753E-2</v>
      </c>
      <c r="N160" s="67">
        <f t="shared" si="113"/>
        <v>4.0622267656250002E-2</v>
      </c>
      <c r="O160" s="67">
        <f t="shared" si="113"/>
        <v>4.1945051582031247E-2</v>
      </c>
      <c r="P160" s="67">
        <f t="shared" si="113"/>
        <v>4.2627778769531249E-2</v>
      </c>
      <c r="Q160" s="67">
        <f t="shared" si="113"/>
        <v>4.3694539999999997E-2</v>
      </c>
      <c r="R160" s="68">
        <f t="shared" si="113"/>
        <v>5.3410336523268272E-2</v>
      </c>
      <c r="S160" s="66">
        <f t="shared" si="113"/>
        <v>0.11854412273821796</v>
      </c>
      <c r="T160" s="67">
        <f t="shared" si="113"/>
        <v>0.11906284005719892</v>
      </c>
      <c r="U160" s="67">
        <f t="shared" si="113"/>
        <v>0.10468900852007203</v>
      </c>
      <c r="V160" s="67">
        <f t="shared" si="113"/>
        <v>9.684595611277938E-2</v>
      </c>
      <c r="W160" s="68">
        <f t="shared" si="113"/>
        <v>8.737124708590463E-2</v>
      </c>
      <c r="X160" s="66">
        <f t="shared" si="113"/>
        <v>0.28272681265523691</v>
      </c>
      <c r="Y160" s="67">
        <f t="shared" si="113"/>
        <v>0.25104447183633627</v>
      </c>
      <c r="Z160" s="67">
        <f t="shared" si="113"/>
        <v>0.21765937306113065</v>
      </c>
      <c r="AA160" s="67">
        <f t="shared" si="113"/>
        <v>0.18250756610789015</v>
      </c>
      <c r="AB160" s="68">
        <f t="shared" si="113"/>
        <v>0.14552300055403541</v>
      </c>
    </row>
    <row r="161" spans="1:28" ht="12.3" x14ac:dyDescent="0.35">
      <c r="D161" s="15" t="str">
        <f t="shared" si="96"/>
        <v>Plant and Equipment</v>
      </c>
      <c r="E161" s="52" t="s">
        <v>111</v>
      </c>
      <c r="F161" s="52" t="str">
        <f t="shared" si="97"/>
        <v>Dollars</v>
      </c>
      <c r="G161" s="52" t="str">
        <f t="shared" si="98"/>
        <v>Nominal</v>
      </c>
      <c r="H161" s="52" t="str">
        <f t="shared" si="99"/>
        <v>End_year</v>
      </c>
      <c r="J161" s="66">
        <f t="shared" si="100"/>
        <v>0.78486056098329571</v>
      </c>
      <c r="K161" s="67">
        <f t="shared" ref="K161:AB161" si="114">K31+K57+K83+K109+K135</f>
        <v>0.56349216897117804</v>
      </c>
      <c r="L161" s="67">
        <f t="shared" si="114"/>
        <v>0.25393041120266607</v>
      </c>
      <c r="M161" s="67">
        <f t="shared" si="114"/>
        <v>-7.2858385991025898E-17</v>
      </c>
      <c r="N161" s="67">
        <f t="shared" si="114"/>
        <v>0</v>
      </c>
      <c r="O161" s="67">
        <f t="shared" si="114"/>
        <v>0.27398178843669374</v>
      </c>
      <c r="P161" s="67">
        <f t="shared" si="114"/>
        <v>2.7754829172530551</v>
      </c>
      <c r="Q161" s="67">
        <f t="shared" si="114"/>
        <v>7.2053953999153562</v>
      </c>
      <c r="R161" s="68">
        <f t="shared" si="114"/>
        <v>8.1172821226019565</v>
      </c>
      <c r="S161" s="66">
        <f t="shared" si="114"/>
        <v>7.4220508880892089</v>
      </c>
      <c r="T161" s="67">
        <f t="shared" si="114"/>
        <v>5.9401022550155727</v>
      </c>
      <c r="U161" s="67">
        <f t="shared" si="114"/>
        <v>4.3784346055016856</v>
      </c>
      <c r="V161" s="67">
        <f t="shared" si="114"/>
        <v>3.0635351349286006</v>
      </c>
      <c r="W161" s="68">
        <f t="shared" si="114"/>
        <v>1.5808056658170271</v>
      </c>
      <c r="X161" s="66">
        <f t="shared" si="114"/>
        <v>1.651462668280232</v>
      </c>
      <c r="Y161" s="67">
        <f t="shared" si="114"/>
        <v>2.8762988539584056</v>
      </c>
      <c r="Z161" s="67">
        <f t="shared" si="114"/>
        <v>4.0210028130319504</v>
      </c>
      <c r="AA161" s="67">
        <f t="shared" si="114"/>
        <v>5.2243795102552442</v>
      </c>
      <c r="AB161" s="68">
        <f t="shared" si="114"/>
        <v>6.4328756986436222</v>
      </c>
    </row>
    <row r="162" spans="1:28" ht="12.3" x14ac:dyDescent="0.35">
      <c r="D162" s="15" t="str">
        <f t="shared" ref="D162:D163" si="115">D32</f>
        <v>Property Leases</v>
      </c>
      <c r="E162" s="52" t="s">
        <v>111</v>
      </c>
      <c r="F162" s="52" t="str">
        <f t="shared" si="97"/>
        <v>Dollars</v>
      </c>
      <c r="G162" s="52" t="str">
        <f t="shared" si="98"/>
        <v>Nominal</v>
      </c>
      <c r="H162" s="52" t="str">
        <f t="shared" si="99"/>
        <v>End_year</v>
      </c>
      <c r="J162" s="66">
        <f t="shared" ref="J162:AB162" si="116">J32+J58+J84+J110+J136</f>
        <v>0</v>
      </c>
      <c r="K162" s="67">
        <f t="shared" si="116"/>
        <v>0</v>
      </c>
      <c r="L162" s="67">
        <f t="shared" si="116"/>
        <v>0</v>
      </c>
      <c r="M162" s="67">
        <f t="shared" si="116"/>
        <v>0</v>
      </c>
      <c r="N162" s="67">
        <f t="shared" si="116"/>
        <v>0</v>
      </c>
      <c r="O162" s="67">
        <f t="shared" si="116"/>
        <v>0</v>
      </c>
      <c r="P162" s="67">
        <f t="shared" si="116"/>
        <v>0</v>
      </c>
      <c r="Q162" s="67">
        <f t="shared" si="116"/>
        <v>0</v>
      </c>
      <c r="R162" s="68">
        <f t="shared" si="116"/>
        <v>0</v>
      </c>
      <c r="S162" s="66">
        <f t="shared" si="116"/>
        <v>0</v>
      </c>
      <c r="T162" s="67">
        <f t="shared" si="116"/>
        <v>0</v>
      </c>
      <c r="U162" s="67">
        <f t="shared" si="116"/>
        <v>0</v>
      </c>
      <c r="V162" s="67">
        <f t="shared" si="116"/>
        <v>0</v>
      </c>
      <c r="W162" s="68">
        <f t="shared" si="116"/>
        <v>0</v>
      </c>
      <c r="X162" s="66">
        <f t="shared" si="116"/>
        <v>5.6545321858324371</v>
      </c>
      <c r="Y162" s="67">
        <f t="shared" si="116"/>
        <v>5.425065426331364</v>
      </c>
      <c r="Z162" s="67">
        <f t="shared" si="116"/>
        <v>29.871448739199082</v>
      </c>
      <c r="AA162" s="67">
        <f t="shared" si="116"/>
        <v>28.610551045279017</v>
      </c>
      <c r="AB162" s="68">
        <f t="shared" si="116"/>
        <v>27.925381568555377</v>
      </c>
    </row>
    <row r="163" spans="1:28" ht="12.3" x14ac:dyDescent="0.35">
      <c r="D163" s="15" t="str">
        <f t="shared" si="115"/>
        <v>Fleet Leases</v>
      </c>
      <c r="E163" s="52" t="s">
        <v>111</v>
      </c>
      <c r="F163" s="52" t="str">
        <f t="shared" si="97"/>
        <v>Dollars</v>
      </c>
      <c r="G163" s="52" t="str">
        <f t="shared" si="98"/>
        <v>Nominal</v>
      </c>
      <c r="H163" s="52" t="str">
        <f t="shared" si="99"/>
        <v>End_year</v>
      </c>
      <c r="J163" s="66">
        <f t="shared" ref="J163:AB163" si="117">J33+J59+J85+J111+J137</f>
        <v>0</v>
      </c>
      <c r="K163" s="67">
        <f t="shared" si="117"/>
        <v>0</v>
      </c>
      <c r="L163" s="67">
        <f t="shared" si="117"/>
        <v>0</v>
      </c>
      <c r="M163" s="67">
        <f t="shared" si="117"/>
        <v>0</v>
      </c>
      <c r="N163" s="67">
        <f t="shared" si="117"/>
        <v>0</v>
      </c>
      <c r="O163" s="67">
        <f t="shared" si="117"/>
        <v>0</v>
      </c>
      <c r="P163" s="67">
        <f t="shared" si="117"/>
        <v>0</v>
      </c>
      <c r="Q163" s="67">
        <f t="shared" si="117"/>
        <v>0</v>
      </c>
      <c r="R163" s="68">
        <f t="shared" si="117"/>
        <v>0</v>
      </c>
      <c r="S163" s="66">
        <f t="shared" si="117"/>
        <v>0</v>
      </c>
      <c r="T163" s="67">
        <f t="shared" si="117"/>
        <v>0</v>
      </c>
      <c r="U163" s="67">
        <f t="shared" si="117"/>
        <v>0</v>
      </c>
      <c r="V163" s="67">
        <f t="shared" si="117"/>
        <v>0</v>
      </c>
      <c r="W163" s="68">
        <f t="shared" si="117"/>
        <v>0</v>
      </c>
      <c r="X163" s="66">
        <f t="shared" si="117"/>
        <v>17.442098565293531</v>
      </c>
      <c r="Y163" s="67">
        <f t="shared" si="117"/>
        <v>19.515612909606673</v>
      </c>
      <c r="Z163" s="67">
        <f t="shared" si="117"/>
        <v>20.205255562567572</v>
      </c>
      <c r="AA163" s="67">
        <f t="shared" si="117"/>
        <v>21.013124643323572</v>
      </c>
      <c r="AB163" s="68">
        <f t="shared" si="117"/>
        <v>19.884167884385938</v>
      </c>
    </row>
    <row r="164" spans="1:28" ht="12.3" x14ac:dyDescent="0.35">
      <c r="D164" s="15" t="str">
        <f t="shared" ref="D164" si="118">D34</f>
        <v>Equity Raising Costs</v>
      </c>
      <c r="E164" s="52" t="s">
        <v>111</v>
      </c>
      <c r="F164" s="52" t="str">
        <f t="shared" si="97"/>
        <v>Dollars</v>
      </c>
      <c r="G164" s="52" t="str">
        <f t="shared" si="98"/>
        <v>Nominal</v>
      </c>
      <c r="H164" s="52" t="str">
        <f t="shared" si="99"/>
        <v>End_year</v>
      </c>
      <c r="J164" s="66">
        <f t="shared" ref="J164:Q164" si="119">J34+J60+J86+J112+J138</f>
        <v>0</v>
      </c>
      <c r="K164" s="67">
        <f t="shared" si="119"/>
        <v>0</v>
      </c>
      <c r="L164" s="67">
        <f t="shared" si="119"/>
        <v>0</v>
      </c>
      <c r="M164" s="67">
        <f t="shared" si="119"/>
        <v>0</v>
      </c>
      <c r="N164" s="67">
        <f t="shared" si="119"/>
        <v>0</v>
      </c>
      <c r="O164" s="67">
        <f t="shared" si="119"/>
        <v>0</v>
      </c>
      <c r="P164" s="67">
        <f t="shared" si="119"/>
        <v>0</v>
      </c>
      <c r="Q164" s="67">
        <f t="shared" si="119"/>
        <v>0</v>
      </c>
      <c r="R164" s="68">
        <f t="shared" ref="R164:AB164" si="120">R34+R60+R86+R112+R138</f>
        <v>0</v>
      </c>
      <c r="S164" s="66">
        <f t="shared" si="120"/>
        <v>0</v>
      </c>
      <c r="T164" s="67">
        <f t="shared" si="120"/>
        <v>0</v>
      </c>
      <c r="U164" s="67">
        <f t="shared" si="120"/>
        <v>0</v>
      </c>
      <c r="V164" s="67">
        <f t="shared" si="120"/>
        <v>0</v>
      </c>
      <c r="W164" s="68">
        <f t="shared" si="120"/>
        <v>0</v>
      </c>
      <c r="X164" s="66">
        <f t="shared" si="120"/>
        <v>1.2872020192307105</v>
      </c>
      <c r="Y164" s="67">
        <f t="shared" si="120"/>
        <v>1.0547320438290999</v>
      </c>
      <c r="Z164" s="67">
        <f t="shared" si="120"/>
        <v>0.81023098039864649</v>
      </c>
      <c r="AA164" s="67">
        <f t="shared" si="120"/>
        <v>0.55325204407324569</v>
      </c>
      <c r="AB164" s="68">
        <f t="shared" si="120"/>
        <v>0.28333385634114899</v>
      </c>
    </row>
    <row r="165" spans="1:28" x14ac:dyDescent="0.35">
      <c r="J165" s="56"/>
      <c r="K165" s="57"/>
      <c r="L165" s="57"/>
      <c r="M165" s="57"/>
      <c r="N165" s="57"/>
      <c r="O165" s="57"/>
      <c r="P165" s="57"/>
      <c r="Q165" s="57"/>
      <c r="R165" s="58"/>
      <c r="S165" s="56"/>
      <c r="T165" s="57"/>
      <c r="U165" s="57"/>
      <c r="V165" s="57"/>
      <c r="W165" s="58"/>
      <c r="X165" s="56"/>
      <c r="Y165" s="57"/>
      <c r="Z165" s="57"/>
      <c r="AA165" s="57"/>
      <c r="AB165" s="58"/>
    </row>
    <row r="166" spans="1:28" ht="12.3" x14ac:dyDescent="0.35">
      <c r="D166" s="51" t="str">
        <f>"Total "&amp;D146</f>
        <v>Total RAB Asset Class</v>
      </c>
      <c r="E166" s="47" t="s">
        <v>111</v>
      </c>
      <c r="F166" s="47" t="str">
        <f>F148</f>
        <v>Dollars</v>
      </c>
      <c r="G166" s="47" t="str">
        <f>G148</f>
        <v>Nominal</v>
      </c>
      <c r="H166" s="47" t="str">
        <f>H148</f>
        <v>End_year</v>
      </c>
      <c r="J166" s="62">
        <f t="shared" ref="J166:AB166" si="121">SUM(J148:J164)</f>
        <v>365.95099660144598</v>
      </c>
      <c r="K166" s="46">
        <f t="shared" si="121"/>
        <v>386.15053982321189</v>
      </c>
      <c r="L166" s="46">
        <f t="shared" si="121"/>
        <v>431.64217307079821</v>
      </c>
      <c r="M166" s="46">
        <f t="shared" si="121"/>
        <v>482.44975325772106</v>
      </c>
      <c r="N166" s="46">
        <f t="shared" si="121"/>
        <v>551.68837985352081</v>
      </c>
      <c r="O166" s="46">
        <f t="shared" si="121"/>
        <v>634.15600608284831</v>
      </c>
      <c r="P166" s="46">
        <f t="shared" si="121"/>
        <v>692.91333264105731</v>
      </c>
      <c r="Q166" s="46">
        <f t="shared" si="121"/>
        <v>788.49290006313993</v>
      </c>
      <c r="R166" s="63">
        <f t="shared" si="121"/>
        <v>861.76968918951241</v>
      </c>
      <c r="S166" s="62">
        <f t="shared" si="121"/>
        <v>902.19935716127713</v>
      </c>
      <c r="T166" s="46">
        <f t="shared" si="121"/>
        <v>928.07207830488812</v>
      </c>
      <c r="U166" s="46">
        <f t="shared" si="121"/>
        <v>946.93488457381545</v>
      </c>
      <c r="V166" s="46">
        <f t="shared" si="121"/>
        <v>960.34679733688267</v>
      </c>
      <c r="W166" s="63">
        <f t="shared" si="121"/>
        <v>992.55376800616375</v>
      </c>
      <c r="X166" s="62">
        <f t="shared" si="121"/>
        <v>1059.4851784453672</v>
      </c>
      <c r="Y166" s="46">
        <f t="shared" si="121"/>
        <v>1108.3490384299264</v>
      </c>
      <c r="Z166" s="46">
        <f t="shared" si="121"/>
        <v>1181.1648474058211</v>
      </c>
      <c r="AA166" s="46">
        <f t="shared" si="121"/>
        <v>1217.4517649022782</v>
      </c>
      <c r="AB166" s="63">
        <f t="shared" si="121"/>
        <v>1245.3636980793874</v>
      </c>
    </row>
    <row r="167" spans="1:28" s="6" customFormat="1" ht="11.25" customHeight="1" x14ac:dyDescent="0.35"/>
    <row r="168" spans="1:28" s="6" customFormat="1" ht="11.25" customHeight="1" x14ac:dyDescent="0.35">
      <c r="A168" s="49">
        <f>IF(SUM($J168:$AB168)&lt;&gt;0,1,0)</f>
        <v>0</v>
      </c>
      <c r="D168" s="15" t="s">
        <v>114</v>
      </c>
      <c r="J168" s="70">
        <f>IF(ISERROR(J166),1,0)</f>
        <v>0</v>
      </c>
      <c r="K168" s="70">
        <f t="shared" ref="K168:N168" si="122">IF(ISERROR(K166),1,0)</f>
        <v>0</v>
      </c>
      <c r="L168" s="70">
        <f t="shared" si="122"/>
        <v>0</v>
      </c>
      <c r="M168" s="70">
        <f t="shared" si="122"/>
        <v>0</v>
      </c>
      <c r="N168" s="70">
        <f t="shared" si="122"/>
        <v>0</v>
      </c>
      <c r="O168" s="70">
        <f>IF(ISERROR(O166),1,0)</f>
        <v>0</v>
      </c>
      <c r="P168" s="70">
        <f t="shared" ref="P168:S168" si="123">IF(ISERROR(P166),1,0)</f>
        <v>0</v>
      </c>
      <c r="Q168" s="70">
        <f t="shared" si="123"/>
        <v>0</v>
      </c>
      <c r="R168" s="70">
        <f t="shared" si="123"/>
        <v>0</v>
      </c>
      <c r="S168" s="70">
        <f t="shared" si="123"/>
        <v>0</v>
      </c>
      <c r="T168" s="70">
        <f>IF(ISERROR(T166),1,0)</f>
        <v>0</v>
      </c>
      <c r="U168" s="70">
        <f t="shared" ref="U168:X168" si="124">IF(ISERROR(U166),1,0)</f>
        <v>0</v>
      </c>
      <c r="V168" s="70">
        <f t="shared" si="124"/>
        <v>0</v>
      </c>
      <c r="W168" s="70">
        <f t="shared" si="124"/>
        <v>0</v>
      </c>
      <c r="X168" s="70">
        <f t="shared" si="124"/>
        <v>0</v>
      </c>
      <c r="Y168" s="70">
        <f>IF(ISERROR(Y166),1,0)</f>
        <v>0</v>
      </c>
      <c r="Z168" s="70">
        <f t="shared" ref="Z168:AB168" si="125">IF(ISERROR(Z166),1,0)</f>
        <v>0</v>
      </c>
      <c r="AA168" s="70">
        <f t="shared" si="125"/>
        <v>0</v>
      </c>
      <c r="AB168" s="70">
        <f t="shared" si="125"/>
        <v>0</v>
      </c>
    </row>
    <row r="170" spans="1:28" s="13" customFormat="1" ht="14.1" x14ac:dyDescent="0.35">
      <c r="C170" s="13" t="s">
        <v>177</v>
      </c>
    </row>
    <row r="171" spans="1:28" s="6" customFormat="1" ht="11.25" customHeight="1" x14ac:dyDescent="0.35"/>
    <row r="172" spans="1:28" ht="12.3" x14ac:dyDescent="0.35">
      <c r="D172" s="50" t="str">
        <f>D$16</f>
        <v>RAB Asset Class</v>
      </c>
      <c r="E172" s="45" t="str">
        <f>Lookup!E$20</f>
        <v>Source</v>
      </c>
      <c r="F172" s="45" t="str">
        <f>Lookup!F$20</f>
        <v>Unit</v>
      </c>
      <c r="G172" s="45" t="str">
        <f>Lookup!G$20</f>
        <v>Basis</v>
      </c>
      <c r="H172" s="45" t="str">
        <f>Lookup!H$20</f>
        <v>Timing</v>
      </c>
      <c r="J172" s="54" t="str">
        <f>J$10</f>
        <v>RY06</v>
      </c>
      <c r="K172" s="45" t="str">
        <f t="shared" ref="K172:AB172" si="126">K$10</f>
        <v>RY07</v>
      </c>
      <c r="L172" s="45" t="str">
        <f t="shared" si="126"/>
        <v>RY08</v>
      </c>
      <c r="M172" s="45" t="str">
        <f t="shared" si="126"/>
        <v>RY09</v>
      </c>
      <c r="N172" s="45" t="str">
        <f t="shared" si="126"/>
        <v>RY10</v>
      </c>
      <c r="O172" s="45" t="str">
        <f>O$10</f>
        <v>RY11</v>
      </c>
      <c r="P172" s="45" t="str">
        <f t="shared" si="126"/>
        <v>RY12</v>
      </c>
      <c r="Q172" s="45" t="str">
        <f t="shared" si="126"/>
        <v>RY13</v>
      </c>
      <c r="R172" s="55" t="str">
        <f t="shared" si="126"/>
        <v>RY14</v>
      </c>
      <c r="S172" s="54" t="str">
        <f t="shared" si="126"/>
        <v>RY15</v>
      </c>
      <c r="T172" s="45" t="str">
        <f>T$10</f>
        <v>RY16</v>
      </c>
      <c r="U172" s="45" t="str">
        <f t="shared" si="126"/>
        <v>RY17</v>
      </c>
      <c r="V172" s="45" t="str">
        <f t="shared" si="126"/>
        <v>RY18</v>
      </c>
      <c r="W172" s="55" t="str">
        <f t="shared" si="126"/>
        <v>RY19</v>
      </c>
      <c r="X172" s="54" t="str">
        <f t="shared" si="126"/>
        <v>RY20</v>
      </c>
      <c r="Y172" s="45" t="str">
        <f>Y$10</f>
        <v>RY21</v>
      </c>
      <c r="Z172" s="45" t="str">
        <f t="shared" si="126"/>
        <v>RY22</v>
      </c>
      <c r="AA172" s="45" t="str">
        <f t="shared" si="126"/>
        <v>RY23</v>
      </c>
      <c r="AB172" s="55" t="str">
        <f t="shared" si="126"/>
        <v>RY24</v>
      </c>
    </row>
    <row r="173" spans="1:28" x14ac:dyDescent="0.35">
      <c r="J173" s="56"/>
      <c r="K173" s="57"/>
      <c r="L173" s="57"/>
      <c r="M173" s="57"/>
      <c r="N173" s="57"/>
      <c r="O173" s="57"/>
      <c r="P173" s="57"/>
      <c r="Q173" s="57"/>
      <c r="R173" s="58"/>
      <c r="S173" s="56"/>
      <c r="T173" s="57"/>
      <c r="U173" s="57"/>
      <c r="V173" s="57"/>
      <c r="W173" s="58"/>
      <c r="X173" s="56"/>
      <c r="Y173" s="57"/>
      <c r="Z173" s="57"/>
      <c r="AA173" s="57"/>
      <c r="AB173" s="58"/>
    </row>
    <row r="174" spans="1:28" ht="12.3" x14ac:dyDescent="0.35">
      <c r="D174" s="15" t="str">
        <f t="shared" ref="D174:D187" si="127">D18</f>
        <v>Substations</v>
      </c>
      <c r="E174" s="52" t="s">
        <v>197</v>
      </c>
      <c r="F174" s="52" t="str">
        <f t="shared" ref="F174:F190" si="128">Dollars</f>
        <v>Dollars</v>
      </c>
      <c r="G174" s="52" t="str">
        <f t="shared" ref="G174:G190" si="129">Nominal</f>
        <v>Nominal</v>
      </c>
      <c r="H174" s="52" t="str">
        <f t="shared" ref="H174:H190" si="130">End_year</f>
        <v>End_year</v>
      </c>
      <c r="J174" s="66">
        <f>Input_RAB_SCS!J178-Calc_RAB_Connection!J174</f>
        <v>0</v>
      </c>
      <c r="K174" s="67">
        <f>Input_RAB_SCS!K178-Calc_RAB_Connection!K174</f>
        <v>0</v>
      </c>
      <c r="L174" s="67">
        <f>Input_RAB_SCS!L178-Calc_RAB_Connection!L174</f>
        <v>0</v>
      </c>
      <c r="M174" s="67">
        <f>Input_RAB_SCS!M178-Calc_RAB_Connection!M174</f>
        <v>0</v>
      </c>
      <c r="N174" s="67">
        <f>Input_RAB_SCS!N178-Calc_RAB_Connection!N174</f>
        <v>0</v>
      </c>
      <c r="O174" s="67">
        <f>Input_RAB_SCS!O178-Calc_RAB_Connection!O174</f>
        <v>0</v>
      </c>
      <c r="P174" s="67">
        <f>Input_RAB_SCS!P178-Calc_RAB_Connection!P174</f>
        <v>0</v>
      </c>
      <c r="Q174" s="67">
        <f>Input_RAB_SCS!Q178-Calc_RAB_Connection!Q174</f>
        <v>0</v>
      </c>
      <c r="R174" s="68">
        <f>Input_RAB_SCS!R178-Calc_RAB_Connection!R174</f>
        <v>0</v>
      </c>
      <c r="S174" s="66">
        <f>Input_RAB_SCS!S178-Calc_RAB_Connection!S174</f>
        <v>0</v>
      </c>
      <c r="T174" s="67">
        <f>Input_RAB_SCS!T178-Calc_RAB_Connection!T174</f>
        <v>0</v>
      </c>
      <c r="U174" s="67">
        <f>Input_RAB_SCS!U178-Calc_RAB_Connection!U174</f>
        <v>0</v>
      </c>
      <c r="V174" s="67">
        <f>Input_RAB_SCS!V178-Calc_RAB_Connection!V174</f>
        <v>0</v>
      </c>
      <c r="W174" s="68">
        <f>Input_RAB_SCS!W178-Calc_RAB_Connection!W174</f>
        <v>-29.992126504334458</v>
      </c>
      <c r="X174" s="66">
        <f>Input_RAB_SCS!X178-Calc_RAB_Connection!X174</f>
        <v>0</v>
      </c>
      <c r="Y174" s="67">
        <f>Input_RAB_SCS!Y178-Calc_RAB_Connection!Y174</f>
        <v>0</v>
      </c>
      <c r="Z174" s="67">
        <f>Input_RAB_SCS!Z178-Calc_RAB_Connection!Z174</f>
        <v>0</v>
      </c>
      <c r="AA174" s="67">
        <f>Input_RAB_SCS!AA178-Calc_RAB_Connection!AA174</f>
        <v>0</v>
      </c>
      <c r="AB174" s="68">
        <f>Input_RAB_SCS!AB178-Calc_RAB_Connection!AB174</f>
        <v>0</v>
      </c>
    </row>
    <row r="175" spans="1:28" ht="12.3" x14ac:dyDescent="0.35">
      <c r="D175" s="15" t="str">
        <f t="shared" si="127"/>
        <v>Distribution Lines</v>
      </c>
      <c r="E175" s="52" t="str">
        <f t="shared" ref="E175:E189" si="131">E174</f>
        <v>Input_RAB_SCS/Calc_RAB_Connection</v>
      </c>
      <c r="F175" s="52" t="str">
        <f t="shared" si="128"/>
        <v>Dollars</v>
      </c>
      <c r="G175" s="52" t="str">
        <f t="shared" si="129"/>
        <v>Nominal</v>
      </c>
      <c r="H175" s="52" t="str">
        <f t="shared" si="130"/>
        <v>End_year</v>
      </c>
      <c r="J175" s="66">
        <f>Input_RAB_SCS!J179-Calc_RAB_Connection!J175</f>
        <v>0</v>
      </c>
      <c r="K175" s="67">
        <f>Input_RAB_SCS!K179-Calc_RAB_Connection!K175</f>
        <v>0</v>
      </c>
      <c r="L175" s="67">
        <f>Input_RAB_SCS!L179-Calc_RAB_Connection!L175</f>
        <v>0</v>
      </c>
      <c r="M175" s="67">
        <f>Input_RAB_SCS!M179-Calc_RAB_Connection!M175</f>
        <v>0</v>
      </c>
      <c r="N175" s="67">
        <f>Input_RAB_SCS!N179-Calc_RAB_Connection!N175</f>
        <v>0</v>
      </c>
      <c r="O175" s="67">
        <f>Input_RAB_SCS!O179-Calc_RAB_Connection!O175</f>
        <v>0</v>
      </c>
      <c r="P175" s="67">
        <f>Input_RAB_SCS!P179-Calc_RAB_Connection!P175</f>
        <v>0</v>
      </c>
      <c r="Q175" s="67">
        <f>Input_RAB_SCS!Q179-Calc_RAB_Connection!Q175</f>
        <v>0</v>
      </c>
      <c r="R175" s="68">
        <f>Input_RAB_SCS!R179-Calc_RAB_Connection!R175</f>
        <v>0</v>
      </c>
      <c r="S175" s="66">
        <f>Input_RAB_SCS!S179-Calc_RAB_Connection!S175</f>
        <v>0</v>
      </c>
      <c r="T175" s="67">
        <f>Input_RAB_SCS!T179-Calc_RAB_Connection!T175</f>
        <v>0</v>
      </c>
      <c r="U175" s="67">
        <f>Input_RAB_SCS!U179-Calc_RAB_Connection!U175</f>
        <v>0</v>
      </c>
      <c r="V175" s="67">
        <f>Input_RAB_SCS!V179-Calc_RAB_Connection!V175</f>
        <v>0</v>
      </c>
      <c r="W175" s="68">
        <f>Input_RAB_SCS!W179-Calc_RAB_Connection!W175</f>
        <v>-4.3591868934935949</v>
      </c>
      <c r="X175" s="66">
        <f>Input_RAB_SCS!X179-Calc_RAB_Connection!X175</f>
        <v>0</v>
      </c>
      <c r="Y175" s="67">
        <f>Input_RAB_SCS!Y179-Calc_RAB_Connection!Y175</f>
        <v>0</v>
      </c>
      <c r="Z175" s="67">
        <f>Input_RAB_SCS!Z179-Calc_RAB_Connection!Z175</f>
        <v>0</v>
      </c>
      <c r="AA175" s="67">
        <f>Input_RAB_SCS!AA179-Calc_RAB_Connection!AA175</f>
        <v>0</v>
      </c>
      <c r="AB175" s="68">
        <f>Input_RAB_SCS!AB179-Calc_RAB_Connection!AB175</f>
        <v>0</v>
      </c>
    </row>
    <row r="176" spans="1:28" ht="12.3" x14ac:dyDescent="0.35">
      <c r="D176" s="15" t="str">
        <f t="shared" si="127"/>
        <v>Transmission Lines</v>
      </c>
      <c r="E176" s="52" t="str">
        <f t="shared" si="131"/>
        <v>Input_RAB_SCS/Calc_RAB_Connection</v>
      </c>
      <c r="F176" s="52" t="str">
        <f t="shared" si="128"/>
        <v>Dollars</v>
      </c>
      <c r="G176" s="52" t="str">
        <f t="shared" si="129"/>
        <v>Nominal</v>
      </c>
      <c r="H176" s="52" t="str">
        <f t="shared" si="130"/>
        <v>End_year</v>
      </c>
      <c r="J176" s="66">
        <f>Input_RAB_SCS!J180-Calc_RAB_Connection!J176</f>
        <v>0</v>
      </c>
      <c r="K176" s="67">
        <f>Input_RAB_SCS!K180-Calc_RAB_Connection!K176</f>
        <v>0</v>
      </c>
      <c r="L176" s="67">
        <f>Input_RAB_SCS!L180-Calc_RAB_Connection!L176</f>
        <v>0</v>
      </c>
      <c r="M176" s="67">
        <f>Input_RAB_SCS!M180-Calc_RAB_Connection!M176</f>
        <v>0</v>
      </c>
      <c r="N176" s="67">
        <f>Input_RAB_SCS!N180-Calc_RAB_Connection!N176</f>
        <v>0</v>
      </c>
      <c r="O176" s="67">
        <f>Input_RAB_SCS!O180-Calc_RAB_Connection!O176</f>
        <v>0</v>
      </c>
      <c r="P176" s="67">
        <f>Input_RAB_SCS!P180-Calc_RAB_Connection!P176</f>
        <v>0</v>
      </c>
      <c r="Q176" s="67">
        <f>Input_RAB_SCS!Q180-Calc_RAB_Connection!Q176</f>
        <v>0</v>
      </c>
      <c r="R176" s="68">
        <f>Input_RAB_SCS!R180-Calc_RAB_Connection!R176</f>
        <v>0</v>
      </c>
      <c r="S176" s="66">
        <f>Input_RAB_SCS!S180-Calc_RAB_Connection!S176</f>
        <v>0</v>
      </c>
      <c r="T176" s="67">
        <f>Input_RAB_SCS!T180-Calc_RAB_Connection!T176</f>
        <v>0</v>
      </c>
      <c r="U176" s="67">
        <f>Input_RAB_SCS!U180-Calc_RAB_Connection!U176</f>
        <v>0</v>
      </c>
      <c r="V176" s="67">
        <f>Input_RAB_SCS!V180-Calc_RAB_Connection!V176</f>
        <v>0</v>
      </c>
      <c r="W176" s="68">
        <f>Input_RAB_SCS!W180-Calc_RAB_Connection!W176</f>
        <v>1.5426967005185612</v>
      </c>
      <c r="X176" s="66">
        <f>Input_RAB_SCS!X180-Calc_RAB_Connection!X176</f>
        <v>0</v>
      </c>
      <c r="Y176" s="67">
        <f>Input_RAB_SCS!Y180-Calc_RAB_Connection!Y176</f>
        <v>0</v>
      </c>
      <c r="Z176" s="67">
        <f>Input_RAB_SCS!Z180-Calc_RAB_Connection!Z176</f>
        <v>0</v>
      </c>
      <c r="AA176" s="67">
        <f>Input_RAB_SCS!AA180-Calc_RAB_Connection!AA176</f>
        <v>0</v>
      </c>
      <c r="AB176" s="68">
        <f>Input_RAB_SCS!AB180-Calc_RAB_Connection!AB176</f>
        <v>0</v>
      </c>
    </row>
    <row r="177" spans="4:28" ht="12.3" x14ac:dyDescent="0.35">
      <c r="D177" s="15" t="str">
        <f t="shared" si="127"/>
        <v>LV Services</v>
      </c>
      <c r="E177" s="52" t="str">
        <f t="shared" si="131"/>
        <v>Input_RAB_SCS/Calc_RAB_Connection</v>
      </c>
      <c r="F177" s="52" t="str">
        <f t="shared" si="128"/>
        <v>Dollars</v>
      </c>
      <c r="G177" s="52" t="str">
        <f t="shared" si="129"/>
        <v>Nominal</v>
      </c>
      <c r="H177" s="52" t="str">
        <f t="shared" si="130"/>
        <v>End_year</v>
      </c>
      <c r="J177" s="66">
        <f>Input_RAB_SCS!J181-Calc_RAB_Connection!J177</f>
        <v>0</v>
      </c>
      <c r="K177" s="67">
        <f>Input_RAB_SCS!K181-Calc_RAB_Connection!K177</f>
        <v>0</v>
      </c>
      <c r="L177" s="67">
        <f>Input_RAB_SCS!L181-Calc_RAB_Connection!L177</f>
        <v>0</v>
      </c>
      <c r="M177" s="67">
        <f>Input_RAB_SCS!M181-Calc_RAB_Connection!M177</f>
        <v>0</v>
      </c>
      <c r="N177" s="67">
        <f>Input_RAB_SCS!N181-Calc_RAB_Connection!N177</f>
        <v>0</v>
      </c>
      <c r="O177" s="67">
        <f>Input_RAB_SCS!O181-Calc_RAB_Connection!O177</f>
        <v>0</v>
      </c>
      <c r="P177" s="67">
        <f>Input_RAB_SCS!P181-Calc_RAB_Connection!P177</f>
        <v>0</v>
      </c>
      <c r="Q177" s="67">
        <f>Input_RAB_SCS!Q181-Calc_RAB_Connection!Q177</f>
        <v>0</v>
      </c>
      <c r="R177" s="68">
        <f>Input_RAB_SCS!R181-Calc_RAB_Connection!R177</f>
        <v>0</v>
      </c>
      <c r="S177" s="66">
        <f>Input_RAB_SCS!S181-Calc_RAB_Connection!S177</f>
        <v>0</v>
      </c>
      <c r="T177" s="67">
        <f>Input_RAB_SCS!T181-Calc_RAB_Connection!T177</f>
        <v>0</v>
      </c>
      <c r="U177" s="67">
        <f>Input_RAB_SCS!U181-Calc_RAB_Connection!U177</f>
        <v>0</v>
      </c>
      <c r="V177" s="67">
        <f>Input_RAB_SCS!V181-Calc_RAB_Connection!V177</f>
        <v>0</v>
      </c>
      <c r="W177" s="68">
        <f>Input_RAB_SCS!W181-Calc_RAB_Connection!W177</f>
        <v>1.6085551709402173</v>
      </c>
      <c r="X177" s="66">
        <f>Input_RAB_SCS!X181-Calc_RAB_Connection!X177</f>
        <v>0</v>
      </c>
      <c r="Y177" s="67">
        <f>Input_RAB_SCS!Y181-Calc_RAB_Connection!Y177</f>
        <v>0</v>
      </c>
      <c r="Z177" s="67">
        <f>Input_RAB_SCS!Z181-Calc_RAB_Connection!Z177</f>
        <v>0</v>
      </c>
      <c r="AA177" s="67">
        <f>Input_RAB_SCS!AA181-Calc_RAB_Connection!AA177</f>
        <v>0</v>
      </c>
      <c r="AB177" s="68">
        <f>Input_RAB_SCS!AB181-Calc_RAB_Connection!AB177</f>
        <v>0</v>
      </c>
    </row>
    <row r="178" spans="4:28" ht="12.3" x14ac:dyDescent="0.35">
      <c r="D178" s="15" t="str">
        <f t="shared" si="127"/>
        <v>Distribution Substations</v>
      </c>
      <c r="E178" s="52" t="str">
        <f t="shared" si="131"/>
        <v>Input_RAB_SCS/Calc_RAB_Connection</v>
      </c>
      <c r="F178" s="52" t="str">
        <f t="shared" si="128"/>
        <v>Dollars</v>
      </c>
      <c r="G178" s="52" t="str">
        <f t="shared" si="129"/>
        <v>Nominal</v>
      </c>
      <c r="H178" s="52" t="str">
        <f t="shared" si="130"/>
        <v>End_year</v>
      </c>
      <c r="J178" s="66">
        <f>Input_RAB_SCS!J182-Calc_RAB_Connection!J178</f>
        <v>0</v>
      </c>
      <c r="K178" s="67">
        <f>Input_RAB_SCS!K182-Calc_RAB_Connection!K178</f>
        <v>0</v>
      </c>
      <c r="L178" s="67">
        <f>Input_RAB_SCS!L182-Calc_RAB_Connection!L178</f>
        <v>0</v>
      </c>
      <c r="M178" s="67">
        <f>Input_RAB_SCS!M182-Calc_RAB_Connection!M178</f>
        <v>0</v>
      </c>
      <c r="N178" s="67">
        <f>Input_RAB_SCS!N182-Calc_RAB_Connection!N178</f>
        <v>0</v>
      </c>
      <c r="O178" s="67">
        <f>Input_RAB_SCS!O182-Calc_RAB_Connection!O178</f>
        <v>0</v>
      </c>
      <c r="P178" s="67">
        <f>Input_RAB_SCS!P182-Calc_RAB_Connection!P178</f>
        <v>0</v>
      </c>
      <c r="Q178" s="67">
        <f>Input_RAB_SCS!Q182-Calc_RAB_Connection!Q178</f>
        <v>0</v>
      </c>
      <c r="R178" s="68">
        <f>Input_RAB_SCS!R182-Calc_RAB_Connection!R178</f>
        <v>0</v>
      </c>
      <c r="S178" s="66">
        <f>Input_RAB_SCS!S182-Calc_RAB_Connection!S178</f>
        <v>0</v>
      </c>
      <c r="T178" s="67">
        <f>Input_RAB_SCS!T182-Calc_RAB_Connection!T178</f>
        <v>0</v>
      </c>
      <c r="U178" s="67">
        <f>Input_RAB_SCS!U182-Calc_RAB_Connection!U178</f>
        <v>0</v>
      </c>
      <c r="V178" s="67">
        <f>Input_RAB_SCS!V182-Calc_RAB_Connection!V178</f>
        <v>0</v>
      </c>
      <c r="W178" s="68">
        <f>Input_RAB_SCS!W182-Calc_RAB_Connection!W178</f>
        <v>4.4120583844349897</v>
      </c>
      <c r="X178" s="66">
        <f>Input_RAB_SCS!X182-Calc_RAB_Connection!X178</f>
        <v>0</v>
      </c>
      <c r="Y178" s="67">
        <f>Input_RAB_SCS!Y182-Calc_RAB_Connection!Y178</f>
        <v>0</v>
      </c>
      <c r="Z178" s="67">
        <f>Input_RAB_SCS!Z182-Calc_RAB_Connection!Z178</f>
        <v>0</v>
      </c>
      <c r="AA178" s="67">
        <f>Input_RAB_SCS!AA182-Calc_RAB_Connection!AA178</f>
        <v>0</v>
      </c>
      <c r="AB178" s="68">
        <f>Input_RAB_SCS!AB182-Calc_RAB_Connection!AB178</f>
        <v>0</v>
      </c>
    </row>
    <row r="179" spans="4:28" ht="12.3" x14ac:dyDescent="0.35">
      <c r="D179" s="15" t="str">
        <f t="shared" si="127"/>
        <v>Distribution Switchgear</v>
      </c>
      <c r="E179" s="52" t="str">
        <f t="shared" si="131"/>
        <v>Input_RAB_SCS/Calc_RAB_Connection</v>
      </c>
      <c r="F179" s="52" t="str">
        <f t="shared" si="128"/>
        <v>Dollars</v>
      </c>
      <c r="G179" s="52" t="str">
        <f t="shared" si="129"/>
        <v>Nominal</v>
      </c>
      <c r="H179" s="52" t="str">
        <f t="shared" si="130"/>
        <v>End_year</v>
      </c>
      <c r="J179" s="66">
        <f>Input_RAB_SCS!J183-Calc_RAB_Connection!J179</f>
        <v>0</v>
      </c>
      <c r="K179" s="67">
        <f>Input_RAB_SCS!K183-Calc_RAB_Connection!K179</f>
        <v>0</v>
      </c>
      <c r="L179" s="67">
        <f>Input_RAB_SCS!L183-Calc_RAB_Connection!L179</f>
        <v>0</v>
      </c>
      <c r="M179" s="67">
        <f>Input_RAB_SCS!M183-Calc_RAB_Connection!M179</f>
        <v>0</v>
      </c>
      <c r="N179" s="67">
        <f>Input_RAB_SCS!N183-Calc_RAB_Connection!N179</f>
        <v>0</v>
      </c>
      <c r="O179" s="67">
        <f>Input_RAB_SCS!O183-Calc_RAB_Connection!O179</f>
        <v>0</v>
      </c>
      <c r="P179" s="67">
        <f>Input_RAB_SCS!P183-Calc_RAB_Connection!P179</f>
        <v>0</v>
      </c>
      <c r="Q179" s="67">
        <f>Input_RAB_SCS!Q183-Calc_RAB_Connection!Q179</f>
        <v>0</v>
      </c>
      <c r="R179" s="68">
        <f>Input_RAB_SCS!R183-Calc_RAB_Connection!R179</f>
        <v>0</v>
      </c>
      <c r="S179" s="66">
        <f>Input_RAB_SCS!S183-Calc_RAB_Connection!S179</f>
        <v>0</v>
      </c>
      <c r="T179" s="67">
        <f>Input_RAB_SCS!T183-Calc_RAB_Connection!T179</f>
        <v>0</v>
      </c>
      <c r="U179" s="67">
        <f>Input_RAB_SCS!U183-Calc_RAB_Connection!U179</f>
        <v>0</v>
      </c>
      <c r="V179" s="67">
        <f>Input_RAB_SCS!V183-Calc_RAB_Connection!V179</f>
        <v>0</v>
      </c>
      <c r="W179" s="68">
        <f>Input_RAB_SCS!W183-Calc_RAB_Connection!W179</f>
        <v>5.0838825458105585</v>
      </c>
      <c r="X179" s="66">
        <f>Input_RAB_SCS!X183-Calc_RAB_Connection!X179</f>
        <v>0</v>
      </c>
      <c r="Y179" s="67">
        <f>Input_RAB_SCS!Y183-Calc_RAB_Connection!Y179</f>
        <v>0</v>
      </c>
      <c r="Z179" s="67">
        <f>Input_RAB_SCS!Z183-Calc_RAB_Connection!Z179</f>
        <v>0</v>
      </c>
      <c r="AA179" s="67">
        <f>Input_RAB_SCS!AA183-Calc_RAB_Connection!AA179</f>
        <v>0</v>
      </c>
      <c r="AB179" s="68">
        <f>Input_RAB_SCS!AB183-Calc_RAB_Connection!AB179</f>
        <v>0</v>
      </c>
    </row>
    <row r="180" spans="4:28" ht="12.3" x14ac:dyDescent="0.35">
      <c r="D180" s="15" t="str">
        <f t="shared" si="127"/>
        <v>Protection</v>
      </c>
      <c r="E180" s="52" t="str">
        <f t="shared" si="131"/>
        <v>Input_RAB_SCS/Calc_RAB_Connection</v>
      </c>
      <c r="F180" s="52" t="str">
        <f t="shared" si="128"/>
        <v>Dollars</v>
      </c>
      <c r="G180" s="52" t="str">
        <f t="shared" si="129"/>
        <v>Nominal</v>
      </c>
      <c r="H180" s="52" t="str">
        <f t="shared" si="130"/>
        <v>End_year</v>
      </c>
      <c r="J180" s="66">
        <f>Input_RAB_SCS!J184-Calc_RAB_Connection!J180</f>
        <v>0</v>
      </c>
      <c r="K180" s="67">
        <f>Input_RAB_SCS!K184-Calc_RAB_Connection!K180</f>
        <v>0</v>
      </c>
      <c r="L180" s="67">
        <f>Input_RAB_SCS!L184-Calc_RAB_Connection!L180</f>
        <v>0</v>
      </c>
      <c r="M180" s="67">
        <f>Input_RAB_SCS!M184-Calc_RAB_Connection!M180</f>
        <v>0</v>
      </c>
      <c r="N180" s="67">
        <f>Input_RAB_SCS!N184-Calc_RAB_Connection!N180</f>
        <v>0</v>
      </c>
      <c r="O180" s="67">
        <f>Input_RAB_SCS!O184-Calc_RAB_Connection!O180</f>
        <v>0</v>
      </c>
      <c r="P180" s="67">
        <f>Input_RAB_SCS!P184-Calc_RAB_Connection!P180</f>
        <v>0</v>
      </c>
      <c r="Q180" s="67">
        <f>Input_RAB_SCS!Q184-Calc_RAB_Connection!Q180</f>
        <v>0</v>
      </c>
      <c r="R180" s="68">
        <f>Input_RAB_SCS!R184-Calc_RAB_Connection!R180</f>
        <v>0</v>
      </c>
      <c r="S180" s="66">
        <f>Input_RAB_SCS!S184-Calc_RAB_Connection!S180</f>
        <v>0</v>
      </c>
      <c r="T180" s="67">
        <f>Input_RAB_SCS!T184-Calc_RAB_Connection!T180</f>
        <v>0</v>
      </c>
      <c r="U180" s="67">
        <f>Input_RAB_SCS!U184-Calc_RAB_Connection!U180</f>
        <v>0</v>
      </c>
      <c r="V180" s="67">
        <f>Input_RAB_SCS!V184-Calc_RAB_Connection!V180</f>
        <v>0</v>
      </c>
      <c r="W180" s="68">
        <f>Input_RAB_SCS!W184-Calc_RAB_Connection!W180</f>
        <v>8.3172800338440709</v>
      </c>
      <c r="X180" s="66">
        <f>Input_RAB_SCS!X184-Calc_RAB_Connection!X180</f>
        <v>0</v>
      </c>
      <c r="Y180" s="67">
        <f>Input_RAB_SCS!Y184-Calc_RAB_Connection!Y180</f>
        <v>0</v>
      </c>
      <c r="Z180" s="67">
        <f>Input_RAB_SCS!Z184-Calc_RAB_Connection!Z180</f>
        <v>0</v>
      </c>
      <c r="AA180" s="67">
        <f>Input_RAB_SCS!AA184-Calc_RAB_Connection!AA180</f>
        <v>0</v>
      </c>
      <c r="AB180" s="68">
        <f>Input_RAB_SCS!AB184-Calc_RAB_Connection!AB180</f>
        <v>0</v>
      </c>
    </row>
    <row r="181" spans="4:28" ht="12.3" x14ac:dyDescent="0.35">
      <c r="D181" s="15" t="str">
        <f t="shared" si="127"/>
        <v>SCADA</v>
      </c>
      <c r="E181" s="52" t="str">
        <f t="shared" si="131"/>
        <v>Input_RAB_SCS/Calc_RAB_Connection</v>
      </c>
      <c r="F181" s="52" t="str">
        <f t="shared" si="128"/>
        <v>Dollars</v>
      </c>
      <c r="G181" s="52" t="str">
        <f t="shared" si="129"/>
        <v>Nominal</v>
      </c>
      <c r="H181" s="52" t="str">
        <f t="shared" si="130"/>
        <v>End_year</v>
      </c>
      <c r="J181" s="66">
        <f>Input_RAB_SCS!J185-Calc_RAB_Connection!J181</f>
        <v>0</v>
      </c>
      <c r="K181" s="67">
        <f>Input_RAB_SCS!K185-Calc_RAB_Connection!K181</f>
        <v>0</v>
      </c>
      <c r="L181" s="67">
        <f>Input_RAB_SCS!L185-Calc_RAB_Connection!L181</f>
        <v>0</v>
      </c>
      <c r="M181" s="67">
        <f>Input_RAB_SCS!M185-Calc_RAB_Connection!M181</f>
        <v>0</v>
      </c>
      <c r="N181" s="67">
        <f>Input_RAB_SCS!N185-Calc_RAB_Connection!N181</f>
        <v>0</v>
      </c>
      <c r="O181" s="67">
        <f>Input_RAB_SCS!O185-Calc_RAB_Connection!O181</f>
        <v>0</v>
      </c>
      <c r="P181" s="67">
        <f>Input_RAB_SCS!P185-Calc_RAB_Connection!P181</f>
        <v>0</v>
      </c>
      <c r="Q181" s="67">
        <f>Input_RAB_SCS!Q185-Calc_RAB_Connection!Q181</f>
        <v>0</v>
      </c>
      <c r="R181" s="68">
        <f>Input_RAB_SCS!R185-Calc_RAB_Connection!R181</f>
        <v>0</v>
      </c>
      <c r="S181" s="66">
        <f>Input_RAB_SCS!S185-Calc_RAB_Connection!S181</f>
        <v>0</v>
      </c>
      <c r="T181" s="67">
        <f>Input_RAB_SCS!T185-Calc_RAB_Connection!T181</f>
        <v>0</v>
      </c>
      <c r="U181" s="67">
        <f>Input_RAB_SCS!U185-Calc_RAB_Connection!U181</f>
        <v>0</v>
      </c>
      <c r="V181" s="67">
        <f>Input_RAB_SCS!V185-Calc_RAB_Connection!V181</f>
        <v>0</v>
      </c>
      <c r="W181" s="68">
        <f>Input_RAB_SCS!W185-Calc_RAB_Connection!W181</f>
        <v>4.0291485923749297</v>
      </c>
      <c r="X181" s="66">
        <f>Input_RAB_SCS!X185-Calc_RAB_Connection!X181</f>
        <v>0</v>
      </c>
      <c r="Y181" s="67">
        <f>Input_RAB_SCS!Y185-Calc_RAB_Connection!Y181</f>
        <v>0</v>
      </c>
      <c r="Z181" s="67">
        <f>Input_RAB_SCS!Z185-Calc_RAB_Connection!Z181</f>
        <v>0</v>
      </c>
      <c r="AA181" s="67">
        <f>Input_RAB_SCS!AA185-Calc_RAB_Connection!AA181</f>
        <v>0</v>
      </c>
      <c r="AB181" s="68">
        <f>Input_RAB_SCS!AB185-Calc_RAB_Connection!AB181</f>
        <v>0</v>
      </c>
    </row>
    <row r="182" spans="4:28" ht="12.3" x14ac:dyDescent="0.35">
      <c r="D182" s="15" t="str">
        <f t="shared" si="127"/>
        <v>Communications</v>
      </c>
      <c r="E182" s="52" t="str">
        <f t="shared" si="131"/>
        <v>Input_RAB_SCS/Calc_RAB_Connection</v>
      </c>
      <c r="F182" s="52" t="str">
        <f t="shared" si="128"/>
        <v>Dollars</v>
      </c>
      <c r="G182" s="52" t="str">
        <f t="shared" si="129"/>
        <v>Nominal</v>
      </c>
      <c r="H182" s="52" t="str">
        <f t="shared" si="130"/>
        <v>End_year</v>
      </c>
      <c r="J182" s="66">
        <f>Input_RAB_SCS!J186-Calc_RAB_Connection!J182</f>
        <v>0</v>
      </c>
      <c r="K182" s="67">
        <f>Input_RAB_SCS!K186-Calc_RAB_Connection!K182</f>
        <v>0</v>
      </c>
      <c r="L182" s="67">
        <f>Input_RAB_SCS!L186-Calc_RAB_Connection!L182</f>
        <v>0</v>
      </c>
      <c r="M182" s="67">
        <f>Input_RAB_SCS!M186-Calc_RAB_Connection!M182</f>
        <v>0</v>
      </c>
      <c r="N182" s="67">
        <f>Input_RAB_SCS!N186-Calc_RAB_Connection!N182</f>
        <v>0</v>
      </c>
      <c r="O182" s="67">
        <f>Input_RAB_SCS!O186-Calc_RAB_Connection!O182</f>
        <v>0</v>
      </c>
      <c r="P182" s="67">
        <f>Input_RAB_SCS!P186-Calc_RAB_Connection!P182</f>
        <v>0</v>
      </c>
      <c r="Q182" s="67">
        <f>Input_RAB_SCS!Q186-Calc_RAB_Connection!Q182</f>
        <v>0</v>
      </c>
      <c r="R182" s="68">
        <f>Input_RAB_SCS!R186-Calc_RAB_Connection!R182</f>
        <v>0</v>
      </c>
      <c r="S182" s="66">
        <f>Input_RAB_SCS!S186-Calc_RAB_Connection!S182</f>
        <v>0</v>
      </c>
      <c r="T182" s="67">
        <f>Input_RAB_SCS!T186-Calc_RAB_Connection!T182</f>
        <v>0</v>
      </c>
      <c r="U182" s="67">
        <f>Input_RAB_SCS!U186-Calc_RAB_Connection!U182</f>
        <v>0</v>
      </c>
      <c r="V182" s="67">
        <f>Input_RAB_SCS!V186-Calc_RAB_Connection!V182</f>
        <v>0</v>
      </c>
      <c r="W182" s="68">
        <f>Input_RAB_SCS!W186-Calc_RAB_Connection!W182</f>
        <v>2.1550097806845496</v>
      </c>
      <c r="X182" s="66">
        <f>Input_RAB_SCS!X186-Calc_RAB_Connection!X182</f>
        <v>0</v>
      </c>
      <c r="Y182" s="67">
        <f>Input_RAB_SCS!Y186-Calc_RAB_Connection!Y182</f>
        <v>0</v>
      </c>
      <c r="Z182" s="67">
        <f>Input_RAB_SCS!Z186-Calc_RAB_Connection!Z182</f>
        <v>0</v>
      </c>
      <c r="AA182" s="67">
        <f>Input_RAB_SCS!AA186-Calc_RAB_Connection!AA182</f>
        <v>0</v>
      </c>
      <c r="AB182" s="68">
        <f>Input_RAB_SCS!AB186-Calc_RAB_Connection!AB182</f>
        <v>0</v>
      </c>
    </row>
    <row r="183" spans="4:28" ht="12.3" x14ac:dyDescent="0.35">
      <c r="D183" s="15" t="str">
        <f t="shared" si="127"/>
        <v>Land and Easements</v>
      </c>
      <c r="E183" s="52" t="str">
        <f t="shared" si="131"/>
        <v>Input_RAB_SCS/Calc_RAB_Connection</v>
      </c>
      <c r="F183" s="52" t="str">
        <f t="shared" si="128"/>
        <v>Dollars</v>
      </c>
      <c r="G183" s="52" t="str">
        <f t="shared" si="129"/>
        <v>Nominal</v>
      </c>
      <c r="H183" s="52" t="str">
        <f t="shared" si="130"/>
        <v>End_year</v>
      </c>
      <c r="J183" s="66">
        <f>Input_RAB_SCS!J187-Calc_RAB_Connection!J183</f>
        <v>0</v>
      </c>
      <c r="K183" s="67">
        <f>Input_RAB_SCS!K187-Calc_RAB_Connection!K183</f>
        <v>0</v>
      </c>
      <c r="L183" s="67">
        <f>Input_RAB_SCS!L187-Calc_RAB_Connection!L183</f>
        <v>0</v>
      </c>
      <c r="M183" s="67">
        <f>Input_RAB_SCS!M187-Calc_RAB_Connection!M183</f>
        <v>0</v>
      </c>
      <c r="N183" s="67">
        <f>Input_RAB_SCS!N187-Calc_RAB_Connection!N183</f>
        <v>0</v>
      </c>
      <c r="O183" s="67">
        <f>Input_RAB_SCS!O187-Calc_RAB_Connection!O183</f>
        <v>0</v>
      </c>
      <c r="P183" s="67">
        <f>Input_RAB_SCS!P187-Calc_RAB_Connection!P183</f>
        <v>0</v>
      </c>
      <c r="Q183" s="67">
        <f>Input_RAB_SCS!Q187-Calc_RAB_Connection!Q183</f>
        <v>0</v>
      </c>
      <c r="R183" s="68">
        <f>Input_RAB_SCS!R187-Calc_RAB_Connection!R183</f>
        <v>0</v>
      </c>
      <c r="S183" s="66">
        <f>Input_RAB_SCS!S187-Calc_RAB_Connection!S183</f>
        <v>0</v>
      </c>
      <c r="T183" s="67">
        <f>Input_RAB_SCS!T187-Calc_RAB_Connection!T183</f>
        <v>0</v>
      </c>
      <c r="U183" s="67">
        <f>Input_RAB_SCS!U187-Calc_RAB_Connection!U183</f>
        <v>0</v>
      </c>
      <c r="V183" s="67">
        <f>Input_RAB_SCS!V187-Calc_RAB_Connection!V183</f>
        <v>0</v>
      </c>
      <c r="W183" s="68">
        <f>Input_RAB_SCS!W187-Calc_RAB_Connection!W183</f>
        <v>-1.0011422426514007</v>
      </c>
      <c r="X183" s="66">
        <f>Input_RAB_SCS!X187-Calc_RAB_Connection!X183</f>
        <v>0</v>
      </c>
      <c r="Y183" s="67">
        <f>Input_RAB_SCS!Y187-Calc_RAB_Connection!Y183</f>
        <v>0</v>
      </c>
      <c r="Z183" s="67">
        <f>Input_RAB_SCS!Z187-Calc_RAB_Connection!Z183</f>
        <v>0</v>
      </c>
      <c r="AA183" s="67">
        <f>Input_RAB_SCS!AA187-Calc_RAB_Connection!AA183</f>
        <v>0</v>
      </c>
      <c r="AB183" s="68">
        <f>Input_RAB_SCS!AB187-Calc_RAB_Connection!AB183</f>
        <v>0</v>
      </c>
    </row>
    <row r="184" spans="4:28" ht="12.3" x14ac:dyDescent="0.35">
      <c r="D184" s="15" t="str">
        <f t="shared" si="127"/>
        <v>Property</v>
      </c>
      <c r="E184" s="52" t="str">
        <f t="shared" si="131"/>
        <v>Input_RAB_SCS/Calc_RAB_Connection</v>
      </c>
      <c r="F184" s="52" t="str">
        <f t="shared" si="128"/>
        <v>Dollars</v>
      </c>
      <c r="G184" s="52" t="str">
        <f t="shared" si="129"/>
        <v>Nominal</v>
      </c>
      <c r="H184" s="52" t="str">
        <f t="shared" si="130"/>
        <v>End_year</v>
      </c>
      <c r="J184" s="66">
        <f>Input_RAB_SCS!J188-Calc_RAB_Connection!J184</f>
        <v>0</v>
      </c>
      <c r="K184" s="67">
        <f>Input_RAB_SCS!K188-Calc_RAB_Connection!K184</f>
        <v>0</v>
      </c>
      <c r="L184" s="67">
        <f>Input_RAB_SCS!L188-Calc_RAB_Connection!L184</f>
        <v>0</v>
      </c>
      <c r="M184" s="67">
        <f>Input_RAB_SCS!M188-Calc_RAB_Connection!M184</f>
        <v>0</v>
      </c>
      <c r="N184" s="67">
        <f>Input_RAB_SCS!N188-Calc_RAB_Connection!N184</f>
        <v>0</v>
      </c>
      <c r="O184" s="67">
        <f>Input_RAB_SCS!O188-Calc_RAB_Connection!O184</f>
        <v>0</v>
      </c>
      <c r="P184" s="67">
        <f>Input_RAB_SCS!P188-Calc_RAB_Connection!P184</f>
        <v>0</v>
      </c>
      <c r="Q184" s="67">
        <f>Input_RAB_SCS!Q188-Calc_RAB_Connection!Q184</f>
        <v>0</v>
      </c>
      <c r="R184" s="68">
        <f>Input_RAB_SCS!R188-Calc_RAB_Connection!R184</f>
        <v>0</v>
      </c>
      <c r="S184" s="66">
        <f>Input_RAB_SCS!S188-Calc_RAB_Connection!S184</f>
        <v>0</v>
      </c>
      <c r="T184" s="67">
        <f>Input_RAB_SCS!T188-Calc_RAB_Connection!T184</f>
        <v>0</v>
      </c>
      <c r="U184" s="67">
        <f>Input_RAB_SCS!U188-Calc_RAB_Connection!U184</f>
        <v>0</v>
      </c>
      <c r="V184" s="67">
        <f>Input_RAB_SCS!V188-Calc_RAB_Connection!V184</f>
        <v>0</v>
      </c>
      <c r="W184" s="68">
        <f>Input_RAB_SCS!W188-Calc_RAB_Connection!W184</f>
        <v>-0.34604658025649926</v>
      </c>
      <c r="X184" s="66">
        <f>Input_RAB_SCS!X188-Calc_RAB_Connection!X184</f>
        <v>0</v>
      </c>
      <c r="Y184" s="67">
        <f>Input_RAB_SCS!Y188-Calc_RAB_Connection!Y184</f>
        <v>0</v>
      </c>
      <c r="Z184" s="67">
        <f>Input_RAB_SCS!Z188-Calc_RAB_Connection!Z184</f>
        <v>0</v>
      </c>
      <c r="AA184" s="67">
        <f>Input_RAB_SCS!AA188-Calc_RAB_Connection!AA184</f>
        <v>0</v>
      </c>
      <c r="AB184" s="68">
        <f>Input_RAB_SCS!AB188-Calc_RAB_Connection!AB184</f>
        <v>0</v>
      </c>
    </row>
    <row r="185" spans="4:28" ht="12.3" x14ac:dyDescent="0.35">
      <c r="D185" s="15" t="str">
        <f t="shared" si="127"/>
        <v>IT and Communications</v>
      </c>
      <c r="E185" s="52" t="str">
        <f t="shared" si="131"/>
        <v>Input_RAB_SCS/Calc_RAB_Connection</v>
      </c>
      <c r="F185" s="52" t="str">
        <f t="shared" si="128"/>
        <v>Dollars</v>
      </c>
      <c r="G185" s="52" t="str">
        <f t="shared" si="129"/>
        <v>Nominal</v>
      </c>
      <c r="H185" s="52" t="str">
        <f t="shared" si="130"/>
        <v>End_year</v>
      </c>
      <c r="J185" s="66">
        <f>Input_RAB_SCS!J189-Calc_RAB_Connection!J185</f>
        <v>0</v>
      </c>
      <c r="K185" s="67">
        <f>Input_RAB_SCS!K189-Calc_RAB_Connection!K185</f>
        <v>0</v>
      </c>
      <c r="L185" s="67">
        <f>Input_RAB_SCS!L189-Calc_RAB_Connection!L185</f>
        <v>0</v>
      </c>
      <c r="M185" s="67">
        <f>Input_RAB_SCS!M189-Calc_RAB_Connection!M185</f>
        <v>0</v>
      </c>
      <c r="N185" s="67">
        <f>Input_RAB_SCS!N189-Calc_RAB_Connection!N185</f>
        <v>0</v>
      </c>
      <c r="O185" s="67">
        <f>Input_RAB_SCS!O189-Calc_RAB_Connection!O185</f>
        <v>0</v>
      </c>
      <c r="P185" s="67">
        <f>Input_RAB_SCS!P189-Calc_RAB_Connection!P185</f>
        <v>0</v>
      </c>
      <c r="Q185" s="67">
        <f>Input_RAB_SCS!Q189-Calc_RAB_Connection!Q185</f>
        <v>0</v>
      </c>
      <c r="R185" s="68">
        <f>Input_RAB_SCS!R189-Calc_RAB_Connection!R185</f>
        <v>0</v>
      </c>
      <c r="S185" s="66">
        <f>Input_RAB_SCS!S189-Calc_RAB_Connection!S185</f>
        <v>0</v>
      </c>
      <c r="T185" s="67">
        <f>Input_RAB_SCS!T189-Calc_RAB_Connection!T185</f>
        <v>0</v>
      </c>
      <c r="U185" s="67">
        <f>Input_RAB_SCS!U189-Calc_RAB_Connection!U185</f>
        <v>0</v>
      </c>
      <c r="V185" s="67">
        <f>Input_RAB_SCS!V189-Calc_RAB_Connection!V185</f>
        <v>0</v>
      </c>
      <c r="W185" s="68">
        <f>Input_RAB_SCS!W189-Calc_RAB_Connection!W185</f>
        <v>0.90175431434272224</v>
      </c>
      <c r="X185" s="66">
        <f>Input_RAB_SCS!X189-Calc_RAB_Connection!X185</f>
        <v>0</v>
      </c>
      <c r="Y185" s="67">
        <f>Input_RAB_SCS!Y189-Calc_RAB_Connection!Y185</f>
        <v>0</v>
      </c>
      <c r="Z185" s="67">
        <f>Input_RAB_SCS!Z189-Calc_RAB_Connection!Z185</f>
        <v>0</v>
      </c>
      <c r="AA185" s="67">
        <f>Input_RAB_SCS!AA189-Calc_RAB_Connection!AA185</f>
        <v>0</v>
      </c>
      <c r="AB185" s="68">
        <f>Input_RAB_SCS!AB189-Calc_RAB_Connection!AB185</f>
        <v>0</v>
      </c>
    </row>
    <row r="186" spans="4:28" ht="12.3" x14ac:dyDescent="0.35">
      <c r="D186" s="15" t="str">
        <f t="shared" si="127"/>
        <v>Motor Vehicles</v>
      </c>
      <c r="E186" s="52" t="str">
        <f t="shared" si="131"/>
        <v>Input_RAB_SCS/Calc_RAB_Connection</v>
      </c>
      <c r="F186" s="52" t="str">
        <f t="shared" si="128"/>
        <v>Dollars</v>
      </c>
      <c r="G186" s="52" t="str">
        <f t="shared" si="129"/>
        <v>Nominal</v>
      </c>
      <c r="H186" s="52" t="str">
        <f t="shared" si="130"/>
        <v>End_year</v>
      </c>
      <c r="J186" s="66">
        <f>Input_RAB_SCS!J190-Calc_RAB_Connection!J186</f>
        <v>0</v>
      </c>
      <c r="K186" s="67">
        <f>Input_RAB_SCS!K190-Calc_RAB_Connection!K186</f>
        <v>0</v>
      </c>
      <c r="L186" s="67">
        <f>Input_RAB_SCS!L190-Calc_RAB_Connection!L186</f>
        <v>0</v>
      </c>
      <c r="M186" s="67">
        <f>Input_RAB_SCS!M190-Calc_RAB_Connection!M186</f>
        <v>0</v>
      </c>
      <c r="N186" s="67">
        <f>Input_RAB_SCS!N190-Calc_RAB_Connection!N186</f>
        <v>0</v>
      </c>
      <c r="O186" s="67">
        <f>Input_RAB_SCS!O190-Calc_RAB_Connection!O186</f>
        <v>0</v>
      </c>
      <c r="P186" s="67">
        <f>Input_RAB_SCS!P190-Calc_RAB_Connection!P186</f>
        <v>0</v>
      </c>
      <c r="Q186" s="67">
        <f>Input_RAB_SCS!Q190-Calc_RAB_Connection!Q186</f>
        <v>0</v>
      </c>
      <c r="R186" s="68">
        <f>Input_RAB_SCS!R190-Calc_RAB_Connection!R186</f>
        <v>0</v>
      </c>
      <c r="S186" s="66">
        <f>Input_RAB_SCS!S190-Calc_RAB_Connection!S186</f>
        <v>0</v>
      </c>
      <c r="T186" s="67">
        <f>Input_RAB_SCS!T190-Calc_RAB_Connection!T186</f>
        <v>0</v>
      </c>
      <c r="U186" s="67">
        <f>Input_RAB_SCS!U190-Calc_RAB_Connection!U186</f>
        <v>0</v>
      </c>
      <c r="V186" s="67">
        <f>Input_RAB_SCS!V190-Calc_RAB_Connection!V186</f>
        <v>0</v>
      </c>
      <c r="W186" s="68">
        <f>Input_RAB_SCS!W190-Calc_RAB_Connection!W186</f>
        <v>0.22539706087532649</v>
      </c>
      <c r="X186" s="66">
        <f>Input_RAB_SCS!X190-Calc_RAB_Connection!X186</f>
        <v>0</v>
      </c>
      <c r="Y186" s="67">
        <f>Input_RAB_SCS!Y190-Calc_RAB_Connection!Y186</f>
        <v>0</v>
      </c>
      <c r="Z186" s="67">
        <f>Input_RAB_SCS!Z190-Calc_RAB_Connection!Z186</f>
        <v>0</v>
      </c>
      <c r="AA186" s="67">
        <f>Input_RAB_SCS!AA190-Calc_RAB_Connection!AA186</f>
        <v>0</v>
      </c>
      <c r="AB186" s="68">
        <f>Input_RAB_SCS!AB190-Calc_RAB_Connection!AB186</f>
        <v>0</v>
      </c>
    </row>
    <row r="187" spans="4:28" ht="12.3" x14ac:dyDescent="0.35">
      <c r="D187" s="15" t="str">
        <f t="shared" si="127"/>
        <v>Plant and Equipment</v>
      </c>
      <c r="E187" s="52" t="str">
        <f t="shared" si="131"/>
        <v>Input_RAB_SCS/Calc_RAB_Connection</v>
      </c>
      <c r="F187" s="52" t="str">
        <f t="shared" si="128"/>
        <v>Dollars</v>
      </c>
      <c r="G187" s="52" t="str">
        <f t="shared" si="129"/>
        <v>Nominal</v>
      </c>
      <c r="H187" s="52" t="str">
        <f t="shared" si="130"/>
        <v>End_year</v>
      </c>
      <c r="J187" s="66">
        <f>Input_RAB_SCS!J191-Calc_RAB_Connection!J187</f>
        <v>0</v>
      </c>
      <c r="K187" s="67">
        <f>Input_RAB_SCS!K191-Calc_RAB_Connection!K187</f>
        <v>0</v>
      </c>
      <c r="L187" s="67">
        <f>Input_RAB_SCS!L191-Calc_RAB_Connection!L187</f>
        <v>0</v>
      </c>
      <c r="M187" s="67">
        <f>Input_RAB_SCS!M191-Calc_RAB_Connection!M187</f>
        <v>0</v>
      </c>
      <c r="N187" s="67">
        <f>Input_RAB_SCS!N191-Calc_RAB_Connection!N187</f>
        <v>0</v>
      </c>
      <c r="O187" s="67">
        <f>Input_RAB_SCS!O191-Calc_RAB_Connection!O187</f>
        <v>0</v>
      </c>
      <c r="P187" s="67">
        <f>Input_RAB_SCS!P191-Calc_RAB_Connection!P187</f>
        <v>0</v>
      </c>
      <c r="Q187" s="67">
        <f>Input_RAB_SCS!Q191-Calc_RAB_Connection!Q187</f>
        <v>0</v>
      </c>
      <c r="R187" s="68">
        <f>Input_RAB_SCS!R191-Calc_RAB_Connection!R187</f>
        <v>0</v>
      </c>
      <c r="S187" s="66">
        <f>Input_RAB_SCS!S191-Calc_RAB_Connection!S187</f>
        <v>0</v>
      </c>
      <c r="T187" s="67">
        <f>Input_RAB_SCS!T191-Calc_RAB_Connection!T187</f>
        <v>0</v>
      </c>
      <c r="U187" s="67">
        <f>Input_RAB_SCS!U191-Calc_RAB_Connection!U187</f>
        <v>0</v>
      </c>
      <c r="V187" s="67">
        <f>Input_RAB_SCS!V191-Calc_RAB_Connection!V187</f>
        <v>0</v>
      </c>
      <c r="W187" s="68">
        <f>Input_RAB_SCS!W191-Calc_RAB_Connection!W187</f>
        <v>-1.1346815778990007</v>
      </c>
      <c r="X187" s="66">
        <f>Input_RAB_SCS!X191-Calc_RAB_Connection!X187</f>
        <v>0</v>
      </c>
      <c r="Y187" s="67">
        <f>Input_RAB_SCS!Y191-Calc_RAB_Connection!Y187</f>
        <v>0</v>
      </c>
      <c r="Z187" s="67">
        <f>Input_RAB_SCS!Z191-Calc_RAB_Connection!Z187</f>
        <v>0</v>
      </c>
      <c r="AA187" s="67">
        <f>Input_RAB_SCS!AA191-Calc_RAB_Connection!AA187</f>
        <v>0</v>
      </c>
      <c r="AB187" s="68">
        <f>Input_RAB_SCS!AB191-Calc_RAB_Connection!AB187</f>
        <v>0</v>
      </c>
    </row>
    <row r="188" spans="4:28" ht="12.3" x14ac:dyDescent="0.35">
      <c r="D188" s="15" t="str">
        <f t="shared" ref="D188:D189" si="132">D32</f>
        <v>Property Leases</v>
      </c>
      <c r="E188" s="52" t="str">
        <f t="shared" si="131"/>
        <v>Input_RAB_SCS/Calc_RAB_Connection</v>
      </c>
      <c r="F188" s="52" t="str">
        <f t="shared" si="128"/>
        <v>Dollars</v>
      </c>
      <c r="G188" s="52" t="str">
        <f t="shared" si="129"/>
        <v>Nominal</v>
      </c>
      <c r="H188" s="52" t="str">
        <f t="shared" si="130"/>
        <v>End_year</v>
      </c>
      <c r="J188" s="66">
        <f>Input_RAB_SCS!J192-Calc_RAB_Connection!J188</f>
        <v>0</v>
      </c>
      <c r="K188" s="67">
        <f>Input_RAB_SCS!K192-Calc_RAB_Connection!K188</f>
        <v>0</v>
      </c>
      <c r="L188" s="67">
        <f>Input_RAB_SCS!L192-Calc_RAB_Connection!L188</f>
        <v>0</v>
      </c>
      <c r="M188" s="67">
        <f>Input_RAB_SCS!M192-Calc_RAB_Connection!M188</f>
        <v>0</v>
      </c>
      <c r="N188" s="67">
        <f>Input_RAB_SCS!N192-Calc_RAB_Connection!N188</f>
        <v>0</v>
      </c>
      <c r="O188" s="67">
        <f>Input_RAB_SCS!O192-Calc_RAB_Connection!O188</f>
        <v>0</v>
      </c>
      <c r="P188" s="67">
        <f>Input_RAB_SCS!P192-Calc_RAB_Connection!P188</f>
        <v>0</v>
      </c>
      <c r="Q188" s="67">
        <f>Input_RAB_SCS!Q192-Calc_RAB_Connection!Q188</f>
        <v>0</v>
      </c>
      <c r="R188" s="68">
        <f>Input_RAB_SCS!R192-Calc_RAB_Connection!R188</f>
        <v>0</v>
      </c>
      <c r="S188" s="66">
        <f>Input_RAB_SCS!S192-Calc_RAB_Connection!S188</f>
        <v>0</v>
      </c>
      <c r="T188" s="67">
        <f>Input_RAB_SCS!T192-Calc_RAB_Connection!T188</f>
        <v>0</v>
      </c>
      <c r="U188" s="67">
        <f>Input_RAB_SCS!U192-Calc_RAB_Connection!U188</f>
        <v>0</v>
      </c>
      <c r="V188" s="67">
        <f>Input_RAB_SCS!V192-Calc_RAB_Connection!V188</f>
        <v>0</v>
      </c>
      <c r="W188" s="68">
        <f>Input_RAB_SCS!W192-Calc_RAB_Connection!W188</f>
        <v>0</v>
      </c>
      <c r="X188" s="66">
        <f>Input_RAB_SCS!X192-Calc_RAB_Connection!X188</f>
        <v>0</v>
      </c>
      <c r="Y188" s="67">
        <f>Input_RAB_SCS!Y192-Calc_RAB_Connection!Y188</f>
        <v>0</v>
      </c>
      <c r="Z188" s="67">
        <f>Input_RAB_SCS!Z192-Calc_RAB_Connection!Z188</f>
        <v>0</v>
      </c>
      <c r="AA188" s="67">
        <f>Input_RAB_SCS!AA192-Calc_RAB_Connection!AA188</f>
        <v>0</v>
      </c>
      <c r="AB188" s="68">
        <f>Input_RAB_SCS!AB192-Calc_RAB_Connection!AB188</f>
        <v>0</v>
      </c>
    </row>
    <row r="189" spans="4:28" ht="12.3" x14ac:dyDescent="0.35">
      <c r="D189" s="15" t="str">
        <f t="shared" si="132"/>
        <v>Fleet Leases</v>
      </c>
      <c r="E189" s="52" t="str">
        <f t="shared" si="131"/>
        <v>Input_RAB_SCS/Calc_RAB_Connection</v>
      </c>
      <c r="F189" s="52" t="str">
        <f t="shared" si="128"/>
        <v>Dollars</v>
      </c>
      <c r="G189" s="52" t="str">
        <f t="shared" si="129"/>
        <v>Nominal</v>
      </c>
      <c r="H189" s="52" t="str">
        <f t="shared" si="130"/>
        <v>End_year</v>
      </c>
      <c r="J189" s="66">
        <f>Input_RAB_SCS!J193-Calc_RAB_Connection!J189</f>
        <v>0</v>
      </c>
      <c r="K189" s="67">
        <f>Input_RAB_SCS!K193-Calc_RAB_Connection!K189</f>
        <v>0</v>
      </c>
      <c r="L189" s="67">
        <f>Input_RAB_SCS!L193-Calc_RAB_Connection!L189</f>
        <v>0</v>
      </c>
      <c r="M189" s="67">
        <f>Input_RAB_SCS!M193-Calc_RAB_Connection!M189</f>
        <v>0</v>
      </c>
      <c r="N189" s="67">
        <f>Input_RAB_SCS!N193-Calc_RAB_Connection!N189</f>
        <v>0</v>
      </c>
      <c r="O189" s="67">
        <f>Input_RAB_SCS!O193-Calc_RAB_Connection!O189</f>
        <v>0</v>
      </c>
      <c r="P189" s="67">
        <f>Input_RAB_SCS!P193-Calc_RAB_Connection!P189</f>
        <v>0</v>
      </c>
      <c r="Q189" s="67">
        <f>Input_RAB_SCS!Q193-Calc_RAB_Connection!Q189</f>
        <v>0</v>
      </c>
      <c r="R189" s="68">
        <f>Input_RAB_SCS!R193-Calc_RAB_Connection!R189</f>
        <v>0</v>
      </c>
      <c r="S189" s="66">
        <f>Input_RAB_SCS!S193-Calc_RAB_Connection!S189</f>
        <v>0</v>
      </c>
      <c r="T189" s="67">
        <f>Input_RAB_SCS!T193-Calc_RAB_Connection!T189</f>
        <v>0</v>
      </c>
      <c r="U189" s="67">
        <f>Input_RAB_SCS!U193-Calc_RAB_Connection!U189</f>
        <v>0</v>
      </c>
      <c r="V189" s="67">
        <f>Input_RAB_SCS!V193-Calc_RAB_Connection!V189</f>
        <v>0</v>
      </c>
      <c r="W189" s="68">
        <f>Input_RAB_SCS!W193-Calc_RAB_Connection!W189</f>
        <v>0</v>
      </c>
      <c r="X189" s="66">
        <f>Input_RAB_SCS!X193-Calc_RAB_Connection!X189</f>
        <v>0</v>
      </c>
      <c r="Y189" s="67">
        <f>Input_RAB_SCS!Y193-Calc_RAB_Connection!Y189</f>
        <v>0</v>
      </c>
      <c r="Z189" s="67">
        <f>Input_RAB_SCS!Z193-Calc_RAB_Connection!Z189</f>
        <v>0</v>
      </c>
      <c r="AA189" s="67">
        <f>Input_RAB_SCS!AA193-Calc_RAB_Connection!AA189</f>
        <v>0</v>
      </c>
      <c r="AB189" s="68">
        <f>Input_RAB_SCS!AB193-Calc_RAB_Connection!AB189</f>
        <v>0</v>
      </c>
    </row>
    <row r="190" spans="4:28" ht="12.3" x14ac:dyDescent="0.35">
      <c r="D190" s="15" t="str">
        <f t="shared" ref="D190" si="133">D34</f>
        <v>Equity Raising Costs</v>
      </c>
      <c r="E190" s="52" t="str">
        <f>E187</f>
        <v>Input_RAB_SCS/Calc_RAB_Connection</v>
      </c>
      <c r="F190" s="52" t="str">
        <f t="shared" si="128"/>
        <v>Dollars</v>
      </c>
      <c r="G190" s="52" t="str">
        <f t="shared" si="129"/>
        <v>Nominal</v>
      </c>
      <c r="H190" s="52" t="str">
        <f t="shared" si="130"/>
        <v>End_year</v>
      </c>
      <c r="J190" s="66">
        <f>Input_RAB_SCS!J194-Calc_RAB_Connection!J190</f>
        <v>0</v>
      </c>
      <c r="K190" s="67">
        <f>Input_RAB_SCS!K194-Calc_RAB_Connection!K190</f>
        <v>0</v>
      </c>
      <c r="L190" s="67">
        <f>Input_RAB_SCS!L194-Calc_RAB_Connection!L190</f>
        <v>0</v>
      </c>
      <c r="M190" s="67">
        <f>Input_RAB_SCS!M194-Calc_RAB_Connection!M190</f>
        <v>0</v>
      </c>
      <c r="N190" s="67">
        <f>Input_RAB_SCS!N194-Calc_RAB_Connection!N190</f>
        <v>0</v>
      </c>
      <c r="O190" s="67">
        <f>Input_RAB_SCS!O194-Calc_RAB_Connection!O190</f>
        <v>0</v>
      </c>
      <c r="P190" s="67">
        <f>Input_RAB_SCS!P194-Calc_RAB_Connection!P190</f>
        <v>0</v>
      </c>
      <c r="Q190" s="67">
        <f>Input_RAB_SCS!Q194-Calc_RAB_Connection!Q190</f>
        <v>0</v>
      </c>
      <c r="R190" s="68">
        <f>Input_RAB_SCS!R194-Calc_RAB_Connection!R190</f>
        <v>0</v>
      </c>
      <c r="S190" s="66">
        <f>Input_RAB_SCS!S194-Calc_RAB_Connection!S190</f>
        <v>0</v>
      </c>
      <c r="T190" s="67">
        <f>Input_RAB_SCS!T194-Calc_RAB_Connection!T190</f>
        <v>0</v>
      </c>
      <c r="U190" s="67">
        <f>Input_RAB_SCS!U194-Calc_RAB_Connection!U190</f>
        <v>0</v>
      </c>
      <c r="V190" s="67">
        <f>Input_RAB_SCS!V194-Calc_RAB_Connection!V190</f>
        <v>0</v>
      </c>
      <c r="W190" s="68">
        <f>Input_RAB_SCS!W194-Calc_RAB_Connection!W190</f>
        <v>0</v>
      </c>
      <c r="X190" s="66">
        <f>Input_RAB_SCS!X194-Calc_RAB_Connection!X190</f>
        <v>0</v>
      </c>
      <c r="Y190" s="67">
        <f>Input_RAB_SCS!Y194-Calc_RAB_Connection!Y190</f>
        <v>0</v>
      </c>
      <c r="Z190" s="67">
        <f>Input_RAB_SCS!Z194-Calc_RAB_Connection!Z190</f>
        <v>0</v>
      </c>
      <c r="AA190" s="67">
        <f>Input_RAB_SCS!AA194-Calc_RAB_Connection!AA190</f>
        <v>0</v>
      </c>
      <c r="AB190" s="68">
        <f>Input_RAB_SCS!AB194-Calc_RAB_Connection!AB190</f>
        <v>0</v>
      </c>
    </row>
    <row r="191" spans="4:28" x14ac:dyDescent="0.35">
      <c r="J191" s="56"/>
      <c r="K191" s="57"/>
      <c r="L191" s="57"/>
      <c r="M191" s="57"/>
      <c r="N191" s="57"/>
      <c r="O191" s="57"/>
      <c r="P191" s="57"/>
      <c r="Q191" s="57"/>
      <c r="R191" s="58"/>
      <c r="S191" s="56"/>
      <c r="T191" s="57"/>
      <c r="U191" s="57"/>
      <c r="V191" s="57"/>
      <c r="W191" s="58"/>
      <c r="X191" s="56"/>
      <c r="Y191" s="57"/>
      <c r="Z191" s="57"/>
      <c r="AA191" s="57"/>
      <c r="AB191" s="58"/>
    </row>
    <row r="192" spans="4:28" ht="12.3" x14ac:dyDescent="0.35">
      <c r="D192" s="51" t="str">
        <f>"Total "&amp;D172</f>
        <v>Total RAB Asset Class</v>
      </c>
      <c r="E192" s="47" t="s">
        <v>111</v>
      </c>
      <c r="F192" s="47" t="str">
        <f>F174</f>
        <v>Dollars</v>
      </c>
      <c r="G192" s="47" t="str">
        <f>G174</f>
        <v>Nominal</v>
      </c>
      <c r="H192" s="47" t="str">
        <f>H174</f>
        <v>End_year</v>
      </c>
      <c r="J192" s="62">
        <f t="shared" ref="J192:AB192" si="134">SUM(J174:J190)</f>
        <v>0</v>
      </c>
      <c r="K192" s="46">
        <f t="shared" si="134"/>
        <v>0</v>
      </c>
      <c r="L192" s="46">
        <f t="shared" si="134"/>
        <v>0</v>
      </c>
      <c r="M192" s="46">
        <f t="shared" si="134"/>
        <v>0</v>
      </c>
      <c r="N192" s="46">
        <f t="shared" si="134"/>
        <v>0</v>
      </c>
      <c r="O192" s="46">
        <f t="shared" si="134"/>
        <v>0</v>
      </c>
      <c r="P192" s="46">
        <f t="shared" si="134"/>
        <v>0</v>
      </c>
      <c r="Q192" s="46">
        <f t="shared" si="134"/>
        <v>0</v>
      </c>
      <c r="R192" s="63">
        <f t="shared" si="134"/>
        <v>0</v>
      </c>
      <c r="S192" s="62">
        <f t="shared" si="134"/>
        <v>0</v>
      </c>
      <c r="T192" s="46">
        <f t="shared" si="134"/>
        <v>0</v>
      </c>
      <c r="U192" s="46">
        <f t="shared" si="134"/>
        <v>0</v>
      </c>
      <c r="V192" s="46">
        <f t="shared" si="134"/>
        <v>0</v>
      </c>
      <c r="W192" s="63">
        <f t="shared" si="134"/>
        <v>-8.5574012148090244</v>
      </c>
      <c r="X192" s="62">
        <f t="shared" si="134"/>
        <v>0</v>
      </c>
      <c r="Y192" s="46">
        <f t="shared" si="134"/>
        <v>0</v>
      </c>
      <c r="Z192" s="46">
        <f t="shared" si="134"/>
        <v>0</v>
      </c>
      <c r="AA192" s="46">
        <f t="shared" si="134"/>
        <v>0</v>
      </c>
      <c r="AB192" s="63">
        <f t="shared" si="134"/>
        <v>0</v>
      </c>
    </row>
    <row r="193" spans="1:28" s="6" customFormat="1" ht="11.25" customHeight="1" x14ac:dyDescent="0.35"/>
    <row r="194" spans="1:28" s="6" customFormat="1" ht="11.25" customHeight="1" x14ac:dyDescent="0.35">
      <c r="A194" s="49">
        <f>IF(SUM($J194:$AB194)&lt;&gt;0,1,0)</f>
        <v>0</v>
      </c>
      <c r="D194" s="15" t="s">
        <v>114</v>
      </c>
      <c r="J194" s="70">
        <f>IF(ISERROR(J192),1,0)</f>
        <v>0</v>
      </c>
      <c r="K194" s="70">
        <f t="shared" ref="K194:N194" si="135">IF(ISERROR(K192),1,0)</f>
        <v>0</v>
      </c>
      <c r="L194" s="70">
        <f t="shared" si="135"/>
        <v>0</v>
      </c>
      <c r="M194" s="70">
        <f t="shared" si="135"/>
        <v>0</v>
      </c>
      <c r="N194" s="70">
        <f t="shared" si="135"/>
        <v>0</v>
      </c>
      <c r="O194" s="70">
        <f>IF(ISERROR(O192),1,0)</f>
        <v>0</v>
      </c>
      <c r="P194" s="70">
        <f t="shared" ref="P194:S194" si="136">IF(ISERROR(P192),1,0)</f>
        <v>0</v>
      </c>
      <c r="Q194" s="70">
        <f t="shared" si="136"/>
        <v>0</v>
      </c>
      <c r="R194" s="70">
        <f t="shared" si="136"/>
        <v>0</v>
      </c>
      <c r="S194" s="70">
        <f t="shared" si="136"/>
        <v>0</v>
      </c>
      <c r="T194" s="70">
        <f>IF(ISERROR(T192),1,0)</f>
        <v>0</v>
      </c>
      <c r="U194" s="70">
        <f t="shared" ref="U194:X194" si="137">IF(ISERROR(U192),1,0)</f>
        <v>0</v>
      </c>
      <c r="V194" s="70">
        <f t="shared" si="137"/>
        <v>0</v>
      </c>
      <c r="W194" s="70">
        <f t="shared" si="137"/>
        <v>0</v>
      </c>
      <c r="X194" s="70">
        <f t="shared" si="137"/>
        <v>0</v>
      </c>
      <c r="Y194" s="70">
        <f>IF(ISERROR(Y192),1,0)</f>
        <v>0</v>
      </c>
      <c r="Z194" s="70">
        <f t="shared" ref="Z194:AB194" si="138">IF(ISERROR(Z192),1,0)</f>
        <v>0</v>
      </c>
      <c r="AA194" s="70">
        <f t="shared" si="138"/>
        <v>0</v>
      </c>
      <c r="AB194" s="70">
        <f t="shared" si="138"/>
        <v>0</v>
      </c>
    </row>
    <row r="196" spans="1:28" s="13" customFormat="1" ht="14.1" x14ac:dyDescent="0.35">
      <c r="C196" s="13" t="s">
        <v>152</v>
      </c>
    </row>
    <row r="197" spans="1:28" s="6" customFormat="1" ht="11.25" customHeight="1" x14ac:dyDescent="0.35"/>
    <row r="198" spans="1:28" ht="12.3" x14ac:dyDescent="0.35">
      <c r="D198" s="50" t="str">
        <f>D$16</f>
        <v>RAB Asset Class</v>
      </c>
      <c r="E198" s="45" t="str">
        <f>Lookup!E$20</f>
        <v>Source</v>
      </c>
      <c r="F198" s="45" t="str">
        <f>Lookup!F$20</f>
        <v>Unit</v>
      </c>
      <c r="G198" s="45" t="str">
        <f>Lookup!G$20</f>
        <v>Basis</v>
      </c>
      <c r="H198" s="45" t="str">
        <f>Lookup!H$20</f>
        <v>Timing</v>
      </c>
      <c r="J198" s="54" t="str">
        <f>J$10</f>
        <v>RY06</v>
      </c>
      <c r="K198" s="45" t="str">
        <f t="shared" ref="K198:AB198" si="139">K$10</f>
        <v>RY07</v>
      </c>
      <c r="L198" s="45" t="str">
        <f t="shared" si="139"/>
        <v>RY08</v>
      </c>
      <c r="M198" s="45" t="str">
        <f t="shared" si="139"/>
        <v>RY09</v>
      </c>
      <c r="N198" s="45" t="str">
        <f t="shared" si="139"/>
        <v>RY10</v>
      </c>
      <c r="O198" s="45" t="str">
        <f>O$10</f>
        <v>RY11</v>
      </c>
      <c r="P198" s="45" t="str">
        <f t="shared" si="139"/>
        <v>RY12</v>
      </c>
      <c r="Q198" s="45" t="str">
        <f t="shared" si="139"/>
        <v>RY13</v>
      </c>
      <c r="R198" s="55" t="str">
        <f t="shared" si="139"/>
        <v>RY14</v>
      </c>
      <c r="S198" s="54" t="str">
        <f t="shared" si="139"/>
        <v>RY15</v>
      </c>
      <c r="T198" s="45" t="str">
        <f>T$10</f>
        <v>RY16</v>
      </c>
      <c r="U198" s="45" t="str">
        <f t="shared" si="139"/>
        <v>RY17</v>
      </c>
      <c r="V198" s="45" t="str">
        <f t="shared" si="139"/>
        <v>RY18</v>
      </c>
      <c r="W198" s="55" t="str">
        <f t="shared" si="139"/>
        <v>RY19</v>
      </c>
      <c r="X198" s="54" t="str">
        <f t="shared" si="139"/>
        <v>RY20</v>
      </c>
      <c r="Y198" s="45" t="str">
        <f>Y$10</f>
        <v>RY21</v>
      </c>
      <c r="Z198" s="45" t="str">
        <f t="shared" si="139"/>
        <v>RY22</v>
      </c>
      <c r="AA198" s="45" t="str">
        <f t="shared" si="139"/>
        <v>RY23</v>
      </c>
      <c r="AB198" s="55" t="str">
        <f t="shared" si="139"/>
        <v>RY24</v>
      </c>
    </row>
    <row r="199" spans="1:28" x14ac:dyDescent="0.35">
      <c r="J199" s="56"/>
      <c r="K199" s="57"/>
      <c r="L199" s="57"/>
      <c r="M199" s="57"/>
      <c r="N199" s="57"/>
      <c r="O199" s="57"/>
      <c r="P199" s="57"/>
      <c r="Q199" s="57"/>
      <c r="R199" s="58"/>
      <c r="S199" s="56"/>
      <c r="T199" s="57"/>
      <c r="U199" s="57"/>
      <c r="V199" s="57"/>
      <c r="W199" s="58"/>
      <c r="X199" s="56"/>
      <c r="Y199" s="57"/>
      <c r="Z199" s="57"/>
      <c r="AA199" s="57"/>
      <c r="AB199" s="58"/>
    </row>
    <row r="200" spans="1:28" ht="12.3" x14ac:dyDescent="0.35">
      <c r="D200" s="15" t="str">
        <f t="shared" ref="D200:D213" si="140">D18</f>
        <v>Substations</v>
      </c>
      <c r="E200" s="52" t="s">
        <v>111</v>
      </c>
      <c r="F200" s="52" t="str">
        <f t="shared" ref="F200:F216" si="141">Dollars</f>
        <v>Dollars</v>
      </c>
      <c r="G200" s="52" t="str">
        <f t="shared" ref="G200:G216" si="142">Nominal</f>
        <v>Nominal</v>
      </c>
      <c r="H200" s="52" t="str">
        <f t="shared" ref="H200:H216" si="143">End_year</f>
        <v>End_year</v>
      </c>
      <c r="J200" s="66">
        <f t="shared" ref="J200:J213" si="144">J148+J174</f>
        <v>27.145326835638013</v>
      </c>
      <c r="K200" s="67">
        <f t="shared" ref="K200:AB200" si="145">K148+K174</f>
        <v>28.789945965760523</v>
      </c>
      <c r="L200" s="67">
        <f t="shared" si="145"/>
        <v>47.542941186549477</v>
      </c>
      <c r="M200" s="67">
        <f t="shared" si="145"/>
        <v>78.157850057945751</v>
      </c>
      <c r="N200" s="67">
        <f t="shared" si="145"/>
        <v>110.70259983057763</v>
      </c>
      <c r="O200" s="67">
        <f t="shared" si="145"/>
        <v>156.85011317918401</v>
      </c>
      <c r="P200" s="67">
        <f t="shared" si="145"/>
        <v>197.46856323640628</v>
      </c>
      <c r="Q200" s="67">
        <f t="shared" si="145"/>
        <v>247.15838494764881</v>
      </c>
      <c r="R200" s="68">
        <f t="shared" si="145"/>
        <v>297.81718190620063</v>
      </c>
      <c r="S200" s="66">
        <f t="shared" si="145"/>
        <v>310.04735122802407</v>
      </c>
      <c r="T200" s="67">
        <f t="shared" si="145"/>
        <v>316.35383047585196</v>
      </c>
      <c r="U200" s="67">
        <f t="shared" si="145"/>
        <v>313.1738831635127</v>
      </c>
      <c r="V200" s="67">
        <f t="shared" si="145"/>
        <v>303.6508873774826</v>
      </c>
      <c r="W200" s="68">
        <f t="shared" si="145"/>
        <v>268.2460166794948</v>
      </c>
      <c r="X200" s="66">
        <f t="shared" si="145"/>
        <v>271.74889501183935</v>
      </c>
      <c r="Y200" s="67">
        <f t="shared" si="145"/>
        <v>273.52264493040593</v>
      </c>
      <c r="Z200" s="67">
        <f t="shared" si="145"/>
        <v>279.82629165438982</v>
      </c>
      <c r="AA200" s="67">
        <f t="shared" si="145"/>
        <v>286.18454116556808</v>
      </c>
      <c r="AB200" s="68">
        <f t="shared" si="145"/>
        <v>285.75899188246046</v>
      </c>
    </row>
    <row r="201" spans="1:28" ht="12.3" x14ac:dyDescent="0.35">
      <c r="D201" s="15" t="str">
        <f t="shared" si="140"/>
        <v>Distribution Lines</v>
      </c>
      <c r="E201" s="52" t="s">
        <v>111</v>
      </c>
      <c r="F201" s="52" t="str">
        <f t="shared" si="141"/>
        <v>Dollars</v>
      </c>
      <c r="G201" s="52" t="str">
        <f t="shared" si="142"/>
        <v>Nominal</v>
      </c>
      <c r="H201" s="52" t="str">
        <f t="shared" si="143"/>
        <v>End_year</v>
      </c>
      <c r="J201" s="66">
        <f t="shared" si="144"/>
        <v>124.48081132701651</v>
      </c>
      <c r="K201" s="67">
        <f t="shared" ref="K201:AB201" si="146">K149+K175</f>
        <v>134.97347791434888</v>
      </c>
      <c r="L201" s="67">
        <f t="shared" si="146"/>
        <v>149.03598537340031</v>
      </c>
      <c r="M201" s="67">
        <f t="shared" si="146"/>
        <v>159.59115429240285</v>
      </c>
      <c r="N201" s="67">
        <f t="shared" si="146"/>
        <v>170.81945812237757</v>
      </c>
      <c r="O201" s="67">
        <f t="shared" si="146"/>
        <v>182.76460024419703</v>
      </c>
      <c r="P201" s="67">
        <f t="shared" si="146"/>
        <v>193.83311947564712</v>
      </c>
      <c r="Q201" s="67">
        <f t="shared" si="146"/>
        <v>217.20969930868418</v>
      </c>
      <c r="R201" s="68">
        <f t="shared" si="146"/>
        <v>232.64413502482861</v>
      </c>
      <c r="S201" s="66">
        <f t="shared" si="146"/>
        <v>241.11555792328707</v>
      </c>
      <c r="T201" s="67">
        <f t="shared" si="146"/>
        <v>244.42689158521458</v>
      </c>
      <c r="U201" s="67">
        <f t="shared" si="146"/>
        <v>248.90883143731202</v>
      </c>
      <c r="V201" s="67">
        <f t="shared" si="146"/>
        <v>250.33294685340701</v>
      </c>
      <c r="W201" s="68">
        <f t="shared" si="146"/>
        <v>250.26929051986764</v>
      </c>
      <c r="X201" s="66">
        <f t="shared" si="146"/>
        <v>267.07485483948437</v>
      </c>
      <c r="Y201" s="67">
        <f t="shared" si="146"/>
        <v>287.99789904612999</v>
      </c>
      <c r="Z201" s="67">
        <f t="shared" si="146"/>
        <v>303.23149941972673</v>
      </c>
      <c r="AA201" s="67">
        <f t="shared" si="146"/>
        <v>316.49489951231055</v>
      </c>
      <c r="AB201" s="68">
        <f t="shared" si="146"/>
        <v>331.99830219221491</v>
      </c>
    </row>
    <row r="202" spans="1:28" ht="12.3" x14ac:dyDescent="0.35">
      <c r="D202" s="15" t="str">
        <f t="shared" si="140"/>
        <v>Transmission Lines</v>
      </c>
      <c r="E202" s="52" t="s">
        <v>111</v>
      </c>
      <c r="F202" s="52" t="str">
        <f t="shared" si="141"/>
        <v>Dollars</v>
      </c>
      <c r="G202" s="52" t="str">
        <f t="shared" si="142"/>
        <v>Nominal</v>
      </c>
      <c r="H202" s="52" t="str">
        <f t="shared" si="143"/>
        <v>End_year</v>
      </c>
      <c r="J202" s="66">
        <f t="shared" si="144"/>
        <v>106.13760142143478</v>
      </c>
      <c r="K202" s="67">
        <f t="shared" ref="K202:AB202" si="147">K150+K176</f>
        <v>113.44814996851447</v>
      </c>
      <c r="L202" s="67">
        <f t="shared" si="147"/>
        <v>115.37610379075579</v>
      </c>
      <c r="M202" s="67">
        <f t="shared" si="147"/>
        <v>114.39247831145167</v>
      </c>
      <c r="N202" s="67">
        <f t="shared" si="147"/>
        <v>130.51722905939732</v>
      </c>
      <c r="O202" s="67">
        <f t="shared" si="147"/>
        <v>146.36905449477163</v>
      </c>
      <c r="P202" s="67">
        <f t="shared" si="147"/>
        <v>152.96368047708927</v>
      </c>
      <c r="Q202" s="67">
        <f t="shared" si="147"/>
        <v>167.02589930043948</v>
      </c>
      <c r="R202" s="68">
        <f t="shared" si="147"/>
        <v>169.08021074388435</v>
      </c>
      <c r="S202" s="66">
        <f t="shared" si="147"/>
        <v>169.00938493811498</v>
      </c>
      <c r="T202" s="67">
        <f t="shared" si="147"/>
        <v>171.24815118737087</v>
      </c>
      <c r="U202" s="67">
        <f t="shared" si="147"/>
        <v>174.63818986801323</v>
      </c>
      <c r="V202" s="67">
        <f t="shared" si="147"/>
        <v>181.05596639188562</v>
      </c>
      <c r="W202" s="68">
        <f t="shared" si="147"/>
        <v>180.53440799429359</v>
      </c>
      <c r="X202" s="66">
        <f t="shared" si="147"/>
        <v>181.41832683720614</v>
      </c>
      <c r="Y202" s="67">
        <f t="shared" si="147"/>
        <v>182.07937593696875</v>
      </c>
      <c r="Z202" s="67">
        <f t="shared" si="147"/>
        <v>182.52864385137025</v>
      </c>
      <c r="AA202" s="67">
        <f t="shared" si="147"/>
        <v>183.07405059001402</v>
      </c>
      <c r="AB202" s="68">
        <f t="shared" si="147"/>
        <v>183.52464283762123</v>
      </c>
    </row>
    <row r="203" spans="1:28" ht="12.3" x14ac:dyDescent="0.35">
      <c r="D203" s="15" t="str">
        <f t="shared" si="140"/>
        <v>LV Services</v>
      </c>
      <c r="E203" s="52" t="s">
        <v>111</v>
      </c>
      <c r="F203" s="52" t="str">
        <f t="shared" si="141"/>
        <v>Dollars</v>
      </c>
      <c r="G203" s="52" t="str">
        <f t="shared" si="142"/>
        <v>Nominal</v>
      </c>
      <c r="H203" s="52" t="str">
        <f t="shared" si="143"/>
        <v>End_year</v>
      </c>
      <c r="J203" s="66">
        <f t="shared" si="144"/>
        <v>0.16175064485415383</v>
      </c>
      <c r="K203" s="67">
        <f t="shared" ref="K203:AB203" si="148">K151+K177</f>
        <v>0.16577048336532213</v>
      </c>
      <c r="L203" s="67">
        <f t="shared" si="148"/>
        <v>0.17285305598023773</v>
      </c>
      <c r="M203" s="67">
        <f t="shared" si="148"/>
        <v>0.17706431537289025</v>
      </c>
      <c r="N203" s="67">
        <f t="shared" si="148"/>
        <v>0.18223267917296379</v>
      </c>
      <c r="O203" s="67">
        <f t="shared" si="148"/>
        <v>0.18816672649897415</v>
      </c>
      <c r="P203" s="67">
        <f t="shared" si="148"/>
        <v>0.19122946060272147</v>
      </c>
      <c r="Q203" s="67">
        <f t="shared" si="148"/>
        <v>0.19601498263982661</v>
      </c>
      <c r="R203" s="68">
        <f t="shared" si="148"/>
        <v>0.20469749895626468</v>
      </c>
      <c r="S203" s="66">
        <f t="shared" si="148"/>
        <v>2.0957882221476183</v>
      </c>
      <c r="T203" s="67">
        <f t="shared" si="148"/>
        <v>4.046555898874467</v>
      </c>
      <c r="U203" s="67">
        <f t="shared" si="148"/>
        <v>5.8926305062639752</v>
      </c>
      <c r="V203" s="67">
        <f t="shared" si="148"/>
        <v>6.0512908434404009</v>
      </c>
      <c r="W203" s="68">
        <f t="shared" si="148"/>
        <v>7.8636457286070209</v>
      </c>
      <c r="X203" s="66">
        <f t="shared" si="148"/>
        <v>8.0592516953678732</v>
      </c>
      <c r="Y203" s="67">
        <f t="shared" si="148"/>
        <v>8.3694237066373116</v>
      </c>
      <c r="Z203" s="67">
        <f t="shared" si="148"/>
        <v>8.6169669807188729</v>
      </c>
      <c r="AA203" s="67">
        <f t="shared" si="148"/>
        <v>8.8127603650558513</v>
      </c>
      <c r="AB203" s="68">
        <f t="shared" si="148"/>
        <v>9.0365946576984886</v>
      </c>
    </row>
    <row r="204" spans="1:28" ht="12.3" x14ac:dyDescent="0.35">
      <c r="D204" s="15" t="str">
        <f t="shared" si="140"/>
        <v>Distribution Substations</v>
      </c>
      <c r="E204" s="52" t="s">
        <v>111</v>
      </c>
      <c r="F204" s="52" t="str">
        <f t="shared" si="141"/>
        <v>Dollars</v>
      </c>
      <c r="G204" s="52" t="str">
        <f t="shared" si="142"/>
        <v>Nominal</v>
      </c>
      <c r="H204" s="52" t="str">
        <f t="shared" si="143"/>
        <v>End_year</v>
      </c>
      <c r="J204" s="66">
        <f t="shared" si="144"/>
        <v>47.790981757725604</v>
      </c>
      <c r="K204" s="67">
        <f t="shared" ref="K204:AB204" si="149">K152+K178</f>
        <v>46.055364273149571</v>
      </c>
      <c r="L204" s="67">
        <f t="shared" si="149"/>
        <v>51.653401070581651</v>
      </c>
      <c r="M204" s="67">
        <f t="shared" si="149"/>
        <v>54.877449727380075</v>
      </c>
      <c r="N204" s="67">
        <f t="shared" si="149"/>
        <v>66.588761997727588</v>
      </c>
      <c r="O204" s="67">
        <f t="shared" si="149"/>
        <v>77.683122808684672</v>
      </c>
      <c r="P204" s="67">
        <f t="shared" si="149"/>
        <v>79.891705109406843</v>
      </c>
      <c r="Q204" s="67">
        <f t="shared" si="149"/>
        <v>82.431115592358736</v>
      </c>
      <c r="R204" s="68">
        <f t="shared" si="149"/>
        <v>84.964428177936924</v>
      </c>
      <c r="S204" s="66">
        <f t="shared" si="149"/>
        <v>91.018242107401491</v>
      </c>
      <c r="T204" s="67">
        <f t="shared" si="149"/>
        <v>94.287815041828253</v>
      </c>
      <c r="U204" s="67">
        <f t="shared" si="149"/>
        <v>95.818469212294545</v>
      </c>
      <c r="V204" s="67">
        <f t="shared" si="149"/>
        <v>95.917444618710348</v>
      </c>
      <c r="W204" s="68">
        <f t="shared" si="149"/>
        <v>102.2559198724513</v>
      </c>
      <c r="X204" s="66">
        <f t="shared" si="149"/>
        <v>103.70948652281029</v>
      </c>
      <c r="Y204" s="67">
        <f t="shared" si="149"/>
        <v>105.69634141520456</v>
      </c>
      <c r="Z204" s="67">
        <f t="shared" si="149"/>
        <v>107.67279596247751</v>
      </c>
      <c r="AA204" s="67">
        <f t="shared" si="149"/>
        <v>110.43786268417863</v>
      </c>
      <c r="AB204" s="68">
        <f t="shared" si="149"/>
        <v>113.47870647762896</v>
      </c>
    </row>
    <row r="205" spans="1:28" ht="12.3" x14ac:dyDescent="0.35">
      <c r="D205" s="15" t="str">
        <f t="shared" si="140"/>
        <v>Distribution Switchgear</v>
      </c>
      <c r="E205" s="52" t="s">
        <v>111</v>
      </c>
      <c r="F205" s="52" t="str">
        <f t="shared" si="141"/>
        <v>Dollars</v>
      </c>
      <c r="G205" s="52" t="str">
        <f t="shared" si="142"/>
        <v>Nominal</v>
      </c>
      <c r="H205" s="52" t="str">
        <f t="shared" si="143"/>
        <v>End_year</v>
      </c>
      <c r="J205" s="66">
        <f t="shared" si="144"/>
        <v>7.2757763912328297</v>
      </c>
      <c r="K205" s="67">
        <f t="shared" ref="K205:AB205" si="150">K153+K179</f>
        <v>7.4565945027309226</v>
      </c>
      <c r="L205" s="67">
        <f t="shared" si="150"/>
        <v>8.1435599615432697</v>
      </c>
      <c r="M205" s="67">
        <f t="shared" si="150"/>
        <v>13.404164407770214</v>
      </c>
      <c r="N205" s="67">
        <f t="shared" si="150"/>
        <v>13.795421098591614</v>
      </c>
      <c r="O205" s="67">
        <f t="shared" si="150"/>
        <v>14.244641743608776</v>
      </c>
      <c r="P205" s="67">
        <f t="shared" si="150"/>
        <v>14.476497560391831</v>
      </c>
      <c r="Q205" s="67">
        <f t="shared" si="150"/>
        <v>14.83877227411535</v>
      </c>
      <c r="R205" s="68">
        <f t="shared" si="150"/>
        <v>15.509988541804409</v>
      </c>
      <c r="S205" s="66">
        <f t="shared" si="150"/>
        <v>20.27778136404882</v>
      </c>
      <c r="T205" s="67">
        <f t="shared" si="150"/>
        <v>25.960683525602519</v>
      </c>
      <c r="U205" s="67">
        <f t="shared" si="150"/>
        <v>31.2504537686407</v>
      </c>
      <c r="V205" s="67">
        <f t="shared" si="150"/>
        <v>36.039645194596432</v>
      </c>
      <c r="W205" s="68">
        <f t="shared" si="150"/>
        <v>44.97706775797559</v>
      </c>
      <c r="X205" s="66">
        <f t="shared" si="150"/>
        <v>49.633367264831286</v>
      </c>
      <c r="Y205" s="67">
        <f t="shared" si="150"/>
        <v>54.716182964432079</v>
      </c>
      <c r="Z205" s="67">
        <f t="shared" si="150"/>
        <v>59.563623936003161</v>
      </c>
      <c r="AA205" s="67">
        <f t="shared" si="150"/>
        <v>65.034125558220936</v>
      </c>
      <c r="AB205" s="68">
        <f t="shared" si="150"/>
        <v>70.866183955043894</v>
      </c>
    </row>
    <row r="206" spans="1:28" ht="12.3" x14ac:dyDescent="0.35">
      <c r="D206" s="15" t="str">
        <f t="shared" si="140"/>
        <v>Protection</v>
      </c>
      <c r="E206" s="52" t="s">
        <v>111</v>
      </c>
      <c r="F206" s="52" t="str">
        <f t="shared" si="141"/>
        <v>Dollars</v>
      </c>
      <c r="G206" s="52" t="str">
        <f t="shared" si="142"/>
        <v>Nominal</v>
      </c>
      <c r="H206" s="52" t="str">
        <f t="shared" si="143"/>
        <v>End_year</v>
      </c>
      <c r="J206" s="66">
        <f t="shared" si="144"/>
        <v>1.7538363440560882</v>
      </c>
      <c r="K206" s="67">
        <f t="shared" ref="K206:AB206" si="151">K154+K180</f>
        <v>1.797422809411328</v>
      </c>
      <c r="L206" s="67">
        <f t="shared" si="151"/>
        <v>1.8742180102753225</v>
      </c>
      <c r="M206" s="67">
        <f t="shared" si="151"/>
        <v>1.9198800215998597</v>
      </c>
      <c r="N206" s="67">
        <f t="shared" si="151"/>
        <v>3.2186359938067923</v>
      </c>
      <c r="O206" s="67">
        <f t="shared" si="151"/>
        <v>4.1717675504927412</v>
      </c>
      <c r="P206" s="67">
        <f t="shared" si="151"/>
        <v>5.1516017133570458</v>
      </c>
      <c r="Q206" s="67">
        <f t="shared" si="151"/>
        <v>8.3903020321881421</v>
      </c>
      <c r="R206" s="68">
        <f t="shared" si="151"/>
        <v>9.6502261835778302</v>
      </c>
      <c r="S206" s="66">
        <f t="shared" si="151"/>
        <v>14.811037038025589</v>
      </c>
      <c r="T206" s="67">
        <f t="shared" si="151"/>
        <v>19.107025507893773</v>
      </c>
      <c r="U206" s="67">
        <f t="shared" si="151"/>
        <v>21.769855654442626</v>
      </c>
      <c r="V206" s="67">
        <f t="shared" si="151"/>
        <v>22.50409349187488</v>
      </c>
      <c r="W206" s="68">
        <f t="shared" si="151"/>
        <v>33.116638375029282</v>
      </c>
      <c r="X206" s="66">
        <f t="shared" si="151"/>
        <v>35.792860357060931</v>
      </c>
      <c r="Y206" s="67">
        <f t="shared" si="151"/>
        <v>38.903977471155997</v>
      </c>
      <c r="Z206" s="67">
        <f t="shared" si="151"/>
        <v>40.252836715271322</v>
      </c>
      <c r="AA206" s="67">
        <f t="shared" si="151"/>
        <v>41.656435673611028</v>
      </c>
      <c r="AB206" s="68">
        <f t="shared" si="151"/>
        <v>42.449989440911658</v>
      </c>
    </row>
    <row r="207" spans="1:28" ht="12.3" x14ac:dyDescent="0.35">
      <c r="D207" s="15" t="str">
        <f t="shared" si="140"/>
        <v>SCADA</v>
      </c>
      <c r="E207" s="52" t="s">
        <v>111</v>
      </c>
      <c r="F207" s="52" t="str">
        <f t="shared" si="141"/>
        <v>Dollars</v>
      </c>
      <c r="G207" s="52" t="str">
        <f t="shared" si="142"/>
        <v>Nominal</v>
      </c>
      <c r="H207" s="52" t="str">
        <f t="shared" si="143"/>
        <v>End_year</v>
      </c>
      <c r="J207" s="66">
        <f t="shared" si="144"/>
        <v>0.1106811760912081</v>
      </c>
      <c r="K207" s="67">
        <f t="shared" ref="K207:AB207" si="152">K155+K181</f>
        <v>2.7755575615628914E-17</v>
      </c>
      <c r="L207" s="67">
        <f t="shared" si="152"/>
        <v>2.4515833721207874</v>
      </c>
      <c r="M207" s="67">
        <f t="shared" si="152"/>
        <v>1.9205108033528893</v>
      </c>
      <c r="N207" s="67">
        <f t="shared" si="152"/>
        <v>1.9765689565318383</v>
      </c>
      <c r="O207" s="67">
        <f t="shared" si="152"/>
        <v>2.0409320212928539</v>
      </c>
      <c r="P207" s="67">
        <f t="shared" si="152"/>
        <v>2.0741516676211202</v>
      </c>
      <c r="Q207" s="67">
        <f t="shared" si="152"/>
        <v>2.1260573650090362</v>
      </c>
      <c r="R207" s="68">
        <f t="shared" si="152"/>
        <v>1.4640594788423973</v>
      </c>
      <c r="S207" s="66">
        <f t="shared" si="152"/>
        <v>2.9852461490300075</v>
      </c>
      <c r="T207" s="67">
        <f t="shared" si="152"/>
        <v>3.2501274436275143</v>
      </c>
      <c r="U207" s="67">
        <f t="shared" si="152"/>
        <v>3.8257123433304967</v>
      </c>
      <c r="V207" s="67">
        <f t="shared" si="152"/>
        <v>4.2828678057780003</v>
      </c>
      <c r="W207" s="68">
        <f t="shared" si="152"/>
        <v>9.4940274448363766</v>
      </c>
      <c r="X207" s="66">
        <f t="shared" si="152"/>
        <v>9.4550611257701309</v>
      </c>
      <c r="Y207" s="67">
        <f t="shared" si="152"/>
        <v>9.6042520000721527</v>
      </c>
      <c r="Z207" s="67">
        <f t="shared" si="152"/>
        <v>9.4938480139789334</v>
      </c>
      <c r="AA207" s="67">
        <f t="shared" si="152"/>
        <v>9.7456022070275541</v>
      </c>
      <c r="AB207" s="68">
        <f t="shared" si="152"/>
        <v>9.7064180003590899</v>
      </c>
    </row>
    <row r="208" spans="1:28" ht="12.3" x14ac:dyDescent="0.35">
      <c r="D208" s="15" t="str">
        <f t="shared" si="140"/>
        <v>Communications</v>
      </c>
      <c r="E208" s="52" t="s">
        <v>111</v>
      </c>
      <c r="F208" s="52" t="str">
        <f t="shared" si="141"/>
        <v>Dollars</v>
      </c>
      <c r="G208" s="52" t="str">
        <f t="shared" si="142"/>
        <v>Nominal</v>
      </c>
      <c r="H208" s="52" t="str">
        <f t="shared" si="143"/>
        <v>End_year</v>
      </c>
      <c r="J208" s="66">
        <f t="shared" si="144"/>
        <v>20.247703799177007</v>
      </c>
      <c r="K208" s="67">
        <f t="shared" ref="K208:AB208" si="153">K156+K182</f>
        <v>21.345706820760164</v>
      </c>
      <c r="L208" s="67">
        <f t="shared" si="153"/>
        <v>21.6977766750413</v>
      </c>
      <c r="M208" s="67">
        <f t="shared" si="153"/>
        <v>23.488991579219736</v>
      </c>
      <c r="N208" s="67">
        <f t="shared" si="153"/>
        <v>18.359645441125384</v>
      </c>
      <c r="O208" s="67">
        <f t="shared" si="153"/>
        <v>12.884905335816706</v>
      </c>
      <c r="P208" s="67">
        <f t="shared" si="153"/>
        <v>6.8054745027587895</v>
      </c>
      <c r="Q208" s="67">
        <f t="shared" si="153"/>
        <v>7.2356595534338561</v>
      </c>
      <c r="R208" s="68">
        <f t="shared" si="153"/>
        <v>6.0561408822847245</v>
      </c>
      <c r="S208" s="66">
        <f t="shared" si="153"/>
        <v>6.4641816116864348</v>
      </c>
      <c r="T208" s="67">
        <f t="shared" si="153"/>
        <v>5.4923569665291252</v>
      </c>
      <c r="U208" s="67">
        <f t="shared" si="153"/>
        <v>6.1697443120380386</v>
      </c>
      <c r="V208" s="67">
        <f t="shared" si="153"/>
        <v>11.212991107576503</v>
      </c>
      <c r="W208" s="68">
        <f t="shared" si="153"/>
        <v>15.044125562886432</v>
      </c>
      <c r="X208" s="66">
        <f t="shared" si="153"/>
        <v>15.556632094611242</v>
      </c>
      <c r="Y208" s="67">
        <f t="shared" si="153"/>
        <v>16.800833390528286</v>
      </c>
      <c r="Z208" s="67">
        <f t="shared" si="153"/>
        <v>18.809278135350731</v>
      </c>
      <c r="AA208" s="67">
        <f t="shared" si="153"/>
        <v>20.366630084721326</v>
      </c>
      <c r="AB208" s="68">
        <f t="shared" si="153"/>
        <v>21.238263315894493</v>
      </c>
    </row>
    <row r="209" spans="1:28" ht="12.3" x14ac:dyDescent="0.35">
      <c r="D209" s="15" t="str">
        <f t="shared" si="140"/>
        <v>Land and Easements</v>
      </c>
      <c r="E209" s="52" t="s">
        <v>111</v>
      </c>
      <c r="F209" s="52" t="str">
        <f t="shared" si="141"/>
        <v>Dollars</v>
      </c>
      <c r="G209" s="52" t="str">
        <f t="shared" si="142"/>
        <v>Nominal</v>
      </c>
      <c r="H209" s="52" t="str">
        <f t="shared" si="143"/>
        <v>End_year</v>
      </c>
      <c r="J209" s="66">
        <f t="shared" si="144"/>
        <v>29.444843897374323</v>
      </c>
      <c r="K209" s="67">
        <f t="shared" ref="K209:AB209" si="154">K157+K183</f>
        <v>30.922463155114897</v>
      </c>
      <c r="L209" s="67">
        <f t="shared" si="154"/>
        <v>32.243630749502024</v>
      </c>
      <c r="M209" s="67">
        <f t="shared" si="154"/>
        <v>33.029189859678155</v>
      </c>
      <c r="N209" s="67">
        <f t="shared" si="154"/>
        <v>33.993285131257949</v>
      </c>
      <c r="O209" s="67">
        <f t="shared" si="154"/>
        <v>35.10020933196067</v>
      </c>
      <c r="P209" s="67">
        <f t="shared" si="154"/>
        <v>35.671525048452402</v>
      </c>
      <c r="Q209" s="67">
        <f t="shared" si="154"/>
        <v>33.024999999999999</v>
      </c>
      <c r="R209" s="68">
        <f t="shared" si="154"/>
        <v>34.47125290902666</v>
      </c>
      <c r="S209" s="66">
        <f t="shared" si="154"/>
        <v>34.929125338558322</v>
      </c>
      <c r="T209" s="67">
        <f t="shared" si="154"/>
        <v>35.386997768089991</v>
      </c>
      <c r="U209" s="67">
        <f t="shared" si="154"/>
        <v>36.128882714951189</v>
      </c>
      <c r="V209" s="67">
        <f t="shared" si="154"/>
        <v>37.004962835958267</v>
      </c>
      <c r="W209" s="68">
        <f t="shared" si="154"/>
        <v>46.354917721396681</v>
      </c>
      <c r="X209" s="66">
        <f t="shared" si="154"/>
        <v>47.478966373746196</v>
      </c>
      <c r="Y209" s="67">
        <f t="shared" si="154"/>
        <v>48.630271797004951</v>
      </c>
      <c r="Z209" s="67">
        <f t="shared" si="154"/>
        <v>49.809494933703185</v>
      </c>
      <c r="AA209" s="67">
        <f t="shared" si="154"/>
        <v>51.017312753399054</v>
      </c>
      <c r="AB209" s="68">
        <f t="shared" si="154"/>
        <v>52.254418641313983</v>
      </c>
    </row>
    <row r="210" spans="1:28" ht="12.3" x14ac:dyDescent="0.35">
      <c r="D210" s="15" t="str">
        <f t="shared" si="140"/>
        <v>Property</v>
      </c>
      <c r="E210" s="52" t="s">
        <v>111</v>
      </c>
      <c r="F210" s="52" t="str">
        <f t="shared" si="141"/>
        <v>Dollars</v>
      </c>
      <c r="G210" s="52" t="str">
        <f t="shared" si="142"/>
        <v>Nominal</v>
      </c>
      <c r="H210" s="52" t="str">
        <f t="shared" si="143"/>
        <v>End_year</v>
      </c>
      <c r="J210" s="66">
        <f t="shared" si="144"/>
        <v>0</v>
      </c>
      <c r="K210" s="67">
        <f t="shared" ref="K210:AB210" si="155">K158+K184</f>
        <v>0</v>
      </c>
      <c r="L210" s="67">
        <f t="shared" si="155"/>
        <v>0.53702885927328614</v>
      </c>
      <c r="M210" s="67">
        <f t="shared" si="155"/>
        <v>0.8158000443607003</v>
      </c>
      <c r="N210" s="67">
        <f t="shared" si="155"/>
        <v>0.83961258619609369</v>
      </c>
      <c r="O210" s="67">
        <f t="shared" si="155"/>
        <v>0.8669529120071009</v>
      </c>
      <c r="P210" s="67">
        <f t="shared" si="155"/>
        <v>0.88106404790955639</v>
      </c>
      <c r="Q210" s="67">
        <f t="shared" si="155"/>
        <v>0.90311269775714287</v>
      </c>
      <c r="R210" s="68">
        <f t="shared" si="155"/>
        <v>1.1039263282242053</v>
      </c>
      <c r="S210" s="66">
        <f t="shared" si="155"/>
        <v>0.93206725537758273</v>
      </c>
      <c r="T210" s="67">
        <f t="shared" si="155"/>
        <v>0.75552593549132629</v>
      </c>
      <c r="U210" s="67">
        <f t="shared" si="155"/>
        <v>0.56013957998809183</v>
      </c>
      <c r="V210" s="67">
        <f t="shared" si="155"/>
        <v>0.35914667603444594</v>
      </c>
      <c r="W210" s="68">
        <f t="shared" si="155"/>
        <v>10.359004210140208</v>
      </c>
      <c r="X210" s="66">
        <f t="shared" si="155"/>
        <v>18.238715073331456</v>
      </c>
      <c r="Y210" s="67">
        <f t="shared" si="155"/>
        <v>17.845341580978435</v>
      </c>
      <c r="Z210" s="67">
        <f t="shared" si="155"/>
        <v>17.352851813820539</v>
      </c>
      <c r="AA210" s="67">
        <f t="shared" si="155"/>
        <v>16.657702120249979</v>
      </c>
      <c r="AB210" s="68">
        <f t="shared" si="155"/>
        <v>15.847832227801794</v>
      </c>
    </row>
    <row r="211" spans="1:28" ht="12.3" x14ac:dyDescent="0.35">
      <c r="D211" s="15" t="str">
        <f t="shared" si="140"/>
        <v>IT and Communications</v>
      </c>
      <c r="E211" s="52" t="s">
        <v>111</v>
      </c>
      <c r="F211" s="52" t="str">
        <f t="shared" si="141"/>
        <v>Dollars</v>
      </c>
      <c r="G211" s="52" t="str">
        <f t="shared" si="142"/>
        <v>Nominal</v>
      </c>
      <c r="H211" s="52" t="str">
        <f t="shared" si="143"/>
        <v>End_year</v>
      </c>
      <c r="J211" s="66">
        <f t="shared" si="144"/>
        <v>0.58076591627221685</v>
      </c>
      <c r="K211" s="67">
        <f t="shared" ref="K211:AB211" si="156">K159+K185</f>
        <v>0.59519915206123042</v>
      </c>
      <c r="L211" s="67">
        <f t="shared" si="156"/>
        <v>0.62062913892758786</v>
      </c>
      <c r="M211" s="67">
        <f t="shared" si="156"/>
        <v>0.63574967165893548</v>
      </c>
      <c r="N211" s="67">
        <f t="shared" si="156"/>
        <v>0.654306689101953</v>
      </c>
      <c r="O211" s="67">
        <f t="shared" si="156"/>
        <v>0.67561289431430649</v>
      </c>
      <c r="P211" s="67">
        <f t="shared" si="156"/>
        <v>0.68660964539165037</v>
      </c>
      <c r="Q211" s="67">
        <f t="shared" si="156"/>
        <v>0.70379206895000002</v>
      </c>
      <c r="R211" s="68">
        <f t="shared" si="156"/>
        <v>0.63274905481995813</v>
      </c>
      <c r="S211" s="66">
        <f t="shared" si="156"/>
        <v>0.97299897474781272</v>
      </c>
      <c r="T211" s="67">
        <f t="shared" si="156"/>
        <v>1.6969518734413653</v>
      </c>
      <c r="U211" s="67">
        <f t="shared" si="156"/>
        <v>4.3149683990062879</v>
      </c>
      <c r="V211" s="67">
        <f t="shared" si="156"/>
        <v>8.7741730490967491</v>
      </c>
      <c r="W211" s="68">
        <f t="shared" si="156"/>
        <v>14.722412528496612</v>
      </c>
      <c r="X211" s="66">
        <f t="shared" si="156"/>
        <v>25.000738998015706</v>
      </c>
      <c r="Y211" s="67">
        <f t="shared" si="156"/>
        <v>35.059740484846159</v>
      </c>
      <c r="Z211" s="67">
        <f t="shared" si="156"/>
        <v>48.881118520751485</v>
      </c>
      <c r="AA211" s="67">
        <f t="shared" si="156"/>
        <v>52.386027378882595</v>
      </c>
      <c r="AB211" s="68">
        <f t="shared" si="156"/>
        <v>54.532072441958206</v>
      </c>
    </row>
    <row r="212" spans="1:28" ht="12.3" x14ac:dyDescent="0.35">
      <c r="D212" s="15" t="str">
        <f t="shared" si="140"/>
        <v>Motor Vehicles</v>
      </c>
      <c r="E212" s="52" t="s">
        <v>111</v>
      </c>
      <c r="F212" s="52" t="str">
        <f t="shared" si="141"/>
        <v>Dollars</v>
      </c>
      <c r="G212" s="52" t="str">
        <f t="shared" si="142"/>
        <v>Nominal</v>
      </c>
      <c r="H212" s="52" t="str">
        <f t="shared" si="143"/>
        <v>End_year</v>
      </c>
      <c r="J212" s="66">
        <f t="shared" si="144"/>
        <v>3.6056529589843761E-2</v>
      </c>
      <c r="K212" s="67">
        <f t="shared" ref="K212:AB212" si="157">K160+K186</f>
        <v>3.6952609023437506E-2</v>
      </c>
      <c r="L212" s="67">
        <f t="shared" si="157"/>
        <v>3.8531415644531254E-2</v>
      </c>
      <c r="M212" s="67">
        <f t="shared" si="157"/>
        <v>3.9470165527343753E-2</v>
      </c>
      <c r="N212" s="67">
        <f t="shared" si="157"/>
        <v>4.0622267656250002E-2</v>
      </c>
      <c r="O212" s="67">
        <f t="shared" si="157"/>
        <v>4.1945051582031247E-2</v>
      </c>
      <c r="P212" s="67">
        <f t="shared" si="157"/>
        <v>4.2627778769531249E-2</v>
      </c>
      <c r="Q212" s="67">
        <f t="shared" si="157"/>
        <v>4.3694539999999997E-2</v>
      </c>
      <c r="R212" s="68">
        <f t="shared" si="157"/>
        <v>5.3410336523268272E-2</v>
      </c>
      <c r="S212" s="66">
        <f t="shared" si="157"/>
        <v>0.11854412273821796</v>
      </c>
      <c r="T212" s="67">
        <f t="shared" si="157"/>
        <v>0.11906284005719892</v>
      </c>
      <c r="U212" s="67">
        <f t="shared" si="157"/>
        <v>0.10468900852007203</v>
      </c>
      <c r="V212" s="67">
        <f t="shared" si="157"/>
        <v>9.684595611277938E-2</v>
      </c>
      <c r="W212" s="68">
        <f t="shared" si="157"/>
        <v>0.31276830796123112</v>
      </c>
      <c r="X212" s="66">
        <f t="shared" si="157"/>
        <v>0.28272681265523691</v>
      </c>
      <c r="Y212" s="67">
        <f t="shared" si="157"/>
        <v>0.25104447183633627</v>
      </c>
      <c r="Z212" s="67">
        <f t="shared" si="157"/>
        <v>0.21765937306113065</v>
      </c>
      <c r="AA212" s="67">
        <f t="shared" si="157"/>
        <v>0.18250756610789015</v>
      </c>
      <c r="AB212" s="68">
        <f t="shared" si="157"/>
        <v>0.14552300055403541</v>
      </c>
    </row>
    <row r="213" spans="1:28" ht="12.3" x14ac:dyDescent="0.35">
      <c r="D213" s="15" t="str">
        <f t="shared" si="140"/>
        <v>Plant and Equipment</v>
      </c>
      <c r="E213" s="52" t="s">
        <v>111</v>
      </c>
      <c r="F213" s="52" t="str">
        <f t="shared" si="141"/>
        <v>Dollars</v>
      </c>
      <c r="G213" s="52" t="str">
        <f t="shared" si="142"/>
        <v>Nominal</v>
      </c>
      <c r="H213" s="52" t="str">
        <f t="shared" si="143"/>
        <v>End_year</v>
      </c>
      <c r="J213" s="66">
        <f t="shared" si="144"/>
        <v>0.78486056098329571</v>
      </c>
      <c r="K213" s="67">
        <f t="shared" ref="K213:AB213" si="158">K161+K187</f>
        <v>0.56349216897117804</v>
      </c>
      <c r="L213" s="67">
        <f t="shared" si="158"/>
        <v>0.25393041120266607</v>
      </c>
      <c r="M213" s="67">
        <f t="shared" si="158"/>
        <v>-7.2858385991025898E-17</v>
      </c>
      <c r="N213" s="67">
        <f t="shared" si="158"/>
        <v>0</v>
      </c>
      <c r="O213" s="67">
        <f t="shared" si="158"/>
        <v>0.27398178843669374</v>
      </c>
      <c r="P213" s="67">
        <f t="shared" si="158"/>
        <v>2.7754829172530551</v>
      </c>
      <c r="Q213" s="67">
        <f t="shared" si="158"/>
        <v>7.2053953999153562</v>
      </c>
      <c r="R213" s="68">
        <f t="shared" si="158"/>
        <v>8.1172821226019565</v>
      </c>
      <c r="S213" s="66">
        <f t="shared" si="158"/>
        <v>7.4220508880892089</v>
      </c>
      <c r="T213" s="67">
        <f t="shared" si="158"/>
        <v>5.9401022550155727</v>
      </c>
      <c r="U213" s="67">
        <f t="shared" si="158"/>
        <v>4.3784346055016856</v>
      </c>
      <c r="V213" s="67">
        <f t="shared" si="158"/>
        <v>3.0635351349286006</v>
      </c>
      <c r="W213" s="68">
        <f t="shared" si="158"/>
        <v>0.44612408791802638</v>
      </c>
      <c r="X213" s="66">
        <f t="shared" si="158"/>
        <v>1.651462668280232</v>
      </c>
      <c r="Y213" s="67">
        <f t="shared" si="158"/>
        <v>2.8762988539584056</v>
      </c>
      <c r="Z213" s="67">
        <f t="shared" si="158"/>
        <v>4.0210028130319504</v>
      </c>
      <c r="AA213" s="67">
        <f t="shared" si="158"/>
        <v>5.2243795102552442</v>
      </c>
      <c r="AB213" s="68">
        <f t="shared" si="158"/>
        <v>6.4328756986436222</v>
      </c>
    </row>
    <row r="214" spans="1:28" ht="12.3" x14ac:dyDescent="0.35">
      <c r="D214" s="15" t="str">
        <f t="shared" ref="D214:D215" si="159">D32</f>
        <v>Property Leases</v>
      </c>
      <c r="E214" s="52" t="s">
        <v>111</v>
      </c>
      <c r="F214" s="52" t="str">
        <f t="shared" si="141"/>
        <v>Dollars</v>
      </c>
      <c r="G214" s="52" t="str">
        <f t="shared" si="142"/>
        <v>Nominal</v>
      </c>
      <c r="H214" s="52" t="str">
        <f t="shared" si="143"/>
        <v>End_year</v>
      </c>
      <c r="J214" s="66">
        <f t="shared" ref="J214:AB214" si="160">J162+J188</f>
        <v>0</v>
      </c>
      <c r="K214" s="67">
        <f t="shared" si="160"/>
        <v>0</v>
      </c>
      <c r="L214" s="67">
        <f t="shared" si="160"/>
        <v>0</v>
      </c>
      <c r="M214" s="67">
        <f t="shared" si="160"/>
        <v>0</v>
      </c>
      <c r="N214" s="67">
        <f t="shared" si="160"/>
        <v>0</v>
      </c>
      <c r="O214" s="67">
        <f t="shared" si="160"/>
        <v>0</v>
      </c>
      <c r="P214" s="67">
        <f t="shared" si="160"/>
        <v>0</v>
      </c>
      <c r="Q214" s="67">
        <f t="shared" si="160"/>
        <v>0</v>
      </c>
      <c r="R214" s="68">
        <f t="shared" si="160"/>
        <v>0</v>
      </c>
      <c r="S214" s="66">
        <f t="shared" si="160"/>
        <v>0</v>
      </c>
      <c r="T214" s="67">
        <f t="shared" si="160"/>
        <v>0</v>
      </c>
      <c r="U214" s="67">
        <f t="shared" si="160"/>
        <v>0</v>
      </c>
      <c r="V214" s="67">
        <f t="shared" si="160"/>
        <v>0</v>
      </c>
      <c r="W214" s="68">
        <f t="shared" si="160"/>
        <v>0</v>
      </c>
      <c r="X214" s="66">
        <f t="shared" si="160"/>
        <v>5.6545321858324371</v>
      </c>
      <c r="Y214" s="67">
        <f t="shared" si="160"/>
        <v>5.425065426331364</v>
      </c>
      <c r="Z214" s="67">
        <f t="shared" si="160"/>
        <v>29.871448739199082</v>
      </c>
      <c r="AA214" s="67">
        <f t="shared" si="160"/>
        <v>28.610551045279017</v>
      </c>
      <c r="AB214" s="68">
        <f t="shared" si="160"/>
        <v>27.925381568555377</v>
      </c>
    </row>
    <row r="215" spans="1:28" ht="12.3" x14ac:dyDescent="0.35">
      <c r="D215" s="15" t="str">
        <f t="shared" si="159"/>
        <v>Fleet Leases</v>
      </c>
      <c r="E215" s="52" t="s">
        <v>111</v>
      </c>
      <c r="F215" s="52" t="str">
        <f t="shared" si="141"/>
        <v>Dollars</v>
      </c>
      <c r="G215" s="52" t="str">
        <f t="shared" si="142"/>
        <v>Nominal</v>
      </c>
      <c r="H215" s="52" t="str">
        <f t="shared" si="143"/>
        <v>End_year</v>
      </c>
      <c r="J215" s="66">
        <f t="shared" ref="J215:AB215" si="161">J163+J189</f>
        <v>0</v>
      </c>
      <c r="K215" s="67">
        <f t="shared" si="161"/>
        <v>0</v>
      </c>
      <c r="L215" s="67">
        <f t="shared" si="161"/>
        <v>0</v>
      </c>
      <c r="M215" s="67">
        <f t="shared" si="161"/>
        <v>0</v>
      </c>
      <c r="N215" s="67">
        <f t="shared" si="161"/>
        <v>0</v>
      </c>
      <c r="O215" s="67">
        <f t="shared" si="161"/>
        <v>0</v>
      </c>
      <c r="P215" s="67">
        <f t="shared" si="161"/>
        <v>0</v>
      </c>
      <c r="Q215" s="67">
        <f t="shared" si="161"/>
        <v>0</v>
      </c>
      <c r="R215" s="68">
        <f t="shared" si="161"/>
        <v>0</v>
      </c>
      <c r="S215" s="66">
        <f t="shared" si="161"/>
        <v>0</v>
      </c>
      <c r="T215" s="67">
        <f t="shared" si="161"/>
        <v>0</v>
      </c>
      <c r="U215" s="67">
        <f t="shared" si="161"/>
        <v>0</v>
      </c>
      <c r="V215" s="67">
        <f t="shared" si="161"/>
        <v>0</v>
      </c>
      <c r="W215" s="68">
        <f t="shared" si="161"/>
        <v>0</v>
      </c>
      <c r="X215" s="66">
        <f t="shared" si="161"/>
        <v>17.442098565293531</v>
      </c>
      <c r="Y215" s="67">
        <f t="shared" si="161"/>
        <v>19.515612909606673</v>
      </c>
      <c r="Z215" s="67">
        <f t="shared" si="161"/>
        <v>20.205255562567572</v>
      </c>
      <c r="AA215" s="67">
        <f t="shared" si="161"/>
        <v>21.013124643323572</v>
      </c>
      <c r="AB215" s="68">
        <f t="shared" si="161"/>
        <v>19.884167884385938</v>
      </c>
    </row>
    <row r="216" spans="1:28" ht="12.3" x14ac:dyDescent="0.35">
      <c r="D216" s="15" t="str">
        <f t="shared" ref="D216" si="162">D34</f>
        <v>Equity Raising Costs</v>
      </c>
      <c r="E216" s="52" t="s">
        <v>111</v>
      </c>
      <c r="F216" s="52" t="str">
        <f t="shared" si="141"/>
        <v>Dollars</v>
      </c>
      <c r="G216" s="52" t="str">
        <f t="shared" si="142"/>
        <v>Nominal</v>
      </c>
      <c r="H216" s="52" t="str">
        <f t="shared" si="143"/>
        <v>End_year</v>
      </c>
      <c r="J216" s="66">
        <f t="shared" ref="J216:Q216" si="163">J164+J190</f>
        <v>0</v>
      </c>
      <c r="K216" s="67">
        <f t="shared" si="163"/>
        <v>0</v>
      </c>
      <c r="L216" s="67">
        <f t="shared" si="163"/>
        <v>0</v>
      </c>
      <c r="M216" s="67">
        <f t="shared" si="163"/>
        <v>0</v>
      </c>
      <c r="N216" s="67">
        <f t="shared" si="163"/>
        <v>0</v>
      </c>
      <c r="O216" s="67">
        <f t="shared" si="163"/>
        <v>0</v>
      </c>
      <c r="P216" s="67">
        <f t="shared" si="163"/>
        <v>0</v>
      </c>
      <c r="Q216" s="67">
        <f t="shared" si="163"/>
        <v>0</v>
      </c>
      <c r="R216" s="68">
        <f t="shared" ref="R216:AB216" si="164">R164+R190</f>
        <v>0</v>
      </c>
      <c r="S216" s="66">
        <f t="shared" si="164"/>
        <v>0</v>
      </c>
      <c r="T216" s="67">
        <f t="shared" si="164"/>
        <v>0</v>
      </c>
      <c r="U216" s="67">
        <f t="shared" si="164"/>
        <v>0</v>
      </c>
      <c r="V216" s="67">
        <f t="shared" si="164"/>
        <v>0</v>
      </c>
      <c r="W216" s="68">
        <f t="shared" si="164"/>
        <v>0</v>
      </c>
      <c r="X216" s="66">
        <f t="shared" si="164"/>
        <v>1.2872020192307105</v>
      </c>
      <c r="Y216" s="67">
        <f t="shared" si="164"/>
        <v>1.0547320438290999</v>
      </c>
      <c r="Z216" s="67">
        <f t="shared" si="164"/>
        <v>0.81023098039864649</v>
      </c>
      <c r="AA216" s="67">
        <f t="shared" si="164"/>
        <v>0.55325204407324569</v>
      </c>
      <c r="AB216" s="68">
        <f t="shared" si="164"/>
        <v>0.28333385634114899</v>
      </c>
    </row>
    <row r="217" spans="1:28" x14ac:dyDescent="0.35">
      <c r="J217" s="56"/>
      <c r="K217" s="57"/>
      <c r="L217" s="57"/>
      <c r="M217" s="57"/>
      <c r="N217" s="57"/>
      <c r="O217" s="57"/>
      <c r="P217" s="57"/>
      <c r="Q217" s="57"/>
      <c r="R217" s="58"/>
      <c r="S217" s="56"/>
      <c r="T217" s="57"/>
      <c r="U217" s="57"/>
      <c r="V217" s="57"/>
      <c r="W217" s="58"/>
      <c r="X217" s="56"/>
      <c r="Y217" s="57"/>
      <c r="Z217" s="57"/>
      <c r="AA217" s="57"/>
      <c r="AB217" s="58"/>
    </row>
    <row r="218" spans="1:28" ht="12.3" x14ac:dyDescent="0.35">
      <c r="D218" s="51" t="str">
        <f>"Total "&amp;D198</f>
        <v>Total RAB Asset Class</v>
      </c>
      <c r="E218" s="47" t="s">
        <v>111</v>
      </c>
      <c r="F218" s="47" t="str">
        <f>F200</f>
        <v>Dollars</v>
      </c>
      <c r="G218" s="47" t="str">
        <f>G200</f>
        <v>Nominal</v>
      </c>
      <c r="H218" s="47" t="str">
        <f>H200</f>
        <v>End_year</v>
      </c>
      <c r="J218" s="62">
        <f t="shared" ref="J218:AB218" si="165">SUM(J200:J216)</f>
        <v>365.95099660144598</v>
      </c>
      <c r="K218" s="46">
        <f t="shared" si="165"/>
        <v>386.15053982321189</v>
      </c>
      <c r="L218" s="46">
        <f t="shared" si="165"/>
        <v>431.64217307079821</v>
      </c>
      <c r="M218" s="46">
        <f t="shared" si="165"/>
        <v>482.44975325772106</v>
      </c>
      <c r="N218" s="46">
        <f t="shared" si="165"/>
        <v>551.68837985352081</v>
      </c>
      <c r="O218" s="46">
        <f t="shared" si="165"/>
        <v>634.15600608284831</v>
      </c>
      <c r="P218" s="46">
        <f t="shared" si="165"/>
        <v>692.91333264105731</v>
      </c>
      <c r="Q218" s="46">
        <f t="shared" si="165"/>
        <v>788.49290006313993</v>
      </c>
      <c r="R218" s="63">
        <f t="shared" si="165"/>
        <v>861.76968918951241</v>
      </c>
      <c r="S218" s="62">
        <f t="shared" si="165"/>
        <v>902.19935716127713</v>
      </c>
      <c r="T218" s="46">
        <f t="shared" si="165"/>
        <v>928.07207830488812</v>
      </c>
      <c r="U218" s="46">
        <f t="shared" si="165"/>
        <v>946.93488457381545</v>
      </c>
      <c r="V218" s="46">
        <f t="shared" si="165"/>
        <v>960.34679733688267</v>
      </c>
      <c r="W218" s="63">
        <f t="shared" si="165"/>
        <v>983.99636679135494</v>
      </c>
      <c r="X218" s="62">
        <f t="shared" si="165"/>
        <v>1059.4851784453672</v>
      </c>
      <c r="Y218" s="46">
        <f t="shared" si="165"/>
        <v>1108.3490384299264</v>
      </c>
      <c r="Z218" s="46">
        <f t="shared" si="165"/>
        <v>1181.1648474058211</v>
      </c>
      <c r="AA218" s="46">
        <f t="shared" si="165"/>
        <v>1217.4517649022782</v>
      </c>
      <c r="AB218" s="63">
        <f t="shared" si="165"/>
        <v>1245.3636980793874</v>
      </c>
    </row>
    <row r="219" spans="1:28" s="6" customFormat="1" ht="11.25" customHeight="1" x14ac:dyDescent="0.35"/>
    <row r="220" spans="1:28" s="6" customFormat="1" ht="11.25" customHeight="1" x14ac:dyDescent="0.35">
      <c r="A220" s="49">
        <f>IF(SUM($J220:$AB220)&lt;&gt;0,1,0)</f>
        <v>0</v>
      </c>
      <c r="D220" s="15" t="s">
        <v>114</v>
      </c>
      <c r="J220" s="70">
        <f>IF(ROUND(SUM(J36,J62,J88,J114,J140,J192)-J218,5)&lt;&gt;0,1,0)</f>
        <v>0</v>
      </c>
      <c r="K220" s="70">
        <f t="shared" ref="K220:AB220" si="166">IF(ROUND(SUM(K36,K62,K88,K114,K140,K192)-K218,5)&lt;&gt;0,1,0)</f>
        <v>0</v>
      </c>
      <c r="L220" s="70">
        <f t="shared" si="166"/>
        <v>0</v>
      </c>
      <c r="M220" s="70">
        <f t="shared" si="166"/>
        <v>0</v>
      </c>
      <c r="N220" s="70">
        <f t="shared" si="166"/>
        <v>0</v>
      </c>
      <c r="O220" s="70">
        <f t="shared" si="166"/>
        <v>0</v>
      </c>
      <c r="P220" s="70">
        <f t="shared" si="166"/>
        <v>0</v>
      </c>
      <c r="Q220" s="70">
        <f t="shared" si="166"/>
        <v>0</v>
      </c>
      <c r="R220" s="70">
        <f t="shared" si="166"/>
        <v>0</v>
      </c>
      <c r="S220" s="70">
        <f t="shared" si="166"/>
        <v>0</v>
      </c>
      <c r="T220" s="70">
        <f t="shared" si="166"/>
        <v>0</v>
      </c>
      <c r="U220" s="70">
        <f t="shared" si="166"/>
        <v>0</v>
      </c>
      <c r="V220" s="70">
        <f t="shared" si="166"/>
        <v>0</v>
      </c>
      <c r="W220" s="70">
        <f t="shared" si="166"/>
        <v>0</v>
      </c>
      <c r="X220" s="70">
        <f t="shared" si="166"/>
        <v>0</v>
      </c>
      <c r="Y220" s="70">
        <f t="shared" si="166"/>
        <v>0</v>
      </c>
      <c r="Z220" s="70">
        <f t="shared" si="166"/>
        <v>0</v>
      </c>
      <c r="AA220" s="70">
        <f t="shared" si="166"/>
        <v>0</v>
      </c>
      <c r="AB220" s="70">
        <f t="shared" si="166"/>
        <v>0</v>
      </c>
    </row>
    <row r="222" spans="1:28" s="4" customFormat="1" ht="15" x14ac:dyDescent="0.35">
      <c r="B222" s="4" t="s">
        <v>33</v>
      </c>
    </row>
  </sheetData>
  <conditionalFormatting sqref="B2">
    <cfRule type="cellIs" dxfId="12" priority="1" operator="notEqual">
      <formula>"No Errors Found"</formula>
    </cfRule>
  </conditionalFormatting>
  <hyperlinks>
    <hyperlink ref="B3:E3" location="TOC!A1" display="TOC!A1"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AB166"/>
  <sheetViews>
    <sheetView showGridLines="0" zoomScaleNormal="100" workbookViewId="0">
      <pane xSplit="1" ySplit="10" topLeftCell="B11" activePane="bottomRight" state="frozen"/>
      <selection activeCell="B5" sqref="B5"/>
      <selection pane="topRight" activeCell="B5" sqref="B5"/>
      <selection pane="bottomLeft" activeCell="B5" sqref="B5"/>
      <selection pane="bottomRight" activeCell="B11" sqref="B11"/>
    </sheetView>
  </sheetViews>
  <sheetFormatPr defaultColWidth="9.33203125" defaultRowHeight="10.199999999999999" outlineLevelRow="1" x14ac:dyDescent="0.35"/>
  <cols>
    <col min="1" max="1" width="3.33203125" style="7" customWidth="1"/>
    <col min="2" max="3" width="2.796875" style="7" customWidth="1"/>
    <col min="4" max="4" width="47.46484375" style="7" customWidth="1"/>
    <col min="5" max="5" width="11.796875" style="7" customWidth="1"/>
    <col min="6" max="6" width="9.1328125" style="7" customWidth="1"/>
    <col min="7" max="7" width="12" style="7" customWidth="1"/>
    <col min="8" max="8" width="10" style="7" customWidth="1"/>
    <col min="9" max="9" width="4.46484375" style="7" customWidth="1"/>
    <col min="10" max="28" width="12.796875" style="7" customWidth="1"/>
    <col min="29" max="29" width="4.33203125" style="7" customWidth="1"/>
    <col min="30" max="31" width="10.796875" style="7" customWidth="1"/>
    <col min="32" max="16384" width="9.33203125" style="7"/>
  </cols>
  <sheetData>
    <row r="1" spans="1:28" ht="18.899999999999999" x14ac:dyDescent="0.35">
      <c r="A1" s="49">
        <f>IF(SUM($A11:$A166)&gt;0,1,0)</f>
        <v>0</v>
      </c>
      <c r="B1" s="5" t="s">
        <v>200</v>
      </c>
    </row>
    <row r="2" spans="1:28" x14ac:dyDescent="0.35">
      <c r="B2" s="18" t="str">
        <f>Title_Msg</f>
        <v>No Errors Found</v>
      </c>
    </row>
    <row r="3" spans="1:28" x14ac:dyDescent="0.35">
      <c r="B3" s="37" t="str">
        <f>TOC!B1</f>
        <v>Table of Contents</v>
      </c>
      <c r="C3" s="35"/>
      <c r="D3" s="35"/>
      <c r="E3" s="35"/>
    </row>
    <row r="4" spans="1:28" ht="12.3" x14ac:dyDescent="0.35">
      <c r="B4" s="34" t="str">
        <f>Model_Name</f>
        <v>Power and Water Corporation (PWC) - RAB Allocation - EB RIN - DRAFT</v>
      </c>
    </row>
    <row r="5" spans="1:28" ht="12.3" hidden="1" outlineLevel="1" x14ac:dyDescent="0.35">
      <c r="B5" s="15" t="str">
        <f>Lookup!B15</f>
        <v>Period Start Date</v>
      </c>
      <c r="J5" s="42">
        <f>Lookup!J15</f>
        <v>38534</v>
      </c>
      <c r="K5" s="42">
        <f>Lookup!K15</f>
        <v>38899</v>
      </c>
      <c r="L5" s="42">
        <f>Lookup!L15</f>
        <v>39264</v>
      </c>
      <c r="M5" s="42">
        <f>Lookup!M15</f>
        <v>39630</v>
      </c>
      <c r="N5" s="42">
        <f>Lookup!N15</f>
        <v>39995</v>
      </c>
      <c r="O5" s="42">
        <f>Lookup!O15</f>
        <v>40360</v>
      </c>
      <c r="P5" s="42">
        <f>Lookup!P15</f>
        <v>40725</v>
      </c>
      <c r="Q5" s="42">
        <f>Lookup!Q15</f>
        <v>41091</v>
      </c>
      <c r="R5" s="42">
        <f>Lookup!R15</f>
        <v>41456</v>
      </c>
      <c r="S5" s="42">
        <f>Lookup!S15</f>
        <v>41821</v>
      </c>
      <c r="T5" s="42">
        <f>Lookup!T15</f>
        <v>42186</v>
      </c>
      <c r="U5" s="42">
        <f>Lookup!U15</f>
        <v>42552</v>
      </c>
      <c r="V5" s="42">
        <f>Lookup!V15</f>
        <v>42917</v>
      </c>
      <c r="W5" s="42">
        <f>Lookup!W15</f>
        <v>43282</v>
      </c>
      <c r="X5" s="42">
        <f>Lookup!X15</f>
        <v>43647</v>
      </c>
      <c r="Y5" s="42">
        <f>Lookup!Y15</f>
        <v>44013</v>
      </c>
      <c r="Z5" s="42">
        <f>Lookup!Z15</f>
        <v>44378</v>
      </c>
      <c r="AA5" s="42">
        <f>Lookup!AA15</f>
        <v>44743</v>
      </c>
      <c r="AB5" s="42">
        <f>Lookup!AB15</f>
        <v>45108</v>
      </c>
    </row>
    <row r="6" spans="1:28" ht="12.3" hidden="1" outlineLevel="1" x14ac:dyDescent="0.35">
      <c r="B6" s="15" t="str">
        <f>Lookup!B16</f>
        <v>Period End Date</v>
      </c>
      <c r="J6" s="42">
        <f>Lookup!J16</f>
        <v>38898</v>
      </c>
      <c r="K6" s="42">
        <f>Lookup!K16</f>
        <v>39263</v>
      </c>
      <c r="L6" s="42">
        <f>Lookup!L16</f>
        <v>39629</v>
      </c>
      <c r="M6" s="42">
        <f>Lookup!M16</f>
        <v>39994</v>
      </c>
      <c r="N6" s="42">
        <f>Lookup!N16</f>
        <v>40359</v>
      </c>
      <c r="O6" s="42">
        <f>Lookup!O16</f>
        <v>40724</v>
      </c>
      <c r="P6" s="42">
        <f>Lookup!P16</f>
        <v>41090</v>
      </c>
      <c r="Q6" s="42">
        <f>Lookup!Q16</f>
        <v>41455</v>
      </c>
      <c r="R6" s="42">
        <f>Lookup!R16</f>
        <v>41820</v>
      </c>
      <c r="S6" s="42">
        <f>Lookup!S16</f>
        <v>42185</v>
      </c>
      <c r="T6" s="42">
        <f>Lookup!T16</f>
        <v>42551</v>
      </c>
      <c r="U6" s="42">
        <f>Lookup!U16</f>
        <v>42916</v>
      </c>
      <c r="V6" s="42">
        <f>Lookup!V16</f>
        <v>43281</v>
      </c>
      <c r="W6" s="42">
        <f>Lookup!W16</f>
        <v>43646</v>
      </c>
      <c r="X6" s="42">
        <f>Lookup!X16</f>
        <v>44012</v>
      </c>
      <c r="Y6" s="42">
        <f>Lookup!Y16</f>
        <v>44377</v>
      </c>
      <c r="Z6" s="42">
        <f>Lookup!Z16</f>
        <v>44742</v>
      </c>
      <c r="AA6" s="42">
        <f>Lookup!AA16</f>
        <v>45107</v>
      </c>
      <c r="AB6" s="42">
        <f>Lookup!AB16</f>
        <v>45473</v>
      </c>
    </row>
    <row r="7" spans="1:28" ht="12.3" hidden="1" outlineLevel="1" x14ac:dyDescent="0.35">
      <c r="B7" s="15" t="str">
        <f>Lookup!B17</f>
        <v>Period Counter</v>
      </c>
      <c r="J7" s="43">
        <f>Lookup!J17</f>
        <v>1</v>
      </c>
      <c r="K7" s="43">
        <f>Lookup!K17</f>
        <v>2</v>
      </c>
      <c r="L7" s="43">
        <f>Lookup!L17</f>
        <v>3</v>
      </c>
      <c r="M7" s="43">
        <f>Lookup!M17</f>
        <v>4</v>
      </c>
      <c r="N7" s="43">
        <f>Lookup!N17</f>
        <v>5</v>
      </c>
      <c r="O7" s="43">
        <f>Lookup!O17</f>
        <v>6</v>
      </c>
      <c r="P7" s="43">
        <f>Lookup!P17</f>
        <v>7</v>
      </c>
      <c r="Q7" s="43">
        <f>Lookup!Q17</f>
        <v>8</v>
      </c>
      <c r="R7" s="43">
        <f>Lookup!R17</f>
        <v>9</v>
      </c>
      <c r="S7" s="43">
        <f>Lookup!S17</f>
        <v>10</v>
      </c>
      <c r="T7" s="43">
        <f>Lookup!T17</f>
        <v>11</v>
      </c>
      <c r="U7" s="43">
        <f>Lookup!U17</f>
        <v>12</v>
      </c>
      <c r="V7" s="43">
        <f>Lookup!V17</f>
        <v>13</v>
      </c>
      <c r="W7" s="43">
        <f>Lookup!W17</f>
        <v>14</v>
      </c>
      <c r="X7" s="43">
        <f>Lookup!X17</f>
        <v>15</v>
      </c>
      <c r="Y7" s="43">
        <f>Lookup!Y17</f>
        <v>16</v>
      </c>
      <c r="Z7" s="43">
        <f>Lookup!Z17</f>
        <v>17</v>
      </c>
      <c r="AA7" s="43">
        <f>Lookup!AA17</f>
        <v>18</v>
      </c>
      <c r="AB7" s="43">
        <f>Lookup!AB17</f>
        <v>19</v>
      </c>
    </row>
    <row r="8" spans="1:28" ht="12.3" hidden="1" outlineLevel="1" x14ac:dyDescent="0.35">
      <c r="B8" s="15" t="str">
        <f>Lookup!B18</f>
        <v>Year</v>
      </c>
      <c r="J8" s="44">
        <f>Lookup!J18</f>
        <v>2006</v>
      </c>
      <c r="K8" s="44">
        <f>Lookup!K18</f>
        <v>2007</v>
      </c>
      <c r="L8" s="44">
        <f>Lookup!L18</f>
        <v>2008</v>
      </c>
      <c r="M8" s="44">
        <f>Lookup!M18</f>
        <v>2009</v>
      </c>
      <c r="N8" s="44">
        <f>Lookup!N18</f>
        <v>2010</v>
      </c>
      <c r="O8" s="44">
        <f>Lookup!O18</f>
        <v>2011</v>
      </c>
      <c r="P8" s="44">
        <f>Lookup!P18</f>
        <v>2012</v>
      </c>
      <c r="Q8" s="44">
        <f>Lookup!Q18</f>
        <v>2013</v>
      </c>
      <c r="R8" s="44">
        <f>Lookup!R18</f>
        <v>2014</v>
      </c>
      <c r="S8" s="44">
        <f>Lookup!S18</f>
        <v>2015</v>
      </c>
      <c r="T8" s="44">
        <f>Lookup!T18</f>
        <v>2016</v>
      </c>
      <c r="U8" s="44">
        <f>Lookup!U18</f>
        <v>2017</v>
      </c>
      <c r="V8" s="44">
        <f>Lookup!V18</f>
        <v>2018</v>
      </c>
      <c r="W8" s="44">
        <f>Lookup!W18</f>
        <v>2019</v>
      </c>
      <c r="X8" s="44">
        <f>Lookup!X18</f>
        <v>2020</v>
      </c>
      <c r="Y8" s="44">
        <f>Lookup!Y18</f>
        <v>2021</v>
      </c>
      <c r="Z8" s="44">
        <f>Lookup!Z18</f>
        <v>2022</v>
      </c>
      <c r="AA8" s="44">
        <f>Lookup!AA18</f>
        <v>2023</v>
      </c>
      <c r="AB8" s="44">
        <f>Lookup!AB18</f>
        <v>2024</v>
      </c>
    </row>
    <row r="9" spans="1:28" ht="12.3" hidden="1" outlineLevel="1" x14ac:dyDescent="0.35">
      <c r="B9" s="15" t="str">
        <f>Lookup!B19</f>
        <v>Period Type</v>
      </c>
      <c r="J9" s="44" t="str">
        <f>Lookup!J19</f>
        <v>Actual</v>
      </c>
      <c r="K9" s="44" t="str">
        <f>Lookup!K19</f>
        <v>Actual</v>
      </c>
      <c r="L9" s="44" t="str">
        <f>Lookup!L19</f>
        <v>Actual</v>
      </c>
      <c r="M9" s="44" t="str">
        <f>Lookup!M19</f>
        <v>Base Year</v>
      </c>
      <c r="N9" s="44" t="str">
        <f>Lookup!N19</f>
        <v>Forecast</v>
      </c>
      <c r="O9" s="44" t="str">
        <f>Lookup!O19</f>
        <v>Forecast</v>
      </c>
      <c r="P9" s="44" t="str">
        <f>Lookup!P19</f>
        <v>Forecast</v>
      </c>
      <c r="Q9" s="44" t="str">
        <f>Lookup!Q19</f>
        <v>Forecast</v>
      </c>
      <c r="R9" s="44" t="str">
        <f>Lookup!R19</f>
        <v>Forecast</v>
      </c>
      <c r="S9" s="44" t="str">
        <f>Lookup!S19</f>
        <v>Forecast</v>
      </c>
      <c r="T9" s="44" t="str">
        <f>Lookup!T19</f>
        <v>Forecast</v>
      </c>
      <c r="U9" s="44" t="str">
        <f>Lookup!U19</f>
        <v>Forecast</v>
      </c>
      <c r="V9" s="44" t="str">
        <f>Lookup!V19</f>
        <v>Forecast</v>
      </c>
      <c r="W9" s="44" t="str">
        <f>Lookup!W19</f>
        <v>Forecast</v>
      </c>
      <c r="X9" s="44" t="str">
        <f>Lookup!X19</f>
        <v>Forecast</v>
      </c>
      <c r="Y9" s="44" t="str">
        <f>Lookup!Y19</f>
        <v>Forecast</v>
      </c>
      <c r="Z9" s="44" t="str">
        <f>Lookup!Z19</f>
        <v>Forecast</v>
      </c>
      <c r="AA9" s="44" t="str">
        <f>Lookup!AA19</f>
        <v>Forecast</v>
      </c>
      <c r="AB9" s="44" t="str">
        <f>Lookup!AB19</f>
        <v>Forecast</v>
      </c>
    </row>
    <row r="10" spans="1:28" ht="12.3" collapsed="1" x14ac:dyDescent="0.35">
      <c r="B10" s="10" t="str">
        <f>Lookup!B20</f>
        <v>Regulatory Year</v>
      </c>
      <c r="E10" s="41" t="str">
        <f>Lookup!E20</f>
        <v>Source</v>
      </c>
      <c r="F10" s="41" t="str">
        <f>Lookup!F20</f>
        <v>Unit</v>
      </c>
      <c r="G10" s="41" t="str">
        <f>Lookup!G20</f>
        <v>Basis</v>
      </c>
      <c r="H10" s="41" t="str">
        <f>Lookup!H20</f>
        <v>Timing</v>
      </c>
      <c r="I10" s="41"/>
      <c r="J10" s="41" t="str">
        <f>Lookup!J20</f>
        <v>RY06</v>
      </c>
      <c r="K10" s="41" t="str">
        <f>Lookup!K20</f>
        <v>RY07</v>
      </c>
      <c r="L10" s="41" t="str">
        <f>Lookup!L20</f>
        <v>RY08</v>
      </c>
      <c r="M10" s="41" t="str">
        <f>Lookup!M20</f>
        <v>RY09</v>
      </c>
      <c r="N10" s="41" t="str">
        <f>Lookup!N20</f>
        <v>RY10</v>
      </c>
      <c r="O10" s="41" t="str">
        <f>Lookup!O20</f>
        <v>RY11</v>
      </c>
      <c r="P10" s="41" t="str">
        <f>Lookup!P20</f>
        <v>RY12</v>
      </c>
      <c r="Q10" s="41" t="str">
        <f>Lookup!Q20</f>
        <v>RY13</v>
      </c>
      <c r="R10" s="41" t="str">
        <f>Lookup!R20</f>
        <v>RY14</v>
      </c>
      <c r="S10" s="41" t="str">
        <f>Lookup!S20</f>
        <v>RY15</v>
      </c>
      <c r="T10" s="41" t="str">
        <f>Lookup!T20</f>
        <v>RY16</v>
      </c>
      <c r="U10" s="41" t="str">
        <f>Lookup!U20</f>
        <v>RY17</v>
      </c>
      <c r="V10" s="41" t="str">
        <f>Lookup!V20</f>
        <v>RY18</v>
      </c>
      <c r="W10" s="41" t="str">
        <f>Lookup!W20</f>
        <v>RY19</v>
      </c>
      <c r="X10" s="41" t="str">
        <f>Lookup!X20</f>
        <v>RY20</v>
      </c>
      <c r="Y10" s="41" t="str">
        <f>Lookup!Y20</f>
        <v>RY21</v>
      </c>
      <c r="Z10" s="41" t="str">
        <f>Lookup!Z20</f>
        <v>RY22</v>
      </c>
      <c r="AA10" s="41" t="str">
        <f>Lookup!AA20</f>
        <v>RY23</v>
      </c>
      <c r="AB10" s="41" t="str">
        <f>Lookup!AB20</f>
        <v>RY24</v>
      </c>
    </row>
    <row r="12" spans="1:28" s="4" customFormat="1" ht="15" x14ac:dyDescent="0.35">
      <c r="B12" s="4" t="s">
        <v>155</v>
      </c>
    </row>
    <row r="13" spans="1:28" s="6" customFormat="1" ht="4.5" customHeight="1" x14ac:dyDescent="0.35"/>
    <row r="14" spans="1:28" s="13" customFormat="1" ht="14.1" x14ac:dyDescent="0.35">
      <c r="C14" s="13" t="s">
        <v>147</v>
      </c>
    </row>
    <row r="15" spans="1:28" s="6" customFormat="1" ht="11.25" customHeight="1" x14ac:dyDescent="0.35"/>
    <row r="16" spans="1:28" ht="12.3" x14ac:dyDescent="0.35">
      <c r="D16" s="50" t="s">
        <v>201</v>
      </c>
      <c r="E16" s="45" t="str">
        <f>Lookup!E$20</f>
        <v>Source</v>
      </c>
      <c r="F16" s="45" t="str">
        <f>Lookup!F$20</f>
        <v>Unit</v>
      </c>
      <c r="G16" s="45" t="str">
        <f>Lookup!G$20</f>
        <v>Basis</v>
      </c>
      <c r="H16" s="45" t="str">
        <f>Lookup!H$20</f>
        <v>Timing</v>
      </c>
      <c r="J16" s="54" t="str">
        <f>J$10</f>
        <v>RY06</v>
      </c>
      <c r="K16" s="45" t="str">
        <f t="shared" ref="K16:AB16" si="0">K$10</f>
        <v>RY07</v>
      </c>
      <c r="L16" s="45" t="str">
        <f t="shared" si="0"/>
        <v>RY08</v>
      </c>
      <c r="M16" s="45" t="str">
        <f t="shared" si="0"/>
        <v>RY09</v>
      </c>
      <c r="N16" s="45" t="str">
        <f t="shared" si="0"/>
        <v>RY10</v>
      </c>
      <c r="O16" s="45" t="str">
        <f>O$10</f>
        <v>RY11</v>
      </c>
      <c r="P16" s="45" t="str">
        <f t="shared" si="0"/>
        <v>RY12</v>
      </c>
      <c r="Q16" s="45" t="str">
        <f t="shared" si="0"/>
        <v>RY13</v>
      </c>
      <c r="R16" s="55" t="str">
        <f t="shared" si="0"/>
        <v>RY14</v>
      </c>
      <c r="S16" s="54" t="str">
        <f t="shared" si="0"/>
        <v>RY15</v>
      </c>
      <c r="T16" s="45" t="str">
        <f>T$10</f>
        <v>RY16</v>
      </c>
      <c r="U16" s="45" t="str">
        <f t="shared" si="0"/>
        <v>RY17</v>
      </c>
      <c r="V16" s="45" t="str">
        <f t="shared" si="0"/>
        <v>RY18</v>
      </c>
      <c r="W16" s="55" t="str">
        <f t="shared" si="0"/>
        <v>RY19</v>
      </c>
      <c r="X16" s="54" t="str">
        <f t="shared" si="0"/>
        <v>RY20</v>
      </c>
      <c r="Y16" s="45" t="str">
        <f>Y$10</f>
        <v>RY21</v>
      </c>
      <c r="Z16" s="45" t="str">
        <f t="shared" si="0"/>
        <v>RY22</v>
      </c>
      <c r="AA16" s="45" t="str">
        <f t="shared" si="0"/>
        <v>RY23</v>
      </c>
      <c r="AB16" s="55" t="str">
        <f t="shared" si="0"/>
        <v>RY24</v>
      </c>
    </row>
    <row r="17" spans="1:28" x14ac:dyDescent="0.35">
      <c r="J17" s="56"/>
      <c r="K17" s="57"/>
      <c r="L17" s="57"/>
      <c r="M17" s="57"/>
      <c r="N17" s="57"/>
      <c r="O17" s="57"/>
      <c r="P17" s="57"/>
      <c r="Q17" s="57"/>
      <c r="R17" s="58"/>
      <c r="S17" s="56"/>
      <c r="T17" s="57"/>
      <c r="U17" s="57"/>
      <c r="V17" s="57"/>
      <c r="W17" s="58"/>
      <c r="X17" s="56"/>
      <c r="Y17" s="57"/>
      <c r="Z17" s="57"/>
      <c r="AA17" s="57"/>
      <c r="AB17" s="58"/>
    </row>
    <row r="18" spans="1:28" ht="12.3" x14ac:dyDescent="0.35">
      <c r="D18" s="15" t="str">
        <f>Lookup!D103</f>
        <v>Overhead network assets less than 33kV</v>
      </c>
      <c r="E18" s="52" t="s">
        <v>158</v>
      </c>
      <c r="F18" s="52" t="str">
        <f t="shared" ref="F18:F27" si="1">Dollars</f>
        <v>Dollars</v>
      </c>
      <c r="G18" s="52" t="str">
        <f t="shared" ref="G18:G27" si="2">Nominal</f>
        <v>Nominal</v>
      </c>
      <c r="H18" s="52" t="str">
        <f t="shared" ref="H18:H27" si="3">Start_year</f>
        <v>Start year</v>
      </c>
      <c r="J18" s="71">
        <f>SUMPRODUCT((Calc_Alloc!$E$11:$E$27)*(Calc_RAB_NS!J$18:J$34))</f>
        <v>37.790466705886217</v>
      </c>
      <c r="K18" s="67">
        <f>J151</f>
        <v>40.58084052630528</v>
      </c>
      <c r="L18" s="67">
        <f t="shared" ref="L18:AB18" si="4">K151</f>
        <v>43.998327474311651</v>
      </c>
      <c r="M18" s="67">
        <f t="shared" si="4"/>
        <v>48.579072176043539</v>
      </c>
      <c r="N18" s="67">
        <f t="shared" si="4"/>
        <v>52.016970815439393</v>
      </c>
      <c r="O18" s="67">
        <f t="shared" si="4"/>
        <v>55.674338794952604</v>
      </c>
      <c r="P18" s="67">
        <f t="shared" si="4"/>
        <v>59.565342633047557</v>
      </c>
      <c r="Q18" s="67">
        <f t="shared" si="4"/>
        <v>63.17000271572261</v>
      </c>
      <c r="R18" s="68">
        <f t="shared" si="4"/>
        <v>70.782453599585736</v>
      </c>
      <c r="S18" s="66">
        <f t="shared" si="4"/>
        <v>75.810388470053482</v>
      </c>
      <c r="T18" s="67">
        <f t="shared" si="4"/>
        <v>79.184237783716938</v>
      </c>
      <c r="U18" s="67">
        <f t="shared" si="4"/>
        <v>80.897508137741013</v>
      </c>
      <c r="V18" s="67">
        <f t="shared" si="4"/>
        <v>82.957813462294112</v>
      </c>
      <c r="W18" s="68">
        <f t="shared" si="4"/>
        <v>83.473133796022097</v>
      </c>
      <c r="X18" s="66">
        <f t="shared" si="4"/>
        <v>84.042515233104851</v>
      </c>
      <c r="Y18" s="67">
        <f t="shared" si="4"/>
        <v>89.577721642038085</v>
      </c>
      <c r="Z18" s="67">
        <f t="shared" si="4"/>
        <v>96.490790556337956</v>
      </c>
      <c r="AA18" s="67">
        <f t="shared" si="4"/>
        <v>101.53111148057896</v>
      </c>
      <c r="AB18" s="68">
        <f t="shared" si="4"/>
        <v>105.91312928979234</v>
      </c>
    </row>
    <row r="19" spans="1:28" ht="12.3" x14ac:dyDescent="0.35">
      <c r="D19" s="15" t="str">
        <f>Lookup!D104</f>
        <v>Underground network assets less than 33kV</v>
      </c>
      <c r="E19" s="52" t="s">
        <v>158</v>
      </c>
      <c r="F19" s="52" t="str">
        <f t="shared" si="1"/>
        <v>Dollars</v>
      </c>
      <c r="G19" s="52" t="str">
        <f t="shared" si="2"/>
        <v>Nominal</v>
      </c>
      <c r="H19" s="52" t="str">
        <f t="shared" si="3"/>
        <v>Start year</v>
      </c>
      <c r="J19" s="72">
        <f>SUMPRODUCT((Calc_Alloc!$F$11:$F$27)*(Calc_RAB_NS!J$18:J$34))</f>
        <v>78.281564020806513</v>
      </c>
      <c r="K19" s="67">
        <f t="shared" ref="K19:AB27" si="5">J152</f>
        <v>84.061721445565368</v>
      </c>
      <c r="L19" s="67">
        <f t="shared" si="5"/>
        <v>91.140920923402533</v>
      </c>
      <c r="M19" s="67">
        <f t="shared" si="5"/>
        <v>100.629766253337</v>
      </c>
      <c r="N19" s="67">
        <f t="shared" si="5"/>
        <v>107.75124779233633</v>
      </c>
      <c r="O19" s="67">
        <f t="shared" si="5"/>
        <v>115.32735200659791</v>
      </c>
      <c r="P19" s="67">
        <f t="shared" si="5"/>
        <v>123.38742433764841</v>
      </c>
      <c r="Q19" s="67">
        <f t="shared" si="5"/>
        <v>130.85434622052722</v>
      </c>
      <c r="R19" s="68">
        <f t="shared" si="5"/>
        <v>146.62326069173824</v>
      </c>
      <c r="S19" s="66">
        <f t="shared" si="5"/>
        <v>157.03844405373135</v>
      </c>
      <c r="T19" s="67">
        <f t="shared" si="5"/>
        <v>164.02710836171775</v>
      </c>
      <c r="U19" s="67">
        <f t="shared" si="5"/>
        <v>167.57593934634804</v>
      </c>
      <c r="V19" s="67">
        <f t="shared" si="5"/>
        <v>171.84364848128192</v>
      </c>
      <c r="W19" s="68">
        <f t="shared" si="5"/>
        <v>172.91110390082534</v>
      </c>
      <c r="X19" s="66">
        <f t="shared" si="5"/>
        <v>174.09042101536977</v>
      </c>
      <c r="Y19" s="67">
        <f t="shared" si="5"/>
        <v>185.55638489281415</v>
      </c>
      <c r="Z19" s="67">
        <f t="shared" si="5"/>
        <v>199.87653219642934</v>
      </c>
      <c r="AA19" s="67">
        <f t="shared" si="5"/>
        <v>210.31735491986669</v>
      </c>
      <c r="AB19" s="68">
        <f t="shared" si="5"/>
        <v>219.39453058757411</v>
      </c>
    </row>
    <row r="20" spans="1:28" ht="12.3" x14ac:dyDescent="0.35">
      <c r="D20" s="15" t="str">
        <f>Lookup!D105</f>
        <v>Distribution substations and transformers</v>
      </c>
      <c r="E20" s="52" t="s">
        <v>158</v>
      </c>
      <c r="F20" s="52" t="str">
        <f t="shared" si="1"/>
        <v>Dollars</v>
      </c>
      <c r="G20" s="52" t="str">
        <f t="shared" si="2"/>
        <v>Nominal</v>
      </c>
      <c r="H20" s="52" t="str">
        <f t="shared" si="3"/>
        <v>Start year</v>
      </c>
      <c r="J20" s="72">
        <f>SUMPRODUCT((Calc_Alloc!$G$11:$G$27)*(Calc_RAB_NS!J$18:J$34))</f>
        <v>56.507230561560803</v>
      </c>
      <c r="K20" s="67">
        <f t="shared" si="5"/>
        <v>55.066758148958435</v>
      </c>
      <c r="L20" s="67">
        <f t="shared" si="5"/>
        <v>53.511958775880494</v>
      </c>
      <c r="M20" s="67">
        <f t="shared" si="5"/>
        <v>59.796961032124919</v>
      </c>
      <c r="N20" s="67">
        <f t="shared" si="5"/>
        <v>68.281614135150278</v>
      </c>
      <c r="O20" s="67">
        <f t="shared" si="5"/>
        <v>80.384183096319191</v>
      </c>
      <c r="P20" s="67">
        <f t="shared" si="5"/>
        <v>91.927764552293439</v>
      </c>
      <c r="Q20" s="67">
        <f t="shared" si="5"/>
        <v>94.368202669798663</v>
      </c>
      <c r="R20" s="68">
        <f t="shared" si="5"/>
        <v>97.269887866474079</v>
      </c>
      <c r="S20" s="66">
        <f t="shared" si="5"/>
        <v>100.47441671974134</v>
      </c>
      <c r="T20" s="67">
        <f t="shared" si="5"/>
        <v>111.29602347145031</v>
      </c>
      <c r="U20" s="67">
        <f t="shared" si="5"/>
        <v>120.24849856743077</v>
      </c>
      <c r="V20" s="67">
        <f t="shared" si="5"/>
        <v>127.06892298093524</v>
      </c>
      <c r="W20" s="68">
        <f t="shared" si="5"/>
        <v>131.95708981330677</v>
      </c>
      <c r="X20" s="66">
        <f t="shared" si="5"/>
        <v>147.23298763042686</v>
      </c>
      <c r="Y20" s="67">
        <f t="shared" si="5"/>
        <v>153.34285378764153</v>
      </c>
      <c r="Z20" s="67">
        <f t="shared" si="5"/>
        <v>160.41252437963658</v>
      </c>
      <c r="AA20" s="67">
        <f t="shared" si="5"/>
        <v>167.23641989848062</v>
      </c>
      <c r="AB20" s="68">
        <f t="shared" si="5"/>
        <v>175.4719882423995</v>
      </c>
    </row>
    <row r="21" spans="1:28" ht="12.3" x14ac:dyDescent="0.35">
      <c r="D21" s="15" t="str">
        <f>Lookup!D106</f>
        <v>Overhead network assets 33kV and above</v>
      </c>
      <c r="E21" s="52" t="s">
        <v>158</v>
      </c>
      <c r="F21" s="52" t="str">
        <f t="shared" si="1"/>
        <v>Dollars</v>
      </c>
      <c r="G21" s="52" t="str">
        <f t="shared" si="2"/>
        <v>Nominal</v>
      </c>
      <c r="H21" s="52" t="str">
        <f t="shared" si="3"/>
        <v>Start year</v>
      </c>
      <c r="J21" s="72">
        <f>SUMPRODUCT((Calc_Alloc!$H$11:$H$27)*(Calc_RAB_NS!J$18:J$34))</f>
        <v>66.801062937318775</v>
      </c>
      <c r="K21" s="67">
        <f t="shared" si="5"/>
        <v>70.740199656719199</v>
      </c>
      <c r="L21" s="67">
        <f t="shared" si="5"/>
        <v>75.612645019104377</v>
      </c>
      <c r="M21" s="67">
        <f t="shared" si="5"/>
        <v>76.897616946939394</v>
      </c>
      <c r="N21" s="67">
        <f t="shared" si="5"/>
        <v>76.242035307053598</v>
      </c>
      <c r="O21" s="67">
        <f t="shared" si="5"/>
        <v>86.989103942939948</v>
      </c>
      <c r="P21" s="67">
        <f t="shared" si="5"/>
        <v>97.554269173773747</v>
      </c>
      <c r="Q21" s="67">
        <f t="shared" si="5"/>
        <v>101.94955559821641</v>
      </c>
      <c r="R21" s="68">
        <f t="shared" si="5"/>
        <v>111.32195664985137</v>
      </c>
      <c r="S21" s="66">
        <f t="shared" si="5"/>
        <v>112.69114532304692</v>
      </c>
      <c r="T21" s="67">
        <f t="shared" si="5"/>
        <v>112.64394026495373</v>
      </c>
      <c r="U21" s="67">
        <f t="shared" si="5"/>
        <v>114.13606717696348</v>
      </c>
      <c r="V21" s="67">
        <f t="shared" si="5"/>
        <v>116.39551161419392</v>
      </c>
      <c r="W21" s="68">
        <f t="shared" si="5"/>
        <v>120.67292872717621</v>
      </c>
      <c r="X21" s="66">
        <f t="shared" si="5"/>
        <v>120.32531256962051</v>
      </c>
      <c r="Y21" s="67">
        <f t="shared" si="5"/>
        <v>120.91444021703823</v>
      </c>
      <c r="Z21" s="67">
        <f t="shared" si="5"/>
        <v>121.35502625510428</v>
      </c>
      <c r="AA21" s="67">
        <f t="shared" si="5"/>
        <v>121.65446115412682</v>
      </c>
      <c r="AB21" s="68">
        <f t="shared" si="5"/>
        <v>122.01797211602037</v>
      </c>
    </row>
    <row r="22" spans="1:28" ht="12.3" x14ac:dyDescent="0.35">
      <c r="D22" s="15" t="str">
        <f>Lookup!D107</f>
        <v>Underground network assets 33kV and above</v>
      </c>
      <c r="E22" s="52" t="s">
        <v>158</v>
      </c>
      <c r="F22" s="52" t="str">
        <f t="shared" si="1"/>
        <v>Dollars</v>
      </c>
      <c r="G22" s="52" t="str">
        <f t="shared" si="2"/>
        <v>Nominal</v>
      </c>
      <c r="H22" s="52" t="str">
        <f t="shared" si="3"/>
        <v>Start year</v>
      </c>
      <c r="J22" s="72">
        <f>SUMPRODUCT((Calc_Alloc!$I$11:$I$27)*(Calc_RAB_NS!J$18:J$34))</f>
        <v>33.426313108768937</v>
      </c>
      <c r="K22" s="67">
        <f t="shared" si="5"/>
        <v>35.397401764715589</v>
      </c>
      <c r="L22" s="67">
        <f t="shared" si="5"/>
        <v>37.835504949410108</v>
      </c>
      <c r="M22" s="67">
        <f t="shared" si="5"/>
        <v>38.478486843816412</v>
      </c>
      <c r="N22" s="67">
        <f t="shared" si="5"/>
        <v>38.150443004398092</v>
      </c>
      <c r="O22" s="67">
        <f t="shared" si="5"/>
        <v>43.528125116457396</v>
      </c>
      <c r="P22" s="67">
        <f t="shared" si="5"/>
        <v>48.814785320997913</v>
      </c>
      <c r="Q22" s="67">
        <f t="shared" si="5"/>
        <v>51.014124878872899</v>
      </c>
      <c r="R22" s="68">
        <f t="shared" si="5"/>
        <v>55.703942650588139</v>
      </c>
      <c r="S22" s="66">
        <f t="shared" si="5"/>
        <v>56.389065420837447</v>
      </c>
      <c r="T22" s="67">
        <f t="shared" si="5"/>
        <v>56.365444673161299</v>
      </c>
      <c r="U22" s="67">
        <f t="shared" si="5"/>
        <v>57.11208401040745</v>
      </c>
      <c r="V22" s="67">
        <f t="shared" si="5"/>
        <v>58.242678253819385</v>
      </c>
      <c r="W22" s="68">
        <f t="shared" si="5"/>
        <v>60.383037664709491</v>
      </c>
      <c r="X22" s="66">
        <f t="shared" si="5"/>
        <v>60.20909542467318</v>
      </c>
      <c r="Y22" s="67">
        <f t="shared" si="5"/>
        <v>60.503886620168004</v>
      </c>
      <c r="Z22" s="67">
        <f t="shared" si="5"/>
        <v>60.724349681864581</v>
      </c>
      <c r="AA22" s="67">
        <f t="shared" si="5"/>
        <v>60.874182697243562</v>
      </c>
      <c r="AB22" s="68">
        <f t="shared" si="5"/>
        <v>61.056078473993779</v>
      </c>
    </row>
    <row r="23" spans="1:28" ht="12.3" x14ac:dyDescent="0.35">
      <c r="D23" s="15" t="str">
        <f>Lookup!D108</f>
        <v>Zone substations and transformers</v>
      </c>
      <c r="E23" s="52" t="s">
        <v>158</v>
      </c>
      <c r="F23" s="52" t="str">
        <f t="shared" si="1"/>
        <v>Dollars</v>
      </c>
      <c r="G23" s="52" t="str">
        <f t="shared" si="2"/>
        <v>Nominal</v>
      </c>
      <c r="H23" s="52" t="str">
        <f t="shared" si="3"/>
        <v>Start year</v>
      </c>
      <c r="J23" s="72">
        <f>SUMPRODUCT((Calc_Alloc!$J$11:$J$27)*(Calc_RAB_NS!J$18:J$34))</f>
        <v>47.071726111497853</v>
      </c>
      <c r="K23" s="67">
        <f t="shared" si="5"/>
        <v>49.257548154962308</v>
      </c>
      <c r="L23" s="67">
        <f t="shared" si="5"/>
        <v>51.93307559593201</v>
      </c>
      <c r="M23" s="67">
        <f t="shared" si="5"/>
        <v>73.566519243986875</v>
      </c>
      <c r="N23" s="67">
        <f t="shared" si="5"/>
        <v>105.48723246211824</v>
      </c>
      <c r="O23" s="67">
        <f t="shared" si="5"/>
        <v>134.25745022204163</v>
      </c>
      <c r="P23" s="67">
        <f t="shared" si="5"/>
        <v>175.9477180867863</v>
      </c>
      <c r="Q23" s="67">
        <f t="shared" si="5"/>
        <v>211.49979112014324</v>
      </c>
      <c r="R23" s="68">
        <f t="shared" si="5"/>
        <v>264.91040389827987</v>
      </c>
      <c r="S23" s="66">
        <f t="shared" si="5"/>
        <v>314.98760845090567</v>
      </c>
      <c r="T23" s="67">
        <f t="shared" si="5"/>
        <v>334.30781602676626</v>
      </c>
      <c r="U23" s="67">
        <f t="shared" si="5"/>
        <v>344.20334039390258</v>
      </c>
      <c r="V23" s="67">
        <f t="shared" si="5"/>
        <v>344.93919547332405</v>
      </c>
      <c r="W23" s="68">
        <f t="shared" si="5"/>
        <v>341.65083978271218</v>
      </c>
      <c r="X23" s="66">
        <f t="shared" si="5"/>
        <v>325.90080806224711</v>
      </c>
      <c r="Y23" s="67">
        <f t="shared" si="5"/>
        <v>332.5534485892818</v>
      </c>
      <c r="Z23" s="67">
        <f t="shared" si="5"/>
        <v>338.83170779216249</v>
      </c>
      <c r="AA23" s="67">
        <f t="shared" si="5"/>
        <v>348.38225451899098</v>
      </c>
      <c r="AB23" s="68">
        <f t="shared" si="5"/>
        <v>357.95320913092814</v>
      </c>
    </row>
    <row r="24" spans="1:28" ht="12.3" x14ac:dyDescent="0.35">
      <c r="D24" s="15" t="str">
        <f>Lookup!D109</f>
        <v>Easements</v>
      </c>
      <c r="E24" s="52" t="s">
        <v>158</v>
      </c>
      <c r="F24" s="52" t="str">
        <f t="shared" si="1"/>
        <v>Dollars</v>
      </c>
      <c r="G24" s="52" t="str">
        <f t="shared" si="2"/>
        <v>Nominal</v>
      </c>
      <c r="H24" s="52" t="str">
        <f t="shared" si="3"/>
        <v>Start year</v>
      </c>
      <c r="J24" s="72">
        <f>SUMPRODUCT((Calc_Alloc!$K$11:$K$27)*(Calc_RAB_NS!J$18:J$34))</f>
        <v>28.03394700308905</v>
      </c>
      <c r="K24" s="67">
        <f t="shared" si="5"/>
        <v>29.444843897374323</v>
      </c>
      <c r="L24" s="67">
        <f t="shared" si="5"/>
        <v>30.922463155114897</v>
      </c>
      <c r="M24" s="67">
        <f t="shared" si="5"/>
        <v>32.243630749502024</v>
      </c>
      <c r="N24" s="67">
        <f t="shared" si="5"/>
        <v>33.029189859678155</v>
      </c>
      <c r="O24" s="67">
        <f t="shared" si="5"/>
        <v>33.993285131257949</v>
      </c>
      <c r="P24" s="67">
        <f t="shared" si="5"/>
        <v>35.10020933196067</v>
      </c>
      <c r="Q24" s="67">
        <f t="shared" si="5"/>
        <v>35.671525048452402</v>
      </c>
      <c r="R24" s="68">
        <f t="shared" si="5"/>
        <v>33.024999999999999</v>
      </c>
      <c r="S24" s="66">
        <f t="shared" si="5"/>
        <v>34.47125290902666</v>
      </c>
      <c r="T24" s="67">
        <f t="shared" si="5"/>
        <v>34.929125338558322</v>
      </c>
      <c r="U24" s="67">
        <f t="shared" si="5"/>
        <v>35.386997768089991</v>
      </c>
      <c r="V24" s="67">
        <f t="shared" si="5"/>
        <v>36.128882714951189</v>
      </c>
      <c r="W24" s="68">
        <f t="shared" si="5"/>
        <v>37.004962835958267</v>
      </c>
      <c r="X24" s="66">
        <f t="shared" si="5"/>
        <v>46.354917721396681</v>
      </c>
      <c r="Y24" s="67">
        <f t="shared" si="5"/>
        <v>47.478966373746196</v>
      </c>
      <c r="Z24" s="67">
        <f t="shared" si="5"/>
        <v>48.630271797004951</v>
      </c>
      <c r="AA24" s="67">
        <f t="shared" si="5"/>
        <v>49.809494933703185</v>
      </c>
      <c r="AB24" s="68">
        <f t="shared" si="5"/>
        <v>51.017312753399054</v>
      </c>
    </row>
    <row r="25" spans="1:28" ht="12.3" x14ac:dyDescent="0.35">
      <c r="D25" s="15" t="str">
        <f>Lookup!D110</f>
        <v>Meters</v>
      </c>
      <c r="E25" s="52" t="s">
        <v>158</v>
      </c>
      <c r="F25" s="52" t="str">
        <f t="shared" si="1"/>
        <v>Dollars</v>
      </c>
      <c r="G25" s="52" t="str">
        <f t="shared" si="2"/>
        <v>Nominal</v>
      </c>
      <c r="H25" s="52" t="str">
        <f t="shared" si="3"/>
        <v>Start year</v>
      </c>
      <c r="J25" s="72">
        <f>SUMPRODUCT((Calc_Alloc!$L$11:$L$27)*(Calc_RAB_NS!J$18:J$34))</f>
        <v>0</v>
      </c>
      <c r="K25" s="67">
        <f t="shared" si="5"/>
        <v>0</v>
      </c>
      <c r="L25" s="67">
        <f t="shared" si="5"/>
        <v>0</v>
      </c>
      <c r="M25" s="67">
        <f t="shared" si="5"/>
        <v>0</v>
      </c>
      <c r="N25" s="67">
        <f t="shared" si="5"/>
        <v>0</v>
      </c>
      <c r="O25" s="67">
        <f t="shared" si="5"/>
        <v>0</v>
      </c>
      <c r="P25" s="67">
        <f t="shared" si="5"/>
        <v>0</v>
      </c>
      <c r="Q25" s="67">
        <f t="shared" si="5"/>
        <v>0</v>
      </c>
      <c r="R25" s="68">
        <f t="shared" si="5"/>
        <v>0</v>
      </c>
      <c r="S25" s="66">
        <f t="shared" si="5"/>
        <v>0</v>
      </c>
      <c r="T25" s="67">
        <f t="shared" si="5"/>
        <v>0</v>
      </c>
      <c r="U25" s="67">
        <f t="shared" si="5"/>
        <v>0</v>
      </c>
      <c r="V25" s="67">
        <f t="shared" si="5"/>
        <v>0</v>
      </c>
      <c r="W25" s="68">
        <f t="shared" si="5"/>
        <v>0</v>
      </c>
      <c r="X25" s="66">
        <f t="shared" si="5"/>
        <v>0</v>
      </c>
      <c r="Y25" s="67">
        <f t="shared" si="5"/>
        <v>0</v>
      </c>
      <c r="Z25" s="67">
        <f t="shared" si="5"/>
        <v>0</v>
      </c>
      <c r="AA25" s="67">
        <f t="shared" si="5"/>
        <v>0</v>
      </c>
      <c r="AB25" s="68">
        <f t="shared" si="5"/>
        <v>0</v>
      </c>
    </row>
    <row r="26" spans="1:28" ht="12.3" x14ac:dyDescent="0.35">
      <c r="D26" s="15" t="str">
        <f>Lookup!D111</f>
        <v>“Other” asset items with long lives</v>
      </c>
      <c r="E26" s="52" t="s">
        <v>158</v>
      </c>
      <c r="F26" s="52" t="str">
        <f t="shared" si="1"/>
        <v>Dollars</v>
      </c>
      <c r="G26" s="52" t="str">
        <f t="shared" si="2"/>
        <v>Nominal</v>
      </c>
      <c r="H26" s="52" t="str">
        <f t="shared" si="3"/>
        <v>Start year</v>
      </c>
      <c r="J26" s="72">
        <f>SUMPRODUCT((Calc_Alloc!$M$11:$M$27)*(Calc_RAB_NS!J$18:J$34))</f>
        <v>0.56427078965620114</v>
      </c>
      <c r="K26" s="67">
        <f t="shared" si="5"/>
        <v>0.58076591627221685</v>
      </c>
      <c r="L26" s="67">
        <f t="shared" si="5"/>
        <v>0.59519915206123042</v>
      </c>
      <c r="M26" s="67">
        <f t="shared" si="5"/>
        <v>1.1576579982008739</v>
      </c>
      <c r="N26" s="67">
        <f t="shared" si="5"/>
        <v>1.4515497160196358</v>
      </c>
      <c r="O26" s="67">
        <f t="shared" si="5"/>
        <v>1.4939192752980466</v>
      </c>
      <c r="P26" s="67">
        <f t="shared" si="5"/>
        <v>1.5425658063214072</v>
      </c>
      <c r="Q26" s="67">
        <f t="shared" si="5"/>
        <v>1.5676736933012065</v>
      </c>
      <c r="R26" s="68">
        <f t="shared" si="5"/>
        <v>1.6069047667071426</v>
      </c>
      <c r="S26" s="66">
        <f t="shared" si="5"/>
        <v>1.736675383044163</v>
      </c>
      <c r="T26" s="67">
        <f t="shared" si="5"/>
        <v>1.9050662301253951</v>
      </c>
      <c r="U26" s="67">
        <f t="shared" si="5"/>
        <v>2.4524778089326911</v>
      </c>
      <c r="V26" s="67">
        <f t="shared" si="5"/>
        <v>4.8751079789943796</v>
      </c>
      <c r="W26" s="68">
        <f t="shared" si="5"/>
        <v>9.1333197251311944</v>
      </c>
      <c r="X26" s="66">
        <f t="shared" si="5"/>
        <v>25.081416738636822</v>
      </c>
      <c r="Y26" s="67">
        <f t="shared" si="5"/>
        <v>43.239454071347161</v>
      </c>
      <c r="Z26" s="67">
        <f t="shared" si="5"/>
        <v>52.905082065824587</v>
      </c>
      <c r="AA26" s="67">
        <f t="shared" si="5"/>
        <v>66.233970334572021</v>
      </c>
      <c r="AB26" s="68">
        <f t="shared" si="5"/>
        <v>69.043729499132567</v>
      </c>
    </row>
    <row r="27" spans="1:28" ht="12.3" x14ac:dyDescent="0.35">
      <c r="D27" s="15" t="str">
        <f>Lookup!D112</f>
        <v>“Other” asset items with short lives</v>
      </c>
      <c r="E27" s="52" t="s">
        <v>158</v>
      </c>
      <c r="F27" s="52" t="str">
        <f t="shared" si="1"/>
        <v>Dollars</v>
      </c>
      <c r="G27" s="52" t="str">
        <f t="shared" si="2"/>
        <v>Nominal</v>
      </c>
      <c r="H27" s="52" t="str">
        <f t="shared" si="3"/>
        <v>Start year</v>
      </c>
      <c r="J27" s="73">
        <f>SUMPRODUCT((Calc_Alloc!$N$11:$N$27)*(Calc_RAB_NS!J$18:J$34))</f>
        <v>2.0885146676098501</v>
      </c>
      <c r="K27" s="67">
        <f t="shared" si="5"/>
        <v>0.82091709057313911</v>
      </c>
      <c r="L27" s="67">
        <f t="shared" si="5"/>
        <v>0.60044477799461515</v>
      </c>
      <c r="M27" s="67">
        <f t="shared" si="5"/>
        <v>0.29246182684719696</v>
      </c>
      <c r="N27" s="67">
        <f t="shared" si="5"/>
        <v>3.9470165527343323E-2</v>
      </c>
      <c r="O27" s="67">
        <f t="shared" si="5"/>
        <v>4.0622267656249544E-2</v>
      </c>
      <c r="P27" s="67">
        <f t="shared" si="5"/>
        <v>0.31592684001872451</v>
      </c>
      <c r="Q27" s="67">
        <f t="shared" si="5"/>
        <v>2.8181106960225857</v>
      </c>
      <c r="R27" s="68">
        <f t="shared" si="5"/>
        <v>7.2490899399153559</v>
      </c>
      <c r="S27" s="66">
        <f t="shared" si="5"/>
        <v>8.1706924591252257</v>
      </c>
      <c r="T27" s="67">
        <f t="shared" si="5"/>
        <v>7.5405950108274276</v>
      </c>
      <c r="U27" s="67">
        <f t="shared" si="5"/>
        <v>6.0591650950727729</v>
      </c>
      <c r="V27" s="67">
        <f t="shared" si="5"/>
        <v>4.4831236140217596</v>
      </c>
      <c r="W27" s="68">
        <f t="shared" si="5"/>
        <v>3.1603810910413817</v>
      </c>
      <c r="X27" s="66">
        <f t="shared" si="5"/>
        <v>0.75889239587925938</v>
      </c>
      <c r="Y27" s="67">
        <f t="shared" si="5"/>
        <v>26.318022251292152</v>
      </c>
      <c r="Z27" s="67">
        <f t="shared" si="5"/>
        <v>29.12275370556188</v>
      </c>
      <c r="AA27" s="67">
        <f t="shared" si="5"/>
        <v>55.125597468258384</v>
      </c>
      <c r="AB27" s="68">
        <f t="shared" si="5"/>
        <v>55.583814809038977</v>
      </c>
    </row>
    <row r="28" spans="1:28" x14ac:dyDescent="0.35">
      <c r="J28" s="56"/>
      <c r="K28" s="57"/>
      <c r="L28" s="57"/>
      <c r="M28" s="57"/>
      <c r="N28" s="57"/>
      <c r="O28" s="57"/>
      <c r="P28" s="57"/>
      <c r="Q28" s="57"/>
      <c r="R28" s="58"/>
      <c r="S28" s="56"/>
      <c r="T28" s="57"/>
      <c r="U28" s="57"/>
      <c r="V28" s="57"/>
      <c r="W28" s="58"/>
      <c r="X28" s="56"/>
      <c r="Y28" s="57"/>
      <c r="Z28" s="57"/>
      <c r="AA28" s="57"/>
      <c r="AB28" s="58"/>
    </row>
    <row r="29" spans="1:28" ht="12.3" x14ac:dyDescent="0.35">
      <c r="D29" s="51" t="str">
        <f>"Total "&amp;D16</f>
        <v>Total EB RIN Categories</v>
      </c>
      <c r="E29" s="47" t="s">
        <v>111</v>
      </c>
      <c r="F29" s="47" t="str">
        <f>F18</f>
        <v>Dollars</v>
      </c>
      <c r="G29" s="47" t="str">
        <f>G18</f>
        <v>Nominal</v>
      </c>
      <c r="H29" s="47" t="str">
        <f>H18</f>
        <v>Start year</v>
      </c>
      <c r="J29" s="62">
        <f t="shared" ref="J29:AB29" si="6">SUM(J18:J27)</f>
        <v>350.56509590619413</v>
      </c>
      <c r="K29" s="46">
        <f t="shared" si="6"/>
        <v>365.95099660144587</v>
      </c>
      <c r="L29" s="46">
        <f t="shared" si="6"/>
        <v>386.15053982321189</v>
      </c>
      <c r="M29" s="46">
        <f t="shared" si="6"/>
        <v>431.64217307079826</v>
      </c>
      <c r="N29" s="46">
        <f t="shared" si="6"/>
        <v>482.44975325772111</v>
      </c>
      <c r="O29" s="46">
        <f t="shared" si="6"/>
        <v>551.68837985352081</v>
      </c>
      <c r="P29" s="46">
        <f t="shared" si="6"/>
        <v>634.15600608284797</v>
      </c>
      <c r="Q29" s="46">
        <f t="shared" si="6"/>
        <v>692.9133326410572</v>
      </c>
      <c r="R29" s="63">
        <f t="shared" si="6"/>
        <v>788.49290006313981</v>
      </c>
      <c r="S29" s="62">
        <f t="shared" si="6"/>
        <v>861.76968918951218</v>
      </c>
      <c r="T29" s="46">
        <f t="shared" si="6"/>
        <v>902.19935716127748</v>
      </c>
      <c r="U29" s="46">
        <f t="shared" si="6"/>
        <v>928.07207830488881</v>
      </c>
      <c r="V29" s="46">
        <f t="shared" si="6"/>
        <v>946.93488457381602</v>
      </c>
      <c r="W29" s="63">
        <f t="shared" si="6"/>
        <v>960.3467973368829</v>
      </c>
      <c r="X29" s="62">
        <f t="shared" si="6"/>
        <v>983.99636679135494</v>
      </c>
      <c r="Y29" s="46">
        <f t="shared" si="6"/>
        <v>1059.4851784453674</v>
      </c>
      <c r="Z29" s="46">
        <f t="shared" si="6"/>
        <v>1108.3490384299268</v>
      </c>
      <c r="AA29" s="46">
        <f t="shared" si="6"/>
        <v>1181.1648474058211</v>
      </c>
      <c r="AB29" s="63">
        <f t="shared" si="6"/>
        <v>1217.4517649022789</v>
      </c>
    </row>
    <row r="30" spans="1:28" s="6" customFormat="1" ht="11.25" customHeight="1" x14ac:dyDescent="0.35"/>
    <row r="31" spans="1:28" s="6" customFormat="1" ht="11.25" customHeight="1" x14ac:dyDescent="0.35">
      <c r="A31" s="49">
        <f>IF(SUM($J31:$AB31)&lt;&gt;0,1,0)</f>
        <v>0</v>
      </c>
      <c r="D31" s="15" t="s">
        <v>114</v>
      </c>
      <c r="J31" s="70">
        <f>IF(ROUND(J29-Calc_RAB_NS!J$36,3)=0,0,1)</f>
        <v>0</v>
      </c>
      <c r="K31" s="70">
        <f>IF(ROUND(K29-Calc_RAB_NS!K$36,3)=0,0,1)</f>
        <v>0</v>
      </c>
      <c r="L31" s="70">
        <f>IF(ROUND(L29-Calc_RAB_NS!L$36,3)=0,0,1)</f>
        <v>0</v>
      </c>
      <c r="M31" s="70">
        <f>IF(ROUND(M29-Calc_RAB_NS!M$36,3)=0,0,1)</f>
        <v>0</v>
      </c>
      <c r="N31" s="70">
        <f>IF(ROUND(N29-Calc_RAB_NS!N$36,3)=0,0,1)</f>
        <v>0</v>
      </c>
      <c r="O31" s="70">
        <f>IF(ROUND(O29-Calc_RAB_NS!O$36,3)=0,0,1)</f>
        <v>0</v>
      </c>
      <c r="P31" s="70">
        <f>IF(ROUND(P29-Calc_RAB_NS!P$36,3)=0,0,1)</f>
        <v>0</v>
      </c>
      <c r="Q31" s="70">
        <f>IF(ROUND(Q29-Calc_RAB_NS!Q$36,3)=0,0,1)</f>
        <v>0</v>
      </c>
      <c r="R31" s="70">
        <f>IF(ROUND(R29-Calc_RAB_NS!R$36,3)=0,0,1)</f>
        <v>0</v>
      </c>
      <c r="S31" s="70">
        <f>IF(ROUND(S29-Calc_RAB_NS!S$36,3)=0,0,1)</f>
        <v>0</v>
      </c>
      <c r="T31" s="70">
        <f>IF(ROUND(T29-Calc_RAB_NS!T$36,3)=0,0,1)</f>
        <v>0</v>
      </c>
      <c r="U31" s="70">
        <f>IF(ROUND(U29-Calc_RAB_NS!U$36,3)=0,0,1)</f>
        <v>0</v>
      </c>
      <c r="V31" s="70">
        <f>IF(ROUND(V29-Calc_RAB_NS!V$36,3)=0,0,1)</f>
        <v>0</v>
      </c>
      <c r="W31" s="70">
        <f>IF(ROUND(W29-Calc_RAB_NS!W$36,3)=0,0,1)</f>
        <v>0</v>
      </c>
      <c r="X31" s="70">
        <f>IF(ROUND(X29-Calc_RAB_NS!X$36,3)=0,0,1)</f>
        <v>0</v>
      </c>
      <c r="Y31" s="70">
        <f>IF(ROUND(Y29-Calc_RAB_NS!Y$36,3)=0,0,1)</f>
        <v>0</v>
      </c>
      <c r="Z31" s="70">
        <f>IF(ROUND(Z29-Calc_RAB_NS!Z$36,3)=0,0,1)</f>
        <v>0</v>
      </c>
      <c r="AA31" s="70">
        <f>IF(ROUND(AA29-Calc_RAB_NS!AA$36,3)=0,0,1)</f>
        <v>0</v>
      </c>
      <c r="AB31" s="70">
        <f>IF(ROUND(AB29-Calc_RAB_NS!AB$36,3)=0,0,1)</f>
        <v>0</v>
      </c>
    </row>
    <row r="32" spans="1:28" s="6" customFormat="1" ht="11.25" customHeight="1" x14ac:dyDescent="0.35">
      <c r="L32" s="10"/>
      <c r="Q32" s="10"/>
      <c r="V32" s="10"/>
      <c r="AA32" s="10"/>
    </row>
    <row r="33" spans="3:28" s="13" customFormat="1" ht="14.1" x14ac:dyDescent="0.35">
      <c r="C33" s="13" t="s">
        <v>148</v>
      </c>
    </row>
    <row r="34" spans="3:28" s="6" customFormat="1" ht="11.25" customHeight="1" x14ac:dyDescent="0.35"/>
    <row r="35" spans="3:28" ht="12.3" x14ac:dyDescent="0.35">
      <c r="D35" s="50" t="str">
        <f>D$16</f>
        <v>EB RIN Categories</v>
      </c>
      <c r="E35" s="45" t="str">
        <f>Lookup!E$20</f>
        <v>Source</v>
      </c>
      <c r="F35" s="45" t="str">
        <f>Lookup!F$20</f>
        <v>Unit</v>
      </c>
      <c r="G35" s="45" t="str">
        <f>Lookup!G$20</f>
        <v>Basis</v>
      </c>
      <c r="H35" s="45" t="str">
        <f>Lookup!H$20</f>
        <v>Timing</v>
      </c>
      <c r="J35" s="54" t="str">
        <f>J$10</f>
        <v>RY06</v>
      </c>
      <c r="K35" s="45" t="str">
        <f t="shared" ref="K35:AB35" si="7">K$10</f>
        <v>RY07</v>
      </c>
      <c r="L35" s="45" t="str">
        <f t="shared" si="7"/>
        <v>RY08</v>
      </c>
      <c r="M35" s="45" t="str">
        <f t="shared" si="7"/>
        <v>RY09</v>
      </c>
      <c r="N35" s="45" t="str">
        <f t="shared" si="7"/>
        <v>RY10</v>
      </c>
      <c r="O35" s="45" t="str">
        <f>O$10</f>
        <v>RY11</v>
      </c>
      <c r="P35" s="45" t="str">
        <f t="shared" si="7"/>
        <v>RY12</v>
      </c>
      <c r="Q35" s="45" t="str">
        <f t="shared" si="7"/>
        <v>RY13</v>
      </c>
      <c r="R35" s="55" t="str">
        <f t="shared" si="7"/>
        <v>RY14</v>
      </c>
      <c r="S35" s="54" t="str">
        <f t="shared" si="7"/>
        <v>RY15</v>
      </c>
      <c r="T35" s="45" t="str">
        <f>T$10</f>
        <v>RY16</v>
      </c>
      <c r="U35" s="45" t="str">
        <f t="shared" si="7"/>
        <v>RY17</v>
      </c>
      <c r="V35" s="45" t="str">
        <f t="shared" si="7"/>
        <v>RY18</v>
      </c>
      <c r="W35" s="55" t="str">
        <f t="shared" si="7"/>
        <v>RY19</v>
      </c>
      <c r="X35" s="54" t="str">
        <f t="shared" si="7"/>
        <v>RY20</v>
      </c>
      <c r="Y35" s="45" t="str">
        <f>Y$10</f>
        <v>RY21</v>
      </c>
      <c r="Z35" s="45" t="str">
        <f t="shared" si="7"/>
        <v>RY22</v>
      </c>
      <c r="AA35" s="45" t="str">
        <f t="shared" si="7"/>
        <v>RY23</v>
      </c>
      <c r="AB35" s="55" t="str">
        <f t="shared" si="7"/>
        <v>RY24</v>
      </c>
    </row>
    <row r="36" spans="3:28" x14ac:dyDescent="0.35">
      <c r="J36" s="56"/>
      <c r="K36" s="57"/>
      <c r="L36" s="57"/>
      <c r="M36" s="57"/>
      <c r="N36" s="57"/>
      <c r="O36" s="57"/>
      <c r="P36" s="57"/>
      <c r="Q36" s="57"/>
      <c r="R36" s="58"/>
      <c r="S36" s="56"/>
      <c r="T36" s="57"/>
      <c r="U36" s="57"/>
      <c r="V36" s="57"/>
      <c r="W36" s="58"/>
      <c r="X36" s="56"/>
      <c r="Y36" s="57"/>
      <c r="Z36" s="57"/>
      <c r="AA36" s="57"/>
      <c r="AB36" s="58"/>
    </row>
    <row r="37" spans="3:28" ht="12.3" x14ac:dyDescent="0.35">
      <c r="D37" s="15" t="str">
        <f t="shared" ref="D37:E46" si="8">D18</f>
        <v>Overhead network assets less than 33kV</v>
      </c>
      <c r="E37" s="52" t="str">
        <f t="shared" si="8"/>
        <v>Calc_Alloc</v>
      </c>
      <c r="F37" s="52" t="str">
        <f t="shared" ref="F37:F46" si="9">Dollars</f>
        <v>Dollars</v>
      </c>
      <c r="G37" s="52" t="str">
        <f t="shared" ref="G37:G46" si="10">Nominal</f>
        <v>Nominal</v>
      </c>
      <c r="H37" s="52" t="str">
        <f t="shared" ref="H37:H46" si="11">End_year</f>
        <v>End_year</v>
      </c>
      <c r="J37" s="66">
        <f>SUMPRODUCT((Calc_Alloc!$E$11:$E$27)*(Calc_RAB_NS!J$44:J$60))</f>
        <v>1.1047152264814508</v>
      </c>
      <c r="K37" s="67">
        <f>SUMPRODUCT((Calc_Alloc!$E$11:$E$27)*(Calc_RAB_NS!K$44:K$60))</f>
        <v>1.0085179302395342</v>
      </c>
      <c r="L37" s="67">
        <f>SUMPRODUCT((Calc_Alloc!$E$11:$E$27)*(Calc_RAB_NS!L$44:L$60))</f>
        <v>1.87983616229738</v>
      </c>
      <c r="M37" s="67">
        <f>SUMPRODUCT((Calc_Alloc!$E$11:$E$27)*(Calc_RAB_NS!M$44:M$60))</f>
        <v>1.1835432866810169</v>
      </c>
      <c r="N37" s="67">
        <f>SUMPRODUCT((Calc_Alloc!$E$11:$E$27)*(Calc_RAB_NS!N$44:N$60))</f>
        <v>1.518333202180389</v>
      </c>
      <c r="O37" s="67">
        <f>SUMPRODUCT((Calc_Alloc!$E$11:$E$27)*(Calc_RAB_NS!O$44:O$60))</f>
        <v>1.8129248977347951</v>
      </c>
      <c r="P37" s="67">
        <f>SUMPRODUCT((Calc_Alloc!$E$11:$E$27)*(Calc_RAB_NS!P$44:P$60))</f>
        <v>0.96952744875764962</v>
      </c>
      <c r="Q37" s="67">
        <f>SUMPRODUCT((Calc_Alloc!$E$11:$E$27)*(Calc_RAB_NS!Q$44:Q$60))</f>
        <v>1.5808308987918565</v>
      </c>
      <c r="R37" s="68">
        <f>SUMPRODUCT((Calc_Alloc!$E$11:$E$27)*(Calc_RAB_NS!R$44:R$60))</f>
        <v>1.7340912908584485</v>
      </c>
      <c r="S37" s="66">
        <f>SUMPRODUCT((Calc_Alloc!$E$11:$E$27)*(Calc_RAB_NS!S$44:S$60))</f>
        <v>1.0069691068128479</v>
      </c>
      <c r="T37" s="67">
        <f>SUMPRODUCT((Calc_Alloc!$E$11:$E$27)*(Calc_RAB_NS!T$44:T$60))</f>
        <v>1.0379956263783234</v>
      </c>
      <c r="U37" s="67">
        <f>SUMPRODUCT((Calc_Alloc!$E$11:$E$27)*(Calc_RAB_NS!U$44:U$60))</f>
        <v>1.7196327977523453</v>
      </c>
      <c r="V37" s="67">
        <f>SUMPRODUCT((Calc_Alloc!$E$11:$E$27)*(Calc_RAB_NS!V$44:V$60))</f>
        <v>2.0116229950962001</v>
      </c>
      <c r="W37" s="68">
        <f>SUMPRODUCT((Calc_Alloc!$E$11:$E$27)*(Calc_RAB_NS!W$44:W$60))</f>
        <v>2.0241188672739185</v>
      </c>
      <c r="X37" s="66">
        <f>SUMPRODUCT((Calc_Alloc!$E$11:$E$27)*(Calc_RAB_NS!X$44:X$60))</f>
        <v>2.0379256534464738</v>
      </c>
      <c r="Y37" s="67">
        <f>SUMPRODUCT((Calc_Alloc!$E$11:$E$27)*(Calc_RAB_NS!Y$44:Y$60))</f>
        <v>2.172147470899207</v>
      </c>
      <c r="Z37" s="67">
        <f>SUMPRODUCT((Calc_Alloc!$E$11:$E$27)*(Calc_RAB_NS!Z$44:Z$60))</f>
        <v>2.3397807270603166</v>
      </c>
      <c r="AA37" s="67">
        <f>SUMPRODUCT((Calc_Alloc!$E$11:$E$27)*(Calc_RAB_NS!AA$44:AA$60))</f>
        <v>2.4620021918109058</v>
      </c>
      <c r="AB37" s="68">
        <f>SUMPRODUCT((Calc_Alloc!$E$11:$E$27)*(Calc_RAB_NS!AB$44:AB$60))</f>
        <v>2.5682606311553955</v>
      </c>
    </row>
    <row r="38" spans="3:28" ht="12.3" x14ac:dyDescent="0.35">
      <c r="D38" s="15" t="str">
        <f t="shared" si="8"/>
        <v>Underground network assets less than 33kV</v>
      </c>
      <c r="E38" s="52" t="str">
        <f t="shared" si="8"/>
        <v>Calc_Alloc</v>
      </c>
      <c r="F38" s="52" t="str">
        <f t="shared" si="9"/>
        <v>Dollars</v>
      </c>
      <c r="G38" s="52" t="str">
        <f t="shared" si="10"/>
        <v>Nominal</v>
      </c>
      <c r="H38" s="52" t="str">
        <f t="shared" si="11"/>
        <v>End_year</v>
      </c>
      <c r="J38" s="66">
        <f>SUMPRODUCT((Calc_Alloc!$F$11:$F$27)*(Calc_RAB_NS!J$44:J$60))</f>
        <v>2.2883770237507433</v>
      </c>
      <c r="K38" s="67">
        <f>SUMPRODUCT((Calc_Alloc!$F$11:$F$27)*(Calc_RAB_NS!K$44:K$60))</f>
        <v>2.0891078702448089</v>
      </c>
      <c r="L38" s="67">
        <f>SUMPRODUCT((Calc_Alloc!$F$11:$F$27)*(Calc_RAB_NS!L$44:L$60))</f>
        <v>3.8940116329860222</v>
      </c>
      <c r="M38" s="67">
        <f>SUMPRODUCT((Calc_Alloc!$F$11:$F$27)*(Calc_RAB_NS!M$44:M$60))</f>
        <v>2.4516665089406597</v>
      </c>
      <c r="N38" s="67">
        <f>SUMPRODUCT((Calc_Alloc!$F$11:$F$27)*(Calc_RAB_NS!N$44:N$60))</f>
        <v>3.1451715571817016</v>
      </c>
      <c r="O38" s="67">
        <f>SUMPRODUCT((Calc_Alloc!$F$11:$F$27)*(Calc_RAB_NS!O$44:O$60))</f>
        <v>3.7554074708030716</v>
      </c>
      <c r="P38" s="67">
        <f>SUMPRODUCT((Calc_Alloc!$F$11:$F$27)*(Calc_RAB_NS!P$44:P$60))</f>
        <v>2.0083405792496367</v>
      </c>
      <c r="Q38" s="67">
        <f>SUMPRODUCT((Calc_Alloc!$F$11:$F$27)*(Calc_RAB_NS!Q$44:Q$60))</f>
        <v>3.274633288801982</v>
      </c>
      <c r="R38" s="68">
        <f>SUMPRODUCT((Calc_Alloc!$F$11:$F$27)*(Calc_RAB_NS!R$44:R$60))</f>
        <v>3.5921066093744356</v>
      </c>
      <c r="S38" s="66">
        <f>SUMPRODUCT((Calc_Alloc!$F$11:$F$27)*(Calc_RAB_NS!S$44:S$60))</f>
        <v>2.0858996363873095</v>
      </c>
      <c r="T38" s="67">
        <f>SUMPRODUCT((Calc_Alloc!$F$11:$F$27)*(Calc_RAB_NS!T$44:T$60))</f>
        <v>2.1501680871386459</v>
      </c>
      <c r="U38" s="67">
        <f>SUMPRODUCT((Calc_Alloc!$F$11:$F$27)*(Calc_RAB_NS!U$44:U$60))</f>
        <v>3.5621502818539676</v>
      </c>
      <c r="V38" s="67">
        <f>SUMPRODUCT((Calc_Alloc!$F$11:$F$27)*(Calc_RAB_NS!V$44:V$60))</f>
        <v>4.1669930826141535</v>
      </c>
      <c r="W38" s="68">
        <f>SUMPRODUCT((Calc_Alloc!$F$11:$F$27)*(Calc_RAB_NS!W$44:W$60))</f>
        <v>4.1928775385631942</v>
      </c>
      <c r="X38" s="66">
        <f>SUMPRODUCT((Calc_Alloc!$F$11:$F$27)*(Calc_RAB_NS!X$44:X$60))</f>
        <v>4.2214745004058116</v>
      </c>
      <c r="Y38" s="67">
        <f>SUMPRODUCT((Calc_Alloc!$F$11:$F$27)*(Calc_RAB_NS!Y$44:Y$60))</f>
        <v>4.4995097527126129</v>
      </c>
      <c r="Z38" s="67">
        <f>SUMPRODUCT((Calc_Alloc!$F$11:$F$27)*(Calc_RAB_NS!Z$44:Z$60))</f>
        <v>4.8467553756003268</v>
      </c>
      <c r="AA38" s="67">
        <f>SUMPRODUCT((Calc_Alloc!$F$11:$F$27)*(Calc_RAB_NS!AA$44:AA$60))</f>
        <v>5.0999322398596023</v>
      </c>
      <c r="AB38" s="68">
        <f>SUMPRODUCT((Calc_Alloc!$F$11:$F$27)*(Calc_RAB_NS!AB$44:AB$60))</f>
        <v>5.3200423722461956</v>
      </c>
    </row>
    <row r="39" spans="3:28" ht="12.3" x14ac:dyDescent="0.35">
      <c r="D39" s="15" t="str">
        <f t="shared" si="8"/>
        <v>Distribution substations and transformers</v>
      </c>
      <c r="E39" s="52" t="str">
        <f t="shared" si="8"/>
        <v>Calc_Alloc</v>
      </c>
      <c r="F39" s="52" t="str">
        <f t="shared" si="9"/>
        <v>Dollars</v>
      </c>
      <c r="G39" s="52" t="str">
        <f t="shared" si="10"/>
        <v>Nominal</v>
      </c>
      <c r="H39" s="52" t="str">
        <f t="shared" si="11"/>
        <v>End_year</v>
      </c>
      <c r="J39" s="66">
        <f>SUMPRODUCT((Calc_Alloc!$G$11:$G$27)*(Calc_RAB_NS!J$44:J$60))</f>
        <v>1.6518557046010498</v>
      </c>
      <c r="K39" s="67">
        <f>SUMPRODUCT((Calc_Alloc!$G$11:$G$27)*(Calc_RAB_NS!K$44:K$60))</f>
        <v>1.3685229835835746</v>
      </c>
      <c r="L39" s="67">
        <f>SUMPRODUCT((Calc_Alloc!$G$11:$G$27)*(Calc_RAB_NS!L$44:L$60))</f>
        <v>2.2863077075145251</v>
      </c>
      <c r="M39" s="67">
        <f>SUMPRODUCT((Calc_Alloc!$G$11:$G$27)*(Calc_RAB_NS!M$44:M$60))</f>
        <v>1.4568473341160011</v>
      </c>
      <c r="N39" s="67">
        <f>SUMPRODUCT((Calc_Alloc!$G$11:$G$27)*(Calc_RAB_NS!N$44:N$60))</f>
        <v>1.9930849531341113</v>
      </c>
      <c r="O39" s="67">
        <f>SUMPRODUCT((Calc_Alloc!$G$11:$G$27)*(Calc_RAB_NS!O$44:O$60))</f>
        <v>2.6175521806574431</v>
      </c>
      <c r="P39" s="67">
        <f>SUMPRODUCT((Calc_Alloc!$G$11:$G$27)*(Calc_RAB_NS!P$44:P$60))</f>
        <v>1.4962810100068238</v>
      </c>
      <c r="Q39" s="67">
        <f>SUMPRODUCT((Calc_Alloc!$G$11:$G$27)*(Calc_RAB_NS!Q$44:Q$60))</f>
        <v>2.3615666333783438</v>
      </c>
      <c r="R39" s="68">
        <f>SUMPRODUCT((Calc_Alloc!$G$11:$G$27)*(Calc_RAB_NS!R$44:R$60))</f>
        <v>2.3830039343679621</v>
      </c>
      <c r="S39" s="66">
        <f>SUMPRODUCT((Calc_Alloc!$G$11:$G$27)*(Calc_RAB_NS!S$44:S$60))</f>
        <v>1.33457479513887</v>
      </c>
      <c r="T39" s="67">
        <f>SUMPRODUCT((Calc_Alloc!$G$11:$G$27)*(Calc_RAB_NS!T$44:T$60))</f>
        <v>1.4589366372662185</v>
      </c>
      <c r="U39" s="67">
        <f>SUMPRODUCT((Calc_Alloc!$G$11:$G$27)*(Calc_RAB_NS!U$44:U$60))</f>
        <v>2.5561141100285574</v>
      </c>
      <c r="V39" s="67">
        <f>SUMPRODUCT((Calc_Alloc!$G$11:$G$27)*(Calc_RAB_NS!V$44:V$60))</f>
        <v>3.0812621109732952</v>
      </c>
      <c r="W39" s="68">
        <f>SUMPRODUCT((Calc_Alloc!$G$11:$G$27)*(Calc_RAB_NS!W$44:W$60))</f>
        <v>3.1997940297097323</v>
      </c>
      <c r="X39" s="66">
        <f>SUMPRODUCT((Calc_Alloc!$G$11:$G$27)*(Calc_RAB_NS!X$44:X$60))</f>
        <v>3.5702154045887333</v>
      </c>
      <c r="Y39" s="67">
        <f>SUMPRODUCT((Calc_Alloc!$G$11:$G$27)*(Calc_RAB_NS!Y$44:Y$60))</f>
        <v>3.7183720006446244</v>
      </c>
      <c r="Z39" s="67">
        <f>SUMPRODUCT((Calc_Alloc!$G$11:$G$27)*(Calc_RAB_NS!Z$44:Z$60))</f>
        <v>3.8898026512014474</v>
      </c>
      <c r="AA39" s="67">
        <f>SUMPRODUCT((Calc_Alloc!$G$11:$G$27)*(Calc_RAB_NS!AA$44:AA$60))</f>
        <v>4.0552735642948807</v>
      </c>
      <c r="AB39" s="68">
        <f>SUMPRODUCT((Calc_Alloc!$G$11:$G$27)*(Calc_RAB_NS!AB$44:AB$60))</f>
        <v>4.25497577397093</v>
      </c>
    </row>
    <row r="40" spans="3:28" ht="12.3" x14ac:dyDescent="0.35">
      <c r="D40" s="15" t="str">
        <f t="shared" si="8"/>
        <v>Overhead network assets 33kV and above</v>
      </c>
      <c r="E40" s="52" t="str">
        <f t="shared" si="8"/>
        <v>Calc_Alloc</v>
      </c>
      <c r="F40" s="52" t="str">
        <f t="shared" si="9"/>
        <v>Dollars</v>
      </c>
      <c r="G40" s="52" t="str">
        <f t="shared" si="10"/>
        <v>Nominal</v>
      </c>
      <c r="H40" s="52" t="str">
        <f t="shared" si="11"/>
        <v>End_year</v>
      </c>
      <c r="J40" s="66">
        <f>SUMPRODUCT((Calc_Alloc!$H$11:$H$27)*(Calc_RAB_NS!J$44:J$60))</f>
        <v>1.9527716327596272</v>
      </c>
      <c r="K40" s="67">
        <f>SUMPRODUCT((Calc_Alloc!$H$11:$H$27)*(Calc_RAB_NS!K$44:K$60))</f>
        <v>1.7580404648415324</v>
      </c>
      <c r="L40" s="67">
        <f>SUMPRODUCT((Calc_Alloc!$H$11:$H$27)*(Calc_RAB_NS!L$44:L$60))</f>
        <v>3.2305633553197026</v>
      </c>
      <c r="M40" s="67">
        <f>SUMPRODUCT((Calc_Alloc!$H$11:$H$27)*(Calc_RAB_NS!M$44:M$60))</f>
        <v>1.8734746100029538</v>
      </c>
      <c r="N40" s="67">
        <f>SUMPRODUCT((Calc_Alloc!$H$11:$H$27)*(Calc_RAB_NS!N$44:N$60))</f>
        <v>2.2254431927464235</v>
      </c>
      <c r="O40" s="67">
        <f>SUMPRODUCT((Calc_Alloc!$H$11:$H$27)*(Calc_RAB_NS!O$44:O$60))</f>
        <v>2.8326283846965632</v>
      </c>
      <c r="P40" s="67">
        <f>SUMPRODUCT((Calc_Alloc!$H$11:$H$27)*(Calc_RAB_NS!P$44:P$60))</f>
        <v>1.58786196010213</v>
      </c>
      <c r="Q40" s="67">
        <f>SUMPRODUCT((Calc_Alloc!$H$11:$H$27)*(Calc_RAB_NS!Q$44:Q$60))</f>
        <v>2.5512901801355445</v>
      </c>
      <c r="R40" s="68">
        <f>SUMPRODUCT((Calc_Alloc!$H$11:$H$27)*(Calc_RAB_NS!R$44:R$60))</f>
        <v>2.7272639713772056</v>
      </c>
      <c r="S40" s="66">
        <f>SUMPRODUCT((Calc_Alloc!$H$11:$H$27)*(Calc_RAB_NS!S$44:S$60))</f>
        <v>1.4968463325641803</v>
      </c>
      <c r="T40" s="67">
        <f>SUMPRODUCT((Calc_Alloc!$H$11:$H$27)*(Calc_RAB_NS!T$44:T$60))</f>
        <v>1.4766059585293716</v>
      </c>
      <c r="U40" s="67">
        <f>SUMPRODUCT((Calc_Alloc!$H$11:$H$27)*(Calc_RAB_NS!U$44:U$60))</f>
        <v>2.426182574001988</v>
      </c>
      <c r="V40" s="67">
        <f>SUMPRODUCT((Calc_Alloc!$H$11:$H$27)*(Calc_RAB_NS!V$44:V$60))</f>
        <v>2.8224452636462258</v>
      </c>
      <c r="W40" s="68">
        <f>SUMPRODUCT((Calc_Alloc!$H$11:$H$27)*(Calc_RAB_NS!W$44:W$60))</f>
        <v>2.9261672672161985</v>
      </c>
      <c r="X40" s="66">
        <f>SUMPRODUCT((Calc_Alloc!$H$11:$H$27)*(Calc_RAB_NS!X$44:X$60))</f>
        <v>2.9177380111061169</v>
      </c>
      <c r="Y40" s="67">
        <f>SUMPRODUCT((Calc_Alloc!$H$11:$H$27)*(Calc_RAB_NS!Y$44:Y$60))</f>
        <v>2.9320236181289085</v>
      </c>
      <c r="Z40" s="67">
        <f>SUMPRODUCT((Calc_Alloc!$H$11:$H$27)*(Calc_RAB_NS!Z$44:Z$60))</f>
        <v>2.94270727731063</v>
      </c>
      <c r="AA40" s="67">
        <f>SUMPRODUCT((Calc_Alloc!$H$11:$H$27)*(Calc_RAB_NS!AA$44:AA$60))</f>
        <v>2.9499681982928565</v>
      </c>
      <c r="AB40" s="68">
        <f>SUMPRODUCT((Calc_Alloc!$H$11:$H$27)*(Calc_RAB_NS!AB$44:AB$60))</f>
        <v>2.9587828834851924</v>
      </c>
    </row>
    <row r="41" spans="3:28" ht="12.3" x14ac:dyDescent="0.35">
      <c r="D41" s="15" t="str">
        <f t="shared" si="8"/>
        <v>Underground network assets 33kV and above</v>
      </c>
      <c r="E41" s="52" t="str">
        <f t="shared" si="8"/>
        <v>Calc_Alloc</v>
      </c>
      <c r="F41" s="52" t="str">
        <f t="shared" si="9"/>
        <v>Dollars</v>
      </c>
      <c r="G41" s="52" t="str">
        <f t="shared" si="10"/>
        <v>Nominal</v>
      </c>
      <c r="H41" s="52" t="str">
        <f t="shared" si="11"/>
        <v>End_year</v>
      </c>
      <c r="J41" s="66">
        <f>SUMPRODUCT((Calc_Alloc!$I$11:$I$27)*(Calc_RAB_NS!J$44:J$60))</f>
        <v>0.97713948186413657</v>
      </c>
      <c r="K41" s="67">
        <f>SUMPRODUCT((Calc_Alloc!$I$11:$I$27)*(Calc_RAB_NS!K$44:K$60))</f>
        <v>0.87969874208168441</v>
      </c>
      <c r="L41" s="67">
        <f>SUMPRODUCT((Calc_Alloc!$I$11:$I$27)*(Calc_RAB_NS!L$44:L$60))</f>
        <v>1.616528502457476</v>
      </c>
      <c r="M41" s="67">
        <f>SUMPRODUCT((Calc_Alloc!$I$11:$I$27)*(Calc_RAB_NS!M$44:M$60))</f>
        <v>0.93746036607304695</v>
      </c>
      <c r="N41" s="67">
        <f>SUMPRODUCT((Calc_Alloc!$I$11:$I$27)*(Calc_RAB_NS!N$44:N$60))</f>
        <v>1.1135804985067521</v>
      </c>
      <c r="O41" s="67">
        <f>SUMPRODUCT((Calc_Alloc!$I$11:$I$27)*(Calc_RAB_NS!O$44:O$60))</f>
        <v>1.4174074355148891</v>
      </c>
      <c r="P41" s="67">
        <f>SUMPRODUCT((Calc_Alloc!$I$11:$I$27)*(Calc_RAB_NS!P$44:P$60))</f>
        <v>0.79454380990434748</v>
      </c>
      <c r="Q41" s="67">
        <f>SUMPRODUCT((Calc_Alloc!$I$11:$I$27)*(Calc_RAB_NS!Q$44:Q$60))</f>
        <v>1.2766297517235456</v>
      </c>
      <c r="R41" s="68">
        <f>SUMPRODUCT((Calc_Alloc!$I$11:$I$27)*(Calc_RAB_NS!R$44:R$60))</f>
        <v>1.3646845638228724</v>
      </c>
      <c r="S41" s="66">
        <f>SUMPRODUCT((Calc_Alloc!$I$11:$I$27)*(Calc_RAB_NS!S$44:S$60))</f>
        <v>0.74900086896747531</v>
      </c>
      <c r="T41" s="67">
        <f>SUMPRODUCT((Calc_Alloc!$I$11:$I$27)*(Calc_RAB_NS!T$44:T$60))</f>
        <v>0.73887287024744075</v>
      </c>
      <c r="U41" s="67">
        <f>SUMPRODUCT((Calc_Alloc!$I$11:$I$27)*(Calc_RAB_NS!U$44:U$60))</f>
        <v>1.2140276638071785</v>
      </c>
      <c r="V41" s="67">
        <f>SUMPRODUCT((Calc_Alloc!$I$11:$I$27)*(Calc_RAB_NS!V$44:V$60))</f>
        <v>1.4123119448492321</v>
      </c>
      <c r="W41" s="68">
        <f>SUMPRODUCT((Calc_Alloc!$I$11:$I$27)*(Calc_RAB_NS!W$44:W$60))</f>
        <v>1.4642129777841717</v>
      </c>
      <c r="X41" s="66">
        <f>SUMPRODUCT((Calc_Alloc!$I$11:$I$27)*(Calc_RAB_NS!X$44:X$60))</f>
        <v>1.4599950964867741</v>
      </c>
      <c r="Y41" s="67">
        <f>SUMPRODUCT((Calc_Alloc!$I$11:$I$27)*(Calc_RAB_NS!Y$44:Y$60))</f>
        <v>1.4671434134789862</v>
      </c>
      <c r="Z41" s="67">
        <f>SUMPRODUCT((Calc_Alloc!$I$11:$I$27)*(Calc_RAB_NS!Z$44:Z$60))</f>
        <v>1.4724893663913028</v>
      </c>
      <c r="AA41" s="67">
        <f>SUMPRODUCT((Calc_Alloc!$I$11:$I$27)*(Calc_RAB_NS!AA$44:AA$60))</f>
        <v>1.476122629209855</v>
      </c>
      <c r="AB41" s="68">
        <f>SUMPRODUCT((Calc_Alloc!$I$11:$I$27)*(Calc_RAB_NS!AB$44:AB$60))</f>
        <v>1.4805333738034063</v>
      </c>
    </row>
    <row r="42" spans="3:28" ht="12.3" x14ac:dyDescent="0.35">
      <c r="D42" s="15" t="str">
        <f t="shared" si="8"/>
        <v>Zone substations and transformers</v>
      </c>
      <c r="E42" s="52" t="str">
        <f t="shared" si="8"/>
        <v>Calc_Alloc</v>
      </c>
      <c r="F42" s="52" t="str">
        <f t="shared" si="9"/>
        <v>Dollars</v>
      </c>
      <c r="G42" s="52" t="str">
        <f t="shared" si="10"/>
        <v>Nominal</v>
      </c>
      <c r="H42" s="52" t="str">
        <f t="shared" si="11"/>
        <v>End_year</v>
      </c>
      <c r="J42" s="66">
        <f>SUMPRODUCT((Calc_Alloc!$J$11:$J$27)*(Calc_RAB_NS!J$44:J$60))</f>
        <v>1.3760309703726563</v>
      </c>
      <c r="K42" s="67">
        <f>SUMPRODUCT((Calc_Alloc!$J$11:$J$27)*(Calc_RAB_NS!K$44:K$60))</f>
        <v>1.2241520843245004</v>
      </c>
      <c r="L42" s="67">
        <f>SUMPRODUCT((Calc_Alloc!$J$11:$J$27)*(Calc_RAB_NS!L$44:L$60))</f>
        <v>2.2188496501726154</v>
      </c>
      <c r="M42" s="67">
        <f>SUMPRODUCT((Calc_Alloc!$J$11:$J$27)*(Calc_RAB_NS!M$44:M$60))</f>
        <v>1.7923182983031143</v>
      </c>
      <c r="N42" s="67">
        <f>SUMPRODUCT((Calc_Alloc!$J$11:$J$27)*(Calc_RAB_NS!N$44:N$60))</f>
        <v>3.0790867853807411</v>
      </c>
      <c r="O42" s="67">
        <f>SUMPRODUCT((Calc_Alloc!$J$11:$J$27)*(Calc_RAB_NS!O$44:O$60))</f>
        <v>4.3718287362219286</v>
      </c>
      <c r="P42" s="67">
        <f>SUMPRODUCT((Calc_Alloc!$J$11:$J$27)*(Calc_RAB_NS!P$44:P$60))</f>
        <v>2.8638489210463947</v>
      </c>
      <c r="Q42" s="67">
        <f>SUMPRODUCT((Calc_Alloc!$J$11:$J$27)*(Calc_RAB_NS!Q$44:Q$60))</f>
        <v>5.2927875655691494</v>
      </c>
      <c r="R42" s="68">
        <f>SUMPRODUCT((Calc_Alloc!$J$11:$J$27)*(Calc_RAB_NS!R$44:R$60))</f>
        <v>6.4900098950580842</v>
      </c>
      <c r="S42" s="66">
        <f>SUMPRODUCT((Calc_Alloc!$J$11:$J$27)*(Calc_RAB_NS!S$44:S$60))</f>
        <v>4.1838961274313569</v>
      </c>
      <c r="T42" s="67">
        <f>SUMPRODUCT((Calc_Alloc!$J$11:$J$27)*(Calc_RAB_NS!T$44:T$60))</f>
        <v>4.3823121951074695</v>
      </c>
      <c r="U42" s="67">
        <f>SUMPRODUCT((Calc_Alloc!$J$11:$J$27)*(Calc_RAB_NS!U$44:U$60))</f>
        <v>7.3167068660441172</v>
      </c>
      <c r="V42" s="67">
        <f>SUMPRODUCT((Calc_Alloc!$J$11:$J$27)*(Calc_RAB_NS!V$44:V$60))</f>
        <v>8.3643431349538453</v>
      </c>
      <c r="W42" s="68">
        <f>SUMPRODUCT((Calc_Alloc!$J$11:$J$27)*(Calc_RAB_NS!W$44:W$60))</f>
        <v>8.2846046311624342</v>
      </c>
      <c r="X42" s="66">
        <f>SUMPRODUCT((Calc_Alloc!$J$11:$J$27)*(Calc_RAB_NS!X$44:X$60))</f>
        <v>7.902686103418417</v>
      </c>
      <c r="Y42" s="67">
        <f>SUMPRODUCT((Calc_Alloc!$J$11:$J$27)*(Calc_RAB_NS!Y$44:Y$60))</f>
        <v>8.0640042976156963</v>
      </c>
      <c r="Z42" s="67">
        <f>SUMPRODUCT((Calc_Alloc!$J$11:$J$27)*(Calc_RAB_NS!Z$44:Z$60))</f>
        <v>8.2162442139610032</v>
      </c>
      <c r="AA42" s="67">
        <f>SUMPRODUCT((Calc_Alloc!$J$11:$J$27)*(Calc_RAB_NS!AA$44:AA$60))</f>
        <v>8.4478330011963489</v>
      </c>
      <c r="AB42" s="68">
        <f>SUMPRODUCT((Calc_Alloc!$J$11:$J$27)*(Calc_RAB_NS!AB$44:AB$60))</f>
        <v>8.6799166540658383</v>
      </c>
    </row>
    <row r="43" spans="3:28" ht="12.3" x14ac:dyDescent="0.35">
      <c r="D43" s="15" t="str">
        <f t="shared" si="8"/>
        <v>Easements</v>
      </c>
      <c r="E43" s="52" t="str">
        <f t="shared" si="8"/>
        <v>Calc_Alloc</v>
      </c>
      <c r="F43" s="52" t="str">
        <f t="shared" si="9"/>
        <v>Dollars</v>
      </c>
      <c r="G43" s="52" t="str">
        <f t="shared" si="10"/>
        <v>Nominal</v>
      </c>
      <c r="H43" s="52" t="str">
        <f t="shared" si="11"/>
        <v>End_year</v>
      </c>
      <c r="J43" s="66">
        <f>SUMPRODUCT((Calc_Alloc!$K$11:$K$27)*(Calc_RAB_NS!J$44:J$60))</f>
        <v>0.81950636793439535</v>
      </c>
      <c r="K43" s="67">
        <f>SUMPRODUCT((Calc_Alloc!$K$11:$K$27)*(Calc_RAB_NS!K$44:K$60))</f>
        <v>0.73176535129568909</v>
      </c>
      <c r="L43" s="67">
        <f>SUMPRODUCT((Calc_Alloc!$K$11:$K$27)*(Calc_RAB_NS!L$44:L$60))</f>
        <v>1.3211675943871264</v>
      </c>
      <c r="M43" s="67">
        <f>SUMPRODUCT((Calc_Alloc!$K$11:$K$27)*(Calc_RAB_NS!M$44:M$60))</f>
        <v>0.78555911017612945</v>
      </c>
      <c r="N43" s="67">
        <f>SUMPRODUCT((Calc_Alloc!$K$11:$K$27)*(Calc_RAB_NS!N$44:N$60))</f>
        <v>0.96409527157979225</v>
      </c>
      <c r="O43" s="67">
        <f>SUMPRODUCT((Calc_Alloc!$K$11:$K$27)*(Calc_RAB_NS!O$44:O$60))</f>
        <v>1.1069242007027233</v>
      </c>
      <c r="P43" s="67">
        <f>SUMPRODUCT((Calc_Alloc!$K$11:$K$27)*(Calc_RAB_NS!P$44:P$60))</f>
        <v>0.57131571649173518</v>
      </c>
      <c r="Q43" s="67">
        <f>SUMPRODUCT((Calc_Alloc!$K$11:$K$27)*(Calc_RAB_NS!Q$44:Q$60))</f>
        <v>0.89268080701832808</v>
      </c>
      <c r="R43" s="68">
        <f>SUMPRODUCT((Calc_Alloc!$K$11:$K$27)*(Calc_RAB_NS!R$44:R$60))</f>
        <v>0.80907572383073523</v>
      </c>
      <c r="S43" s="66">
        <f>SUMPRODUCT((Calc_Alloc!$K$11:$K$27)*(Calc_RAB_NS!S$44:S$60))</f>
        <v>0.4578724295316603</v>
      </c>
      <c r="T43" s="67">
        <f>SUMPRODUCT((Calc_Alloc!$K$11:$K$27)*(Calc_RAB_NS!T$44:T$60))</f>
        <v>0.4578724295316684</v>
      </c>
      <c r="U43" s="67">
        <f>SUMPRODUCT((Calc_Alloc!$K$11:$K$27)*(Calc_RAB_NS!U$44:U$60))</f>
        <v>0.75221899137344483</v>
      </c>
      <c r="V43" s="67">
        <f>SUMPRODUCT((Calc_Alloc!$K$11:$K$27)*(Calc_RAB_NS!V$44:V$60))</f>
        <v>0.87608012100708033</v>
      </c>
      <c r="W43" s="68">
        <f>SUMPRODUCT((Calc_Alloc!$K$11:$K$27)*(Calc_RAB_NS!W$44:W$60))</f>
        <v>0.89732396584112384</v>
      </c>
      <c r="X43" s="66">
        <f>SUMPRODUCT((Calc_Alloc!$K$11:$K$27)*(Calc_RAB_NS!X$44:X$60))</f>
        <v>1.1240486523495119</v>
      </c>
      <c r="Y43" s="67">
        <f>SUMPRODUCT((Calc_Alloc!$K$11:$K$27)*(Calc_RAB_NS!Y$44:Y$60))</f>
        <v>1.1513054232587514</v>
      </c>
      <c r="Z43" s="67">
        <f>SUMPRODUCT((Calc_Alloc!$K$11:$K$27)*(Calc_RAB_NS!Z$44:Z$60))</f>
        <v>1.1792231366982326</v>
      </c>
      <c r="AA43" s="67">
        <f>SUMPRODUCT((Calc_Alloc!$K$11:$K$27)*(Calc_RAB_NS!AA$44:AA$60))</f>
        <v>1.2078178196958724</v>
      </c>
      <c r="AB43" s="68">
        <f>SUMPRODUCT((Calc_Alloc!$K$11:$K$27)*(Calc_RAB_NS!AB$44:AB$60))</f>
        <v>1.2371058879149257</v>
      </c>
    </row>
    <row r="44" spans="3:28" ht="12.3" x14ac:dyDescent="0.35">
      <c r="D44" s="15" t="str">
        <f t="shared" si="8"/>
        <v>Meters</v>
      </c>
      <c r="E44" s="52" t="str">
        <f t="shared" si="8"/>
        <v>Calc_Alloc</v>
      </c>
      <c r="F44" s="52" t="str">
        <f t="shared" si="9"/>
        <v>Dollars</v>
      </c>
      <c r="G44" s="52" t="str">
        <f t="shared" si="10"/>
        <v>Nominal</v>
      </c>
      <c r="H44" s="52" t="str">
        <f t="shared" si="11"/>
        <v>End_year</v>
      </c>
      <c r="J44" s="66">
        <f>SUMPRODUCT((Calc_Alloc!$L$11:$L$27)*(Calc_RAB_NS!J$44:J$60))</f>
        <v>0</v>
      </c>
      <c r="K44" s="67">
        <f>SUMPRODUCT((Calc_Alloc!$L$11:$L$27)*(Calc_RAB_NS!K$44:K$60))</f>
        <v>0</v>
      </c>
      <c r="L44" s="67">
        <f>SUMPRODUCT((Calc_Alloc!$L$11:$L$27)*(Calc_RAB_NS!L$44:L$60))</f>
        <v>0</v>
      </c>
      <c r="M44" s="67">
        <f>SUMPRODUCT((Calc_Alloc!$L$11:$L$27)*(Calc_RAB_NS!M$44:M$60))</f>
        <v>0</v>
      </c>
      <c r="N44" s="67">
        <f>SUMPRODUCT((Calc_Alloc!$L$11:$L$27)*(Calc_RAB_NS!N$44:N$60))</f>
        <v>0</v>
      </c>
      <c r="O44" s="67">
        <f>SUMPRODUCT((Calc_Alloc!$L$11:$L$27)*(Calc_RAB_NS!O$44:O$60))</f>
        <v>0</v>
      </c>
      <c r="P44" s="67">
        <f>SUMPRODUCT((Calc_Alloc!$L$11:$L$27)*(Calc_RAB_NS!P$44:P$60))</f>
        <v>0</v>
      </c>
      <c r="Q44" s="67">
        <f>SUMPRODUCT((Calc_Alloc!$L$11:$L$27)*(Calc_RAB_NS!Q$44:Q$60))</f>
        <v>0</v>
      </c>
      <c r="R44" s="68">
        <f>SUMPRODUCT((Calc_Alloc!$L$11:$L$27)*(Calc_RAB_NS!R$44:R$60))</f>
        <v>0</v>
      </c>
      <c r="S44" s="66">
        <f>SUMPRODUCT((Calc_Alloc!$L$11:$L$27)*(Calc_RAB_NS!S$44:S$60))</f>
        <v>0</v>
      </c>
      <c r="T44" s="67">
        <f>SUMPRODUCT((Calc_Alloc!$L$11:$L$27)*(Calc_RAB_NS!T$44:T$60))</f>
        <v>0</v>
      </c>
      <c r="U44" s="67">
        <f>SUMPRODUCT((Calc_Alloc!$L$11:$L$27)*(Calc_RAB_NS!U$44:U$60))</f>
        <v>0</v>
      </c>
      <c r="V44" s="67">
        <f>SUMPRODUCT((Calc_Alloc!$L$11:$L$27)*(Calc_RAB_NS!V$44:V$60))</f>
        <v>0</v>
      </c>
      <c r="W44" s="68">
        <f>SUMPRODUCT((Calc_Alloc!$L$11:$L$27)*(Calc_RAB_NS!W$44:W$60))</f>
        <v>0</v>
      </c>
      <c r="X44" s="66">
        <f>SUMPRODUCT((Calc_Alloc!$L$11:$L$27)*(Calc_RAB_NS!X$44:X$60))</f>
        <v>0</v>
      </c>
      <c r="Y44" s="67">
        <f>SUMPRODUCT((Calc_Alloc!$L$11:$L$27)*(Calc_RAB_NS!Y$44:Y$60))</f>
        <v>0</v>
      </c>
      <c r="Z44" s="67">
        <f>SUMPRODUCT((Calc_Alloc!$L$11:$L$27)*(Calc_RAB_NS!Z$44:Z$60))</f>
        <v>0</v>
      </c>
      <c r="AA44" s="67">
        <f>SUMPRODUCT((Calc_Alloc!$L$11:$L$27)*(Calc_RAB_NS!AA$44:AA$60))</f>
        <v>0</v>
      </c>
      <c r="AB44" s="68">
        <f>SUMPRODUCT((Calc_Alloc!$L$11:$L$27)*(Calc_RAB_NS!AB$44:AB$60))</f>
        <v>0</v>
      </c>
    </row>
    <row r="45" spans="3:28" ht="12.3" x14ac:dyDescent="0.35">
      <c r="D45" s="15" t="str">
        <f t="shared" si="8"/>
        <v>“Other” asset items with long lives</v>
      </c>
      <c r="E45" s="52" t="str">
        <f t="shared" si="8"/>
        <v>Calc_Alloc</v>
      </c>
      <c r="F45" s="52" t="str">
        <f t="shared" si="9"/>
        <v>Dollars</v>
      </c>
      <c r="G45" s="52" t="str">
        <f t="shared" si="10"/>
        <v>Nominal</v>
      </c>
      <c r="H45" s="52" t="str">
        <f t="shared" si="11"/>
        <v>End_year</v>
      </c>
      <c r="J45" s="66">
        <f>SUMPRODUCT((Calc_Alloc!$M$11:$M$27)*(Calc_RAB_NS!J$44:J$60))</f>
        <v>1.6495126616015657E-2</v>
      </c>
      <c r="K45" s="67">
        <f>SUMPRODUCT((Calc_Alloc!$M$11:$M$27)*(Calc_RAB_NS!K$44:K$60))</f>
        <v>1.4433235789013591E-2</v>
      </c>
      <c r="L45" s="67">
        <f>SUMPRODUCT((Calc_Alloc!$M$11:$M$27)*(Calc_RAB_NS!L$44:L$60))</f>
        <v>2.5429986866357425E-2</v>
      </c>
      <c r="M45" s="67">
        <f>SUMPRODUCT((Calc_Alloc!$M$11:$M$27)*(Calc_RAB_NS!M$44:M$60))</f>
        <v>2.8204292314971471E-2</v>
      </c>
      <c r="N45" s="67">
        <f>SUMPRODUCT((Calc_Alloc!$M$11:$M$27)*(Calc_RAB_NS!N$44:N$60))</f>
        <v>4.2369559278410879E-2</v>
      </c>
      <c r="O45" s="67">
        <f>SUMPRODUCT((Calc_Alloc!$M$11:$M$27)*(Calc_RAB_NS!O$44:O$60))</f>
        <v>4.8646531023360584E-2</v>
      </c>
      <c r="P45" s="67">
        <f>SUMPRODUCT((Calc_Alloc!$M$11:$M$27)*(Calc_RAB_NS!P$44:P$60))</f>
        <v>2.5107886979799324E-2</v>
      </c>
      <c r="Q45" s="67">
        <f>SUMPRODUCT((Calc_Alloc!$M$11:$M$27)*(Calc_RAB_NS!Q$44:Q$60))</f>
        <v>3.9231073405936089E-2</v>
      </c>
      <c r="R45" s="68">
        <f>SUMPRODUCT((Calc_Alloc!$M$11:$M$27)*(Calc_RAB_NS!R$44:R$60))</f>
        <v>3.9367377358081462E-2</v>
      </c>
      <c r="S45" s="66">
        <f>SUMPRODUCT((Calc_Alloc!$M$11:$M$27)*(Calc_RAB_NS!S$44:S$60))</f>
        <v>2.3067794461687021E-2</v>
      </c>
      <c r="T45" s="67">
        <f>SUMPRODUCT((Calc_Alloc!$M$11:$M$27)*(Calc_RAB_NS!T$44:T$60))</f>
        <v>2.497277829752418E-2</v>
      </c>
      <c r="U45" s="67">
        <f>SUMPRODUCT((Calc_Alloc!$M$11:$M$27)*(Calc_RAB_NS!U$44:U$60))</f>
        <v>5.2132153054946145E-2</v>
      </c>
      <c r="V45" s="67">
        <f>SUMPRODUCT((Calc_Alloc!$M$11:$M$27)*(Calc_RAB_NS!V$44:V$60))</f>
        <v>0.11821525791032891</v>
      </c>
      <c r="W45" s="68">
        <f>SUMPRODUCT((Calc_Alloc!$M$11:$M$27)*(Calc_RAB_NS!W$44:W$60))</f>
        <v>0.22147155540677785</v>
      </c>
      <c r="X45" s="66">
        <f>SUMPRODUCT((Calc_Alloc!$M$11:$M$27)*(Calc_RAB_NS!X$44:X$60))</f>
        <v>0.60819291824711619</v>
      </c>
      <c r="Y45" s="67">
        <f>SUMPRODUCT((Calc_Alloc!$M$11:$M$27)*(Calc_RAB_NS!Y$44:Y$60))</f>
        <v>1.0485025638346008</v>
      </c>
      <c r="Z45" s="67">
        <f>SUMPRODUCT((Calc_Alloc!$M$11:$M$27)*(Calc_RAB_NS!Z$44:Z$60))</f>
        <v>1.2828819275647434</v>
      </c>
      <c r="AA45" s="67">
        <f>SUMPRODUCT((Calc_Alloc!$M$11:$M$27)*(Calc_RAB_NS!AA$44:AA$60))</f>
        <v>1.6060907613253774</v>
      </c>
      <c r="AB45" s="68">
        <f>SUMPRODUCT((Calc_Alloc!$M$11:$M$27)*(Calc_RAB_NS!AB$44:AB$60))</f>
        <v>1.6742238992447047</v>
      </c>
    </row>
    <row r="46" spans="3:28" ht="12.3" x14ac:dyDescent="0.35">
      <c r="D46" s="15" t="str">
        <f t="shared" si="8"/>
        <v>“Other” asset items with short lives</v>
      </c>
      <c r="E46" s="52" t="str">
        <f t="shared" si="8"/>
        <v>Calc_Alloc</v>
      </c>
      <c r="F46" s="52" t="str">
        <f t="shared" si="9"/>
        <v>Dollars</v>
      </c>
      <c r="G46" s="52" t="str">
        <f t="shared" si="10"/>
        <v>Nominal</v>
      </c>
      <c r="H46" s="52" t="str">
        <f t="shared" si="11"/>
        <v>End_year</v>
      </c>
      <c r="J46" s="66">
        <f>SUMPRODUCT((Calc_Alloc!$N$11:$N$27)*(Calc_RAB_NS!J$44:J$60))</f>
        <v>6.1052803925257623E-2</v>
      </c>
      <c r="K46" s="67">
        <f>SUMPRODUCT((Calc_Alloc!$N$11:$N$27)*(Calc_RAB_NS!K$44:K$60))</f>
        <v>2.0401489824894477E-2</v>
      </c>
      <c r="L46" s="67">
        <f>SUMPRODUCT((Calc_Alloc!$N$11:$N$27)*(Calc_RAB_NS!L$44:L$60))</f>
        <v>2.565410714295702E-2</v>
      </c>
      <c r="M46" s="67">
        <f>SUMPRODUCT((Calc_Alloc!$N$11:$N$27)*(Calc_RAB_NS!M$44:M$60))</f>
        <v>7.1253158257346015E-3</v>
      </c>
      <c r="N46" s="67">
        <f>SUMPRODUCT((Calc_Alloc!$N$11:$N$27)*(Calc_RAB_NS!N$44:N$60))</f>
        <v>1.1521021289062471E-3</v>
      </c>
      <c r="O46" s="67">
        <f>SUMPRODUCT((Calc_Alloc!$N$11:$N$27)*(Calc_RAB_NS!O$44:O$60))</f>
        <v>1.3227839257812454E-3</v>
      </c>
      <c r="P46" s="67">
        <f>SUMPRODUCT((Calc_Alloc!$N$11:$N$27)*(Calc_RAB_NS!P$44:P$60))</f>
        <v>5.142247650355692E-3</v>
      </c>
      <c r="Q46" s="67">
        <f>SUMPRODUCT((Calc_Alloc!$N$11:$N$27)*(Calc_RAB_NS!Q$44:Q$60))</f>
        <v>7.0523290691255888E-2</v>
      </c>
      <c r="R46" s="68">
        <f>SUMPRODUCT((Calc_Alloc!$N$11:$N$27)*(Calc_RAB_NS!R$44:R$60))</f>
        <v>0.177594631044697</v>
      </c>
      <c r="S46" s="66">
        <f>SUMPRODUCT((Calc_Alloc!$N$11:$N$27)*(Calc_RAB_NS!S$44:S$60))</f>
        <v>0.1085291218479624</v>
      </c>
      <c r="T46" s="67">
        <f>SUMPRODUCT((Calc_Alloc!$N$11:$N$27)*(Calc_RAB_NS!T$44:T$60))</f>
        <v>9.8846751078263226E-2</v>
      </c>
      <c r="U46" s="67">
        <f>SUMPRODUCT((Calc_Alloc!$N$11:$N$27)*(Calc_RAB_NS!U$44:U$60))</f>
        <v>0.12879925802834874</v>
      </c>
      <c r="V46" s="67">
        <f>SUMPRODUCT((Calc_Alloc!$N$11:$N$27)*(Calc_RAB_NS!V$44:V$60))</f>
        <v>0.10871012838259</v>
      </c>
      <c r="W46" s="68">
        <f>SUMPRODUCT((Calc_Alloc!$N$11:$N$27)*(Calc_RAB_NS!W$44:W$60))</f>
        <v>7.6635280158338023E-2</v>
      </c>
      <c r="X46" s="66">
        <f>SUMPRODUCT((Calc_Alloc!$N$11:$N$27)*(Calc_RAB_NS!X$44:X$60))</f>
        <v>1.8402189385671713E-2</v>
      </c>
      <c r="Y46" s="67">
        <f>SUMPRODUCT((Calc_Alloc!$N$11:$N$27)*(Calc_RAB_NS!Y$44:Y$60))</f>
        <v>0.63817905193723368</v>
      </c>
      <c r="Z46" s="67">
        <f>SUMPRODUCT((Calc_Alloc!$N$11:$N$27)*(Calc_RAB_NS!Z$44:Z$60))</f>
        <v>0.70619027418386404</v>
      </c>
      <c r="AA46" s="67">
        <f>SUMPRODUCT((Calc_Alloc!$N$11:$N$27)*(Calc_RAB_NS!AA$44:AA$60))</f>
        <v>1.3367266428251252</v>
      </c>
      <c r="AB46" s="68">
        <f>SUMPRODUCT((Calc_Alloc!$N$11:$N$27)*(Calc_RAB_NS!AB$44:AB$60))</f>
        <v>1.3478378389981658</v>
      </c>
    </row>
    <row r="47" spans="3:28" x14ac:dyDescent="0.35">
      <c r="J47" s="56"/>
      <c r="K47" s="57"/>
      <c r="L47" s="57"/>
      <c r="M47" s="57"/>
      <c r="N47" s="57"/>
      <c r="O47" s="57"/>
      <c r="P47" s="57"/>
      <c r="Q47" s="57"/>
      <c r="R47" s="58"/>
      <c r="S47" s="56"/>
      <c r="T47" s="57"/>
      <c r="U47" s="57"/>
      <c r="V47" s="57"/>
      <c r="W47" s="58"/>
      <c r="X47" s="56"/>
      <c r="Y47" s="57"/>
      <c r="Z47" s="57"/>
      <c r="AA47" s="57"/>
      <c r="AB47" s="58"/>
    </row>
    <row r="48" spans="3:28" ht="12.3" x14ac:dyDescent="0.35">
      <c r="D48" s="51" t="str">
        <f>"Total "&amp;D35</f>
        <v>Total EB RIN Categories</v>
      </c>
      <c r="E48" s="47" t="s">
        <v>111</v>
      </c>
      <c r="F48" s="47" t="str">
        <f>F37</f>
        <v>Dollars</v>
      </c>
      <c r="G48" s="47" t="str">
        <f>G37</f>
        <v>Nominal</v>
      </c>
      <c r="H48" s="47" t="str">
        <f>H37</f>
        <v>End_year</v>
      </c>
      <c r="J48" s="62">
        <f t="shared" ref="J48:AB48" si="12">SUM(J37:J46)</f>
        <v>10.247944338305333</v>
      </c>
      <c r="K48" s="46">
        <f t="shared" si="12"/>
        <v>9.0946401522252316</v>
      </c>
      <c r="L48" s="46">
        <f t="shared" si="12"/>
        <v>16.498348699144159</v>
      </c>
      <c r="M48" s="46">
        <f t="shared" si="12"/>
        <v>10.516199122433626</v>
      </c>
      <c r="N48" s="46">
        <f t="shared" si="12"/>
        <v>14.082317122117228</v>
      </c>
      <c r="O48" s="46">
        <f t="shared" si="12"/>
        <v>17.964642621280561</v>
      </c>
      <c r="P48" s="46">
        <f t="shared" si="12"/>
        <v>10.321969580188872</v>
      </c>
      <c r="Q48" s="46">
        <f t="shared" si="12"/>
        <v>17.340173489515941</v>
      </c>
      <c r="R48" s="63">
        <f t="shared" si="12"/>
        <v>19.317197997092524</v>
      </c>
      <c r="S48" s="62">
        <f t="shared" si="12"/>
        <v>11.446656213143349</v>
      </c>
      <c r="T48" s="46">
        <f t="shared" si="12"/>
        <v>11.826583333574925</v>
      </c>
      <c r="U48" s="46">
        <f t="shared" si="12"/>
        <v>19.727964695944895</v>
      </c>
      <c r="V48" s="46">
        <f t="shared" si="12"/>
        <v>22.961984039432952</v>
      </c>
      <c r="W48" s="63">
        <f t="shared" si="12"/>
        <v>23.287206113115893</v>
      </c>
      <c r="X48" s="62">
        <f t="shared" si="12"/>
        <v>23.860678529434626</v>
      </c>
      <c r="Y48" s="46">
        <f t="shared" si="12"/>
        <v>25.691187592510619</v>
      </c>
      <c r="Z48" s="46">
        <f t="shared" si="12"/>
        <v>26.876074949971869</v>
      </c>
      <c r="AA48" s="46">
        <f t="shared" si="12"/>
        <v>28.641767048510822</v>
      </c>
      <c r="AB48" s="63">
        <f t="shared" si="12"/>
        <v>29.521679314884754</v>
      </c>
    </row>
    <row r="49" spans="1:28" s="6" customFormat="1" ht="11.25" customHeight="1" x14ac:dyDescent="0.35"/>
    <row r="50" spans="1:28" s="6" customFormat="1" ht="11.25" customHeight="1" x14ac:dyDescent="0.35">
      <c r="A50" s="49">
        <f>IF(SUM($J50:$AB50)&lt;&gt;0,1,0)</f>
        <v>0</v>
      </c>
      <c r="D50" s="15" t="s">
        <v>114</v>
      </c>
      <c r="J50" s="70">
        <f>IF(ROUND(J48-Calc_RAB_NS!J$62,5)&lt;&gt;0,1,0)</f>
        <v>0</v>
      </c>
      <c r="K50" s="70">
        <f>IF(ROUND(K48-Calc_RAB_NS!K$62,5)&lt;&gt;0,1,0)</f>
        <v>0</v>
      </c>
      <c r="L50" s="70">
        <f>IF(ROUND(L48-Calc_RAB_NS!L$62,5)&lt;&gt;0,1,0)</f>
        <v>0</v>
      </c>
      <c r="M50" s="70">
        <f>IF(ROUND(M48-Calc_RAB_NS!M$62,5)&lt;&gt;0,1,0)</f>
        <v>0</v>
      </c>
      <c r="N50" s="70">
        <f>IF(ROUND(N48-Calc_RAB_NS!N$62,5)&lt;&gt;0,1,0)</f>
        <v>0</v>
      </c>
      <c r="O50" s="70">
        <f>IF(ROUND(O48-Calc_RAB_NS!O$62,5)&lt;&gt;0,1,0)</f>
        <v>0</v>
      </c>
      <c r="P50" s="70">
        <f>IF(ROUND(P48-Calc_RAB_NS!P$62,5)&lt;&gt;0,1,0)</f>
        <v>0</v>
      </c>
      <c r="Q50" s="70">
        <f>IF(ROUND(Q48-Calc_RAB_NS!Q$62,5)&lt;&gt;0,1,0)</f>
        <v>0</v>
      </c>
      <c r="R50" s="70">
        <f>IF(ROUND(R48-Calc_RAB_NS!R$62,5)&lt;&gt;0,1,0)</f>
        <v>0</v>
      </c>
      <c r="S50" s="70">
        <f>IF(ROUND(S48-Calc_RAB_NS!S$62,5)&lt;&gt;0,1,0)</f>
        <v>0</v>
      </c>
      <c r="T50" s="70">
        <f>IF(ROUND(T48-Calc_RAB_NS!T$62,5)&lt;&gt;0,1,0)</f>
        <v>0</v>
      </c>
      <c r="U50" s="70">
        <f>IF(ROUND(U48-Calc_RAB_NS!U$62,5)&lt;&gt;0,1,0)</f>
        <v>0</v>
      </c>
      <c r="V50" s="70">
        <f>IF(ROUND(V48-Calc_RAB_NS!V$62,5)&lt;&gt;0,1,0)</f>
        <v>0</v>
      </c>
      <c r="W50" s="70">
        <f>IF(ROUND(W48-Calc_RAB_NS!W$62,5)&lt;&gt;0,1,0)</f>
        <v>0</v>
      </c>
      <c r="X50" s="70">
        <f>IF(ROUND(X48-Calc_RAB_NS!X$62,5)&lt;&gt;0,1,0)</f>
        <v>0</v>
      </c>
      <c r="Y50" s="70">
        <f>IF(ROUND(Y48-Calc_RAB_NS!Y$62,5)&lt;&gt;0,1,0)</f>
        <v>0</v>
      </c>
      <c r="Z50" s="70">
        <f>IF(ROUND(Z48-Calc_RAB_NS!Z$62,5)&lt;&gt;0,1,0)</f>
        <v>0</v>
      </c>
      <c r="AA50" s="70">
        <f>IF(ROUND(AA48-Calc_RAB_NS!AA$62,5)&lt;&gt;0,1,0)</f>
        <v>0</v>
      </c>
      <c r="AB50" s="70">
        <f>IF(ROUND(AB48-Calc_RAB_NS!AB$62,5)&lt;&gt;0,1,0)</f>
        <v>0</v>
      </c>
    </row>
    <row r="51" spans="1:28" s="6" customFormat="1" ht="11.25" customHeight="1" x14ac:dyDescent="0.35">
      <c r="L51" s="10"/>
      <c r="Q51" s="10"/>
      <c r="V51" s="10"/>
      <c r="AA51" s="10"/>
    </row>
    <row r="52" spans="1:28" s="13" customFormat="1" ht="14.1" x14ac:dyDescent="0.35">
      <c r="C52" s="13" t="s">
        <v>149</v>
      </c>
    </row>
    <row r="53" spans="1:28" s="6" customFormat="1" ht="11.25" customHeight="1" x14ac:dyDescent="0.35"/>
    <row r="54" spans="1:28" ht="12.3" x14ac:dyDescent="0.35">
      <c r="D54" s="50" t="str">
        <f>D$16</f>
        <v>EB RIN Categories</v>
      </c>
      <c r="E54" s="45" t="str">
        <f>Lookup!E$20</f>
        <v>Source</v>
      </c>
      <c r="F54" s="45" t="str">
        <f>Lookup!F$20</f>
        <v>Unit</v>
      </c>
      <c r="G54" s="45" t="str">
        <f>Lookup!G$20</f>
        <v>Basis</v>
      </c>
      <c r="H54" s="45" t="str">
        <f>Lookup!H$20</f>
        <v>Timing</v>
      </c>
      <c r="J54" s="54" t="str">
        <f>J$10</f>
        <v>RY06</v>
      </c>
      <c r="K54" s="45" t="str">
        <f t="shared" ref="K54:AB54" si="13">K$10</f>
        <v>RY07</v>
      </c>
      <c r="L54" s="45" t="str">
        <f t="shared" si="13"/>
        <v>RY08</v>
      </c>
      <c r="M54" s="45" t="str">
        <f t="shared" si="13"/>
        <v>RY09</v>
      </c>
      <c r="N54" s="45" t="str">
        <f t="shared" si="13"/>
        <v>RY10</v>
      </c>
      <c r="O54" s="45" t="str">
        <f>O$10</f>
        <v>RY11</v>
      </c>
      <c r="P54" s="45" t="str">
        <f t="shared" si="13"/>
        <v>RY12</v>
      </c>
      <c r="Q54" s="45" t="str">
        <f t="shared" si="13"/>
        <v>RY13</v>
      </c>
      <c r="R54" s="55" t="str">
        <f t="shared" si="13"/>
        <v>RY14</v>
      </c>
      <c r="S54" s="54" t="str">
        <f t="shared" si="13"/>
        <v>RY15</v>
      </c>
      <c r="T54" s="45" t="str">
        <f>T$10</f>
        <v>RY16</v>
      </c>
      <c r="U54" s="45" t="str">
        <f t="shared" si="13"/>
        <v>RY17</v>
      </c>
      <c r="V54" s="45" t="str">
        <f t="shared" si="13"/>
        <v>RY18</v>
      </c>
      <c r="W54" s="55" t="str">
        <f t="shared" si="13"/>
        <v>RY19</v>
      </c>
      <c r="X54" s="54" t="str">
        <f t="shared" si="13"/>
        <v>RY20</v>
      </c>
      <c r="Y54" s="45" t="str">
        <f>Y$10</f>
        <v>RY21</v>
      </c>
      <c r="Z54" s="45" t="str">
        <f t="shared" si="13"/>
        <v>RY22</v>
      </c>
      <c r="AA54" s="45" t="str">
        <f t="shared" si="13"/>
        <v>RY23</v>
      </c>
      <c r="AB54" s="55" t="str">
        <f t="shared" si="13"/>
        <v>RY24</v>
      </c>
    </row>
    <row r="55" spans="1:28" x14ac:dyDescent="0.35">
      <c r="J55" s="56"/>
      <c r="K55" s="57"/>
      <c r="L55" s="57"/>
      <c r="M55" s="57"/>
      <c r="N55" s="57"/>
      <c r="O55" s="57"/>
      <c r="P55" s="57"/>
      <c r="Q55" s="57"/>
      <c r="R55" s="58"/>
      <c r="S55" s="56"/>
      <c r="T55" s="57"/>
      <c r="U55" s="57"/>
      <c r="V55" s="57"/>
      <c r="W55" s="58"/>
      <c r="X55" s="56"/>
      <c r="Y55" s="57"/>
      <c r="Z55" s="57"/>
      <c r="AA55" s="57"/>
      <c r="AB55" s="58"/>
    </row>
    <row r="56" spans="1:28" ht="12.3" x14ac:dyDescent="0.35">
      <c r="D56" s="15" t="str">
        <f>D18</f>
        <v>Overhead network assets less than 33kV</v>
      </c>
      <c r="E56" s="52" t="str">
        <f>E18</f>
        <v>Calc_Alloc</v>
      </c>
      <c r="F56" s="52" t="str">
        <f t="shared" ref="F56:F65" si="14">Dollars</f>
        <v>Dollars</v>
      </c>
      <c r="G56" s="52" t="str">
        <f t="shared" ref="G56:G65" si="15">Nominal</f>
        <v>Nominal</v>
      </c>
      <c r="H56" s="52" t="str">
        <f t="shared" ref="H56:H65" si="16">End_year</f>
        <v>End_year</v>
      </c>
      <c r="J56" s="66">
        <f>SUMPRODUCT((Calc_Alloc!$E$11:$E$27)*(Calc_RAB_NS!J$70:J$86))</f>
        <v>-1.461944938823442</v>
      </c>
      <c r="K56" s="67">
        <f>SUMPRODUCT((Calc_Alloc!$E$11:$E$27)*(Calc_RAB_NS!K$70:K$86))</f>
        <v>-1.5607469080792118</v>
      </c>
      <c r="L56" s="67">
        <f>SUMPRODUCT((Calc_Alloc!$E$11:$E$27)*(Calc_RAB_NS!L$70:L$86))</f>
        <v>-1.7010086272331331</v>
      </c>
      <c r="M56" s="67">
        <f>SUMPRODUCT((Calc_Alloc!$E$11:$E$27)*(Calc_RAB_NS!M$70:M$86))</f>
        <v>-1.817010506585262</v>
      </c>
      <c r="N56" s="67">
        <f>SUMPRODUCT((Calc_Alloc!$E$11:$E$27)*(Calc_RAB_NS!N$70:N$86))</f>
        <v>-2.0076413141995912</v>
      </c>
      <c r="O56" s="67">
        <f>SUMPRODUCT((Calc_Alloc!$E$11:$E$27)*(Calc_RAB_NS!O$70:O$86))</f>
        <v>-2.1471251655687875</v>
      </c>
      <c r="P56" s="67">
        <f>SUMPRODUCT((Calc_Alloc!$E$11:$E$27)*(Calc_RAB_NS!P$70:P$86))</f>
        <v>-2.2563946718374339</v>
      </c>
      <c r="Q56" s="67">
        <f>SUMPRODUCT((Calc_Alloc!$E$11:$E$27)*(Calc_RAB_NS!Q$70:Q$86))</f>
        <v>-2.3996436903393792</v>
      </c>
      <c r="R56" s="68">
        <f>SUMPRODUCT((Calc_Alloc!$E$11:$E$27)*(Calc_RAB_NS!R$70:R$86))</f>
        <v>-2.1731027995715451</v>
      </c>
      <c r="S56" s="66">
        <f>SUMPRODUCT((Calc_Alloc!$E$11:$E$27)*(Calc_RAB_NS!S$70:S$86))</f>
        <v>-3.2644539242284911</v>
      </c>
      <c r="T56" s="67">
        <f>SUMPRODUCT((Calc_Alloc!$E$11:$E$27)*(Calc_RAB_NS!T$70:T$86))</f>
        <v>-3.3356107888532596</v>
      </c>
      <c r="U56" s="67">
        <f>SUMPRODUCT((Calc_Alloc!$E$11:$E$27)*(Calc_RAB_NS!U$70:U$86))</f>
        <v>-3.4108784283351361</v>
      </c>
      <c r="V56" s="67">
        <f>SUMPRODUCT((Calc_Alloc!$E$11:$E$27)*(Calc_RAB_NS!V$70:V$86))</f>
        <v>-3.4988370892985983</v>
      </c>
      <c r="W56" s="68">
        <f>SUMPRODUCT((Calc_Alloc!$E$11:$E$27)*(Calc_RAB_NS!W$70:W$86))</f>
        <v>-3.603199998760624</v>
      </c>
      <c r="X56" s="66">
        <f>SUMPRODUCT((Calc_Alloc!$E$11:$E$27)*(Calc_RAB_NS!X$70:X$86))</f>
        <v>-2.9203285289140593</v>
      </c>
      <c r="Y56" s="67">
        <f>SUMPRODUCT((Calc_Alloc!$E$11:$E$27)*(Calc_RAB_NS!Y$70:Y$86))</f>
        <v>-3.1085872828423415</v>
      </c>
      <c r="Z56" s="67">
        <f>SUMPRODUCT((Calc_Alloc!$E$11:$E$27)*(Calc_RAB_NS!Z$70:Z$86))</f>
        <v>-3.3276152072880074</v>
      </c>
      <c r="AA56" s="67">
        <f>SUMPRODUCT((Calc_Alloc!$E$11:$E$27)*(Calc_RAB_NS!AA$70:AA$86))</f>
        <v>-3.5186228412905645</v>
      </c>
      <c r="AB56" s="68">
        <f>SUMPRODUCT((Calc_Alloc!$E$11:$E$27)*(Calc_RAB_NS!AB$70:AB$86))</f>
        <v>-3.7034738445828976</v>
      </c>
    </row>
    <row r="57" spans="1:28" ht="12.3" x14ac:dyDescent="0.35">
      <c r="D57" s="15" t="str">
        <f t="shared" ref="D57:E65" si="17">D19</f>
        <v>Underground network assets less than 33kV</v>
      </c>
      <c r="E57" s="52" t="str">
        <f t="shared" si="17"/>
        <v>Calc_Alloc</v>
      </c>
      <c r="F57" s="52" t="str">
        <f t="shared" si="14"/>
        <v>Dollars</v>
      </c>
      <c r="G57" s="52" t="str">
        <f t="shared" si="15"/>
        <v>Nominal</v>
      </c>
      <c r="H57" s="52" t="str">
        <f t="shared" si="16"/>
        <v>End_year</v>
      </c>
      <c r="J57" s="66">
        <f>SUMPRODUCT((Calc_Alloc!$F$11:$F$27)*(Calc_RAB_NS!J$70:J$86))</f>
        <v>-3.0283657100529391</v>
      </c>
      <c r="K57" s="67">
        <f>SUMPRODUCT((Calc_Alloc!$F$11:$F$27)*(Calc_RAB_NS!K$70:K$86))</f>
        <v>-3.2330303918983976</v>
      </c>
      <c r="L57" s="67">
        <f>SUMPRODUCT((Calc_Alloc!$F$11:$F$27)*(Calc_RAB_NS!L$70:L$86))</f>
        <v>-3.5235774360713852</v>
      </c>
      <c r="M57" s="67">
        <f>SUMPRODUCT((Calc_Alloc!$F$11:$F$27)*(Calc_RAB_NS!M$70:M$86))</f>
        <v>-3.7638711054173766</v>
      </c>
      <c r="N57" s="67">
        <f>SUMPRODUCT((Calc_Alloc!$F$11:$F$27)*(Calc_RAB_NS!N$70:N$86))</f>
        <v>-4.1587558823526409</v>
      </c>
      <c r="O57" s="67">
        <f>SUMPRODUCT((Calc_Alloc!$F$11:$F$27)*(Calc_RAB_NS!O$70:O$86))</f>
        <v>-4.4476916017324308</v>
      </c>
      <c r="P57" s="67">
        <f>SUMPRODUCT((Calc_Alloc!$F$11:$F$27)*(Calc_RAB_NS!P$70:P$86))</f>
        <v>-4.6740394053676999</v>
      </c>
      <c r="Q57" s="67">
        <f>SUMPRODUCT((Calc_Alloc!$F$11:$F$27)*(Calc_RAB_NS!Q$70:Q$86))</f>
        <v>-4.9707745313698846</v>
      </c>
      <c r="R57" s="68">
        <f>SUMPRODUCT((Calc_Alloc!$F$11:$F$27)*(Calc_RAB_NS!R$70:R$86))</f>
        <v>-4.5015028739055811</v>
      </c>
      <c r="S57" s="66">
        <f>SUMPRODUCT((Calc_Alloc!$F$11:$F$27)*(Calc_RAB_NS!S$70:S$86))</f>
        <v>-6.762196999833562</v>
      </c>
      <c r="T57" s="67">
        <f>SUMPRODUCT((Calc_Alloc!$F$11:$F$27)*(Calc_RAB_NS!T$70:T$86))</f>
        <v>-6.9095958445130492</v>
      </c>
      <c r="U57" s="67">
        <f>SUMPRODUCT((Calc_Alloc!$F$11:$F$27)*(Calc_RAB_NS!U$70:U$86))</f>
        <v>-7.0655100090771494</v>
      </c>
      <c r="V57" s="67">
        <f>SUMPRODUCT((Calc_Alloc!$F$11:$F$27)*(Calc_RAB_NS!V$70:V$86))</f>
        <v>-7.247713160424702</v>
      </c>
      <c r="W57" s="68">
        <f>SUMPRODUCT((Calc_Alloc!$F$11:$F$27)*(Calc_RAB_NS!W$70:W$86))</f>
        <v>-7.4638971134342693</v>
      </c>
      <c r="X57" s="66">
        <f>SUMPRODUCT((Calc_Alloc!$F$11:$F$27)*(Calc_RAB_NS!X$70:X$86))</f>
        <v>-6.0493330286457692</v>
      </c>
      <c r="Y57" s="67">
        <f>SUMPRODUCT((Calc_Alloc!$F$11:$F$27)*(Calc_RAB_NS!Y$70:Y$86))</f>
        <v>-6.4393032746254359</v>
      </c>
      <c r="Z57" s="67">
        <f>SUMPRODUCT((Calc_Alloc!$F$11:$F$27)*(Calc_RAB_NS!Z$70:Z$86))</f>
        <v>-6.8930105478211718</v>
      </c>
      <c r="AA57" s="67">
        <f>SUMPRODUCT((Calc_Alloc!$F$11:$F$27)*(Calc_RAB_NS!AA$70:AA$86))</f>
        <v>-7.288674859086739</v>
      </c>
      <c r="AB57" s="68">
        <f>SUMPRODUCT((Calc_Alloc!$F$11:$F$27)*(Calc_RAB_NS!AB$70:AB$86))</f>
        <v>-7.6715859685940426</v>
      </c>
    </row>
    <row r="58" spans="1:28" ht="12.3" x14ac:dyDescent="0.35">
      <c r="D58" s="15" t="str">
        <f t="shared" si="17"/>
        <v>Distribution substations and transformers</v>
      </c>
      <c r="E58" s="52" t="str">
        <f t="shared" si="17"/>
        <v>Calc_Alloc</v>
      </c>
      <c r="F58" s="52" t="str">
        <f t="shared" si="14"/>
        <v>Dollars</v>
      </c>
      <c r="G58" s="52" t="str">
        <f t="shared" si="15"/>
        <v>Nominal</v>
      </c>
      <c r="H58" s="52" t="str">
        <f t="shared" si="16"/>
        <v>End_year</v>
      </c>
      <c r="J58" s="66">
        <f>SUMPRODUCT((Calc_Alloc!$G$11:$G$27)*(Calc_RAB_NS!J$70:J$86))</f>
        <v>-4.299418360856528</v>
      </c>
      <c r="K58" s="67">
        <f>SUMPRODUCT((Calc_Alloc!$G$11:$G$27)*(Calc_RAB_NS!K$70:K$86))</f>
        <v>-4.4456885995154307</v>
      </c>
      <c r="L58" s="67">
        <f>SUMPRODUCT((Calc_Alloc!$G$11:$G$27)*(Calc_RAB_NS!L$70:L$86))</f>
        <v>-0.21776100950617672</v>
      </c>
      <c r="M58" s="67">
        <f>SUMPRODUCT((Calc_Alloc!$G$11:$G$27)*(Calc_RAB_NS!M$70:M$86))</f>
        <v>-0.37295839675304399</v>
      </c>
      <c r="N58" s="67">
        <f>SUMPRODUCT((Calc_Alloc!$G$11:$G$27)*(Calc_RAB_NS!N$70:N$86))</f>
        <v>-2.8564431898719493</v>
      </c>
      <c r="O58" s="67">
        <f>SUMPRODUCT((Calc_Alloc!$G$11:$G$27)*(Calc_RAB_NS!O$70:O$86))</f>
        <v>-3.269989401092686</v>
      </c>
      <c r="P58" s="67">
        <f>SUMPRODUCT((Calc_Alloc!$G$11:$G$27)*(Calc_RAB_NS!P$70:P$86))</f>
        <v>-3.6055633651365468</v>
      </c>
      <c r="Q58" s="67">
        <f>SUMPRODUCT((Calc_Alloc!$G$11:$G$27)*(Calc_RAB_NS!Q$70:Q$86))</f>
        <v>-3.8154384119507756</v>
      </c>
      <c r="R58" s="68">
        <f>SUMPRODUCT((Calc_Alloc!$G$11:$G$27)*(Calc_RAB_NS!R$70:R$86))</f>
        <v>-4.0188955917811207</v>
      </c>
      <c r="S58" s="66">
        <f>SUMPRODUCT((Calc_Alloc!$G$11:$G$27)*(Calc_RAB_NS!S$70:S$86))</f>
        <v>-4.3943193367606952</v>
      </c>
      <c r="T58" s="67">
        <f>SUMPRODUCT((Calc_Alloc!$G$11:$G$27)*(Calc_RAB_NS!T$70:T$86))</f>
        <v>-4.5012589248640538</v>
      </c>
      <c r="U58" s="67">
        <f>SUMPRODUCT((Calc_Alloc!$G$11:$G$27)*(Calc_RAB_NS!U$70:U$86))</f>
        <v>-4.5996141205797461</v>
      </c>
      <c r="V58" s="67">
        <f>SUMPRODUCT((Calc_Alloc!$G$11:$G$27)*(Calc_RAB_NS!V$70:V$86))</f>
        <v>-4.7406052729399866</v>
      </c>
      <c r="W58" s="68">
        <f>SUMPRODUCT((Calc_Alloc!$G$11:$G$27)*(Calc_RAB_NS!W$70:W$86))</f>
        <v>-4.930791399656175</v>
      </c>
      <c r="X58" s="66">
        <f>SUMPRODUCT((Calc_Alloc!$G$11:$G$27)*(Calc_RAB_NS!X$70:X$86))</f>
        <v>-7.1457378645614131</v>
      </c>
      <c r="Y58" s="67">
        <f>SUMPRODUCT((Calc_Alloc!$G$11:$G$27)*(Calc_RAB_NS!Y$70:Y$86))</f>
        <v>-7.5182746986727649</v>
      </c>
      <c r="Z58" s="67">
        <f>SUMPRODUCT((Calc_Alloc!$G$11:$G$27)*(Calc_RAB_NS!Z$70:Z$86))</f>
        <v>-7.9249732688872214</v>
      </c>
      <c r="AA58" s="67">
        <f>SUMPRODUCT((Calc_Alloc!$G$11:$G$27)*(Calc_RAB_NS!AA$70:AA$86))</f>
        <v>-8.3421295349965092</v>
      </c>
      <c r="AB58" s="68">
        <f>SUMPRODUCT((Calc_Alloc!$G$11:$G$27)*(Calc_RAB_NS!AB$70:AB$86))</f>
        <v>-8.8046161181481626</v>
      </c>
    </row>
    <row r="59" spans="1:28" ht="12.3" x14ac:dyDescent="0.35">
      <c r="D59" s="15" t="str">
        <f t="shared" si="17"/>
        <v>Overhead network assets 33kV and above</v>
      </c>
      <c r="E59" s="52" t="str">
        <f t="shared" si="17"/>
        <v>Calc_Alloc</v>
      </c>
      <c r="F59" s="52" t="str">
        <f t="shared" si="14"/>
        <v>Dollars</v>
      </c>
      <c r="G59" s="52" t="str">
        <f t="shared" si="15"/>
        <v>Nominal</v>
      </c>
      <c r="H59" s="52" t="str">
        <f t="shared" si="16"/>
        <v>End_year</v>
      </c>
      <c r="J59" s="66">
        <f>SUMPRODUCT((Calc_Alloc!$H$11:$H$27)*(Calc_RAB_NS!J$70:J$86))</f>
        <v>-3.069692345818392</v>
      </c>
      <c r="K59" s="67">
        <f>SUMPRODUCT((Calc_Alloc!$H$11:$H$27)*(Calc_RAB_NS!K$70:K$86))</f>
        <v>-3.2622278335866701</v>
      </c>
      <c r="L59" s="67">
        <f>SUMPRODUCT((Calc_Alloc!$H$11:$H$27)*(Calc_RAB_NS!L$70:L$86))</f>
        <v>-3.4843697962262716</v>
      </c>
      <c r="M59" s="67">
        <f>SUMPRODUCT((Calc_Alloc!$H$11:$H$27)*(Calc_RAB_NS!M$70:M$86))</f>
        <v>-3.5964106323108624</v>
      </c>
      <c r="N59" s="67">
        <f>SUMPRODUCT((Calc_Alloc!$H$11:$H$27)*(Calc_RAB_NS!N$70:N$86))</f>
        <v>-2.1421803856213066</v>
      </c>
      <c r="O59" s="67">
        <f>SUMPRODUCT((Calc_Alloc!$H$11:$H$27)*(Calc_RAB_NS!O$70:O$86))</f>
        <v>-2.4278392322051658</v>
      </c>
      <c r="P59" s="67">
        <f>SUMPRODUCT((Calc_Alloc!$H$11:$H$27)*(Calc_RAB_NS!P$70:P$86))</f>
        <v>-2.6698222078049403</v>
      </c>
      <c r="Q59" s="67">
        <f>SUMPRODUCT((Calc_Alloc!$H$11:$H$27)*(Calc_RAB_NS!Q$70:Q$86))</f>
        <v>-2.8467191813908448</v>
      </c>
      <c r="R59" s="68">
        <f>SUMPRODUCT((Calc_Alloc!$H$11:$H$27)*(Calc_RAB_NS!R$70:R$86))</f>
        <v>-3.5251645088707861</v>
      </c>
      <c r="S59" s="66">
        <f>SUMPRODUCT((Calc_Alloc!$H$11:$H$27)*(Calc_RAB_NS!S$70:S$86))</f>
        <v>-3.8255604657202351</v>
      </c>
      <c r="T59" s="67">
        <f>SUMPRODUCT((Calc_Alloc!$H$11:$H$27)*(Calc_RAB_NS!T$70:T$86))</f>
        <v>-4.027415961167609</v>
      </c>
      <c r="U59" s="67">
        <f>SUMPRODUCT((Calc_Alloc!$H$11:$H$27)*(Calc_RAB_NS!U$70:U$86))</f>
        <v>-4.1520955439456566</v>
      </c>
      <c r="V59" s="67">
        <f>SUMPRODUCT((Calc_Alloc!$H$11:$H$27)*(Calc_RAB_NS!V$70:V$86))</f>
        <v>-4.2617544921939441</v>
      </c>
      <c r="W59" s="68">
        <f>SUMPRODUCT((Calc_Alloc!$H$11:$H$27)*(Calc_RAB_NS!W$70:W$86))</f>
        <v>-4.463459731527025</v>
      </c>
      <c r="X59" s="66">
        <f>SUMPRODUCT((Calc_Alloc!$H$11:$H$27)*(Calc_RAB_NS!X$70:X$86))</f>
        <v>-4.3397975083535583</v>
      </c>
      <c r="Y59" s="67">
        <f>SUMPRODUCT((Calc_Alloc!$H$11:$H$27)*(Calc_RAB_NS!Y$70:Y$86))</f>
        <v>-4.4814588596811582</v>
      </c>
      <c r="Z59" s="67">
        <f>SUMPRODUCT((Calc_Alloc!$H$11:$H$27)*(Calc_RAB_NS!Z$70:Z$86))</f>
        <v>-4.6261719642291341</v>
      </c>
      <c r="AA59" s="67">
        <f>SUMPRODUCT((Calc_Alloc!$H$11:$H$27)*(Calc_RAB_NS!AA$70:AA$86))</f>
        <v>-4.7742651917769932</v>
      </c>
      <c r="AB59" s="68">
        <f>SUMPRODUCT((Calc_Alloc!$H$11:$H$27)*(Calc_RAB_NS!AB$70:AB$86))</f>
        <v>-4.9296608029862687</v>
      </c>
    </row>
    <row r="60" spans="1:28" ht="12.3" x14ac:dyDescent="0.35">
      <c r="D60" s="15" t="str">
        <f t="shared" si="17"/>
        <v>Underground network assets 33kV and above</v>
      </c>
      <c r="E60" s="52" t="str">
        <f t="shared" si="17"/>
        <v>Calc_Alloc</v>
      </c>
      <c r="F60" s="52" t="str">
        <f t="shared" si="14"/>
        <v>Dollars</v>
      </c>
      <c r="G60" s="52" t="str">
        <f t="shared" si="15"/>
        <v>Nominal</v>
      </c>
      <c r="H60" s="52" t="str">
        <f t="shared" si="16"/>
        <v>End_year</v>
      </c>
      <c r="J60" s="66">
        <f>SUMPRODUCT((Calc_Alloc!$I$11:$I$27)*(Calc_RAB_NS!J$70:J$86))</f>
        <v>-1.5360309100949081</v>
      </c>
      <c r="K60" s="67">
        <f>SUMPRODUCT((Calc_Alloc!$I$11:$I$27)*(Calc_RAB_NS!K$70:K$86))</f>
        <v>-1.6323729623872623</v>
      </c>
      <c r="L60" s="67">
        <f>SUMPRODUCT((Calc_Alloc!$I$11:$I$27)*(Calc_RAB_NS!L$70:L$86))</f>
        <v>-1.74352967863226</v>
      </c>
      <c r="M60" s="67">
        <f>SUMPRODUCT((Calc_Alloc!$I$11:$I$27)*(Calc_RAB_NS!M$70:M$86))</f>
        <v>-1.7995933384492591</v>
      </c>
      <c r="N60" s="67">
        <f>SUMPRODUCT((Calc_Alloc!$I$11:$I$27)*(Calc_RAB_NS!N$70:N$86))</f>
        <v>-1.071916959950626</v>
      </c>
      <c r="O60" s="67">
        <f>SUMPRODUCT((Calc_Alloc!$I$11:$I$27)*(Calc_RAB_NS!O$70:O$86))</f>
        <v>-1.2148566322902938</v>
      </c>
      <c r="P60" s="67">
        <f>SUMPRODUCT((Calc_Alloc!$I$11:$I$27)*(Calc_RAB_NS!P$70:P$86))</f>
        <v>-1.335941512585977</v>
      </c>
      <c r="Q60" s="67">
        <f>SUMPRODUCT((Calc_Alloc!$I$11:$I$27)*(Calc_RAB_NS!Q$70:Q$86))</f>
        <v>-1.4244582721564709</v>
      </c>
      <c r="R60" s="68">
        <f>SUMPRODUCT((Calc_Alloc!$I$11:$I$27)*(Calc_RAB_NS!R$70:R$86))</f>
        <v>-1.7639427795333236</v>
      </c>
      <c r="S60" s="66">
        <f>SUMPRODUCT((Calc_Alloc!$I$11:$I$27)*(Calc_RAB_NS!S$70:S$86))</f>
        <v>-1.9142566947427235</v>
      </c>
      <c r="T60" s="67">
        <f>SUMPRODUCT((Calc_Alloc!$I$11:$I$27)*(Calc_RAB_NS!T$70:T$86))</f>
        <v>-2.015262347899482</v>
      </c>
      <c r="U60" s="67">
        <f>SUMPRODUCT((Calc_Alloc!$I$11:$I$27)*(Calc_RAB_NS!U$70:U$86))</f>
        <v>-2.0776502589439549</v>
      </c>
      <c r="V60" s="67">
        <f>SUMPRODUCT((Calc_Alloc!$I$11:$I$27)*(Calc_RAB_NS!V$70:V$86))</f>
        <v>-2.132522055561398</v>
      </c>
      <c r="W60" s="68">
        <f>SUMPRODUCT((Calc_Alloc!$I$11:$I$27)*(Calc_RAB_NS!W$70:W$86))</f>
        <v>-2.2334525226701798</v>
      </c>
      <c r="X60" s="66">
        <f>SUMPRODUCT((Calc_Alloc!$I$11:$I$27)*(Calc_RAB_NS!X$70:X$86))</f>
        <v>-2.1715736840744317</v>
      </c>
      <c r="Y60" s="67">
        <f>SUMPRODUCT((Calc_Alloc!$I$11:$I$27)*(Calc_RAB_NS!Y$70:Y$86))</f>
        <v>-2.2424590334487502</v>
      </c>
      <c r="Z60" s="67">
        <f>SUMPRODUCT((Calc_Alloc!$I$11:$I$27)*(Calc_RAB_NS!Z$70:Z$86))</f>
        <v>-2.3148714372468984</v>
      </c>
      <c r="AA60" s="67">
        <f>SUMPRODUCT((Calc_Alloc!$I$11:$I$27)*(Calc_RAB_NS!AA$70:AA$86))</f>
        <v>-2.388975207091816</v>
      </c>
      <c r="AB60" s="68">
        <f>SUMPRODUCT((Calc_Alloc!$I$11:$I$27)*(Calc_RAB_NS!AB$70:AB$86))</f>
        <v>-2.4667329870972585</v>
      </c>
    </row>
    <row r="61" spans="1:28" ht="12.3" x14ac:dyDescent="0.35">
      <c r="D61" s="15" t="str">
        <f t="shared" si="17"/>
        <v>Zone substations and transformers</v>
      </c>
      <c r="E61" s="52" t="str">
        <f t="shared" si="17"/>
        <v>Calc_Alloc</v>
      </c>
      <c r="F61" s="52" t="str">
        <f t="shared" si="14"/>
        <v>Dollars</v>
      </c>
      <c r="G61" s="52" t="str">
        <f t="shared" si="15"/>
        <v>Nominal</v>
      </c>
      <c r="H61" s="52" t="str">
        <f t="shared" si="16"/>
        <v>End_year</v>
      </c>
      <c r="J61" s="66">
        <f>SUMPRODUCT((Calc_Alloc!$J$11:$J$27)*(Calc_RAB_NS!J$70:J$86))</f>
        <v>-2.2074682474033178</v>
      </c>
      <c r="K61" s="67">
        <f>SUMPRODUCT((Calc_Alloc!$J$11:$J$27)*(Calc_RAB_NS!K$70:K$86))</f>
        <v>-2.3539521734297795</v>
      </c>
      <c r="L61" s="67">
        <f>SUMPRODUCT((Calc_Alloc!$J$11:$J$27)*(Calc_RAB_NS!L$70:L$86))</f>
        <v>-3.4743398366165703</v>
      </c>
      <c r="M61" s="67">
        <f>SUMPRODUCT((Calc_Alloc!$J$11:$J$27)*(Calc_RAB_NS!M$70:M$86))</f>
        <v>-3.7743000258034614</v>
      </c>
      <c r="N61" s="67">
        <f>SUMPRODUCT((Calc_Alloc!$J$11:$J$27)*(Calc_RAB_NS!N$70:N$86))</f>
        <v>-9.6485981317395684</v>
      </c>
      <c r="O61" s="67">
        <f>SUMPRODUCT((Calc_Alloc!$J$11:$J$27)*(Calc_RAB_NS!O$70:O$86))</f>
        <v>-10.984840820686102</v>
      </c>
      <c r="P61" s="67">
        <f>SUMPRODUCT((Calc_Alloc!$J$11:$J$27)*(Calc_RAB_NS!P$70:P$86))</f>
        <v>-12.442862590473061</v>
      </c>
      <c r="Q61" s="67">
        <f>SUMPRODUCT((Calc_Alloc!$J$11:$J$27)*(Calc_RAB_NS!Q$70:Q$86))</f>
        <v>-7.3134451142680543</v>
      </c>
      <c r="R61" s="68">
        <f>SUMPRODUCT((Calc_Alloc!$J$11:$J$27)*(Calc_RAB_NS!R$70:R$86))</f>
        <v>-21.91293772800579</v>
      </c>
      <c r="S61" s="66">
        <f>SUMPRODUCT((Calc_Alloc!$J$11:$J$27)*(Calc_RAB_NS!S$70:S$86))</f>
        <v>-28.995427905109779</v>
      </c>
      <c r="T61" s="67">
        <f>SUMPRODUCT((Calc_Alloc!$J$11:$J$27)*(Calc_RAB_NS!T$70:T$86))</f>
        <v>-30.630083961773614</v>
      </c>
      <c r="U61" s="67">
        <f>SUMPRODUCT((Calc_Alloc!$J$11:$J$27)*(Calc_RAB_NS!U$70:U$86))</f>
        <v>-25.435071226427869</v>
      </c>
      <c r="V61" s="67">
        <f>SUMPRODUCT((Calc_Alloc!$J$11:$J$27)*(Calc_RAB_NS!V$70:V$86))</f>
        <v>-26.541323732389785</v>
      </c>
      <c r="W61" s="68">
        <f>SUMPRODUCT((Calc_Alloc!$J$11:$J$27)*(Calc_RAB_NS!W$70:W$86))</f>
        <v>-27.77255235511771</v>
      </c>
      <c r="X61" s="66">
        <f>SUMPRODUCT((Calc_Alloc!$J$11:$J$27)*(Calc_RAB_NS!X$70:X$86))</f>
        <v>-21.773127652734381</v>
      </c>
      <c r="Y61" s="67">
        <f>SUMPRODUCT((Calc_Alloc!$J$11:$J$27)*(Calc_RAB_NS!Y$70:Y$86))</f>
        <v>-22.348006821059766</v>
      </c>
      <c r="Z61" s="67">
        <f>SUMPRODUCT((Calc_Alloc!$J$11:$J$27)*(Calc_RAB_NS!Z$70:Z$86))</f>
        <v>-22.408896590474072</v>
      </c>
      <c r="AA61" s="67">
        <f>SUMPRODUCT((Calc_Alloc!$J$11:$J$27)*(Calc_RAB_NS!AA$70:AA$86))</f>
        <v>-22.980799371139419</v>
      </c>
      <c r="AB61" s="68">
        <f>SUMPRODUCT((Calc_Alloc!$J$11:$J$27)*(Calc_RAB_NS!AB$70:AB$86))</f>
        <v>-24.310825405960902</v>
      </c>
    </row>
    <row r="62" spans="1:28" ht="12.3" x14ac:dyDescent="0.35">
      <c r="D62" s="15" t="str">
        <f t="shared" si="17"/>
        <v>Easements</v>
      </c>
      <c r="E62" s="52" t="str">
        <f t="shared" si="17"/>
        <v>Calc_Alloc</v>
      </c>
      <c r="F62" s="52" t="str">
        <f t="shared" si="14"/>
        <v>Dollars</v>
      </c>
      <c r="G62" s="52" t="str">
        <f t="shared" si="15"/>
        <v>Nominal</v>
      </c>
      <c r="H62" s="52" t="str">
        <f t="shared" si="16"/>
        <v>End_year</v>
      </c>
      <c r="J62" s="66">
        <f>SUMPRODUCT((Calc_Alloc!$K$11:$K$27)*(Calc_RAB_NS!J$70:J$86))</f>
        <v>0</v>
      </c>
      <c r="K62" s="67">
        <f>SUMPRODUCT((Calc_Alloc!$K$11:$K$27)*(Calc_RAB_NS!K$70:K$86))</f>
        <v>0</v>
      </c>
      <c r="L62" s="67">
        <f>SUMPRODUCT((Calc_Alloc!$K$11:$K$27)*(Calc_RAB_NS!L$70:L$86))</f>
        <v>0</v>
      </c>
      <c r="M62" s="67">
        <f>SUMPRODUCT((Calc_Alloc!$K$11:$K$27)*(Calc_RAB_NS!M$70:M$86))</f>
        <v>0</v>
      </c>
      <c r="N62" s="67">
        <f>SUMPRODUCT((Calc_Alloc!$K$11:$K$27)*(Calc_RAB_NS!N$70:N$86))</f>
        <v>0</v>
      </c>
      <c r="O62" s="67">
        <f>SUMPRODUCT((Calc_Alloc!$K$11:$K$27)*(Calc_RAB_NS!O$70:O$86))</f>
        <v>0</v>
      </c>
      <c r="P62" s="67">
        <f>SUMPRODUCT((Calc_Alloc!$K$11:$K$27)*(Calc_RAB_NS!P$70:P$86))</f>
        <v>0</v>
      </c>
      <c r="Q62" s="67">
        <f>SUMPRODUCT((Calc_Alloc!$K$11:$K$27)*(Calc_RAB_NS!Q$70:Q$86))</f>
        <v>0</v>
      </c>
      <c r="R62" s="68">
        <f>SUMPRODUCT((Calc_Alloc!$K$11:$K$27)*(Calc_RAB_NS!R$70:R$86))</f>
        <v>-9.0828959042256185E-2</v>
      </c>
      <c r="S62" s="66">
        <f>SUMPRODUCT((Calc_Alloc!$K$11:$K$27)*(Calc_RAB_NS!S$70:S$86))</f>
        <v>0</v>
      </c>
      <c r="T62" s="67">
        <f>SUMPRODUCT((Calc_Alloc!$K$11:$K$27)*(Calc_RAB_NS!T$70:T$86))</f>
        <v>0</v>
      </c>
      <c r="U62" s="67">
        <f>SUMPRODUCT((Calc_Alloc!$K$11:$K$27)*(Calc_RAB_NS!U$70:U$86))</f>
        <v>0</v>
      </c>
      <c r="V62" s="67">
        <f>SUMPRODUCT((Calc_Alloc!$K$11:$K$27)*(Calc_RAB_NS!V$70:V$86))</f>
        <v>0</v>
      </c>
      <c r="W62" s="68">
        <f>SUMPRODUCT((Calc_Alloc!$K$11:$K$27)*(Calc_RAB_NS!W$70:W$86))</f>
        <v>0</v>
      </c>
      <c r="X62" s="66">
        <f>SUMPRODUCT((Calc_Alloc!$K$11:$K$27)*(Calc_RAB_NS!X$70:X$86))</f>
        <v>0</v>
      </c>
      <c r="Y62" s="67">
        <f>SUMPRODUCT((Calc_Alloc!$K$11:$K$27)*(Calc_RAB_NS!Y$70:Y$86))</f>
        <v>0</v>
      </c>
      <c r="Z62" s="67">
        <f>SUMPRODUCT((Calc_Alloc!$K$11:$K$27)*(Calc_RAB_NS!Z$70:Z$86))</f>
        <v>0</v>
      </c>
      <c r="AA62" s="67">
        <f>SUMPRODUCT((Calc_Alloc!$K$11:$K$27)*(Calc_RAB_NS!AA$70:AA$86))</f>
        <v>0</v>
      </c>
      <c r="AB62" s="68">
        <f>SUMPRODUCT((Calc_Alloc!$K$11:$K$27)*(Calc_RAB_NS!AB$70:AB$86))</f>
        <v>0</v>
      </c>
    </row>
    <row r="63" spans="1:28" ht="12.3" x14ac:dyDescent="0.35">
      <c r="D63" s="15" t="str">
        <f t="shared" si="17"/>
        <v>Meters</v>
      </c>
      <c r="E63" s="52" t="str">
        <f t="shared" si="17"/>
        <v>Calc_Alloc</v>
      </c>
      <c r="F63" s="52" t="str">
        <f t="shared" si="14"/>
        <v>Dollars</v>
      </c>
      <c r="G63" s="52" t="str">
        <f t="shared" si="15"/>
        <v>Nominal</v>
      </c>
      <c r="H63" s="52" t="str">
        <f t="shared" si="16"/>
        <v>End_year</v>
      </c>
      <c r="J63" s="66">
        <f>SUMPRODUCT((Calc_Alloc!$L$11:$L$27)*(Calc_RAB_NS!J$70:J$86))</f>
        <v>0</v>
      </c>
      <c r="K63" s="67">
        <f>SUMPRODUCT((Calc_Alloc!$L$11:$L$27)*(Calc_RAB_NS!K$70:K$86))</f>
        <v>0</v>
      </c>
      <c r="L63" s="67">
        <f>SUMPRODUCT((Calc_Alloc!$L$11:$L$27)*(Calc_RAB_NS!L$70:L$86))</f>
        <v>0</v>
      </c>
      <c r="M63" s="67">
        <f>SUMPRODUCT((Calc_Alloc!$L$11:$L$27)*(Calc_RAB_NS!M$70:M$86))</f>
        <v>0</v>
      </c>
      <c r="N63" s="67">
        <f>SUMPRODUCT((Calc_Alloc!$L$11:$L$27)*(Calc_RAB_NS!N$70:N$86))</f>
        <v>0</v>
      </c>
      <c r="O63" s="67">
        <f>SUMPRODUCT((Calc_Alloc!$L$11:$L$27)*(Calc_RAB_NS!O$70:O$86))</f>
        <v>0</v>
      </c>
      <c r="P63" s="67">
        <f>SUMPRODUCT((Calc_Alloc!$L$11:$L$27)*(Calc_RAB_NS!P$70:P$86))</f>
        <v>0</v>
      </c>
      <c r="Q63" s="67">
        <f>SUMPRODUCT((Calc_Alloc!$L$11:$L$27)*(Calc_RAB_NS!Q$70:Q$86))</f>
        <v>0</v>
      </c>
      <c r="R63" s="68">
        <f>SUMPRODUCT((Calc_Alloc!$L$11:$L$27)*(Calc_RAB_NS!R$70:R$86))</f>
        <v>0</v>
      </c>
      <c r="S63" s="66">
        <f>SUMPRODUCT((Calc_Alloc!$L$11:$L$27)*(Calc_RAB_NS!S$70:S$86))</f>
        <v>0</v>
      </c>
      <c r="T63" s="67">
        <f>SUMPRODUCT((Calc_Alloc!$L$11:$L$27)*(Calc_RAB_NS!T$70:T$86))</f>
        <v>0</v>
      </c>
      <c r="U63" s="67">
        <f>SUMPRODUCT((Calc_Alloc!$L$11:$L$27)*(Calc_RAB_NS!U$70:U$86))</f>
        <v>0</v>
      </c>
      <c r="V63" s="67">
        <f>SUMPRODUCT((Calc_Alloc!$L$11:$L$27)*(Calc_RAB_NS!V$70:V$86))</f>
        <v>0</v>
      </c>
      <c r="W63" s="68">
        <f>SUMPRODUCT((Calc_Alloc!$L$11:$L$27)*(Calc_RAB_NS!W$70:W$86))</f>
        <v>0</v>
      </c>
      <c r="X63" s="66">
        <f>SUMPRODUCT((Calc_Alloc!$L$11:$L$27)*(Calc_RAB_NS!X$70:X$86))</f>
        <v>0</v>
      </c>
      <c r="Y63" s="67">
        <f>SUMPRODUCT((Calc_Alloc!$L$11:$L$27)*(Calc_RAB_NS!Y$70:Y$86))</f>
        <v>0</v>
      </c>
      <c r="Z63" s="67">
        <f>SUMPRODUCT((Calc_Alloc!$L$11:$L$27)*(Calc_RAB_NS!Z$70:Z$86))</f>
        <v>0</v>
      </c>
      <c r="AA63" s="67">
        <f>SUMPRODUCT((Calc_Alloc!$L$11:$L$27)*(Calc_RAB_NS!AA$70:AA$86))</f>
        <v>0</v>
      </c>
      <c r="AB63" s="68">
        <f>SUMPRODUCT((Calc_Alloc!$L$11:$L$27)*(Calc_RAB_NS!AB$70:AB$86))</f>
        <v>0</v>
      </c>
    </row>
    <row r="64" spans="1:28" ht="12.3" x14ac:dyDescent="0.35">
      <c r="D64" s="15" t="str">
        <f t="shared" si="17"/>
        <v>“Other” asset items with long lives</v>
      </c>
      <c r="E64" s="52" t="str">
        <f t="shared" si="17"/>
        <v>Calc_Alloc</v>
      </c>
      <c r="F64" s="52" t="str">
        <f t="shared" si="14"/>
        <v>Dollars</v>
      </c>
      <c r="G64" s="52" t="str">
        <f t="shared" si="15"/>
        <v>Nominal</v>
      </c>
      <c r="H64" s="52" t="str">
        <f t="shared" si="16"/>
        <v>End_year</v>
      </c>
      <c r="J64" s="66">
        <f>SUMPRODUCT((Calc_Alloc!$M$11:$M$27)*(Calc_RAB_NS!J$70:J$86))</f>
        <v>-9.1570493467389755E-2</v>
      </c>
      <c r="K64" s="67">
        <f>SUMPRODUCT((Calc_Alloc!$M$11:$M$27)*(Calc_RAB_NS!K$70:K$86))</f>
        <v>-0.11548749468336357</v>
      </c>
      <c r="L64" s="67">
        <f>SUMPRODUCT((Calc_Alloc!$M$11:$M$27)*(Calc_RAB_NS!L$70:L$86))</f>
        <v>-1.2503114474974337</v>
      </c>
      <c r="M64" s="67">
        <f>SUMPRODUCT((Calc_Alloc!$M$11:$M$27)*(Calc_RAB_NS!M$70:M$86))</f>
        <v>-8.3950888300187862E-2</v>
      </c>
      <c r="N64" s="67">
        <f>SUMPRODUCT((Calc_Alloc!$M$11:$M$27)*(Calc_RAB_NS!N$70:N$86))</f>
        <v>0</v>
      </c>
      <c r="O64" s="67">
        <f>SUMPRODUCT((Calc_Alloc!$M$11:$M$27)*(Calc_RAB_NS!O$70:O$86))</f>
        <v>0</v>
      </c>
      <c r="P64" s="67">
        <f>SUMPRODUCT((Calc_Alloc!$M$11:$M$27)*(Calc_RAB_NS!P$70:P$86))</f>
        <v>0</v>
      </c>
      <c r="Q64" s="67">
        <f>SUMPRODUCT((Calc_Alloc!$M$11:$M$27)*(Calc_RAB_NS!Q$70:Q$86))</f>
        <v>0</v>
      </c>
      <c r="R64" s="68">
        <f>SUMPRODUCT((Calc_Alloc!$M$11:$M$27)*(Calc_RAB_NS!R$70:R$86))</f>
        <v>-0.16906791567837032</v>
      </c>
      <c r="S64" s="66">
        <f>SUMPRODUCT((Calc_Alloc!$M$11:$M$27)*(Calc_RAB_NS!S$70:S$86))</f>
        <v>-0.30093023473039737</v>
      </c>
      <c r="T64" s="67">
        <f>SUMPRODUCT((Calc_Alloc!$M$11:$M$27)*(Calc_RAB_NS!T$70:T$86))</f>
        <v>-0.43524835611150758</v>
      </c>
      <c r="U64" s="67">
        <f>SUMPRODUCT((Calc_Alloc!$M$11:$M$27)*(Calc_RAB_NS!U$70:U$86))</f>
        <v>-0.49744561920134001</v>
      </c>
      <c r="V64" s="67">
        <f>SUMPRODUCT((Calc_Alloc!$M$11:$M$27)*(Calc_RAB_NS!V$70:V$86))</f>
        <v>-0.46788995268681888</v>
      </c>
      <c r="W64" s="68">
        <f>SUMPRODUCT((Calc_Alloc!$M$11:$M$27)*(Calc_RAB_NS!W$70:W$86))</f>
        <v>-0.50382598056122074</v>
      </c>
      <c r="X64" s="66">
        <f>SUMPRODUCT((Calc_Alloc!$M$11:$M$27)*(Calc_RAB_NS!X$70:X$86))</f>
        <v>-4.1340733371536311</v>
      </c>
      <c r="Y64" s="67">
        <f>SUMPRODUCT((Calc_Alloc!$M$11:$M$27)*(Calc_RAB_NS!Y$70:Y$86))</f>
        <v>-5.1752824901651957</v>
      </c>
      <c r="Z64" s="67">
        <f>SUMPRODUCT((Calc_Alloc!$M$11:$M$27)*(Calc_RAB_NS!Z$70:Z$86))</f>
        <v>-6.0108933437519667</v>
      </c>
      <c r="AA64" s="67">
        <f>SUMPRODUCT((Calc_Alloc!$M$11:$M$27)*(Calc_RAB_NS!AA$70:AA$86))</f>
        <v>-7.7019300231853514</v>
      </c>
      <c r="AB64" s="68">
        <f>SUMPRODUCT((Calc_Alloc!$M$11:$M$27)*(Calc_RAB_NS!AB$70:AB$86))</f>
        <v>-8.6433116174808102</v>
      </c>
    </row>
    <row r="65" spans="1:28" ht="12.3" x14ac:dyDescent="0.35">
      <c r="D65" s="15" t="str">
        <f t="shared" si="17"/>
        <v>“Other” asset items with short lives</v>
      </c>
      <c r="E65" s="52" t="str">
        <f t="shared" si="17"/>
        <v>Calc_Alloc</v>
      </c>
      <c r="F65" s="52" t="str">
        <f t="shared" si="14"/>
        <v>Dollars</v>
      </c>
      <c r="G65" s="52" t="str">
        <f t="shared" si="15"/>
        <v>Nominal</v>
      </c>
      <c r="H65" s="52" t="str">
        <f t="shared" si="16"/>
        <v>End_year</v>
      </c>
      <c r="J65" s="66">
        <f>SUMPRODUCT((Calc_Alloc!$N$11:$N$27)*(Calc_RAB_NS!J$70:J$86))</f>
        <v>-1.6866154201882169</v>
      </c>
      <c r="K65" s="67">
        <f>SUMPRODUCT((Calc_Alloc!$N$11:$N$27)*(Calc_RAB_NS!K$70:K$86))</f>
        <v>-0.69233457321594694</v>
      </c>
      <c r="L65" s="67">
        <f>SUMPRODUCT((Calc_Alloc!$N$11:$N$27)*(Calc_RAB_NS!L$70:L$86))</f>
        <v>-0.33882921743439359</v>
      </c>
      <c r="M65" s="67">
        <f>SUMPRODUCT((Calc_Alloc!$N$11:$N$27)*(Calc_RAB_NS!M$70:M$86))</f>
        <v>-0.27596460609987622</v>
      </c>
      <c r="N65" s="67">
        <f>SUMPRODUCT((Calc_Alloc!$N$11:$N$27)*(Calc_RAB_NS!N$70:N$86))</f>
        <v>-2.7903342389835935</v>
      </c>
      <c r="O65" s="67">
        <f>SUMPRODUCT((Calc_Alloc!$N$11:$N$27)*(Calc_RAB_NS!O$70:O$86))</f>
        <v>-1.9341440812118655</v>
      </c>
      <c r="P65" s="67">
        <f>SUMPRODUCT((Calc_Alloc!$N$11:$N$27)*(Calc_RAB_NS!P$70:P$86))</f>
        <v>-0.66186864003919288</v>
      </c>
      <c r="Q65" s="67">
        <f>SUMPRODUCT((Calc_Alloc!$N$11:$N$27)*(Calc_RAB_NS!Q$70:Q$86))</f>
        <v>-0.77404867680624723</v>
      </c>
      <c r="R65" s="68">
        <f>SUMPRODUCT((Calc_Alloc!$N$11:$N$27)*(Calc_RAB_NS!R$70:R$86))</f>
        <v>-0.70957194848141658</v>
      </c>
      <c r="S65" s="66">
        <f>SUMPRODUCT((Calc_Alloc!$N$11:$N$27)*(Calc_RAB_NS!S$70:S$86))</f>
        <v>-1.4273517799783406</v>
      </c>
      <c r="T65" s="67">
        <f>SUMPRODUCT((Calc_Alloc!$N$11:$N$27)*(Calc_RAB_NS!T$70:T$86))</f>
        <v>-1.9095853253764445</v>
      </c>
      <c r="U65" s="67">
        <f>SUMPRODUCT((Calc_Alloc!$N$11:$N$27)*(Calc_RAB_NS!U$70:U$86))</f>
        <v>-2.1689376661917517</v>
      </c>
      <c r="V65" s="67">
        <f>SUMPRODUCT((Calc_Alloc!$N$11:$N$27)*(Calc_RAB_NS!V$70:V$86))</f>
        <v>-1.990231826884308</v>
      </c>
      <c r="W65" s="68">
        <f>SUMPRODUCT((Calc_Alloc!$N$11:$N$27)*(Calc_RAB_NS!W$70:W$86))</f>
        <v>-2.1762493449145106</v>
      </c>
      <c r="X65" s="66">
        <f>SUMPRODUCT((Calc_Alloc!$N$11:$N$27)*(Calc_RAB_NS!X$70:X$86))</f>
        <v>-9.8162455094707946E-2</v>
      </c>
      <c r="Y65" s="67">
        <f>SUMPRODUCT((Calc_Alloc!$N$11:$N$27)*(Calc_RAB_NS!Y$70:Y$86))</f>
        <v>-3.9774643030981189</v>
      </c>
      <c r="Z65" s="67">
        <f>SUMPRODUCT((Calc_Alloc!$N$11:$N$27)*(Calc_RAB_NS!Z$70:Z$86))</f>
        <v>-5.0430031851621786</v>
      </c>
      <c r="AA65" s="67">
        <f>SUMPRODUCT((Calc_Alloc!$N$11:$N$27)*(Calc_RAB_NS!AA$70:AA$86))</f>
        <v>-7.6461620146669143</v>
      </c>
      <c r="AB65" s="68">
        <f>SUMPRODUCT((Calc_Alloc!$N$11:$N$27)*(Calc_RAB_NS!AB$70:AB$86))</f>
        <v>-8.8791900819803793</v>
      </c>
    </row>
    <row r="66" spans="1:28" x14ac:dyDescent="0.35">
      <c r="J66" s="56"/>
      <c r="K66" s="57"/>
      <c r="L66" s="57"/>
      <c r="M66" s="57"/>
      <c r="N66" s="57"/>
      <c r="O66" s="57"/>
      <c r="P66" s="57"/>
      <c r="Q66" s="57"/>
      <c r="R66" s="58"/>
      <c r="S66" s="56"/>
      <c r="T66" s="57"/>
      <c r="U66" s="57"/>
      <c r="V66" s="57"/>
      <c r="W66" s="58"/>
      <c r="X66" s="56"/>
      <c r="Y66" s="57"/>
      <c r="Z66" s="57"/>
      <c r="AA66" s="57"/>
      <c r="AB66" s="58"/>
    </row>
    <row r="67" spans="1:28" ht="12.3" x14ac:dyDescent="0.35">
      <c r="D67" s="51" t="str">
        <f>"Total "&amp;D54</f>
        <v>Total EB RIN Categories</v>
      </c>
      <c r="E67" s="47" t="s">
        <v>111</v>
      </c>
      <c r="F67" s="47" t="str">
        <f>F56</f>
        <v>Dollars</v>
      </c>
      <c r="G67" s="47" t="str">
        <f>G56</f>
        <v>Nominal</v>
      </c>
      <c r="H67" s="47" t="str">
        <f>H56</f>
        <v>End_year</v>
      </c>
      <c r="J67" s="62">
        <f t="shared" ref="J67:AB67" si="18">SUM(J56:J65)</f>
        <v>-17.381106426705134</v>
      </c>
      <c r="K67" s="46">
        <f t="shared" si="18"/>
        <v>-17.295840936796065</v>
      </c>
      <c r="L67" s="46">
        <f t="shared" si="18"/>
        <v>-15.733727049217622</v>
      </c>
      <c r="M67" s="46">
        <f t="shared" si="18"/>
        <v>-15.484059499719331</v>
      </c>
      <c r="N67" s="46">
        <f t="shared" si="18"/>
        <v>-24.675870102719276</v>
      </c>
      <c r="O67" s="46">
        <f t="shared" si="18"/>
        <v>-26.426486934787331</v>
      </c>
      <c r="P67" s="46">
        <f t="shared" si="18"/>
        <v>-27.646492393244852</v>
      </c>
      <c r="Q67" s="46">
        <f t="shared" si="18"/>
        <v>-23.544527878281659</v>
      </c>
      <c r="R67" s="63">
        <f t="shared" si="18"/>
        <v>-38.865015104870189</v>
      </c>
      <c r="S67" s="62">
        <f t="shared" si="18"/>
        <v>-50.884497341104215</v>
      </c>
      <c r="T67" s="46">
        <f t="shared" si="18"/>
        <v>-53.764061510559024</v>
      </c>
      <c r="U67" s="46">
        <f t="shared" si="18"/>
        <v>-49.407202872702612</v>
      </c>
      <c r="V67" s="46">
        <f t="shared" si="18"/>
        <v>-50.880877582379533</v>
      </c>
      <c r="W67" s="63">
        <f t="shared" si="18"/>
        <v>-53.147428446641719</v>
      </c>
      <c r="X67" s="62">
        <f t="shared" si="18"/>
        <v>-48.632134059531957</v>
      </c>
      <c r="Y67" s="46">
        <f t="shared" si="18"/>
        <v>-55.290836763593525</v>
      </c>
      <c r="Z67" s="46">
        <f t="shared" si="18"/>
        <v>-58.54943554486065</v>
      </c>
      <c r="AA67" s="46">
        <f t="shared" si="18"/>
        <v>-64.641559043234309</v>
      </c>
      <c r="AB67" s="63">
        <f t="shared" si="18"/>
        <v>-69.409396826830715</v>
      </c>
    </row>
    <row r="68" spans="1:28" s="6" customFormat="1" ht="11.25" customHeight="1" x14ac:dyDescent="0.35"/>
    <row r="69" spans="1:28" s="6" customFormat="1" ht="11.25" customHeight="1" x14ac:dyDescent="0.35">
      <c r="A69" s="49">
        <f>IF(SUM($J69:$AB69)&lt;&gt;0,1,0)</f>
        <v>0</v>
      </c>
      <c r="D69" s="15" t="s">
        <v>114</v>
      </c>
      <c r="J69" s="70">
        <f>IF(ROUND(J67-Calc_RAB_NS!J$88,5)&lt;&gt;0,1,0)</f>
        <v>0</v>
      </c>
      <c r="K69" s="70">
        <f>IF(ROUND(K67-Calc_RAB_NS!K$88,5)&lt;&gt;0,1,0)</f>
        <v>0</v>
      </c>
      <c r="L69" s="70">
        <f>IF(ROUND(L67-Calc_RAB_NS!L$88,5)&lt;&gt;0,1,0)</f>
        <v>0</v>
      </c>
      <c r="M69" s="70">
        <f>IF(ROUND(M67-Calc_RAB_NS!M$88,5)&lt;&gt;0,1,0)</f>
        <v>0</v>
      </c>
      <c r="N69" s="70">
        <f>IF(ROUND(N67-Calc_RAB_NS!N$88,5)&lt;&gt;0,1,0)</f>
        <v>0</v>
      </c>
      <c r="O69" s="70">
        <f>IF(ROUND(O67-Calc_RAB_NS!O$88,5)&lt;&gt;0,1,0)</f>
        <v>0</v>
      </c>
      <c r="P69" s="70">
        <f>IF(ROUND(P67-Calc_RAB_NS!P$88,5)&lt;&gt;0,1,0)</f>
        <v>0</v>
      </c>
      <c r="Q69" s="70">
        <f>IF(ROUND(Q67-Calc_RAB_NS!Q$88,5)&lt;&gt;0,1,0)</f>
        <v>0</v>
      </c>
      <c r="R69" s="70">
        <f>IF(ROUND(R67-Calc_RAB_NS!R$88,5)&lt;&gt;0,1,0)</f>
        <v>0</v>
      </c>
      <c r="S69" s="70">
        <f>IF(ROUND(S67-Calc_RAB_NS!S$88,5)&lt;&gt;0,1,0)</f>
        <v>0</v>
      </c>
      <c r="T69" s="70">
        <f>IF(ROUND(T67-Calc_RAB_NS!T$88,5)&lt;&gt;0,1,0)</f>
        <v>0</v>
      </c>
      <c r="U69" s="70">
        <f>IF(ROUND(U67-Calc_RAB_NS!U$88,5)&lt;&gt;0,1,0)</f>
        <v>0</v>
      </c>
      <c r="V69" s="70">
        <f>IF(ROUND(V67-Calc_RAB_NS!V$88,5)&lt;&gt;0,1,0)</f>
        <v>0</v>
      </c>
      <c r="W69" s="70">
        <f>IF(ROUND(W67-Calc_RAB_NS!W$88,5)&lt;&gt;0,1,0)</f>
        <v>0</v>
      </c>
      <c r="X69" s="70">
        <f>IF(ROUND(X67-Calc_RAB_NS!X$88,5)&lt;&gt;0,1,0)</f>
        <v>0</v>
      </c>
      <c r="Y69" s="70">
        <f>IF(ROUND(Y67-Calc_RAB_NS!Y$88,5)&lt;&gt;0,1,0)</f>
        <v>0</v>
      </c>
      <c r="Z69" s="70">
        <f>IF(ROUND(Z67-Calc_RAB_NS!Z$88,5)&lt;&gt;0,1,0)</f>
        <v>0</v>
      </c>
      <c r="AA69" s="70">
        <f>IF(ROUND(AA67-Calc_RAB_NS!AA$88,5)&lt;&gt;0,1,0)</f>
        <v>0</v>
      </c>
      <c r="AB69" s="70">
        <f>IF(ROUND(AB67-Calc_RAB_NS!AB$88,5)&lt;&gt;0,1,0)</f>
        <v>0</v>
      </c>
    </row>
    <row r="70" spans="1:28" s="6" customFormat="1" ht="11.25" customHeight="1" x14ac:dyDescent="0.35">
      <c r="L70" s="10"/>
      <c r="Q70" s="10"/>
      <c r="V70" s="10"/>
      <c r="AA70" s="10"/>
    </row>
    <row r="71" spans="1:28" s="13" customFormat="1" ht="14.1" x14ac:dyDescent="0.35">
      <c r="C71" s="13" t="s">
        <v>150</v>
      </c>
    </row>
    <row r="72" spans="1:28" s="6" customFormat="1" ht="11.25" customHeight="1" x14ac:dyDescent="0.35"/>
    <row r="73" spans="1:28" ht="12.3" x14ac:dyDescent="0.35">
      <c r="D73" s="50" t="str">
        <f>D$16</f>
        <v>EB RIN Categories</v>
      </c>
      <c r="E73" s="45" t="str">
        <f>Lookup!E$20</f>
        <v>Source</v>
      </c>
      <c r="F73" s="45" t="str">
        <f>Lookup!F$20</f>
        <v>Unit</v>
      </c>
      <c r="G73" s="45" t="str">
        <f>Lookup!G$20</f>
        <v>Basis</v>
      </c>
      <c r="H73" s="45" t="str">
        <f>Lookup!H$20</f>
        <v>Timing</v>
      </c>
      <c r="J73" s="54" t="str">
        <f>J$10</f>
        <v>RY06</v>
      </c>
      <c r="K73" s="45" t="str">
        <f t="shared" ref="K73:AB73" si="19">K$10</f>
        <v>RY07</v>
      </c>
      <c r="L73" s="45" t="str">
        <f t="shared" si="19"/>
        <v>RY08</v>
      </c>
      <c r="M73" s="45" t="str">
        <f t="shared" si="19"/>
        <v>RY09</v>
      </c>
      <c r="N73" s="45" t="str">
        <f t="shared" si="19"/>
        <v>RY10</v>
      </c>
      <c r="O73" s="45" t="str">
        <f>O$10</f>
        <v>RY11</v>
      </c>
      <c r="P73" s="45" t="str">
        <f t="shared" si="19"/>
        <v>RY12</v>
      </c>
      <c r="Q73" s="45" t="str">
        <f t="shared" si="19"/>
        <v>RY13</v>
      </c>
      <c r="R73" s="55" t="str">
        <f t="shared" si="19"/>
        <v>RY14</v>
      </c>
      <c r="S73" s="54" t="str">
        <f t="shared" si="19"/>
        <v>RY15</v>
      </c>
      <c r="T73" s="45" t="str">
        <f>T$10</f>
        <v>RY16</v>
      </c>
      <c r="U73" s="45" t="str">
        <f t="shared" si="19"/>
        <v>RY17</v>
      </c>
      <c r="V73" s="45" t="str">
        <f t="shared" si="19"/>
        <v>RY18</v>
      </c>
      <c r="W73" s="55" t="str">
        <f t="shared" si="19"/>
        <v>RY19</v>
      </c>
      <c r="X73" s="54" t="str">
        <f t="shared" si="19"/>
        <v>RY20</v>
      </c>
      <c r="Y73" s="45" t="str">
        <f>Y$10</f>
        <v>RY21</v>
      </c>
      <c r="Z73" s="45" t="str">
        <f t="shared" si="19"/>
        <v>RY22</v>
      </c>
      <c r="AA73" s="45" t="str">
        <f t="shared" si="19"/>
        <v>RY23</v>
      </c>
      <c r="AB73" s="55" t="str">
        <f t="shared" si="19"/>
        <v>RY24</v>
      </c>
    </row>
    <row r="74" spans="1:28" x14ac:dyDescent="0.35">
      <c r="J74" s="56"/>
      <c r="K74" s="57"/>
      <c r="L74" s="57"/>
      <c r="M74" s="57"/>
      <c r="N74" s="57"/>
      <c r="O74" s="57"/>
      <c r="P74" s="57"/>
      <c r="Q74" s="57"/>
      <c r="R74" s="58"/>
      <c r="S74" s="56"/>
      <c r="T74" s="57"/>
      <c r="U74" s="57"/>
      <c r="V74" s="57"/>
      <c r="W74" s="58"/>
      <c r="X74" s="56"/>
      <c r="Y74" s="57"/>
      <c r="Z74" s="57"/>
      <c r="AA74" s="57"/>
      <c r="AB74" s="58"/>
    </row>
    <row r="75" spans="1:28" ht="12.3" x14ac:dyDescent="0.35">
      <c r="D75" s="15" t="str">
        <f>D18</f>
        <v>Overhead network assets less than 33kV</v>
      </c>
      <c r="E75" s="52" t="str">
        <f>E18</f>
        <v>Calc_Alloc</v>
      </c>
      <c r="F75" s="52" t="str">
        <f t="shared" ref="F75:F84" si="20">Dollars</f>
        <v>Dollars</v>
      </c>
      <c r="G75" s="52" t="str">
        <f t="shared" ref="G75:G84" si="21">Nominal</f>
        <v>Nominal</v>
      </c>
      <c r="H75" s="52" t="str">
        <f t="shared" ref="H75:H84" si="22">End_year</f>
        <v>End_year</v>
      </c>
      <c r="J75" s="66">
        <f>SUMPRODUCT((Calc_Alloc!$E$11:$E$27)*(Calc_RAB_NS!J$96:J$112))</f>
        <v>3.147603532761051</v>
      </c>
      <c r="K75" s="67">
        <f>SUMPRODUCT((Calc_Alloc!$E$11:$E$27)*(Calc_RAB_NS!K$96:K$112))</f>
        <v>3.9697159258460437</v>
      </c>
      <c r="L75" s="67">
        <f>SUMPRODUCT((Calc_Alloc!$E$11:$E$27)*(Calc_RAB_NS!L$96:L$112))</f>
        <v>4.4019171666676407</v>
      </c>
      <c r="M75" s="67">
        <f>SUMPRODUCT((Calc_Alloc!$E$11:$E$27)*(Calc_RAB_NS!M$96:M$112))</f>
        <v>4.071365859300105</v>
      </c>
      <c r="N75" s="67">
        <f>SUMPRODUCT((Calc_Alloc!$E$11:$E$27)*(Calc_RAB_NS!N$96:N$112))</f>
        <v>4.1466760915324112</v>
      </c>
      <c r="O75" s="67">
        <f>SUMPRODUCT((Calc_Alloc!$E$11:$E$27)*(Calc_RAB_NS!O$96:O$112))</f>
        <v>4.3082608620036158</v>
      </c>
      <c r="P75" s="67">
        <f>SUMPRODUCT((Calc_Alloc!$E$11:$E$27)*(Calc_RAB_NS!P$96:P$112))</f>
        <v>4.8982708874873255</v>
      </c>
      <c r="Q75" s="67">
        <f>SUMPRODUCT((Calc_Alloc!$E$11:$E$27)*(Calc_RAB_NS!Q$96:Q$112))</f>
        <v>8.6840711296809001</v>
      </c>
      <c r="R75" s="68">
        <f>SUMPRODUCT((Calc_Alloc!$E$11:$E$27)*(Calc_RAB_NS!R$96:R$112))</f>
        <v>5.5516745476844793</v>
      </c>
      <c r="S75" s="66">
        <f>SUMPRODUCT((Calc_Alloc!$E$11:$E$27)*(Calc_RAB_NS!S$96:S$112))</f>
        <v>5.6528848278492418</v>
      </c>
      <c r="T75" s="67">
        <f>SUMPRODUCT((Calc_Alloc!$E$11:$E$27)*(Calc_RAB_NS!T$96:T$112))</f>
        <v>4.0323721273399196</v>
      </c>
      <c r="U75" s="67">
        <f>SUMPRODUCT((Calc_Alloc!$E$11:$E$27)*(Calc_RAB_NS!U$96:U$112))</f>
        <v>3.7925294312652471</v>
      </c>
      <c r="V75" s="67">
        <f>SUMPRODUCT((Calc_Alloc!$E$11:$E$27)*(Calc_RAB_NS!V$96:V$112))</f>
        <v>2.0025344279303843</v>
      </c>
      <c r="W75" s="68">
        <f>SUMPRODUCT((Calc_Alloc!$E$11:$E$27)*(Calc_RAB_NS!W$96:W$112))</f>
        <v>3.0439676308593135</v>
      </c>
      <c r="X75" s="66">
        <f>SUMPRODUCT((Calc_Alloc!$E$11:$E$27)*(Calc_RAB_NS!X$96:X$112))</f>
        <v>6.4176092844008057</v>
      </c>
      <c r="Y75" s="67">
        <f>SUMPRODUCT((Calc_Alloc!$E$11:$E$27)*(Calc_RAB_NS!Y$96:Y$112))</f>
        <v>7.8495087262430063</v>
      </c>
      <c r="Z75" s="67">
        <f>SUMPRODUCT((Calc_Alloc!$E$11:$E$27)*(Calc_RAB_NS!Z$96:Z$112))</f>
        <v>6.028155404468686</v>
      </c>
      <c r="AA75" s="67">
        <f>SUMPRODUCT((Calc_Alloc!$E$11:$E$27)*(Calc_RAB_NS!AA$96:AA$112))</f>
        <v>5.4386384586930392</v>
      </c>
      <c r="AB75" s="68">
        <f>SUMPRODUCT((Calc_Alloc!$E$11:$E$27)*(Calc_RAB_NS!AB$96:AB$112))</f>
        <v>6.2556560538830306</v>
      </c>
    </row>
    <row r="76" spans="1:28" ht="12.3" x14ac:dyDescent="0.35">
      <c r="D76" s="15" t="str">
        <f t="shared" ref="D76:E84" si="23">D19</f>
        <v>Underground network assets less than 33kV</v>
      </c>
      <c r="E76" s="52" t="str">
        <f t="shared" si="23"/>
        <v>Calc_Alloc</v>
      </c>
      <c r="F76" s="52" t="str">
        <f t="shared" si="20"/>
        <v>Dollars</v>
      </c>
      <c r="G76" s="52" t="str">
        <f t="shared" si="21"/>
        <v>Nominal</v>
      </c>
      <c r="H76" s="52" t="str">
        <f t="shared" si="22"/>
        <v>End_year</v>
      </c>
      <c r="J76" s="66">
        <f>SUMPRODUCT((Calc_Alloc!$F$11:$F$27)*(Calc_RAB_NS!J$96:J$112))</f>
        <v>6.5201461110610568</v>
      </c>
      <c r="K76" s="67">
        <f>SUMPRODUCT((Calc_Alloc!$F$11:$F$27)*(Calc_RAB_NS!K$96:K$112))</f>
        <v>8.2231219994907558</v>
      </c>
      <c r="L76" s="67">
        <f>SUMPRODUCT((Calc_Alloc!$F$11:$F$27)*(Calc_RAB_NS!L$96:L$112))</f>
        <v>9.1184111330198334</v>
      </c>
      <c r="M76" s="67">
        <f>SUMPRODUCT((Calc_Alloc!$F$11:$F$27)*(Calc_RAB_NS!M$96:M$112))</f>
        <v>8.4336861354760568</v>
      </c>
      <c r="N76" s="67">
        <f>SUMPRODUCT((Calc_Alloc!$F$11:$F$27)*(Calc_RAB_NS!N$96:N$112))</f>
        <v>8.5896885394325206</v>
      </c>
      <c r="O76" s="67">
        <f>SUMPRODUCT((Calc_Alloc!$F$11:$F$27)*(Calc_RAB_NS!O$96:O$112))</f>
        <v>8.9244055080179336</v>
      </c>
      <c r="P76" s="67">
        <f>SUMPRODUCT((Calc_Alloc!$F$11:$F$27)*(Calc_RAB_NS!P$96:P$112))</f>
        <v>10.146589793015902</v>
      </c>
      <c r="Q76" s="67">
        <f>SUMPRODUCT((Calc_Alloc!$F$11:$F$27)*(Calc_RAB_NS!Q$96:Q$112))</f>
        <v>17.988737150354734</v>
      </c>
      <c r="R76" s="68">
        <f>SUMPRODUCT((Calc_Alloc!$F$11:$F$27)*(Calc_RAB_NS!R$96:R$112))</f>
        <v>11.500090931032334</v>
      </c>
      <c r="S76" s="66">
        <f>SUMPRODUCT((Calc_Alloc!$F$11:$F$27)*(Calc_RAB_NS!S$96:S$112))</f>
        <v>11.709603155111884</v>
      </c>
      <c r="T76" s="67">
        <f>SUMPRODUCT((Calc_Alloc!$F$11:$F$27)*(Calc_RAB_NS!T$96:T$112))</f>
        <v>8.3527674740149429</v>
      </c>
      <c r="U76" s="67">
        <f>SUMPRODUCT((Calc_Alloc!$F$11:$F$27)*(Calc_RAB_NS!U$96:U$112))</f>
        <v>7.8559542833961267</v>
      </c>
      <c r="V76" s="67">
        <f>SUMPRODUCT((Calc_Alloc!$F$11:$F$27)*(Calc_RAB_NS!V$96:V$112))</f>
        <v>4.1481754973539688</v>
      </c>
      <c r="W76" s="68">
        <f>SUMPRODUCT((Calc_Alloc!$F$11:$F$27)*(Calc_RAB_NS!W$96:W$112))</f>
        <v>6.3054633496790666</v>
      </c>
      <c r="X76" s="66">
        <f>SUMPRODUCT((Calc_Alloc!$F$11:$F$27)*(Calc_RAB_NS!X$96:X$112))</f>
        <v>13.293822405684338</v>
      </c>
      <c r="Y76" s="67">
        <f>SUMPRODUCT((Calc_Alloc!$F$11:$F$27)*(Calc_RAB_NS!Y$96:Y$112))</f>
        <v>16.25994082552803</v>
      </c>
      <c r="Z76" s="67">
        <f>SUMPRODUCT((Calc_Alloc!$F$11:$F$27)*(Calc_RAB_NS!Z$96:Z$112))</f>
        <v>12.487077895658176</v>
      </c>
      <c r="AA76" s="67">
        <f>SUMPRODUCT((Calc_Alloc!$F$11:$F$27)*(Calc_RAB_NS!AA$96:AA$112))</f>
        <v>11.265918286934562</v>
      </c>
      <c r="AB76" s="68">
        <f>SUMPRODUCT((Calc_Alloc!$F$11:$F$27)*(Calc_RAB_NS!AB$96:AB$112))</f>
        <v>12.958337728439323</v>
      </c>
    </row>
    <row r="77" spans="1:28" ht="12.3" x14ac:dyDescent="0.35">
      <c r="D77" s="15" t="str">
        <f t="shared" si="23"/>
        <v>Distribution substations and transformers</v>
      </c>
      <c r="E77" s="52" t="str">
        <f t="shared" si="23"/>
        <v>Calc_Alloc</v>
      </c>
      <c r="F77" s="52" t="str">
        <f t="shared" si="20"/>
        <v>Dollars</v>
      </c>
      <c r="G77" s="52" t="str">
        <f t="shared" si="21"/>
        <v>Nominal</v>
      </c>
      <c r="H77" s="52" t="str">
        <f t="shared" si="22"/>
        <v>End_year</v>
      </c>
      <c r="J77" s="66">
        <f>SUMPRODUCT((Calc_Alloc!$G$11:$G$27)*(Calc_RAB_NS!J$96:J$112))</f>
        <v>1.2070902436531148</v>
      </c>
      <c r="K77" s="67">
        <f>SUMPRODUCT((Calc_Alloc!$G$11:$G$27)*(Calc_RAB_NS!K$96:K$112))</f>
        <v>1.5223662428539149</v>
      </c>
      <c r="L77" s="67">
        <f>SUMPRODUCT((Calc_Alloc!$G$11:$G$27)*(Calc_RAB_NS!L$96:L$112))</f>
        <v>4.2164555582360785</v>
      </c>
      <c r="M77" s="67">
        <f>SUMPRODUCT((Calc_Alloc!$G$11:$G$27)*(Calc_RAB_NS!M$96:M$112))</f>
        <v>7.4007641656624035</v>
      </c>
      <c r="N77" s="67">
        <f>SUMPRODUCT((Calc_Alloc!$G$11:$G$27)*(Calc_RAB_NS!N$96:N$112))</f>
        <v>12.965927197906746</v>
      </c>
      <c r="O77" s="67">
        <f>SUMPRODUCT((Calc_Alloc!$G$11:$G$27)*(Calc_RAB_NS!O$96:O$112))</f>
        <v>12.610711778961104</v>
      </c>
      <c r="P77" s="67">
        <f>SUMPRODUCT((Calc_Alloc!$G$11:$G$27)*(Calc_RAB_NS!P$96:P$112))</f>
        <v>5.111326321986299</v>
      </c>
      <c r="Q77" s="67">
        <f>SUMPRODUCT((Calc_Alloc!$G$11:$G$27)*(Calc_RAB_NS!Q$96:Q$112))</f>
        <v>5.050242795891605</v>
      </c>
      <c r="R77" s="68">
        <f>SUMPRODUCT((Calc_Alloc!$G$11:$G$27)*(Calc_RAB_NS!R$96:R$112))</f>
        <v>5.3027952469994002</v>
      </c>
      <c r="S77" s="66">
        <f>SUMPRODUCT((Calc_Alloc!$G$11:$G$27)*(Calc_RAB_NS!S$96:S$112))</f>
        <v>13.889400906160299</v>
      </c>
      <c r="T77" s="67">
        <f>SUMPRODUCT((Calc_Alloc!$G$11:$G$27)*(Calc_RAB_NS!T$96:T$112))</f>
        <v>11.994797383578295</v>
      </c>
      <c r="U77" s="67">
        <f>SUMPRODUCT((Calc_Alloc!$G$11:$G$27)*(Calc_RAB_NS!U$96:U$112))</f>
        <v>8.8639244240556554</v>
      </c>
      <c r="V77" s="67">
        <f>SUMPRODUCT((Calc_Alloc!$G$11:$G$27)*(Calc_RAB_NS!V$96:V$112))</f>
        <v>6.5475099943382293</v>
      </c>
      <c r="W77" s="68">
        <f>SUMPRODUCT((Calc_Alloc!$G$11:$G$27)*(Calc_RAB_NS!W$96:W$112))</f>
        <v>7.5109542568210124</v>
      </c>
      <c r="X77" s="66">
        <f>SUMPRODUCT((Calc_Alloc!$G$11:$G$27)*(Calc_RAB_NS!X$96:X$112))</f>
        <v>9.6853886171873675</v>
      </c>
      <c r="Y77" s="67">
        <f>SUMPRODUCT((Calc_Alloc!$G$11:$G$27)*(Calc_RAB_NS!Y$96:Y$112))</f>
        <v>10.869573290023197</v>
      </c>
      <c r="Z77" s="67">
        <f>SUMPRODUCT((Calc_Alloc!$G$11:$G$27)*(Calc_RAB_NS!Z$96:Z$112))</f>
        <v>10.859066136529819</v>
      </c>
      <c r="AA77" s="67">
        <f>SUMPRODUCT((Calc_Alloc!$G$11:$G$27)*(Calc_RAB_NS!AA$96:AA$112))</f>
        <v>12.522424314620507</v>
      </c>
      <c r="AB77" s="68">
        <f>SUMPRODUCT((Calc_Alloc!$G$11:$G$27)*(Calc_RAB_NS!AB$96:AB$112))</f>
        <v>13.422542534450546</v>
      </c>
    </row>
    <row r="78" spans="1:28" ht="12.3" x14ac:dyDescent="0.35">
      <c r="D78" s="15" t="str">
        <f t="shared" si="23"/>
        <v>Overhead network assets 33kV and above</v>
      </c>
      <c r="E78" s="52" t="str">
        <f t="shared" si="23"/>
        <v>Calc_Alloc</v>
      </c>
      <c r="F78" s="52" t="str">
        <f t="shared" si="20"/>
        <v>Dollars</v>
      </c>
      <c r="G78" s="52" t="str">
        <f t="shared" si="21"/>
        <v>Nominal</v>
      </c>
      <c r="H78" s="52" t="str">
        <f t="shared" si="22"/>
        <v>End_year</v>
      </c>
      <c r="J78" s="66">
        <f>SUMPRODUCT((Calc_Alloc!$H$11:$H$27)*(Calc_RAB_NS!J$96:J$112))</f>
        <v>5.0560574324591929</v>
      </c>
      <c r="K78" s="67">
        <f>SUMPRODUCT((Calc_Alloc!$H$11:$H$27)*(Calc_RAB_NS!K$96:K$112))</f>
        <v>6.3766327311303108</v>
      </c>
      <c r="L78" s="67">
        <f>SUMPRODUCT((Calc_Alloc!$H$11:$H$27)*(Calc_RAB_NS!L$96:L$112))</f>
        <v>1.538778368741589</v>
      </c>
      <c r="M78" s="67">
        <f>SUMPRODUCT((Calc_Alloc!$H$11:$H$27)*(Calc_RAB_NS!M$96:M$112))</f>
        <v>1.067354382422105</v>
      </c>
      <c r="N78" s="67">
        <f>SUMPRODUCT((Calc_Alloc!$H$11:$H$27)*(Calc_RAB_NS!N$96:N$112))</f>
        <v>10.66380582876123</v>
      </c>
      <c r="O78" s="67">
        <f>SUMPRODUCT((Calc_Alloc!$H$11:$H$27)*(Calc_RAB_NS!O$96:O$112))</f>
        <v>10.160376078342406</v>
      </c>
      <c r="P78" s="67">
        <f>SUMPRODUCT((Calc_Alloc!$H$11:$H$27)*(Calc_RAB_NS!P$96:P$112))</f>
        <v>5.4772466721454673</v>
      </c>
      <c r="Q78" s="67">
        <f>SUMPRODUCT((Calc_Alloc!$H$11:$H$27)*(Calc_RAB_NS!Q$96:Q$112))</f>
        <v>9.6678300528902685</v>
      </c>
      <c r="R78" s="68">
        <f>SUMPRODUCT((Calc_Alloc!$H$11:$H$27)*(Calc_RAB_NS!R$96:R$112))</f>
        <v>2.1695681224965604</v>
      </c>
      <c r="S78" s="66">
        <f>SUMPRODUCT((Calc_Alloc!$H$11:$H$27)*(Calc_RAB_NS!S$96:S$112))</f>
        <v>2.2886715378856559</v>
      </c>
      <c r="T78" s="67">
        <f>SUMPRODUCT((Calc_Alloc!$H$11:$H$27)*(Calc_RAB_NS!T$96:T$112))</f>
        <v>4.0500780782482932</v>
      </c>
      <c r="U78" s="67">
        <f>SUMPRODUCT((Calc_Alloc!$H$11:$H$27)*(Calc_RAB_NS!U$96:U$112))</f>
        <v>3.9989767724754963</v>
      </c>
      <c r="V78" s="67">
        <f>SUMPRODUCT((Calc_Alloc!$H$11:$H$27)*(Calc_RAB_NS!V$96:V$112))</f>
        <v>5.7167263415300029</v>
      </c>
      <c r="W78" s="68">
        <f>SUMPRODUCT((Calc_Alloc!$H$11:$H$27)*(Calc_RAB_NS!W$96:W$112))</f>
        <v>0.16147639321905352</v>
      </c>
      <c r="X78" s="66">
        <f>SUMPRODUCT((Calc_Alloc!$H$11:$H$27)*(Calc_RAB_NS!X$96:X$112))</f>
        <v>2.0111871446651679</v>
      </c>
      <c r="Y78" s="67">
        <f>SUMPRODUCT((Calc_Alloc!$H$11:$H$27)*(Calc_RAB_NS!Y$96:Y$112))</f>
        <v>1.9900212796182835</v>
      </c>
      <c r="Z78" s="67">
        <f>SUMPRODUCT((Calc_Alloc!$H$11:$H$27)*(Calc_RAB_NS!Z$96:Z$112))</f>
        <v>1.9828995859410365</v>
      </c>
      <c r="AA78" s="67">
        <f>SUMPRODUCT((Calc_Alloc!$H$11:$H$27)*(Calc_RAB_NS!AA$96:AA$112))</f>
        <v>2.1878079553776932</v>
      </c>
      <c r="AB78" s="68">
        <f>SUMPRODUCT((Calc_Alloc!$H$11:$H$27)*(Calc_RAB_NS!AB$96:AB$112))</f>
        <v>2.2711954802205772</v>
      </c>
    </row>
    <row r="79" spans="1:28" ht="12.3" x14ac:dyDescent="0.35">
      <c r="D79" s="15" t="str">
        <f t="shared" si="23"/>
        <v>Underground network assets 33kV and above</v>
      </c>
      <c r="E79" s="52" t="str">
        <f t="shared" si="23"/>
        <v>Calc_Alloc</v>
      </c>
      <c r="F79" s="52" t="str">
        <f t="shared" si="20"/>
        <v>Dollars</v>
      </c>
      <c r="G79" s="52" t="str">
        <f t="shared" si="21"/>
        <v>Nominal</v>
      </c>
      <c r="H79" s="52" t="str">
        <f t="shared" si="22"/>
        <v>End_year</v>
      </c>
      <c r="J79" s="66">
        <f>SUMPRODUCT((Calc_Alloc!$I$11:$I$27)*(Calc_RAB_NS!J$96:J$112))</f>
        <v>2.5299800841774269</v>
      </c>
      <c r="K79" s="67">
        <f>SUMPRODUCT((Calc_Alloc!$I$11:$I$27)*(Calc_RAB_NS!K$96:K$112))</f>
        <v>3.1907774050000972</v>
      </c>
      <c r="L79" s="67">
        <f>SUMPRODUCT((Calc_Alloc!$I$11:$I$27)*(Calc_RAB_NS!L$96:L$112))</f>
        <v>0.7699830705810855</v>
      </c>
      <c r="M79" s="67">
        <f>SUMPRODUCT((Calc_Alloc!$I$11:$I$27)*(Calc_RAB_NS!M$96:M$112))</f>
        <v>0.5340891329578894</v>
      </c>
      <c r="N79" s="67">
        <f>SUMPRODUCT((Calc_Alloc!$I$11:$I$27)*(Calc_RAB_NS!N$96:N$112))</f>
        <v>5.3360185735031838</v>
      </c>
      <c r="O79" s="67">
        <f>SUMPRODUCT((Calc_Alloc!$I$11:$I$27)*(Calc_RAB_NS!O$96:O$112))</f>
        <v>5.0841094013159234</v>
      </c>
      <c r="P79" s="67">
        <f>SUMPRODUCT((Calc_Alloc!$I$11:$I$27)*(Calc_RAB_NS!P$96:P$112))</f>
        <v>2.7407372605566147</v>
      </c>
      <c r="Q79" s="67">
        <f>SUMPRODUCT((Calc_Alloc!$I$11:$I$27)*(Calc_RAB_NS!Q$96:Q$112))</f>
        <v>4.8376462921481629</v>
      </c>
      <c r="R79" s="68">
        <f>SUMPRODUCT((Calc_Alloc!$I$11:$I$27)*(Calc_RAB_NS!R$96:R$112))</f>
        <v>1.0856213985909486</v>
      </c>
      <c r="S79" s="66">
        <f>SUMPRODUCT((Calc_Alloc!$I$11:$I$27)*(Calc_RAB_NS!S$96:S$112))</f>
        <v>1.1452190738383519</v>
      </c>
      <c r="T79" s="67">
        <f>SUMPRODUCT((Calc_Alloc!$I$11:$I$27)*(Calc_RAB_NS!T$96:T$112))</f>
        <v>2.0266021528058396</v>
      </c>
      <c r="U79" s="67">
        <f>SUMPRODUCT((Calc_Alloc!$I$11:$I$27)*(Calc_RAB_NS!U$96:U$112))</f>
        <v>2.0010317775465234</v>
      </c>
      <c r="V79" s="67">
        <f>SUMPRODUCT((Calc_Alloc!$I$11:$I$27)*(Calc_RAB_NS!V$96:V$112))</f>
        <v>2.8605695216022688</v>
      </c>
      <c r="W79" s="68">
        <f>SUMPRODUCT((Calc_Alloc!$I$11:$I$27)*(Calc_RAB_NS!W$96:W$112))</f>
        <v>8.0800517867199981E-2</v>
      </c>
      <c r="X79" s="66">
        <f>SUMPRODUCT((Calc_Alloc!$I$11:$I$27)*(Calc_RAB_NS!X$96:X$112))</f>
        <v>1.0063697830824843</v>
      </c>
      <c r="Y79" s="67">
        <f>SUMPRODUCT((Calc_Alloc!$I$11:$I$27)*(Calc_RAB_NS!Y$96:Y$112))</f>
        <v>0.99577868166634398</v>
      </c>
      <c r="Z79" s="67">
        <f>SUMPRODUCT((Calc_Alloc!$I$11:$I$27)*(Calc_RAB_NS!Z$96:Z$112))</f>
        <v>0.99221508623458021</v>
      </c>
      <c r="AA79" s="67">
        <f>SUMPRODUCT((Calc_Alloc!$I$11:$I$27)*(Calc_RAB_NS!AA$96:AA$112))</f>
        <v>1.0947483546321788</v>
      </c>
      <c r="AB79" s="68">
        <f>SUMPRODUCT((Calc_Alloc!$I$11:$I$27)*(Calc_RAB_NS!AB$96:AB$112))</f>
        <v>1.136474300181562</v>
      </c>
    </row>
    <row r="80" spans="1:28" ht="12.3" x14ac:dyDescent="0.35">
      <c r="D80" s="15" t="str">
        <f t="shared" si="23"/>
        <v>Zone substations and transformers</v>
      </c>
      <c r="E80" s="52" t="str">
        <f t="shared" si="23"/>
        <v>Calc_Alloc</v>
      </c>
      <c r="F80" s="52" t="str">
        <f t="shared" si="20"/>
        <v>Dollars</v>
      </c>
      <c r="G80" s="52" t="str">
        <f t="shared" si="21"/>
        <v>Nominal</v>
      </c>
      <c r="H80" s="52" t="str">
        <f t="shared" si="22"/>
        <v>End_year</v>
      </c>
      <c r="J80" s="66">
        <f>SUMPRODUCT((Calc_Alloc!$J$11:$J$27)*(Calc_RAB_NS!J$96:J$112))</f>
        <v>3.017259320495123</v>
      </c>
      <c r="K80" s="67">
        <f>SUMPRODUCT((Calc_Alloc!$J$11:$J$27)*(Calc_RAB_NS!K$96:K$112))</f>
        <v>3.8053275300749831</v>
      </c>
      <c r="L80" s="67">
        <f>SUMPRODUCT((Calc_Alloc!$J$11:$J$27)*(Calc_RAB_NS!L$96:L$112))</f>
        <v>22.888933834498829</v>
      </c>
      <c r="M80" s="67">
        <f>SUMPRODUCT((Calc_Alloc!$J$11:$J$27)*(Calc_RAB_NS!M$96:M$112))</f>
        <v>33.902694945631701</v>
      </c>
      <c r="N80" s="67">
        <f>SUMPRODUCT((Calc_Alloc!$J$11:$J$27)*(Calc_RAB_NS!N$96:N$112))</f>
        <v>35.522326060781353</v>
      </c>
      <c r="O80" s="67">
        <f>SUMPRODUCT((Calc_Alloc!$J$11:$J$27)*(Calc_RAB_NS!O$96:O$112))</f>
        <v>48.489640774936042</v>
      </c>
      <c r="P80" s="67">
        <f>SUMPRODUCT((Calc_Alloc!$J$11:$J$27)*(Calc_RAB_NS!P$96:P$112))</f>
        <v>45.238627848901139</v>
      </c>
      <c r="Q80" s="67">
        <f>SUMPRODUCT((Calc_Alloc!$J$11:$J$27)*(Calc_RAB_NS!Q$96:Q$112))</f>
        <v>55.44977546794528</v>
      </c>
      <c r="R80" s="68">
        <f>SUMPRODUCT((Calc_Alloc!$J$11:$J$27)*(Calc_RAB_NS!R$96:R$112))</f>
        <v>65.634841040325497</v>
      </c>
      <c r="S80" s="66">
        <f>SUMPRODUCT((Calc_Alloc!$J$11:$J$27)*(Calc_RAB_NS!S$96:S$112))</f>
        <v>44.163978729225157</v>
      </c>
      <c r="T80" s="67">
        <f>SUMPRODUCT((Calc_Alloc!$J$11:$J$27)*(Calc_RAB_NS!T$96:T$112))</f>
        <v>36.176617665472392</v>
      </c>
      <c r="U80" s="67">
        <f>SUMPRODUCT((Calc_Alloc!$J$11:$J$27)*(Calc_RAB_NS!U$96:U$112))</f>
        <v>18.993715949713604</v>
      </c>
      <c r="V80" s="67">
        <f>SUMPRODUCT((Calc_Alloc!$J$11:$J$27)*(Calc_RAB_NS!V$96:V$112))</f>
        <v>14.888624906824095</v>
      </c>
      <c r="W80" s="68">
        <f>SUMPRODUCT((Calc_Alloc!$J$11:$J$27)*(Calc_RAB_NS!W$96:W$112))</f>
        <v>19.228604100921061</v>
      </c>
      <c r="X80" s="66">
        <f>SUMPRODUCT((Calc_Alloc!$J$11:$J$27)*(Calc_RAB_NS!X$96:X$112))</f>
        <v>20.523082076350665</v>
      </c>
      <c r="Y80" s="67">
        <f>SUMPRODUCT((Calc_Alloc!$J$11:$J$27)*(Calc_RAB_NS!Y$96:Y$112))</f>
        <v>20.562261726324778</v>
      </c>
      <c r="Z80" s="67">
        <f>SUMPRODUCT((Calc_Alloc!$J$11:$J$27)*(Calc_RAB_NS!Z$96:Z$112))</f>
        <v>23.743199103341563</v>
      </c>
      <c r="AA80" s="67">
        <f>SUMPRODUCT((Calc_Alloc!$J$11:$J$27)*(Calc_RAB_NS!AA$96:AA$112))</f>
        <v>24.103920981880247</v>
      </c>
      <c r="AB80" s="68">
        <f>SUMPRODUCT((Calc_Alloc!$J$11:$J$27)*(Calc_RAB_NS!AB$96:AB$112))</f>
        <v>16.83136226059279</v>
      </c>
    </row>
    <row r="81" spans="1:28" ht="12.3" x14ac:dyDescent="0.35">
      <c r="D81" s="15" t="str">
        <f t="shared" si="23"/>
        <v>Easements</v>
      </c>
      <c r="E81" s="52" t="str">
        <f t="shared" si="23"/>
        <v>Calc_Alloc</v>
      </c>
      <c r="F81" s="52" t="str">
        <f t="shared" si="20"/>
        <v>Dollars</v>
      </c>
      <c r="G81" s="52" t="str">
        <f t="shared" si="21"/>
        <v>Nominal</v>
      </c>
      <c r="H81" s="52" t="str">
        <f t="shared" si="22"/>
        <v>End_year</v>
      </c>
      <c r="J81" s="66">
        <f>SUMPRODUCT((Calc_Alloc!$K$11:$K$27)*(Calc_RAB_NS!J$96:J$112))</f>
        <v>0.59139052635087741</v>
      </c>
      <c r="K81" s="67">
        <f>SUMPRODUCT((Calc_Alloc!$K$11:$K$27)*(Calc_RAB_NS!K$96:K$112))</f>
        <v>0.74585390644488558</v>
      </c>
      <c r="L81" s="67">
        <f>SUMPRODUCT((Calc_Alloc!$K$11:$K$27)*(Calc_RAB_NS!L$96:L$112))</f>
        <v>0</v>
      </c>
      <c r="M81" s="67">
        <f>SUMPRODUCT((Calc_Alloc!$K$11:$K$27)*(Calc_RAB_NS!M$96:M$112))</f>
        <v>0</v>
      </c>
      <c r="N81" s="67">
        <f>SUMPRODUCT((Calc_Alloc!$K$11:$K$27)*(Calc_RAB_NS!N$96:N$112))</f>
        <v>0</v>
      </c>
      <c r="O81" s="67">
        <f>SUMPRODUCT((Calc_Alloc!$K$11:$K$27)*(Calc_RAB_NS!O$96:O$112))</f>
        <v>0</v>
      </c>
      <c r="P81" s="67">
        <f>SUMPRODUCT((Calc_Alloc!$K$11:$K$27)*(Calc_RAB_NS!P$96:P$112))</f>
        <v>0</v>
      </c>
      <c r="Q81" s="67">
        <f>SUMPRODUCT((Calc_Alloc!$K$11:$K$27)*(Calc_RAB_NS!Q$96:Q$112))</f>
        <v>-4.4607753397497785E-2</v>
      </c>
      <c r="R81" s="68">
        <f>SUMPRODUCT((Calc_Alloc!$K$11:$K$27)*(Calc_RAB_NS!R$96:R$112))</f>
        <v>0.72800614423817966</v>
      </c>
      <c r="S81" s="66">
        <f>SUMPRODUCT((Calc_Alloc!$K$11:$K$27)*(Calc_RAB_NS!S$96:S$112))</f>
        <v>0</v>
      </c>
      <c r="T81" s="67">
        <f>SUMPRODUCT((Calc_Alloc!$K$11:$K$27)*(Calc_RAB_NS!T$96:T$112))</f>
        <v>0</v>
      </c>
      <c r="U81" s="67">
        <f>SUMPRODUCT((Calc_Alloc!$K$11:$K$27)*(Calc_RAB_NS!U$96:U$112))</f>
        <v>-1.081144242647495E-4</v>
      </c>
      <c r="V81" s="67">
        <f>SUMPRODUCT((Calc_Alloc!$K$11:$K$27)*(Calc_RAB_NS!V$96:V$112))</f>
        <v>0</v>
      </c>
      <c r="W81" s="68">
        <f>SUMPRODUCT((Calc_Alloc!$K$11:$K$27)*(Calc_RAB_NS!W$96:W$112))</f>
        <v>9.4537731622486891</v>
      </c>
      <c r="X81" s="66">
        <f>SUMPRODUCT((Calc_Alloc!$K$11:$K$27)*(Calc_RAB_NS!X$96:X$112))</f>
        <v>0</v>
      </c>
      <c r="Y81" s="67">
        <f>SUMPRODUCT((Calc_Alloc!$K$11:$K$27)*(Calc_RAB_NS!Y$96:Y$112))</f>
        <v>0</v>
      </c>
      <c r="Z81" s="67">
        <f>SUMPRODUCT((Calc_Alloc!$K$11:$K$27)*(Calc_RAB_NS!Z$96:Z$112))</f>
        <v>0</v>
      </c>
      <c r="AA81" s="67">
        <f>SUMPRODUCT((Calc_Alloc!$K$11:$K$27)*(Calc_RAB_NS!AA$96:AA$112))</f>
        <v>0</v>
      </c>
      <c r="AB81" s="68">
        <f>SUMPRODUCT((Calc_Alloc!$K$11:$K$27)*(Calc_RAB_NS!AB$96:AB$112))</f>
        <v>0</v>
      </c>
    </row>
    <row r="82" spans="1:28" ht="12.3" x14ac:dyDescent="0.35">
      <c r="D82" s="15" t="str">
        <f t="shared" si="23"/>
        <v>Meters</v>
      </c>
      <c r="E82" s="52" t="str">
        <f t="shared" si="23"/>
        <v>Calc_Alloc</v>
      </c>
      <c r="F82" s="52" t="str">
        <f t="shared" si="20"/>
        <v>Dollars</v>
      </c>
      <c r="G82" s="52" t="str">
        <f t="shared" si="21"/>
        <v>Nominal</v>
      </c>
      <c r="H82" s="52" t="str">
        <f t="shared" si="22"/>
        <v>End_year</v>
      </c>
      <c r="J82" s="66">
        <f>SUMPRODUCT((Calc_Alloc!$L$11:$L$27)*(Calc_RAB_NS!J$96:J$112))</f>
        <v>0</v>
      </c>
      <c r="K82" s="67">
        <f>SUMPRODUCT((Calc_Alloc!$L$11:$L$27)*(Calc_RAB_NS!K$96:K$112))</f>
        <v>0</v>
      </c>
      <c r="L82" s="67">
        <f>SUMPRODUCT((Calc_Alloc!$L$11:$L$27)*(Calc_RAB_NS!L$96:L$112))</f>
        <v>0</v>
      </c>
      <c r="M82" s="67">
        <f>SUMPRODUCT((Calc_Alloc!$L$11:$L$27)*(Calc_RAB_NS!M$96:M$112))</f>
        <v>0</v>
      </c>
      <c r="N82" s="67">
        <f>SUMPRODUCT((Calc_Alloc!$L$11:$L$27)*(Calc_RAB_NS!N$96:N$112))</f>
        <v>0</v>
      </c>
      <c r="O82" s="67">
        <f>SUMPRODUCT((Calc_Alloc!$L$11:$L$27)*(Calc_RAB_NS!O$96:O$112))</f>
        <v>0</v>
      </c>
      <c r="P82" s="67">
        <f>SUMPRODUCT((Calc_Alloc!$L$11:$L$27)*(Calc_RAB_NS!P$96:P$112))</f>
        <v>0</v>
      </c>
      <c r="Q82" s="67">
        <f>SUMPRODUCT((Calc_Alloc!$L$11:$L$27)*(Calc_RAB_NS!Q$96:Q$112))</f>
        <v>0</v>
      </c>
      <c r="R82" s="68">
        <f>SUMPRODUCT((Calc_Alloc!$L$11:$L$27)*(Calc_RAB_NS!R$96:R$112))</f>
        <v>0</v>
      </c>
      <c r="S82" s="66">
        <f>SUMPRODUCT((Calc_Alloc!$L$11:$L$27)*(Calc_RAB_NS!S$96:S$112))</f>
        <v>0</v>
      </c>
      <c r="T82" s="67">
        <f>SUMPRODUCT((Calc_Alloc!$L$11:$L$27)*(Calc_RAB_NS!T$96:T$112))</f>
        <v>0</v>
      </c>
      <c r="U82" s="67">
        <f>SUMPRODUCT((Calc_Alloc!$L$11:$L$27)*(Calc_RAB_NS!U$96:U$112))</f>
        <v>0</v>
      </c>
      <c r="V82" s="67">
        <f>SUMPRODUCT((Calc_Alloc!$L$11:$L$27)*(Calc_RAB_NS!V$96:V$112))</f>
        <v>0</v>
      </c>
      <c r="W82" s="68">
        <f>SUMPRODUCT((Calc_Alloc!$L$11:$L$27)*(Calc_RAB_NS!W$96:W$112))</f>
        <v>0</v>
      </c>
      <c r="X82" s="66">
        <f>SUMPRODUCT((Calc_Alloc!$L$11:$L$27)*(Calc_RAB_NS!X$96:X$112))</f>
        <v>0</v>
      </c>
      <c r="Y82" s="67">
        <f>SUMPRODUCT((Calc_Alloc!$L$11:$L$27)*(Calc_RAB_NS!Y$96:Y$112))</f>
        <v>0</v>
      </c>
      <c r="Z82" s="67">
        <f>SUMPRODUCT((Calc_Alloc!$L$11:$L$27)*(Calc_RAB_NS!Z$96:Z$112))</f>
        <v>0</v>
      </c>
      <c r="AA82" s="67">
        <f>SUMPRODUCT((Calc_Alloc!$L$11:$L$27)*(Calc_RAB_NS!AA$96:AA$112))</f>
        <v>0</v>
      </c>
      <c r="AB82" s="68">
        <f>SUMPRODUCT((Calc_Alloc!$L$11:$L$27)*(Calc_RAB_NS!AB$96:AB$112))</f>
        <v>0</v>
      </c>
    </row>
    <row r="83" spans="1:28" ht="12.3" x14ac:dyDescent="0.35">
      <c r="D83" s="15" t="str">
        <f t="shared" si="23"/>
        <v>“Other” asset items with long lives</v>
      </c>
      <c r="E83" s="52" t="str">
        <f t="shared" si="23"/>
        <v>Calc_Alloc</v>
      </c>
      <c r="F83" s="52" t="str">
        <f t="shared" si="20"/>
        <v>Dollars</v>
      </c>
      <c r="G83" s="52" t="str">
        <f t="shared" si="21"/>
        <v>Nominal</v>
      </c>
      <c r="H83" s="52" t="str">
        <f t="shared" si="22"/>
        <v>End_year</v>
      </c>
      <c r="J83" s="66">
        <f>SUMPRODUCT((Calc_Alloc!$M$11:$M$27)*(Calc_RAB_NS!J$96:J$112))</f>
        <v>9.1570493467389755E-2</v>
      </c>
      <c r="K83" s="67">
        <f>SUMPRODUCT((Calc_Alloc!$M$11:$M$27)*(Calc_RAB_NS!K$96:K$112))</f>
        <v>0.11548749468336357</v>
      </c>
      <c r="L83" s="67">
        <f>SUMPRODUCT((Calc_Alloc!$M$11:$M$27)*(Calc_RAB_NS!L$96:L$112))</f>
        <v>1.7873403067707199</v>
      </c>
      <c r="M83" s="67">
        <f>SUMPRODUCT((Calc_Alloc!$M$11:$M$27)*(Calc_RAB_NS!M$96:M$112))</f>
        <v>0.3496383138039782</v>
      </c>
      <c r="N83" s="67">
        <f>SUMPRODUCT((Calc_Alloc!$M$11:$M$27)*(Calc_RAB_NS!N$96:N$112))</f>
        <v>0</v>
      </c>
      <c r="O83" s="67">
        <f>SUMPRODUCT((Calc_Alloc!$M$11:$M$27)*(Calc_RAB_NS!O$96:O$112))</f>
        <v>0</v>
      </c>
      <c r="P83" s="67">
        <f>SUMPRODUCT((Calc_Alloc!$M$11:$M$27)*(Calc_RAB_NS!P$96:P$112))</f>
        <v>0</v>
      </c>
      <c r="Q83" s="67">
        <f>SUMPRODUCT((Calc_Alloc!$M$11:$M$27)*(Calc_RAB_NS!Q$96:Q$112))</f>
        <v>0</v>
      </c>
      <c r="R83" s="68">
        <f>SUMPRODUCT((Calc_Alloc!$M$11:$M$27)*(Calc_RAB_NS!R$96:R$112))</f>
        <v>0.25947115465730947</v>
      </c>
      <c r="S83" s="66">
        <f>SUMPRODUCT((Calc_Alloc!$M$11:$M$27)*(Calc_RAB_NS!S$96:S$112))</f>
        <v>0.44625328734994235</v>
      </c>
      <c r="T83" s="67">
        <f>SUMPRODUCT((Calc_Alloc!$M$11:$M$27)*(Calc_RAB_NS!T$96:T$112))</f>
        <v>0.96675587955678721</v>
      </c>
      <c r="U83" s="67">
        <f>SUMPRODUCT((Calc_Alloc!$M$11:$M$27)*(Calc_RAB_NS!U$96:U$112))</f>
        <v>2.8679436362080821</v>
      </c>
      <c r="V83" s="67">
        <f>SUMPRODUCT((Calc_Alloc!$M$11:$M$27)*(Calc_RAB_NS!V$96:V$112))</f>
        <v>4.6078864409133056</v>
      </c>
      <c r="W83" s="68">
        <f>SUMPRODUCT((Calc_Alloc!$M$11:$M$27)*(Calc_RAB_NS!W$96:W$112))</f>
        <v>15.674743704573846</v>
      </c>
      <c r="X83" s="66">
        <f>SUMPRODUCT((Calc_Alloc!$M$11:$M$27)*(Calc_RAB_NS!X$96:X$112))</f>
        <v>21.683917751616853</v>
      </c>
      <c r="Y83" s="67">
        <f>SUMPRODUCT((Calc_Alloc!$M$11:$M$27)*(Calc_RAB_NS!Y$96:Y$112))</f>
        <v>13.792407920808021</v>
      </c>
      <c r="Z83" s="67">
        <f>SUMPRODUCT((Calc_Alloc!$M$11:$M$27)*(Calc_RAB_NS!Z$96:Z$112))</f>
        <v>18.056899684934656</v>
      </c>
      <c r="AA83" s="67">
        <f>SUMPRODUCT((Calc_Alloc!$M$11:$M$27)*(Calc_RAB_NS!AA$96:AA$112))</f>
        <v>8.9055984264205215</v>
      </c>
      <c r="AB83" s="68">
        <f>SUMPRODUCT((Calc_Alloc!$M$11:$M$27)*(Calc_RAB_NS!AB$96:AB$112))</f>
        <v>8.3052628888635347</v>
      </c>
    </row>
    <row r="84" spans="1:28" ht="12.3" x14ac:dyDescent="0.35">
      <c r="D84" s="15" t="str">
        <f t="shared" si="23"/>
        <v>“Other” asset items with short lives</v>
      </c>
      <c r="E84" s="52" t="str">
        <f t="shared" si="23"/>
        <v>Calc_Alloc</v>
      </c>
      <c r="F84" s="52" t="str">
        <f t="shared" si="20"/>
        <v>Dollars</v>
      </c>
      <c r="G84" s="52" t="str">
        <f t="shared" si="21"/>
        <v>Nominal</v>
      </c>
      <c r="H84" s="52" t="str">
        <f t="shared" si="22"/>
        <v>End_year</v>
      </c>
      <c r="J84" s="66">
        <f>SUMPRODUCT((Calc_Alloc!$N$11:$N$27)*(Calc_RAB_NS!J$96:J$112))</f>
        <v>0.35796503922624839</v>
      </c>
      <c r="K84" s="67">
        <f>SUMPRODUCT((Calc_Alloc!$N$11:$N$27)*(Calc_RAB_NS!K$96:K$112))</f>
        <v>0.45146077081252856</v>
      </c>
      <c r="L84" s="67">
        <f>SUMPRODUCT((Calc_Alloc!$N$11:$N$27)*(Calc_RAB_NS!L$96:L$112))</f>
        <v>5.1921591440183806E-3</v>
      </c>
      <c r="M84" s="67">
        <f>SUMPRODUCT((Calc_Alloc!$N$11:$N$27)*(Calc_RAB_NS!M$96:M$112))</f>
        <v>1.5847628954287967E-2</v>
      </c>
      <c r="N84" s="67">
        <f>SUMPRODUCT((Calc_Alloc!$N$11:$N$27)*(Calc_RAB_NS!N$96:N$112))</f>
        <v>2.7903342389835935</v>
      </c>
      <c r="O84" s="67">
        <f>SUMPRODUCT((Calc_Alloc!$N$11:$N$27)*(Calc_RAB_NS!O$96:O$112))</f>
        <v>2.2081258696485593</v>
      </c>
      <c r="P84" s="67">
        <f>SUMPRODUCT((Calc_Alloc!$N$11:$N$27)*(Calc_RAB_NS!P$96:P$112))</f>
        <v>3.1589102483926985</v>
      </c>
      <c r="Q84" s="67">
        <f>SUMPRODUCT((Calc_Alloc!$N$11:$N$27)*(Calc_RAB_NS!Q$96:Q$112))</f>
        <v>5.1414366399532092</v>
      </c>
      <c r="R84" s="68">
        <f>SUMPRODUCT((Calc_Alloc!$N$11:$N$27)*(Calc_RAB_NS!R$96:R$112))</f>
        <v>1.4535798366465891</v>
      </c>
      <c r="S84" s="66">
        <f>SUMPRODUCT((Calc_Alloc!$N$11:$N$27)*(Calc_RAB_NS!S$96:S$112))</f>
        <v>0.69151177578155665</v>
      </c>
      <c r="T84" s="67">
        <f>SUMPRODUCT((Calc_Alloc!$N$11:$N$27)*(Calc_RAB_NS!T$96:T$112))</f>
        <v>0.33153977242198368</v>
      </c>
      <c r="U84" s="67">
        <f>SUMPRODUCT((Calc_Alloc!$N$11:$N$27)*(Calc_RAB_NS!U$96:U$112))</f>
        <v>0.46898279470098703</v>
      </c>
      <c r="V84" s="67">
        <f>SUMPRODUCT((Calc_Alloc!$N$11:$N$27)*(Calc_RAB_NS!V$96:V$112))</f>
        <v>0.55877917552134027</v>
      </c>
      <c r="W84" s="68">
        <f>SUMPRODUCT((Calc_Alloc!$N$11:$N$27)*(Calc_RAB_NS!W$96:W$112))</f>
        <v>0.60740988661772466</v>
      </c>
      <c r="X84" s="66">
        <f>SUMPRODUCT((Calc_Alloc!$N$11:$N$27)*(Calc_RAB_NS!X$96:X$112))</f>
        <v>25.638890121121928</v>
      </c>
      <c r="Y84" s="67">
        <f>SUMPRODUCT((Calc_Alloc!$N$11:$N$27)*(Calc_RAB_NS!Y$96:Y$112))</f>
        <v>6.1440167054306158</v>
      </c>
      <c r="Z84" s="67">
        <f>SUMPRODUCT((Calc_Alloc!$N$11:$N$27)*(Calc_RAB_NS!Z$96:Z$112))</f>
        <v>30.339656673674817</v>
      </c>
      <c r="AA84" s="67">
        <f>SUMPRODUCT((Calc_Alloc!$N$11:$N$27)*(Calc_RAB_NS!AA$96:AA$112))</f>
        <v>6.7676527126223807</v>
      </c>
      <c r="AB84" s="68">
        <f>SUMPRODUCT((Calc_Alloc!$N$11:$N$27)*(Calc_RAB_NS!AB$96:AB$112))</f>
        <v>6.618819442423364</v>
      </c>
    </row>
    <row r="85" spans="1:28" x14ac:dyDescent="0.35">
      <c r="J85" s="56"/>
      <c r="K85" s="57"/>
      <c r="L85" s="57"/>
      <c r="M85" s="57"/>
      <c r="N85" s="57"/>
      <c r="O85" s="57"/>
      <c r="P85" s="57"/>
      <c r="Q85" s="57"/>
      <c r="R85" s="58"/>
      <c r="S85" s="56"/>
      <c r="T85" s="57"/>
      <c r="U85" s="57"/>
      <c r="V85" s="57"/>
      <c r="W85" s="58"/>
      <c r="X85" s="56"/>
      <c r="Y85" s="57"/>
      <c r="Z85" s="57"/>
      <c r="AA85" s="57"/>
      <c r="AB85" s="58"/>
    </row>
    <row r="86" spans="1:28" ht="12.3" x14ac:dyDescent="0.35">
      <c r="D86" s="51" t="str">
        <f>"Total "&amp;D73</f>
        <v>Total EB RIN Categories</v>
      </c>
      <c r="E86" s="47" t="s">
        <v>111</v>
      </c>
      <c r="F86" s="47" t="str">
        <f>F75</f>
        <v>Dollars</v>
      </c>
      <c r="G86" s="47" t="str">
        <f>G75</f>
        <v>Nominal</v>
      </c>
      <c r="H86" s="47" t="str">
        <f>H75</f>
        <v>End_year</v>
      </c>
      <c r="J86" s="62">
        <f t="shared" ref="J86:AB86" si="24">SUM(J75:J84)</f>
        <v>22.519062783651478</v>
      </c>
      <c r="K86" s="46">
        <f t="shared" si="24"/>
        <v>28.400744006336883</v>
      </c>
      <c r="L86" s="46">
        <f t="shared" si="24"/>
        <v>44.727011597659789</v>
      </c>
      <c r="M86" s="46">
        <f t="shared" si="24"/>
        <v>55.77544056420853</v>
      </c>
      <c r="N86" s="46">
        <f t="shared" si="24"/>
        <v>80.014776530901031</v>
      </c>
      <c r="O86" s="46">
        <f t="shared" si="24"/>
        <v>91.785630273225578</v>
      </c>
      <c r="P86" s="46">
        <f t="shared" si="24"/>
        <v>76.771709032485447</v>
      </c>
      <c r="Q86" s="46">
        <f t="shared" si="24"/>
        <v>106.77513177546666</v>
      </c>
      <c r="R86" s="63">
        <f t="shared" si="24"/>
        <v>93.685648422671292</v>
      </c>
      <c r="S86" s="62">
        <f t="shared" si="24"/>
        <v>79.987523293202102</v>
      </c>
      <c r="T86" s="46">
        <f t="shared" si="24"/>
        <v>67.931530533438462</v>
      </c>
      <c r="U86" s="46">
        <f t="shared" si="24"/>
        <v>48.842950954937457</v>
      </c>
      <c r="V86" s="46">
        <f t="shared" si="24"/>
        <v>41.330806306013592</v>
      </c>
      <c r="W86" s="63">
        <f t="shared" si="24"/>
        <v>62.067193002806967</v>
      </c>
      <c r="X86" s="62">
        <f t="shared" si="24"/>
        <v>100.26026718410961</v>
      </c>
      <c r="Y86" s="46">
        <f t="shared" si="24"/>
        <v>78.463509155642271</v>
      </c>
      <c r="Z86" s="46">
        <f t="shared" si="24"/>
        <v>104.48916957078333</v>
      </c>
      <c r="AA86" s="46">
        <f t="shared" si="24"/>
        <v>72.286709491181128</v>
      </c>
      <c r="AB86" s="63">
        <f t="shared" si="24"/>
        <v>67.799650689054729</v>
      </c>
    </row>
    <row r="87" spans="1:28" s="6" customFormat="1" ht="11.25" customHeight="1" x14ac:dyDescent="0.35"/>
    <row r="88" spans="1:28" s="6" customFormat="1" ht="11.25" customHeight="1" x14ac:dyDescent="0.35">
      <c r="A88" s="49">
        <f>IF(SUM($J88:$AB88)&lt;&gt;0,1,0)</f>
        <v>0</v>
      </c>
      <c r="D88" s="15" t="s">
        <v>114</v>
      </c>
      <c r="J88" s="70">
        <f>IF(ROUND(J86-Calc_RAB_NS!J$114,5)&lt;&gt;0,1,0)</f>
        <v>0</v>
      </c>
      <c r="K88" s="70">
        <f>IF(ROUND(K86-Calc_RAB_NS!K$114,5)&lt;&gt;0,1,0)</f>
        <v>0</v>
      </c>
      <c r="L88" s="70">
        <f>IF(ROUND(L86-Calc_RAB_NS!L$114,5)&lt;&gt;0,1,0)</f>
        <v>0</v>
      </c>
      <c r="M88" s="70">
        <f>IF(ROUND(M86-Calc_RAB_NS!M$114,5)&lt;&gt;0,1,0)</f>
        <v>0</v>
      </c>
      <c r="N88" s="70">
        <f>IF(ROUND(N86-Calc_RAB_NS!N$114,5)&lt;&gt;0,1,0)</f>
        <v>0</v>
      </c>
      <c r="O88" s="70">
        <f>IF(ROUND(O86-Calc_RAB_NS!O$114,5)&lt;&gt;0,1,0)</f>
        <v>0</v>
      </c>
      <c r="P88" s="70">
        <f>IF(ROUND(P86-Calc_RAB_NS!P$114,5)&lt;&gt;0,1,0)</f>
        <v>0</v>
      </c>
      <c r="Q88" s="70">
        <f>IF(ROUND(Q86-Calc_RAB_NS!Q$114,5)&lt;&gt;0,1,0)</f>
        <v>0</v>
      </c>
      <c r="R88" s="70">
        <f>IF(ROUND(R86-Calc_RAB_NS!R$114,5)&lt;&gt;0,1,0)</f>
        <v>0</v>
      </c>
      <c r="S88" s="70">
        <f>IF(ROUND(S86-Calc_RAB_NS!S$114,5)&lt;&gt;0,1,0)</f>
        <v>0</v>
      </c>
      <c r="T88" s="70">
        <f>IF(ROUND(T86-Calc_RAB_NS!T$114,5)&lt;&gt;0,1,0)</f>
        <v>0</v>
      </c>
      <c r="U88" s="70">
        <f>IF(ROUND(U86-Calc_RAB_NS!U$114,5)&lt;&gt;0,1,0)</f>
        <v>0</v>
      </c>
      <c r="V88" s="70">
        <f>IF(ROUND(V86-Calc_RAB_NS!V$114,5)&lt;&gt;0,1,0)</f>
        <v>0</v>
      </c>
      <c r="W88" s="70">
        <f>IF(ROUND(W86-Calc_RAB_NS!W$114,5)&lt;&gt;0,1,0)</f>
        <v>0</v>
      </c>
      <c r="X88" s="70">
        <f>IF(ROUND(X86-Calc_RAB_NS!X$114,5)&lt;&gt;0,1,0)</f>
        <v>0</v>
      </c>
      <c r="Y88" s="70">
        <f>IF(ROUND(Y86-Calc_RAB_NS!Y$114,5)&lt;&gt;0,1,0)</f>
        <v>0</v>
      </c>
      <c r="Z88" s="70">
        <f>IF(ROUND(Z86-Calc_RAB_NS!Z$114,5)&lt;&gt;0,1,0)</f>
        <v>0</v>
      </c>
      <c r="AA88" s="70">
        <f>IF(ROUND(AA86-Calc_RAB_NS!AA$114,5)&lt;&gt;0,1,0)</f>
        <v>0</v>
      </c>
      <c r="AB88" s="70">
        <f>IF(ROUND(AB86-Calc_RAB_NS!AB$114,5)&lt;&gt;0,1,0)</f>
        <v>0</v>
      </c>
    </row>
    <row r="90" spans="1:28" s="13" customFormat="1" ht="14.1" x14ac:dyDescent="0.35">
      <c r="C90" s="13" t="s">
        <v>151</v>
      </c>
    </row>
    <row r="91" spans="1:28" s="6" customFormat="1" ht="11.25" customHeight="1" x14ac:dyDescent="0.35"/>
    <row r="92" spans="1:28" ht="12.3" x14ac:dyDescent="0.35">
      <c r="D92" s="50" t="str">
        <f>D$16</f>
        <v>EB RIN Categories</v>
      </c>
      <c r="E92" s="45" t="str">
        <f>Lookup!E$20</f>
        <v>Source</v>
      </c>
      <c r="F92" s="45" t="str">
        <f>Lookup!F$20</f>
        <v>Unit</v>
      </c>
      <c r="G92" s="45" t="str">
        <f>Lookup!G$20</f>
        <v>Basis</v>
      </c>
      <c r="H92" s="45" t="str">
        <f>Lookup!H$20</f>
        <v>Timing</v>
      </c>
      <c r="J92" s="54" t="str">
        <f>J$10</f>
        <v>RY06</v>
      </c>
      <c r="K92" s="45" t="str">
        <f t="shared" ref="K92:AB92" si="25">K$10</f>
        <v>RY07</v>
      </c>
      <c r="L92" s="45" t="str">
        <f t="shared" si="25"/>
        <v>RY08</v>
      </c>
      <c r="M92" s="45" t="str">
        <f t="shared" si="25"/>
        <v>RY09</v>
      </c>
      <c r="N92" s="45" t="str">
        <f t="shared" si="25"/>
        <v>RY10</v>
      </c>
      <c r="O92" s="45" t="str">
        <f>O$10</f>
        <v>RY11</v>
      </c>
      <c r="P92" s="45" t="str">
        <f t="shared" si="25"/>
        <v>RY12</v>
      </c>
      <c r="Q92" s="45" t="str">
        <f t="shared" si="25"/>
        <v>RY13</v>
      </c>
      <c r="R92" s="55" t="str">
        <f t="shared" si="25"/>
        <v>RY14</v>
      </c>
      <c r="S92" s="54" t="str">
        <f t="shared" si="25"/>
        <v>RY15</v>
      </c>
      <c r="T92" s="45" t="str">
        <f>T$10</f>
        <v>RY16</v>
      </c>
      <c r="U92" s="45" t="str">
        <f t="shared" si="25"/>
        <v>RY17</v>
      </c>
      <c r="V92" s="45" t="str">
        <f t="shared" si="25"/>
        <v>RY18</v>
      </c>
      <c r="W92" s="55" t="str">
        <f t="shared" si="25"/>
        <v>RY19</v>
      </c>
      <c r="X92" s="54" t="str">
        <f t="shared" si="25"/>
        <v>RY20</v>
      </c>
      <c r="Y92" s="45" t="str">
        <f>Y$10</f>
        <v>RY21</v>
      </c>
      <c r="Z92" s="45" t="str">
        <f t="shared" si="25"/>
        <v>RY22</v>
      </c>
      <c r="AA92" s="45" t="str">
        <f t="shared" si="25"/>
        <v>RY23</v>
      </c>
      <c r="AB92" s="55" t="str">
        <f t="shared" si="25"/>
        <v>RY24</v>
      </c>
    </row>
    <row r="93" spans="1:28" x14ac:dyDescent="0.35">
      <c r="J93" s="56"/>
      <c r="K93" s="57"/>
      <c r="L93" s="57"/>
      <c r="M93" s="57"/>
      <c r="N93" s="57"/>
      <c r="O93" s="57"/>
      <c r="P93" s="57"/>
      <c r="Q93" s="57"/>
      <c r="R93" s="58"/>
      <c r="S93" s="56"/>
      <c r="T93" s="57"/>
      <c r="U93" s="57"/>
      <c r="V93" s="57"/>
      <c r="W93" s="58"/>
      <c r="X93" s="56"/>
      <c r="Y93" s="57"/>
      <c r="Z93" s="57"/>
      <c r="AA93" s="57"/>
      <c r="AB93" s="58"/>
    </row>
    <row r="94" spans="1:28" ht="12.3" x14ac:dyDescent="0.35">
      <c r="D94" s="15" t="str">
        <f>D18</f>
        <v>Overhead network assets less than 33kV</v>
      </c>
      <c r="E94" s="52" t="str">
        <f>E18</f>
        <v>Calc_Alloc</v>
      </c>
      <c r="F94" s="52" t="str">
        <f t="shared" ref="F94:F103" si="26">Dollars</f>
        <v>Dollars</v>
      </c>
      <c r="G94" s="52" t="str">
        <f t="shared" ref="G94:G103" si="27">Nominal</f>
        <v>Nominal</v>
      </c>
      <c r="H94" s="52" t="str">
        <f t="shared" ref="H94:H103" si="28">End_year</f>
        <v>End_year</v>
      </c>
      <c r="J94" s="66">
        <f>SUMPRODUCT((Calc_Alloc!$E$11:$E$27)*(Calc_RAB_NS!J$122:J$138))</f>
        <v>0</v>
      </c>
      <c r="K94" s="67">
        <f>SUMPRODUCT((Calc_Alloc!$E$11:$E$27)*(Calc_RAB_NS!K$122:K$138))</f>
        <v>0</v>
      </c>
      <c r="L94" s="67">
        <f>SUMPRODUCT((Calc_Alloc!$E$11:$E$27)*(Calc_RAB_NS!L$122:L$138))</f>
        <v>0</v>
      </c>
      <c r="M94" s="67">
        <f>SUMPRODUCT((Calc_Alloc!$E$11:$E$27)*(Calc_RAB_NS!M$122:M$138))</f>
        <v>0</v>
      </c>
      <c r="N94" s="67">
        <f>SUMPRODUCT((Calc_Alloc!$E$11:$E$27)*(Calc_RAB_NS!N$122:N$138))</f>
        <v>0</v>
      </c>
      <c r="O94" s="67">
        <f>SUMPRODUCT((Calc_Alloc!$E$11:$E$27)*(Calc_RAB_NS!O$122:O$138))</f>
        <v>-8.305675607466792E-2</v>
      </c>
      <c r="P94" s="67">
        <f>SUMPRODUCT((Calc_Alloc!$E$11:$E$27)*(Calc_RAB_NS!P$122:P$138))</f>
        <v>-6.7435817324966972E-3</v>
      </c>
      <c r="Q94" s="67">
        <f>SUMPRODUCT((Calc_Alloc!$E$11:$E$27)*(Calc_RAB_NS!Q$122:Q$138))</f>
        <v>-0.25280745427024426</v>
      </c>
      <c r="R94" s="68">
        <f>SUMPRODUCT((Calc_Alloc!$E$11:$E$27)*(Calc_RAB_NS!R$122:R$138))</f>
        <v>-8.4728168503626564E-2</v>
      </c>
      <c r="S94" s="66">
        <f>SUMPRODUCT((Calc_Alloc!$E$11:$E$27)*(Calc_RAB_NS!S$122:S$138))</f>
        <v>-2.1550696770145112E-2</v>
      </c>
      <c r="T94" s="67">
        <f>SUMPRODUCT((Calc_Alloc!$E$11:$E$27)*(Calc_RAB_NS!T$122:T$138))</f>
        <v>-2.1486610840907527E-2</v>
      </c>
      <c r="U94" s="67">
        <f>SUMPRODUCT((Calc_Alloc!$E$11:$E$27)*(Calc_RAB_NS!U$122:U$138))</f>
        <v>-4.0978476129357767E-2</v>
      </c>
      <c r="V94" s="67">
        <f>SUMPRODUCT((Calc_Alloc!$E$11:$E$27)*(Calc_RAB_NS!V$122:V$138))</f>
        <v>0</v>
      </c>
      <c r="W94" s="68">
        <f>SUMPRODUCT((Calc_Alloc!$E$11:$E$27)*(Calc_RAB_NS!W$122:W$138))</f>
        <v>0</v>
      </c>
      <c r="X94" s="66">
        <f>SUMPRODUCT((Calc_Alloc!$E$11:$E$27)*(Calc_RAB_NS!X$122:X$138))</f>
        <v>0</v>
      </c>
      <c r="Y94" s="67">
        <f>SUMPRODUCT((Calc_Alloc!$E$11:$E$27)*(Calc_RAB_NS!Y$122:Y$138))</f>
        <v>0</v>
      </c>
      <c r="Z94" s="67">
        <f>SUMPRODUCT((Calc_Alloc!$E$11:$E$27)*(Calc_RAB_NS!Z$122:Z$138))</f>
        <v>0</v>
      </c>
      <c r="AA94" s="67">
        <f>SUMPRODUCT((Calc_Alloc!$E$11:$E$27)*(Calc_RAB_NS!AA$122:AA$138))</f>
        <v>0</v>
      </c>
      <c r="AB94" s="68">
        <f>SUMPRODUCT((Calc_Alloc!$E$11:$E$27)*(Calc_RAB_NS!AB$122:AB$138))</f>
        <v>0</v>
      </c>
    </row>
    <row r="95" spans="1:28" ht="12.3" x14ac:dyDescent="0.35">
      <c r="D95" s="15" t="str">
        <f t="shared" ref="D95:E103" si="29">D19</f>
        <v>Underground network assets less than 33kV</v>
      </c>
      <c r="E95" s="52" t="str">
        <f t="shared" si="29"/>
        <v>Calc_Alloc</v>
      </c>
      <c r="F95" s="52" t="str">
        <f t="shared" si="26"/>
        <v>Dollars</v>
      </c>
      <c r="G95" s="52" t="str">
        <f t="shared" si="27"/>
        <v>Nominal</v>
      </c>
      <c r="H95" s="52" t="str">
        <f t="shared" si="28"/>
        <v>End_year</v>
      </c>
      <c r="J95" s="66">
        <f>SUMPRODUCT((Calc_Alloc!$F$11:$F$27)*(Calc_RAB_NS!J$122:J$138))</f>
        <v>0</v>
      </c>
      <c r="K95" s="67">
        <f>SUMPRODUCT((Calc_Alloc!$F$11:$F$27)*(Calc_RAB_NS!K$122:K$138))</f>
        <v>0</v>
      </c>
      <c r="L95" s="67">
        <f>SUMPRODUCT((Calc_Alloc!$F$11:$F$27)*(Calc_RAB_NS!L$122:L$138))</f>
        <v>0</v>
      </c>
      <c r="M95" s="67">
        <f>SUMPRODUCT((Calc_Alloc!$F$11:$F$27)*(Calc_RAB_NS!M$122:M$138))</f>
        <v>0</v>
      </c>
      <c r="N95" s="67">
        <f>SUMPRODUCT((Calc_Alloc!$F$11:$F$27)*(Calc_RAB_NS!N$122:N$138))</f>
        <v>0</v>
      </c>
      <c r="O95" s="67">
        <f>SUMPRODUCT((Calc_Alloc!$F$11:$F$27)*(Calc_RAB_NS!O$122:O$138))</f>
        <v>-0.17204904603806839</v>
      </c>
      <c r="P95" s="67">
        <f>SUMPRODUCT((Calc_Alloc!$F$11:$F$27)*(Calc_RAB_NS!P$122:P$138))</f>
        <v>-1.3969084019038246E-2</v>
      </c>
      <c r="Q95" s="67">
        <f>SUMPRODUCT((Calc_Alloc!$F$11:$F$27)*(Calc_RAB_NS!Q$122:Q$138))</f>
        <v>-0.52368143657580268</v>
      </c>
      <c r="R95" s="68">
        <f>SUMPRODUCT((Calc_Alloc!$F$11:$F$27)*(Calc_RAB_NS!R$122:R$138))</f>
        <v>-0.17551130450807723</v>
      </c>
      <c r="S95" s="66">
        <f>SUMPRODUCT((Calc_Alloc!$F$11:$F$27)*(Calc_RAB_NS!S$122:S$138))</f>
        <v>-4.464148367925496E-2</v>
      </c>
      <c r="T95" s="67">
        <f>SUMPRODUCT((Calc_Alloc!$F$11:$F$27)*(Calc_RAB_NS!T$122:T$138))</f>
        <v>-4.4508732010265173E-2</v>
      </c>
      <c r="U95" s="67">
        <f>SUMPRODUCT((Calc_Alloc!$F$11:$F$27)*(Calc_RAB_NS!U$122:U$138))</f>
        <v>-8.4885421239080702E-2</v>
      </c>
      <c r="V95" s="67">
        <f>SUMPRODUCT((Calc_Alloc!$F$11:$F$27)*(Calc_RAB_NS!V$122:V$138))</f>
        <v>0</v>
      </c>
      <c r="W95" s="68">
        <f>SUMPRODUCT((Calc_Alloc!$F$11:$F$27)*(Calc_RAB_NS!W$122:W$138))</f>
        <v>0</v>
      </c>
      <c r="X95" s="66">
        <f>SUMPRODUCT((Calc_Alloc!$F$11:$F$27)*(Calc_RAB_NS!X$122:X$138))</f>
        <v>0</v>
      </c>
      <c r="Y95" s="67">
        <f>SUMPRODUCT((Calc_Alloc!$F$11:$F$27)*(Calc_RAB_NS!Y$122:Y$138))</f>
        <v>0</v>
      </c>
      <c r="Z95" s="67">
        <f>SUMPRODUCT((Calc_Alloc!$F$11:$F$27)*(Calc_RAB_NS!Z$122:Z$138))</f>
        <v>0</v>
      </c>
      <c r="AA95" s="67">
        <f>SUMPRODUCT((Calc_Alloc!$F$11:$F$27)*(Calc_RAB_NS!AA$122:AA$138))</f>
        <v>0</v>
      </c>
      <c r="AB95" s="68">
        <f>SUMPRODUCT((Calc_Alloc!$F$11:$F$27)*(Calc_RAB_NS!AB$122:AB$138))</f>
        <v>0</v>
      </c>
    </row>
    <row r="96" spans="1:28" ht="12.3" x14ac:dyDescent="0.35">
      <c r="D96" s="15" t="str">
        <f t="shared" si="29"/>
        <v>Distribution substations and transformers</v>
      </c>
      <c r="E96" s="52" t="str">
        <f t="shared" si="29"/>
        <v>Calc_Alloc</v>
      </c>
      <c r="F96" s="52" t="str">
        <f t="shared" si="26"/>
        <v>Dollars</v>
      </c>
      <c r="G96" s="52" t="str">
        <f t="shared" si="27"/>
        <v>Nominal</v>
      </c>
      <c r="H96" s="52" t="str">
        <f t="shared" si="28"/>
        <v>End_year</v>
      </c>
      <c r="J96" s="66">
        <f>SUMPRODUCT((Calc_Alloc!$G$11:$G$27)*(Calc_RAB_NS!J$122:J$138))</f>
        <v>0</v>
      </c>
      <c r="K96" s="67">
        <f>SUMPRODUCT((Calc_Alloc!$G$11:$G$27)*(Calc_RAB_NS!K$122:K$138))</f>
        <v>0</v>
      </c>
      <c r="L96" s="67">
        <f>SUMPRODUCT((Calc_Alloc!$G$11:$G$27)*(Calc_RAB_NS!L$122:L$138))</f>
        <v>0</v>
      </c>
      <c r="M96" s="67">
        <f>SUMPRODUCT((Calc_Alloc!$G$11:$G$27)*(Calc_RAB_NS!M$122:M$138))</f>
        <v>0</v>
      </c>
      <c r="N96" s="67">
        <f>SUMPRODUCT((Calc_Alloc!$G$11:$G$27)*(Calc_RAB_NS!N$122:N$138))</f>
        <v>0</v>
      </c>
      <c r="O96" s="67">
        <f>SUMPRODUCT((Calc_Alloc!$G$11:$G$27)*(Calc_RAB_NS!O$122:O$138))</f>
        <v>-0.41469310255161584</v>
      </c>
      <c r="P96" s="67">
        <f>SUMPRODUCT((Calc_Alloc!$G$11:$G$27)*(Calc_RAB_NS!P$122:P$138))</f>
        <v>-0.5616058493513485</v>
      </c>
      <c r="Q96" s="67">
        <f>SUMPRODUCT((Calc_Alloc!$G$11:$G$27)*(Calc_RAB_NS!Q$122:Q$138))</f>
        <v>-0.69468582064374851</v>
      </c>
      <c r="R96" s="68">
        <f>SUMPRODUCT((Calc_Alloc!$G$11:$G$27)*(Calc_RAB_NS!R$122:R$138))</f>
        <v>-0.46237473631898479</v>
      </c>
      <c r="S96" s="66">
        <f>SUMPRODUCT((Calc_Alloc!$G$11:$G$27)*(Calc_RAB_NS!S$122:S$138))</f>
        <v>-8.049612829496058E-3</v>
      </c>
      <c r="T96" s="67">
        <f>SUMPRODUCT((Calc_Alloc!$G$11:$G$27)*(Calc_RAB_NS!T$122:T$138))</f>
        <v>0</v>
      </c>
      <c r="U96" s="67">
        <f>SUMPRODUCT((Calc_Alloc!$G$11:$G$27)*(Calc_RAB_NS!U$122:U$138))</f>
        <v>0</v>
      </c>
      <c r="V96" s="67">
        <f>SUMPRODUCT((Calc_Alloc!$G$11:$G$27)*(Calc_RAB_NS!V$122:V$138))</f>
        <v>0</v>
      </c>
      <c r="W96" s="68">
        <f>SUMPRODUCT((Calc_Alloc!$G$11:$G$27)*(Calc_RAB_NS!W$122:W$138))</f>
        <v>0</v>
      </c>
      <c r="X96" s="66">
        <f>SUMPRODUCT((Calc_Alloc!$G$11:$G$27)*(Calc_RAB_NS!X$122:X$138))</f>
        <v>0</v>
      </c>
      <c r="Y96" s="67">
        <f>SUMPRODUCT((Calc_Alloc!$G$11:$G$27)*(Calc_RAB_NS!Y$122:Y$138))</f>
        <v>0</v>
      </c>
      <c r="Z96" s="67">
        <f>SUMPRODUCT((Calc_Alloc!$G$11:$G$27)*(Calc_RAB_NS!Z$122:Z$138))</f>
        <v>0</v>
      </c>
      <c r="AA96" s="67">
        <f>SUMPRODUCT((Calc_Alloc!$G$11:$G$27)*(Calc_RAB_NS!AA$122:AA$138))</f>
        <v>0</v>
      </c>
      <c r="AB96" s="68">
        <f>SUMPRODUCT((Calc_Alloc!$G$11:$G$27)*(Calc_RAB_NS!AB$122:AB$138))</f>
        <v>0</v>
      </c>
    </row>
    <row r="97" spans="1:28" ht="12.3" x14ac:dyDescent="0.35">
      <c r="D97" s="15" t="str">
        <f t="shared" si="29"/>
        <v>Overhead network assets 33kV and above</v>
      </c>
      <c r="E97" s="52" t="str">
        <f t="shared" si="29"/>
        <v>Calc_Alloc</v>
      </c>
      <c r="F97" s="52" t="str">
        <f t="shared" si="26"/>
        <v>Dollars</v>
      </c>
      <c r="G97" s="52" t="str">
        <f t="shared" si="27"/>
        <v>Nominal</v>
      </c>
      <c r="H97" s="52" t="str">
        <f t="shared" si="28"/>
        <v>End_year</v>
      </c>
      <c r="J97" s="66">
        <f>SUMPRODUCT((Calc_Alloc!$H$11:$H$27)*(Calc_RAB_NS!J$122:J$138))</f>
        <v>0</v>
      </c>
      <c r="K97" s="67">
        <f>SUMPRODUCT((Calc_Alloc!$H$11:$H$27)*(Calc_RAB_NS!K$122:K$138))</f>
        <v>0</v>
      </c>
      <c r="L97" s="67">
        <f>SUMPRODUCT((Calc_Alloc!$H$11:$H$27)*(Calc_RAB_NS!L$122:L$138))</f>
        <v>0</v>
      </c>
      <c r="M97" s="67">
        <f>SUMPRODUCT((Calc_Alloc!$H$11:$H$27)*(Calc_RAB_NS!M$122:M$138))</f>
        <v>0</v>
      </c>
      <c r="N97" s="67">
        <f>SUMPRODUCT((Calc_Alloc!$H$11:$H$27)*(Calc_RAB_NS!N$122:N$138))</f>
        <v>0</v>
      </c>
      <c r="O97" s="67">
        <f>SUMPRODUCT((Calc_Alloc!$H$11:$H$27)*(Calc_RAB_NS!O$122:O$138))</f>
        <v>0</v>
      </c>
      <c r="P97" s="67">
        <f>SUMPRODUCT((Calc_Alloc!$H$11:$H$27)*(Calc_RAB_NS!P$122:P$138))</f>
        <v>0</v>
      </c>
      <c r="Q97" s="67">
        <f>SUMPRODUCT((Calc_Alloc!$H$11:$H$27)*(Calc_RAB_NS!Q$122:Q$138))</f>
        <v>0</v>
      </c>
      <c r="R97" s="68">
        <f>SUMPRODUCT((Calc_Alloc!$H$11:$H$27)*(Calc_RAB_NS!R$122:R$138))</f>
        <v>-2.4789118074350306E-3</v>
      </c>
      <c r="S97" s="66">
        <f>SUMPRODUCT((Calc_Alloc!$H$11:$H$27)*(Calc_RAB_NS!S$122:S$138))</f>
        <v>-7.1624628228102475E-3</v>
      </c>
      <c r="T97" s="67">
        <f>SUMPRODUCT((Calc_Alloc!$H$11:$H$27)*(Calc_RAB_NS!T$122:T$138))</f>
        <v>-7.1411636003059749E-3</v>
      </c>
      <c r="U97" s="67">
        <f>SUMPRODUCT((Calc_Alloc!$H$11:$H$27)*(Calc_RAB_NS!U$122:U$138))</f>
        <v>-1.3619365301383054E-2</v>
      </c>
      <c r="V97" s="67">
        <f>SUMPRODUCT((Calc_Alloc!$H$11:$H$27)*(Calc_RAB_NS!V$122:V$138))</f>
        <v>0</v>
      </c>
      <c r="W97" s="68">
        <f>SUMPRODUCT((Calc_Alloc!$H$11:$H$27)*(Calc_RAB_NS!W$122:W$138))</f>
        <v>0</v>
      </c>
      <c r="X97" s="66">
        <f>SUMPRODUCT((Calc_Alloc!$H$11:$H$27)*(Calc_RAB_NS!X$122:X$138))</f>
        <v>0</v>
      </c>
      <c r="Y97" s="67">
        <f>SUMPRODUCT((Calc_Alloc!$H$11:$H$27)*(Calc_RAB_NS!Y$122:Y$138))</f>
        <v>0</v>
      </c>
      <c r="Z97" s="67">
        <f>SUMPRODUCT((Calc_Alloc!$H$11:$H$27)*(Calc_RAB_NS!Z$122:Z$138))</f>
        <v>0</v>
      </c>
      <c r="AA97" s="67">
        <f>SUMPRODUCT((Calc_Alloc!$H$11:$H$27)*(Calc_RAB_NS!AA$122:AA$138))</f>
        <v>0</v>
      </c>
      <c r="AB97" s="68">
        <f>SUMPRODUCT((Calc_Alloc!$H$11:$H$27)*(Calc_RAB_NS!AB$122:AB$138))</f>
        <v>0</v>
      </c>
    </row>
    <row r="98" spans="1:28" ht="12.3" x14ac:dyDescent="0.35">
      <c r="D98" s="15" t="str">
        <f t="shared" si="29"/>
        <v>Underground network assets 33kV and above</v>
      </c>
      <c r="E98" s="52" t="str">
        <f t="shared" si="29"/>
        <v>Calc_Alloc</v>
      </c>
      <c r="F98" s="52" t="str">
        <f t="shared" si="26"/>
        <v>Dollars</v>
      </c>
      <c r="G98" s="52" t="str">
        <f t="shared" si="27"/>
        <v>Nominal</v>
      </c>
      <c r="H98" s="52" t="str">
        <f t="shared" si="28"/>
        <v>End_year</v>
      </c>
      <c r="J98" s="66">
        <f>SUMPRODUCT((Calc_Alloc!$I$11:$I$27)*(Calc_RAB_NS!J$122:J$138))</f>
        <v>0</v>
      </c>
      <c r="K98" s="67">
        <f>SUMPRODUCT((Calc_Alloc!$I$11:$I$27)*(Calc_RAB_NS!K$122:K$138))</f>
        <v>0</v>
      </c>
      <c r="L98" s="67">
        <f>SUMPRODUCT((Calc_Alloc!$I$11:$I$27)*(Calc_RAB_NS!L$122:L$138))</f>
        <v>0</v>
      </c>
      <c r="M98" s="67">
        <f>SUMPRODUCT((Calc_Alloc!$I$11:$I$27)*(Calc_RAB_NS!M$122:M$138))</f>
        <v>0</v>
      </c>
      <c r="N98" s="67">
        <f>SUMPRODUCT((Calc_Alloc!$I$11:$I$27)*(Calc_RAB_NS!N$122:N$138))</f>
        <v>0</v>
      </c>
      <c r="O98" s="67">
        <f>SUMPRODUCT((Calc_Alloc!$I$11:$I$27)*(Calc_RAB_NS!O$122:O$138))</f>
        <v>0</v>
      </c>
      <c r="P98" s="67">
        <f>SUMPRODUCT((Calc_Alloc!$I$11:$I$27)*(Calc_RAB_NS!P$122:P$138))</f>
        <v>0</v>
      </c>
      <c r="Q98" s="67">
        <f>SUMPRODUCT((Calc_Alloc!$I$11:$I$27)*(Calc_RAB_NS!Q$122:Q$138))</f>
        <v>0</v>
      </c>
      <c r="R98" s="68">
        <f>SUMPRODUCT((Calc_Alloc!$I$11:$I$27)*(Calc_RAB_NS!R$122:R$138))</f>
        <v>-1.2404126311896901E-3</v>
      </c>
      <c r="S98" s="66">
        <f>SUMPRODUCT((Calc_Alloc!$I$11:$I$27)*(Calc_RAB_NS!S$122:S$138))</f>
        <v>-3.5839957392567478E-3</v>
      </c>
      <c r="T98" s="67">
        <f>SUMPRODUCT((Calc_Alloc!$I$11:$I$27)*(Calc_RAB_NS!T$122:T$138))</f>
        <v>-3.5733379076430625E-3</v>
      </c>
      <c r="U98" s="67">
        <f>SUMPRODUCT((Calc_Alloc!$I$11:$I$27)*(Calc_RAB_NS!U$122:U$138))</f>
        <v>-6.8149389978105872E-3</v>
      </c>
      <c r="V98" s="67">
        <f>SUMPRODUCT((Calc_Alloc!$I$11:$I$27)*(Calc_RAB_NS!V$122:V$138))</f>
        <v>0</v>
      </c>
      <c r="W98" s="68">
        <f>SUMPRODUCT((Calc_Alloc!$I$11:$I$27)*(Calc_RAB_NS!W$122:W$138))</f>
        <v>0</v>
      </c>
      <c r="X98" s="66">
        <f>SUMPRODUCT((Calc_Alloc!$I$11:$I$27)*(Calc_RAB_NS!X$122:X$138))</f>
        <v>0</v>
      </c>
      <c r="Y98" s="67">
        <f>SUMPRODUCT((Calc_Alloc!$I$11:$I$27)*(Calc_RAB_NS!Y$122:Y$138))</f>
        <v>0</v>
      </c>
      <c r="Z98" s="67">
        <f>SUMPRODUCT((Calc_Alloc!$I$11:$I$27)*(Calc_RAB_NS!Z$122:Z$138))</f>
        <v>0</v>
      </c>
      <c r="AA98" s="67">
        <f>SUMPRODUCT((Calc_Alloc!$I$11:$I$27)*(Calc_RAB_NS!AA$122:AA$138))</f>
        <v>0</v>
      </c>
      <c r="AB98" s="68">
        <f>SUMPRODUCT((Calc_Alloc!$I$11:$I$27)*(Calc_RAB_NS!AB$122:AB$138))</f>
        <v>0</v>
      </c>
    </row>
    <row r="99" spans="1:28" ht="12.3" x14ac:dyDescent="0.35">
      <c r="D99" s="15" t="str">
        <f t="shared" si="29"/>
        <v>Zone substations and transformers</v>
      </c>
      <c r="E99" s="52" t="str">
        <f t="shared" si="29"/>
        <v>Calc_Alloc</v>
      </c>
      <c r="F99" s="52" t="str">
        <f t="shared" si="26"/>
        <v>Dollars</v>
      </c>
      <c r="G99" s="52" t="str">
        <f t="shared" si="27"/>
        <v>Nominal</v>
      </c>
      <c r="H99" s="52" t="str">
        <f t="shared" si="28"/>
        <v>End_year</v>
      </c>
      <c r="J99" s="66">
        <f>SUMPRODUCT((Calc_Alloc!$J$11:$J$27)*(Calc_RAB_NS!J$122:J$138))</f>
        <v>0</v>
      </c>
      <c r="K99" s="67">
        <f>SUMPRODUCT((Calc_Alloc!$J$11:$J$27)*(Calc_RAB_NS!K$122:K$138))</f>
        <v>0</v>
      </c>
      <c r="L99" s="67">
        <f>SUMPRODUCT((Calc_Alloc!$J$11:$J$27)*(Calc_RAB_NS!L$122:L$138))</f>
        <v>0</v>
      </c>
      <c r="M99" s="67">
        <f>SUMPRODUCT((Calc_Alloc!$J$11:$J$27)*(Calc_RAB_NS!M$122:M$138))</f>
        <v>0</v>
      </c>
      <c r="N99" s="67">
        <f>SUMPRODUCT((Calc_Alloc!$J$11:$J$27)*(Calc_RAB_NS!N$122:N$138))</f>
        <v>-0.18259695449911931</v>
      </c>
      <c r="O99" s="67">
        <f>SUMPRODUCT((Calc_Alloc!$J$11:$J$27)*(Calc_RAB_NS!O$122:O$138))</f>
        <v>-0.18636082572719792</v>
      </c>
      <c r="P99" s="67">
        <f>SUMPRODUCT((Calc_Alloc!$J$11:$J$27)*(Calc_RAB_NS!P$122:P$138))</f>
        <v>-0.10754114611750819</v>
      </c>
      <c r="Q99" s="67">
        <f>SUMPRODUCT((Calc_Alloc!$J$11:$J$27)*(Calc_RAB_NS!Q$122:Q$138))</f>
        <v>-1.8505141109755419E-2</v>
      </c>
      <c r="R99" s="68">
        <f>SUMPRODUCT((Calc_Alloc!$J$11:$J$27)*(Calc_RAB_NS!R$122:R$138))</f>
        <v>-0.13470865475200619</v>
      </c>
      <c r="S99" s="66">
        <f>SUMPRODUCT((Calc_Alloc!$J$11:$J$27)*(Calc_RAB_NS!S$122:S$138))</f>
        <v>-3.2239375686200979E-2</v>
      </c>
      <c r="T99" s="67">
        <f>SUMPRODUCT((Calc_Alloc!$J$11:$J$27)*(Calc_RAB_NS!T$122:T$138))</f>
        <v>-3.3321531669982897E-2</v>
      </c>
      <c r="U99" s="67">
        <f>SUMPRODUCT((Calc_Alloc!$J$11:$J$27)*(Calc_RAB_NS!U$122:U$138))</f>
        <v>-0.13949650990836202</v>
      </c>
      <c r="V99" s="67">
        <f>SUMPRODUCT((Calc_Alloc!$J$11:$J$27)*(Calc_RAB_NS!V$122:V$138))</f>
        <v>0</v>
      </c>
      <c r="W99" s="68">
        <f>SUMPRODUCT((Calc_Alloc!$J$11:$J$27)*(Calc_RAB_NS!W$122:W$138))</f>
        <v>0</v>
      </c>
      <c r="X99" s="66">
        <f>SUMPRODUCT((Calc_Alloc!$J$11:$J$27)*(Calc_RAB_NS!X$122:X$138))</f>
        <v>0</v>
      </c>
      <c r="Y99" s="67">
        <f>SUMPRODUCT((Calc_Alloc!$J$11:$J$27)*(Calc_RAB_NS!Y$122:Y$138))</f>
        <v>0</v>
      </c>
      <c r="Z99" s="67">
        <f>SUMPRODUCT((Calc_Alloc!$J$11:$J$27)*(Calc_RAB_NS!Z$122:Z$138))</f>
        <v>0</v>
      </c>
      <c r="AA99" s="67">
        <f>SUMPRODUCT((Calc_Alloc!$J$11:$J$27)*(Calc_RAB_NS!AA$122:AA$138))</f>
        <v>0</v>
      </c>
      <c r="AB99" s="68">
        <f>SUMPRODUCT((Calc_Alloc!$J$11:$J$27)*(Calc_RAB_NS!AB$122:AB$138))</f>
        <v>0</v>
      </c>
    </row>
    <row r="100" spans="1:28" ht="12.3" x14ac:dyDescent="0.35">
      <c r="D100" s="15" t="str">
        <f t="shared" si="29"/>
        <v>Easements</v>
      </c>
      <c r="E100" s="52" t="str">
        <f t="shared" si="29"/>
        <v>Calc_Alloc</v>
      </c>
      <c r="F100" s="52" t="str">
        <f t="shared" si="26"/>
        <v>Dollars</v>
      </c>
      <c r="G100" s="52" t="str">
        <f t="shared" si="27"/>
        <v>Nominal</v>
      </c>
      <c r="H100" s="52" t="str">
        <f t="shared" si="28"/>
        <v>End_year</v>
      </c>
      <c r="J100" s="66">
        <f>SUMPRODUCT((Calc_Alloc!$K$11:$K$27)*(Calc_RAB_NS!J$122:J$138))</f>
        <v>0</v>
      </c>
      <c r="K100" s="67">
        <f>SUMPRODUCT((Calc_Alloc!$K$11:$K$27)*(Calc_RAB_NS!K$122:K$138))</f>
        <v>0</v>
      </c>
      <c r="L100" s="67">
        <f>SUMPRODUCT((Calc_Alloc!$K$11:$K$27)*(Calc_RAB_NS!L$122:L$138))</f>
        <v>0</v>
      </c>
      <c r="M100" s="67">
        <f>SUMPRODUCT((Calc_Alloc!$K$11:$K$27)*(Calc_RAB_NS!M$122:M$138))</f>
        <v>0</v>
      </c>
      <c r="N100" s="67">
        <f>SUMPRODUCT((Calc_Alloc!$K$11:$K$27)*(Calc_RAB_NS!N$122:N$138))</f>
        <v>0</v>
      </c>
      <c r="O100" s="67">
        <f>SUMPRODUCT((Calc_Alloc!$K$11:$K$27)*(Calc_RAB_NS!O$122:O$138))</f>
        <v>0</v>
      </c>
      <c r="P100" s="67">
        <f>SUMPRODUCT((Calc_Alloc!$K$11:$K$27)*(Calc_RAB_NS!P$122:P$138))</f>
        <v>0</v>
      </c>
      <c r="Q100" s="67">
        <f>SUMPRODUCT((Calc_Alloc!$K$11:$K$27)*(Calc_RAB_NS!Q$122:Q$138))</f>
        <v>-3.4945981020732342</v>
      </c>
      <c r="R100" s="68">
        <f>SUMPRODUCT((Calc_Alloc!$K$11:$K$27)*(Calc_RAB_NS!R$122:R$138))</f>
        <v>0</v>
      </c>
      <c r="S100" s="66">
        <f>SUMPRODUCT((Calc_Alloc!$K$11:$K$27)*(Calc_RAB_NS!S$122:S$138))</f>
        <v>0</v>
      </c>
      <c r="T100" s="67">
        <f>SUMPRODUCT((Calc_Alloc!$K$11:$K$27)*(Calc_RAB_NS!T$122:T$138))</f>
        <v>0</v>
      </c>
      <c r="U100" s="67">
        <f>SUMPRODUCT((Calc_Alloc!$K$11:$K$27)*(Calc_RAB_NS!U$122:U$138))</f>
        <v>-1.0225930087984345E-2</v>
      </c>
      <c r="V100" s="67">
        <f>SUMPRODUCT((Calc_Alloc!$K$11:$K$27)*(Calc_RAB_NS!V$122:V$138))</f>
        <v>0</v>
      </c>
      <c r="W100" s="68">
        <f>SUMPRODUCT((Calc_Alloc!$K$11:$K$27)*(Calc_RAB_NS!W$122:W$138))</f>
        <v>0</v>
      </c>
      <c r="X100" s="66">
        <f>SUMPRODUCT((Calc_Alloc!$K$11:$K$27)*(Calc_RAB_NS!X$122:X$138))</f>
        <v>0</v>
      </c>
      <c r="Y100" s="67">
        <f>SUMPRODUCT((Calc_Alloc!$K$11:$K$27)*(Calc_RAB_NS!Y$122:Y$138))</f>
        <v>0</v>
      </c>
      <c r="Z100" s="67">
        <f>SUMPRODUCT((Calc_Alloc!$K$11:$K$27)*(Calc_RAB_NS!Z$122:Z$138))</f>
        <v>0</v>
      </c>
      <c r="AA100" s="67">
        <f>SUMPRODUCT((Calc_Alloc!$K$11:$K$27)*(Calc_RAB_NS!AA$122:AA$138))</f>
        <v>0</v>
      </c>
      <c r="AB100" s="68">
        <f>SUMPRODUCT((Calc_Alloc!$K$11:$K$27)*(Calc_RAB_NS!AB$122:AB$138))</f>
        <v>0</v>
      </c>
    </row>
    <row r="101" spans="1:28" ht="12.3" x14ac:dyDescent="0.35">
      <c r="D101" s="15" t="str">
        <f t="shared" si="29"/>
        <v>Meters</v>
      </c>
      <c r="E101" s="52" t="str">
        <f t="shared" si="29"/>
        <v>Calc_Alloc</v>
      </c>
      <c r="F101" s="52" t="str">
        <f t="shared" si="26"/>
        <v>Dollars</v>
      </c>
      <c r="G101" s="52" t="str">
        <f t="shared" si="27"/>
        <v>Nominal</v>
      </c>
      <c r="H101" s="52" t="str">
        <f t="shared" si="28"/>
        <v>End_year</v>
      </c>
      <c r="J101" s="66">
        <f>SUMPRODUCT((Calc_Alloc!$L$11:$L$27)*(Calc_RAB_NS!J$122:J$138))</f>
        <v>0</v>
      </c>
      <c r="K101" s="67">
        <f>SUMPRODUCT((Calc_Alloc!$L$11:$L$27)*(Calc_RAB_NS!K$122:K$138))</f>
        <v>0</v>
      </c>
      <c r="L101" s="67">
        <f>SUMPRODUCT((Calc_Alloc!$L$11:$L$27)*(Calc_RAB_NS!L$122:L$138))</f>
        <v>0</v>
      </c>
      <c r="M101" s="67">
        <f>SUMPRODUCT((Calc_Alloc!$L$11:$L$27)*(Calc_RAB_NS!M$122:M$138))</f>
        <v>0</v>
      </c>
      <c r="N101" s="67">
        <f>SUMPRODUCT((Calc_Alloc!$L$11:$L$27)*(Calc_RAB_NS!N$122:N$138))</f>
        <v>0</v>
      </c>
      <c r="O101" s="67">
        <f>SUMPRODUCT((Calc_Alloc!$L$11:$L$27)*(Calc_RAB_NS!O$122:O$138))</f>
        <v>0</v>
      </c>
      <c r="P101" s="67">
        <f>SUMPRODUCT((Calc_Alloc!$L$11:$L$27)*(Calc_RAB_NS!P$122:P$138))</f>
        <v>0</v>
      </c>
      <c r="Q101" s="67">
        <f>SUMPRODUCT((Calc_Alloc!$L$11:$L$27)*(Calc_RAB_NS!Q$122:Q$138))</f>
        <v>0</v>
      </c>
      <c r="R101" s="68">
        <f>SUMPRODUCT((Calc_Alloc!$L$11:$L$27)*(Calc_RAB_NS!R$122:R$138))</f>
        <v>0</v>
      </c>
      <c r="S101" s="66">
        <f>SUMPRODUCT((Calc_Alloc!$L$11:$L$27)*(Calc_RAB_NS!S$122:S$138))</f>
        <v>0</v>
      </c>
      <c r="T101" s="67">
        <f>SUMPRODUCT((Calc_Alloc!$L$11:$L$27)*(Calc_RAB_NS!T$122:T$138))</f>
        <v>0</v>
      </c>
      <c r="U101" s="67">
        <f>SUMPRODUCT((Calc_Alloc!$L$11:$L$27)*(Calc_RAB_NS!U$122:U$138))</f>
        <v>0</v>
      </c>
      <c r="V101" s="67">
        <f>SUMPRODUCT((Calc_Alloc!$L$11:$L$27)*(Calc_RAB_NS!V$122:V$138))</f>
        <v>0</v>
      </c>
      <c r="W101" s="68">
        <f>SUMPRODUCT((Calc_Alloc!$L$11:$L$27)*(Calc_RAB_NS!W$122:W$138))</f>
        <v>0</v>
      </c>
      <c r="X101" s="66">
        <f>SUMPRODUCT((Calc_Alloc!$L$11:$L$27)*(Calc_RAB_NS!X$122:X$138))</f>
        <v>0</v>
      </c>
      <c r="Y101" s="67">
        <f>SUMPRODUCT((Calc_Alloc!$L$11:$L$27)*(Calc_RAB_NS!Y$122:Y$138))</f>
        <v>0</v>
      </c>
      <c r="Z101" s="67">
        <f>SUMPRODUCT((Calc_Alloc!$L$11:$L$27)*(Calc_RAB_NS!Z$122:Z$138))</f>
        <v>0</v>
      </c>
      <c r="AA101" s="67">
        <f>SUMPRODUCT((Calc_Alloc!$L$11:$L$27)*(Calc_RAB_NS!AA$122:AA$138))</f>
        <v>0</v>
      </c>
      <c r="AB101" s="68">
        <f>SUMPRODUCT((Calc_Alloc!$L$11:$L$27)*(Calc_RAB_NS!AB$122:AB$138))</f>
        <v>0</v>
      </c>
    </row>
    <row r="102" spans="1:28" ht="12.3" x14ac:dyDescent="0.35">
      <c r="D102" s="15" t="str">
        <f t="shared" si="29"/>
        <v>“Other” asset items with long lives</v>
      </c>
      <c r="E102" s="52" t="str">
        <f t="shared" si="29"/>
        <v>Calc_Alloc</v>
      </c>
      <c r="F102" s="52" t="str">
        <f t="shared" si="26"/>
        <v>Dollars</v>
      </c>
      <c r="G102" s="52" t="str">
        <f t="shared" si="27"/>
        <v>Nominal</v>
      </c>
      <c r="H102" s="52" t="str">
        <f t="shared" si="28"/>
        <v>End_year</v>
      </c>
      <c r="J102" s="66">
        <f>SUMPRODUCT((Calc_Alloc!$M$11:$M$27)*(Calc_RAB_NS!J$122:J$138))</f>
        <v>0</v>
      </c>
      <c r="K102" s="67">
        <f>SUMPRODUCT((Calc_Alloc!$M$11:$M$27)*(Calc_RAB_NS!K$122:K$138))</f>
        <v>0</v>
      </c>
      <c r="L102" s="67">
        <f>SUMPRODUCT((Calc_Alloc!$M$11:$M$27)*(Calc_RAB_NS!L$122:L$138))</f>
        <v>0</v>
      </c>
      <c r="M102" s="67">
        <f>SUMPRODUCT((Calc_Alloc!$M$11:$M$27)*(Calc_RAB_NS!M$122:M$138))</f>
        <v>0</v>
      </c>
      <c r="N102" s="67">
        <f>SUMPRODUCT((Calc_Alloc!$M$11:$M$27)*(Calc_RAB_NS!N$122:N$138))</f>
        <v>0</v>
      </c>
      <c r="O102" s="67">
        <f>SUMPRODUCT((Calc_Alloc!$M$11:$M$27)*(Calc_RAB_NS!O$122:O$138))</f>
        <v>0</v>
      </c>
      <c r="P102" s="67">
        <f>SUMPRODUCT((Calc_Alloc!$M$11:$M$27)*(Calc_RAB_NS!P$122:P$138))</f>
        <v>0</v>
      </c>
      <c r="Q102" s="67">
        <f>SUMPRODUCT((Calc_Alloc!$M$11:$M$27)*(Calc_RAB_NS!Q$122:Q$138))</f>
        <v>0</v>
      </c>
      <c r="R102" s="68">
        <f>SUMPRODUCT((Calc_Alloc!$M$11:$M$27)*(Calc_RAB_NS!R$122:R$138))</f>
        <v>0</v>
      </c>
      <c r="S102" s="66">
        <f>SUMPRODUCT((Calc_Alloc!$M$11:$M$27)*(Calc_RAB_NS!S$122:S$138))</f>
        <v>0</v>
      </c>
      <c r="T102" s="67">
        <f>SUMPRODUCT((Calc_Alloc!$M$11:$M$27)*(Calc_RAB_NS!T$122:T$138))</f>
        <v>-9.0687229355076848E-3</v>
      </c>
      <c r="U102" s="67">
        <f>SUMPRODUCT((Calc_Alloc!$M$11:$M$27)*(Calc_RAB_NS!U$122:U$138))</f>
        <v>0</v>
      </c>
      <c r="V102" s="67">
        <f>SUMPRODUCT((Calc_Alloc!$M$11:$M$27)*(Calc_RAB_NS!V$122:V$138))</f>
        <v>0</v>
      </c>
      <c r="W102" s="68">
        <f>SUMPRODUCT((Calc_Alloc!$M$11:$M$27)*(Calc_RAB_NS!W$122:W$138))</f>
        <v>0</v>
      </c>
      <c r="X102" s="66">
        <f>SUMPRODUCT((Calc_Alloc!$M$11:$M$27)*(Calc_RAB_NS!X$122:X$138))</f>
        <v>0</v>
      </c>
      <c r="Y102" s="67">
        <f>SUMPRODUCT((Calc_Alloc!$M$11:$M$27)*(Calc_RAB_NS!Y$122:Y$138))</f>
        <v>0</v>
      </c>
      <c r="Z102" s="67">
        <f>SUMPRODUCT((Calc_Alloc!$M$11:$M$27)*(Calc_RAB_NS!Z$122:Z$138))</f>
        <v>0</v>
      </c>
      <c r="AA102" s="67">
        <f>SUMPRODUCT((Calc_Alloc!$M$11:$M$27)*(Calc_RAB_NS!AA$122:AA$138))</f>
        <v>0</v>
      </c>
      <c r="AB102" s="68">
        <f>SUMPRODUCT((Calc_Alloc!$M$11:$M$27)*(Calc_RAB_NS!AB$122:AB$138))</f>
        <v>0</v>
      </c>
    </row>
    <row r="103" spans="1:28" ht="12.3" x14ac:dyDescent="0.35">
      <c r="D103" s="15" t="str">
        <f t="shared" si="29"/>
        <v>“Other” asset items with short lives</v>
      </c>
      <c r="E103" s="52" t="str">
        <f t="shared" si="29"/>
        <v>Calc_Alloc</v>
      </c>
      <c r="F103" s="52" t="str">
        <f t="shared" si="26"/>
        <v>Dollars</v>
      </c>
      <c r="G103" s="52" t="str">
        <f t="shared" si="27"/>
        <v>Nominal</v>
      </c>
      <c r="H103" s="52" t="str">
        <f t="shared" si="28"/>
        <v>End_year</v>
      </c>
      <c r="J103" s="66">
        <f>SUMPRODUCT((Calc_Alloc!$N$11:$N$27)*(Calc_RAB_NS!J$122:J$138))</f>
        <v>0</v>
      </c>
      <c r="K103" s="67">
        <f>SUMPRODUCT((Calc_Alloc!$N$11:$N$27)*(Calc_RAB_NS!K$122:K$138))</f>
        <v>0</v>
      </c>
      <c r="L103" s="67">
        <f>SUMPRODUCT((Calc_Alloc!$N$11:$N$27)*(Calc_RAB_NS!L$122:L$138))</f>
        <v>0</v>
      </c>
      <c r="M103" s="67">
        <f>SUMPRODUCT((Calc_Alloc!$N$11:$N$27)*(Calc_RAB_NS!M$122:M$138))</f>
        <v>0</v>
      </c>
      <c r="N103" s="67">
        <f>SUMPRODUCT((Calc_Alloc!$N$11:$N$27)*(Calc_RAB_NS!N$122:N$138))</f>
        <v>0</v>
      </c>
      <c r="O103" s="67">
        <f>SUMPRODUCT((Calc_Alloc!$N$11:$N$27)*(Calc_RAB_NS!O$122:O$138))</f>
        <v>0</v>
      </c>
      <c r="P103" s="67">
        <f>SUMPRODUCT((Calc_Alloc!$N$11:$N$27)*(Calc_RAB_NS!P$122:P$138))</f>
        <v>0</v>
      </c>
      <c r="Q103" s="67">
        <f>SUMPRODUCT((Calc_Alloc!$N$11:$N$27)*(Calc_RAB_NS!Q$122:Q$138))</f>
        <v>-6.9320099454478904E-3</v>
      </c>
      <c r="R103" s="68">
        <f>SUMPRODUCT((Calc_Alloc!$N$11:$N$27)*(Calc_RAB_NS!R$122:R$138))</f>
        <v>0</v>
      </c>
      <c r="S103" s="66">
        <f>SUMPRODUCT((Calc_Alloc!$N$11:$N$27)*(Calc_RAB_NS!S$122:S$138))</f>
        <v>-2.7865659489757339E-3</v>
      </c>
      <c r="T103" s="67">
        <f>SUMPRODUCT((Calc_Alloc!$N$11:$N$27)*(Calc_RAB_NS!T$122:T$138))</f>
        <v>-2.2311138784566007E-3</v>
      </c>
      <c r="U103" s="67">
        <f>SUMPRODUCT((Calc_Alloc!$N$11:$N$27)*(Calc_RAB_NS!U$122:U$138))</f>
        <v>-4.8858675885982156E-3</v>
      </c>
      <c r="V103" s="67">
        <f>SUMPRODUCT((Calc_Alloc!$N$11:$N$27)*(Calc_RAB_NS!V$122:V$138))</f>
        <v>0</v>
      </c>
      <c r="W103" s="68">
        <f>SUMPRODUCT((Calc_Alloc!$N$11:$N$27)*(Calc_RAB_NS!W$122:W$138))</f>
        <v>0</v>
      </c>
      <c r="X103" s="66">
        <f>SUMPRODUCT((Calc_Alloc!$N$11:$N$27)*(Calc_RAB_NS!X$122:X$138))</f>
        <v>0</v>
      </c>
      <c r="Y103" s="67">
        <f>SUMPRODUCT((Calc_Alloc!$N$11:$N$27)*(Calc_RAB_NS!Y$122:Y$138))</f>
        <v>0</v>
      </c>
      <c r="Z103" s="67">
        <f>SUMPRODUCT((Calc_Alloc!$N$11:$N$27)*(Calc_RAB_NS!Z$122:Z$138))</f>
        <v>0</v>
      </c>
      <c r="AA103" s="67">
        <f>SUMPRODUCT((Calc_Alloc!$N$11:$N$27)*(Calc_RAB_NS!AA$122:AA$138))</f>
        <v>0</v>
      </c>
      <c r="AB103" s="68">
        <f>SUMPRODUCT((Calc_Alloc!$N$11:$N$27)*(Calc_RAB_NS!AB$122:AB$138))</f>
        <v>0</v>
      </c>
    </row>
    <row r="104" spans="1:28" x14ac:dyDescent="0.35">
      <c r="J104" s="56"/>
      <c r="K104" s="57"/>
      <c r="L104" s="57"/>
      <c r="M104" s="57"/>
      <c r="N104" s="57"/>
      <c r="O104" s="57"/>
      <c r="P104" s="57"/>
      <c r="Q104" s="57"/>
      <c r="R104" s="58"/>
      <c r="S104" s="56"/>
      <c r="T104" s="57"/>
      <c r="U104" s="57"/>
      <c r="V104" s="57"/>
      <c r="W104" s="58"/>
      <c r="X104" s="56"/>
      <c r="Y104" s="57"/>
      <c r="Z104" s="57"/>
      <c r="AA104" s="57"/>
      <c r="AB104" s="58"/>
    </row>
    <row r="105" spans="1:28" ht="12.3" x14ac:dyDescent="0.35">
      <c r="D105" s="51" t="str">
        <f>"Total "&amp;D92</f>
        <v>Total EB RIN Categories</v>
      </c>
      <c r="E105" s="47" t="s">
        <v>111</v>
      </c>
      <c r="F105" s="47" t="str">
        <f>F94</f>
        <v>Dollars</v>
      </c>
      <c r="G105" s="47" t="str">
        <f>G94</f>
        <v>Nominal</v>
      </c>
      <c r="H105" s="47" t="str">
        <f>H94</f>
        <v>End_year</v>
      </c>
      <c r="J105" s="62">
        <f t="shared" ref="J105:AB105" si="30">SUM(J94:J103)</f>
        <v>0</v>
      </c>
      <c r="K105" s="46">
        <f t="shared" si="30"/>
        <v>0</v>
      </c>
      <c r="L105" s="46">
        <f t="shared" si="30"/>
        <v>0</v>
      </c>
      <c r="M105" s="46">
        <f t="shared" si="30"/>
        <v>0</v>
      </c>
      <c r="N105" s="46">
        <f t="shared" si="30"/>
        <v>-0.18259695449911931</v>
      </c>
      <c r="O105" s="46">
        <f t="shared" si="30"/>
        <v>-0.85615973039155013</v>
      </c>
      <c r="P105" s="46">
        <f t="shared" si="30"/>
        <v>-0.68985966122039166</v>
      </c>
      <c r="Q105" s="46">
        <f t="shared" si="30"/>
        <v>-4.9912099646182329</v>
      </c>
      <c r="R105" s="63">
        <f t="shared" si="30"/>
        <v>-0.86104218852131953</v>
      </c>
      <c r="S105" s="62">
        <f t="shared" si="30"/>
        <v>-0.12001419347613983</v>
      </c>
      <c r="T105" s="46">
        <f t="shared" si="30"/>
        <v>-0.12133121284306894</v>
      </c>
      <c r="U105" s="46">
        <f t="shared" si="30"/>
        <v>-0.30090650925257667</v>
      </c>
      <c r="V105" s="46">
        <f t="shared" si="30"/>
        <v>0</v>
      </c>
      <c r="W105" s="63">
        <f t="shared" si="30"/>
        <v>0</v>
      </c>
      <c r="X105" s="62">
        <f t="shared" si="30"/>
        <v>0</v>
      </c>
      <c r="Y105" s="46">
        <f t="shared" si="30"/>
        <v>0</v>
      </c>
      <c r="Z105" s="46">
        <f t="shared" si="30"/>
        <v>0</v>
      </c>
      <c r="AA105" s="46">
        <f t="shared" si="30"/>
        <v>0</v>
      </c>
      <c r="AB105" s="63">
        <f t="shared" si="30"/>
        <v>0</v>
      </c>
    </row>
    <row r="106" spans="1:28" s="6" customFormat="1" ht="11.25" customHeight="1" x14ac:dyDescent="0.35"/>
    <row r="107" spans="1:28" s="6" customFormat="1" ht="11.25" customHeight="1" x14ac:dyDescent="0.35">
      <c r="A107" s="49">
        <f>IF(SUM($J107:$AB107)&lt;&gt;0,1,0)</f>
        <v>0</v>
      </c>
      <c r="D107" s="15" t="s">
        <v>114</v>
      </c>
      <c r="J107" s="70">
        <f>IF(ROUND(J105-Calc_RAB_NS!J$140,5)&lt;&gt;0,1,0)</f>
        <v>0</v>
      </c>
      <c r="K107" s="70">
        <f>IF(ROUND(K105-Calc_RAB_NS!K$140,5)&lt;&gt;0,1,0)</f>
        <v>0</v>
      </c>
      <c r="L107" s="70">
        <f>IF(ROUND(L105-Calc_RAB_NS!L$140,5)&lt;&gt;0,1,0)</f>
        <v>0</v>
      </c>
      <c r="M107" s="70">
        <f>IF(ROUND(M105-Calc_RAB_NS!M$140,5)&lt;&gt;0,1,0)</f>
        <v>0</v>
      </c>
      <c r="N107" s="70">
        <f>IF(ROUND(N105-Calc_RAB_NS!N$140,5)&lt;&gt;0,1,0)</f>
        <v>0</v>
      </c>
      <c r="O107" s="70">
        <f>IF(ROUND(O105-Calc_RAB_NS!O$140,5)&lt;&gt;0,1,0)</f>
        <v>0</v>
      </c>
      <c r="P107" s="70">
        <f>IF(ROUND(P105-Calc_RAB_NS!P$140,5)&lt;&gt;0,1,0)</f>
        <v>0</v>
      </c>
      <c r="Q107" s="70">
        <f>IF(ROUND(Q105-Calc_RAB_NS!Q$140,5)&lt;&gt;0,1,0)</f>
        <v>0</v>
      </c>
      <c r="R107" s="70">
        <f>IF(ROUND(R105-Calc_RAB_NS!R$140,5)&lt;&gt;0,1,0)</f>
        <v>0</v>
      </c>
      <c r="S107" s="70">
        <f>IF(ROUND(S105-Calc_RAB_NS!S$140,5)&lt;&gt;0,1,0)</f>
        <v>0</v>
      </c>
      <c r="T107" s="70">
        <f>IF(ROUND(T105-Calc_RAB_NS!T$140,5)&lt;&gt;0,1,0)</f>
        <v>0</v>
      </c>
      <c r="U107" s="70">
        <f>IF(ROUND(U105-Calc_RAB_NS!U$140,5)&lt;&gt;0,1,0)</f>
        <v>0</v>
      </c>
      <c r="V107" s="70">
        <f>IF(ROUND(V105-Calc_RAB_NS!V$140,5)&lt;&gt;0,1,0)</f>
        <v>0</v>
      </c>
      <c r="W107" s="70">
        <f>IF(ROUND(W105-Calc_RAB_NS!W$140,5)&lt;&gt;0,1,0)</f>
        <v>0</v>
      </c>
      <c r="X107" s="70">
        <f>IF(ROUND(X105-Calc_RAB_NS!X$140,5)&lt;&gt;0,1,0)</f>
        <v>0</v>
      </c>
      <c r="Y107" s="70">
        <f>IF(ROUND(Y105-Calc_RAB_NS!Y$140,5)&lt;&gt;0,1,0)</f>
        <v>0</v>
      </c>
      <c r="Z107" s="70">
        <f>IF(ROUND(Z105-Calc_RAB_NS!Z$140,5)&lt;&gt;0,1,0)</f>
        <v>0</v>
      </c>
      <c r="AA107" s="70">
        <f>IF(ROUND(AA105-Calc_RAB_NS!AA$140,5)&lt;&gt;0,1,0)</f>
        <v>0</v>
      </c>
      <c r="AB107" s="70">
        <f>IF(ROUND(AB105-Calc_RAB_NS!AB$140,5)&lt;&gt;0,1,0)</f>
        <v>0</v>
      </c>
    </row>
    <row r="109" spans="1:28" s="13" customFormat="1" ht="14.1" x14ac:dyDescent="0.35">
      <c r="C109" s="13" t="s">
        <v>176</v>
      </c>
    </row>
    <row r="110" spans="1:28" s="6" customFormat="1" ht="11.25" customHeight="1" x14ac:dyDescent="0.35"/>
    <row r="111" spans="1:28" ht="12.3" x14ac:dyDescent="0.35">
      <c r="D111" s="50" t="str">
        <f>D$16</f>
        <v>EB RIN Categories</v>
      </c>
      <c r="E111" s="45" t="str">
        <f>Lookup!E$20</f>
        <v>Source</v>
      </c>
      <c r="F111" s="45" t="str">
        <f>Lookup!F$20</f>
        <v>Unit</v>
      </c>
      <c r="G111" s="45" t="str">
        <f>Lookup!G$20</f>
        <v>Basis</v>
      </c>
      <c r="H111" s="45" t="str">
        <f>Lookup!H$20</f>
        <v>Timing</v>
      </c>
      <c r="J111" s="54" t="str">
        <f>J$10</f>
        <v>RY06</v>
      </c>
      <c r="K111" s="45" t="str">
        <f t="shared" ref="K111:AB111" si="31">K$10</f>
        <v>RY07</v>
      </c>
      <c r="L111" s="45" t="str">
        <f t="shared" si="31"/>
        <v>RY08</v>
      </c>
      <c r="M111" s="45" t="str">
        <f t="shared" si="31"/>
        <v>RY09</v>
      </c>
      <c r="N111" s="45" t="str">
        <f t="shared" si="31"/>
        <v>RY10</v>
      </c>
      <c r="O111" s="45" t="str">
        <f>O$10</f>
        <v>RY11</v>
      </c>
      <c r="P111" s="45" t="str">
        <f t="shared" si="31"/>
        <v>RY12</v>
      </c>
      <c r="Q111" s="45" t="str">
        <f t="shared" si="31"/>
        <v>RY13</v>
      </c>
      <c r="R111" s="55" t="str">
        <f t="shared" si="31"/>
        <v>RY14</v>
      </c>
      <c r="S111" s="54" t="str">
        <f t="shared" si="31"/>
        <v>RY15</v>
      </c>
      <c r="T111" s="45" t="str">
        <f>T$10</f>
        <v>RY16</v>
      </c>
      <c r="U111" s="45" t="str">
        <f t="shared" si="31"/>
        <v>RY17</v>
      </c>
      <c r="V111" s="45" t="str">
        <f t="shared" si="31"/>
        <v>RY18</v>
      </c>
      <c r="W111" s="55" t="str">
        <f t="shared" si="31"/>
        <v>RY19</v>
      </c>
      <c r="X111" s="54" t="str">
        <f t="shared" si="31"/>
        <v>RY20</v>
      </c>
      <c r="Y111" s="45" t="str">
        <f>Y$10</f>
        <v>RY21</v>
      </c>
      <c r="Z111" s="45" t="str">
        <f t="shared" si="31"/>
        <v>RY22</v>
      </c>
      <c r="AA111" s="45" t="str">
        <f t="shared" si="31"/>
        <v>RY23</v>
      </c>
      <c r="AB111" s="55" t="str">
        <f t="shared" si="31"/>
        <v>RY24</v>
      </c>
    </row>
    <row r="112" spans="1:28" x14ac:dyDescent="0.35">
      <c r="J112" s="56"/>
      <c r="K112" s="57"/>
      <c r="L112" s="57"/>
      <c r="M112" s="57"/>
      <c r="N112" s="57"/>
      <c r="O112" s="57"/>
      <c r="P112" s="57"/>
      <c r="Q112" s="57"/>
      <c r="R112" s="58"/>
      <c r="S112" s="56"/>
      <c r="T112" s="57"/>
      <c r="U112" s="57"/>
      <c r="V112" s="57"/>
      <c r="W112" s="58"/>
      <c r="X112" s="56"/>
      <c r="Y112" s="57"/>
      <c r="Z112" s="57"/>
      <c r="AA112" s="57"/>
      <c r="AB112" s="58"/>
    </row>
    <row r="113" spans="1:28" ht="12.3" x14ac:dyDescent="0.35">
      <c r="D113" s="15" t="str">
        <f>D18</f>
        <v>Overhead network assets less than 33kV</v>
      </c>
      <c r="E113" s="52" t="str">
        <f>E18</f>
        <v>Calc_Alloc</v>
      </c>
      <c r="F113" s="52" t="str">
        <f t="shared" ref="F113:F122" si="32">Dollars</f>
        <v>Dollars</v>
      </c>
      <c r="G113" s="52" t="str">
        <f t="shared" ref="G113:G122" si="33">Nominal</f>
        <v>Nominal</v>
      </c>
      <c r="H113" s="52" t="str">
        <f t="shared" ref="H113:H122" si="34">End_year</f>
        <v>End_year</v>
      </c>
      <c r="J113" s="66">
        <f>J18+J37+J56+J75+J94</f>
        <v>40.58084052630528</v>
      </c>
      <c r="K113" s="67">
        <f t="shared" ref="K113:AB113" si="35">K18+K37+K56+K75+K94</f>
        <v>43.998327474311651</v>
      </c>
      <c r="L113" s="67">
        <f t="shared" si="35"/>
        <v>48.579072176043539</v>
      </c>
      <c r="M113" s="67">
        <f t="shared" si="35"/>
        <v>52.016970815439393</v>
      </c>
      <c r="N113" s="67">
        <f t="shared" si="35"/>
        <v>55.674338794952604</v>
      </c>
      <c r="O113" s="67">
        <f t="shared" si="35"/>
        <v>59.565342633047557</v>
      </c>
      <c r="P113" s="67">
        <f t="shared" si="35"/>
        <v>63.17000271572261</v>
      </c>
      <c r="Q113" s="67">
        <f t="shared" si="35"/>
        <v>70.782453599585736</v>
      </c>
      <c r="R113" s="68">
        <f t="shared" si="35"/>
        <v>75.810388470053482</v>
      </c>
      <c r="S113" s="66">
        <f t="shared" si="35"/>
        <v>79.184237783716938</v>
      </c>
      <c r="T113" s="67">
        <f t="shared" si="35"/>
        <v>80.897508137741013</v>
      </c>
      <c r="U113" s="67">
        <f t="shared" si="35"/>
        <v>82.957813462294112</v>
      </c>
      <c r="V113" s="67">
        <f t="shared" si="35"/>
        <v>83.473133796022097</v>
      </c>
      <c r="W113" s="68">
        <f t="shared" si="35"/>
        <v>84.938020295394693</v>
      </c>
      <c r="X113" s="66">
        <f t="shared" si="35"/>
        <v>89.577721642038085</v>
      </c>
      <c r="Y113" s="67">
        <f t="shared" si="35"/>
        <v>96.490790556337956</v>
      </c>
      <c r="Z113" s="67">
        <f t="shared" si="35"/>
        <v>101.53111148057896</v>
      </c>
      <c r="AA113" s="67">
        <f t="shared" si="35"/>
        <v>105.91312928979234</v>
      </c>
      <c r="AB113" s="68">
        <f t="shared" si="35"/>
        <v>111.03357213024786</v>
      </c>
    </row>
    <row r="114" spans="1:28" ht="12.3" x14ac:dyDescent="0.35">
      <c r="D114" s="15" t="str">
        <f t="shared" ref="D114:E122" si="36">D19</f>
        <v>Underground network assets less than 33kV</v>
      </c>
      <c r="E114" s="52" t="str">
        <f t="shared" si="36"/>
        <v>Calc_Alloc</v>
      </c>
      <c r="F114" s="52" t="str">
        <f t="shared" si="32"/>
        <v>Dollars</v>
      </c>
      <c r="G114" s="52" t="str">
        <f t="shared" si="33"/>
        <v>Nominal</v>
      </c>
      <c r="H114" s="52" t="str">
        <f t="shared" si="34"/>
        <v>End_year</v>
      </c>
      <c r="J114" s="66">
        <f t="shared" ref="J114:AB122" si="37">J19+J38+J57+J76+J95</f>
        <v>84.061721445565368</v>
      </c>
      <c r="K114" s="67">
        <f t="shared" si="37"/>
        <v>91.140920923402533</v>
      </c>
      <c r="L114" s="67">
        <f t="shared" si="37"/>
        <v>100.629766253337</v>
      </c>
      <c r="M114" s="67">
        <f t="shared" si="37"/>
        <v>107.75124779233633</v>
      </c>
      <c r="N114" s="67">
        <f t="shared" si="37"/>
        <v>115.32735200659791</v>
      </c>
      <c r="O114" s="67">
        <f t="shared" si="37"/>
        <v>123.38742433764841</v>
      </c>
      <c r="P114" s="67">
        <f t="shared" si="37"/>
        <v>130.85434622052722</v>
      </c>
      <c r="Q114" s="67">
        <f t="shared" si="37"/>
        <v>146.62326069173824</v>
      </c>
      <c r="R114" s="68">
        <f t="shared" si="37"/>
        <v>157.03844405373135</v>
      </c>
      <c r="S114" s="66">
        <f t="shared" si="37"/>
        <v>164.02710836171775</v>
      </c>
      <c r="T114" s="67">
        <f t="shared" si="37"/>
        <v>167.57593934634804</v>
      </c>
      <c r="U114" s="67">
        <f t="shared" si="37"/>
        <v>171.84364848128192</v>
      </c>
      <c r="V114" s="67">
        <f t="shared" si="37"/>
        <v>172.91110390082534</v>
      </c>
      <c r="W114" s="68">
        <f t="shared" si="37"/>
        <v>175.94554767563332</v>
      </c>
      <c r="X114" s="66">
        <f t="shared" si="37"/>
        <v>185.55638489281415</v>
      </c>
      <c r="Y114" s="67">
        <f t="shared" si="37"/>
        <v>199.87653219642934</v>
      </c>
      <c r="Z114" s="67">
        <f t="shared" si="37"/>
        <v>210.31735491986669</v>
      </c>
      <c r="AA114" s="67">
        <f t="shared" si="37"/>
        <v>219.39453058757411</v>
      </c>
      <c r="AB114" s="68">
        <f t="shared" si="37"/>
        <v>230.0013247196656</v>
      </c>
    </row>
    <row r="115" spans="1:28" ht="12.3" x14ac:dyDescent="0.35">
      <c r="D115" s="15" t="str">
        <f t="shared" si="36"/>
        <v>Distribution substations and transformers</v>
      </c>
      <c r="E115" s="52" t="str">
        <f t="shared" si="36"/>
        <v>Calc_Alloc</v>
      </c>
      <c r="F115" s="52" t="str">
        <f t="shared" si="32"/>
        <v>Dollars</v>
      </c>
      <c r="G115" s="52" t="str">
        <f t="shared" si="33"/>
        <v>Nominal</v>
      </c>
      <c r="H115" s="52" t="str">
        <f t="shared" si="34"/>
        <v>End_year</v>
      </c>
      <c r="J115" s="66">
        <f t="shared" si="37"/>
        <v>55.066758148958435</v>
      </c>
      <c r="K115" s="67">
        <f t="shared" si="37"/>
        <v>53.511958775880494</v>
      </c>
      <c r="L115" s="67">
        <f t="shared" si="37"/>
        <v>59.796961032124919</v>
      </c>
      <c r="M115" s="67">
        <f t="shared" si="37"/>
        <v>68.281614135150278</v>
      </c>
      <c r="N115" s="67">
        <f t="shared" si="37"/>
        <v>80.384183096319191</v>
      </c>
      <c r="O115" s="67">
        <f t="shared" si="37"/>
        <v>91.927764552293439</v>
      </c>
      <c r="P115" s="67">
        <f t="shared" si="37"/>
        <v>94.368202669798663</v>
      </c>
      <c r="Q115" s="67">
        <f t="shared" si="37"/>
        <v>97.269887866474079</v>
      </c>
      <c r="R115" s="68">
        <f t="shared" si="37"/>
        <v>100.47441671974134</v>
      </c>
      <c r="S115" s="66">
        <f t="shared" si="37"/>
        <v>111.29602347145031</v>
      </c>
      <c r="T115" s="67">
        <f t="shared" si="37"/>
        <v>120.24849856743077</v>
      </c>
      <c r="U115" s="67">
        <f t="shared" si="37"/>
        <v>127.06892298093524</v>
      </c>
      <c r="V115" s="67">
        <f t="shared" si="37"/>
        <v>131.95708981330677</v>
      </c>
      <c r="W115" s="68">
        <f t="shared" si="37"/>
        <v>137.73704670018131</v>
      </c>
      <c r="X115" s="66">
        <f t="shared" si="37"/>
        <v>153.34285378764153</v>
      </c>
      <c r="Y115" s="67">
        <f t="shared" si="37"/>
        <v>160.41252437963658</v>
      </c>
      <c r="Z115" s="67">
        <f t="shared" si="37"/>
        <v>167.23641989848062</v>
      </c>
      <c r="AA115" s="67">
        <f t="shared" si="37"/>
        <v>175.4719882423995</v>
      </c>
      <c r="AB115" s="68">
        <f t="shared" si="37"/>
        <v>184.3448904326728</v>
      </c>
    </row>
    <row r="116" spans="1:28" ht="12.3" x14ac:dyDescent="0.35">
      <c r="D116" s="15" t="str">
        <f t="shared" si="36"/>
        <v>Overhead network assets 33kV and above</v>
      </c>
      <c r="E116" s="52" t="str">
        <f t="shared" si="36"/>
        <v>Calc_Alloc</v>
      </c>
      <c r="F116" s="52" t="str">
        <f t="shared" si="32"/>
        <v>Dollars</v>
      </c>
      <c r="G116" s="52" t="str">
        <f t="shared" si="33"/>
        <v>Nominal</v>
      </c>
      <c r="H116" s="52" t="str">
        <f t="shared" si="34"/>
        <v>End_year</v>
      </c>
      <c r="J116" s="66">
        <f t="shared" si="37"/>
        <v>70.740199656719199</v>
      </c>
      <c r="K116" s="67">
        <f t="shared" si="37"/>
        <v>75.612645019104377</v>
      </c>
      <c r="L116" s="67">
        <f t="shared" si="37"/>
        <v>76.897616946939394</v>
      </c>
      <c r="M116" s="67">
        <f t="shared" si="37"/>
        <v>76.242035307053598</v>
      </c>
      <c r="N116" s="67">
        <f t="shared" si="37"/>
        <v>86.989103942939948</v>
      </c>
      <c r="O116" s="67">
        <f t="shared" si="37"/>
        <v>97.554269173773747</v>
      </c>
      <c r="P116" s="67">
        <f t="shared" si="37"/>
        <v>101.94955559821641</v>
      </c>
      <c r="Q116" s="67">
        <f t="shared" si="37"/>
        <v>111.32195664985137</v>
      </c>
      <c r="R116" s="68">
        <f t="shared" si="37"/>
        <v>112.69114532304692</v>
      </c>
      <c r="S116" s="66">
        <f t="shared" si="37"/>
        <v>112.64394026495373</v>
      </c>
      <c r="T116" s="67">
        <f t="shared" si="37"/>
        <v>114.13606717696348</v>
      </c>
      <c r="U116" s="67">
        <f t="shared" si="37"/>
        <v>116.39551161419392</v>
      </c>
      <c r="V116" s="67">
        <f t="shared" si="37"/>
        <v>120.67292872717621</v>
      </c>
      <c r="W116" s="68">
        <f t="shared" si="37"/>
        <v>119.29711265608444</v>
      </c>
      <c r="X116" s="66">
        <f t="shared" si="37"/>
        <v>120.91444021703823</v>
      </c>
      <c r="Y116" s="67">
        <f t="shared" si="37"/>
        <v>121.35502625510428</v>
      </c>
      <c r="Z116" s="67">
        <f t="shared" si="37"/>
        <v>121.65446115412682</v>
      </c>
      <c r="AA116" s="67">
        <f t="shared" si="37"/>
        <v>122.01797211602037</v>
      </c>
      <c r="AB116" s="68">
        <f t="shared" si="37"/>
        <v>122.31828967673989</v>
      </c>
    </row>
    <row r="117" spans="1:28" ht="12.3" x14ac:dyDescent="0.35">
      <c r="D117" s="15" t="str">
        <f t="shared" si="36"/>
        <v>Underground network assets 33kV and above</v>
      </c>
      <c r="E117" s="52" t="str">
        <f t="shared" si="36"/>
        <v>Calc_Alloc</v>
      </c>
      <c r="F117" s="52" t="str">
        <f t="shared" si="32"/>
        <v>Dollars</v>
      </c>
      <c r="G117" s="52" t="str">
        <f t="shared" si="33"/>
        <v>Nominal</v>
      </c>
      <c r="H117" s="52" t="str">
        <f t="shared" si="34"/>
        <v>End_year</v>
      </c>
      <c r="J117" s="66">
        <f t="shared" si="37"/>
        <v>35.397401764715589</v>
      </c>
      <c r="K117" s="67">
        <f t="shared" si="37"/>
        <v>37.835504949410108</v>
      </c>
      <c r="L117" s="67">
        <f t="shared" si="37"/>
        <v>38.478486843816412</v>
      </c>
      <c r="M117" s="67">
        <f t="shared" si="37"/>
        <v>38.150443004398092</v>
      </c>
      <c r="N117" s="67">
        <f t="shared" si="37"/>
        <v>43.528125116457396</v>
      </c>
      <c r="O117" s="67">
        <f t="shared" si="37"/>
        <v>48.814785320997913</v>
      </c>
      <c r="P117" s="67">
        <f t="shared" si="37"/>
        <v>51.014124878872899</v>
      </c>
      <c r="Q117" s="67">
        <f t="shared" si="37"/>
        <v>55.703942650588139</v>
      </c>
      <c r="R117" s="68">
        <f t="shared" si="37"/>
        <v>56.389065420837447</v>
      </c>
      <c r="S117" s="66">
        <f t="shared" si="37"/>
        <v>56.365444673161299</v>
      </c>
      <c r="T117" s="67">
        <f t="shared" si="37"/>
        <v>57.11208401040745</v>
      </c>
      <c r="U117" s="67">
        <f t="shared" si="37"/>
        <v>58.242678253819385</v>
      </c>
      <c r="V117" s="67">
        <f t="shared" si="37"/>
        <v>60.383037664709491</v>
      </c>
      <c r="W117" s="68">
        <f t="shared" si="37"/>
        <v>59.694598637690689</v>
      </c>
      <c r="X117" s="66">
        <f t="shared" si="37"/>
        <v>60.503886620168004</v>
      </c>
      <c r="Y117" s="67">
        <f t="shared" si="37"/>
        <v>60.724349681864581</v>
      </c>
      <c r="Z117" s="67">
        <f t="shared" si="37"/>
        <v>60.874182697243562</v>
      </c>
      <c r="AA117" s="67">
        <f t="shared" si="37"/>
        <v>61.056078473993779</v>
      </c>
      <c r="AB117" s="68">
        <f t="shared" si="37"/>
        <v>61.206353160881484</v>
      </c>
    </row>
    <row r="118" spans="1:28" ht="12.3" x14ac:dyDescent="0.35">
      <c r="D118" s="15" t="str">
        <f t="shared" si="36"/>
        <v>Zone substations and transformers</v>
      </c>
      <c r="E118" s="52" t="str">
        <f t="shared" si="36"/>
        <v>Calc_Alloc</v>
      </c>
      <c r="F118" s="52" t="str">
        <f t="shared" si="32"/>
        <v>Dollars</v>
      </c>
      <c r="G118" s="52" t="str">
        <f t="shared" si="33"/>
        <v>Nominal</v>
      </c>
      <c r="H118" s="52" t="str">
        <f t="shared" si="34"/>
        <v>End_year</v>
      </c>
      <c r="J118" s="66">
        <f t="shared" si="37"/>
        <v>49.257548154962308</v>
      </c>
      <c r="K118" s="67">
        <f t="shared" si="37"/>
        <v>51.93307559593201</v>
      </c>
      <c r="L118" s="67">
        <f t="shared" si="37"/>
        <v>73.566519243986875</v>
      </c>
      <c r="M118" s="67">
        <f t="shared" si="37"/>
        <v>105.48723246211824</v>
      </c>
      <c r="N118" s="67">
        <f t="shared" si="37"/>
        <v>134.25745022204163</v>
      </c>
      <c r="O118" s="67">
        <f t="shared" si="37"/>
        <v>175.9477180867863</v>
      </c>
      <c r="P118" s="67">
        <f t="shared" si="37"/>
        <v>211.49979112014324</v>
      </c>
      <c r="Q118" s="67">
        <f t="shared" si="37"/>
        <v>264.91040389827987</v>
      </c>
      <c r="R118" s="68">
        <f t="shared" si="37"/>
        <v>314.98760845090567</v>
      </c>
      <c r="S118" s="66">
        <f t="shared" si="37"/>
        <v>334.30781602676626</v>
      </c>
      <c r="T118" s="67">
        <f t="shared" si="37"/>
        <v>344.20334039390258</v>
      </c>
      <c r="U118" s="67">
        <f t="shared" si="37"/>
        <v>344.93919547332405</v>
      </c>
      <c r="V118" s="67">
        <f t="shared" si="37"/>
        <v>341.65083978271218</v>
      </c>
      <c r="W118" s="68">
        <f t="shared" si="37"/>
        <v>341.39149615967801</v>
      </c>
      <c r="X118" s="66">
        <f t="shared" si="37"/>
        <v>332.5534485892818</v>
      </c>
      <c r="Y118" s="67">
        <f t="shared" si="37"/>
        <v>338.83170779216249</v>
      </c>
      <c r="Z118" s="67">
        <f t="shared" si="37"/>
        <v>348.38225451899098</v>
      </c>
      <c r="AA118" s="67">
        <f t="shared" si="37"/>
        <v>357.95320913092814</v>
      </c>
      <c r="AB118" s="68">
        <f t="shared" si="37"/>
        <v>359.15366263962591</v>
      </c>
    </row>
    <row r="119" spans="1:28" ht="12.3" x14ac:dyDescent="0.35">
      <c r="D119" s="15" t="str">
        <f t="shared" si="36"/>
        <v>Easements</v>
      </c>
      <c r="E119" s="52" t="str">
        <f t="shared" si="36"/>
        <v>Calc_Alloc</v>
      </c>
      <c r="F119" s="52" t="str">
        <f t="shared" si="32"/>
        <v>Dollars</v>
      </c>
      <c r="G119" s="52" t="str">
        <f t="shared" si="33"/>
        <v>Nominal</v>
      </c>
      <c r="H119" s="52" t="str">
        <f t="shared" si="34"/>
        <v>End_year</v>
      </c>
      <c r="J119" s="66">
        <f t="shared" si="37"/>
        <v>29.444843897374323</v>
      </c>
      <c r="K119" s="67">
        <f t="shared" si="37"/>
        <v>30.922463155114897</v>
      </c>
      <c r="L119" s="67">
        <f t="shared" si="37"/>
        <v>32.243630749502024</v>
      </c>
      <c r="M119" s="67">
        <f t="shared" si="37"/>
        <v>33.029189859678155</v>
      </c>
      <c r="N119" s="67">
        <f t="shared" si="37"/>
        <v>33.993285131257949</v>
      </c>
      <c r="O119" s="67">
        <f t="shared" si="37"/>
        <v>35.10020933196067</v>
      </c>
      <c r="P119" s="67">
        <f t="shared" si="37"/>
        <v>35.671525048452402</v>
      </c>
      <c r="Q119" s="67">
        <f t="shared" si="37"/>
        <v>33.024999999999999</v>
      </c>
      <c r="R119" s="68">
        <f t="shared" si="37"/>
        <v>34.47125290902666</v>
      </c>
      <c r="S119" s="66">
        <f t="shared" si="37"/>
        <v>34.929125338558322</v>
      </c>
      <c r="T119" s="67">
        <f t="shared" si="37"/>
        <v>35.386997768089991</v>
      </c>
      <c r="U119" s="67">
        <f t="shared" si="37"/>
        <v>36.128882714951189</v>
      </c>
      <c r="V119" s="67">
        <f t="shared" si="37"/>
        <v>37.004962835958267</v>
      </c>
      <c r="W119" s="68">
        <f t="shared" si="37"/>
        <v>47.356059964048079</v>
      </c>
      <c r="X119" s="66">
        <f t="shared" si="37"/>
        <v>47.478966373746196</v>
      </c>
      <c r="Y119" s="67">
        <f t="shared" si="37"/>
        <v>48.630271797004951</v>
      </c>
      <c r="Z119" s="67">
        <f t="shared" si="37"/>
        <v>49.809494933703185</v>
      </c>
      <c r="AA119" s="67">
        <f t="shared" si="37"/>
        <v>51.017312753399054</v>
      </c>
      <c r="AB119" s="68">
        <f t="shared" si="37"/>
        <v>52.254418641313983</v>
      </c>
    </row>
    <row r="120" spans="1:28" ht="12.3" x14ac:dyDescent="0.35">
      <c r="D120" s="15" t="str">
        <f t="shared" si="36"/>
        <v>Meters</v>
      </c>
      <c r="E120" s="52" t="str">
        <f t="shared" si="36"/>
        <v>Calc_Alloc</v>
      </c>
      <c r="F120" s="52" t="str">
        <f t="shared" si="32"/>
        <v>Dollars</v>
      </c>
      <c r="G120" s="52" t="str">
        <f t="shared" si="33"/>
        <v>Nominal</v>
      </c>
      <c r="H120" s="52" t="str">
        <f t="shared" si="34"/>
        <v>End_year</v>
      </c>
      <c r="J120" s="66">
        <f t="shared" si="37"/>
        <v>0</v>
      </c>
      <c r="K120" s="67">
        <f t="shared" si="37"/>
        <v>0</v>
      </c>
      <c r="L120" s="67">
        <f t="shared" si="37"/>
        <v>0</v>
      </c>
      <c r="M120" s="67">
        <f t="shared" si="37"/>
        <v>0</v>
      </c>
      <c r="N120" s="67">
        <f t="shared" si="37"/>
        <v>0</v>
      </c>
      <c r="O120" s="67">
        <f t="shared" si="37"/>
        <v>0</v>
      </c>
      <c r="P120" s="67">
        <f t="shared" si="37"/>
        <v>0</v>
      </c>
      <c r="Q120" s="67">
        <f t="shared" si="37"/>
        <v>0</v>
      </c>
      <c r="R120" s="68">
        <f t="shared" si="37"/>
        <v>0</v>
      </c>
      <c r="S120" s="66">
        <f t="shared" si="37"/>
        <v>0</v>
      </c>
      <c r="T120" s="67">
        <f t="shared" si="37"/>
        <v>0</v>
      </c>
      <c r="U120" s="67">
        <f t="shared" si="37"/>
        <v>0</v>
      </c>
      <c r="V120" s="67">
        <f t="shared" si="37"/>
        <v>0</v>
      </c>
      <c r="W120" s="68">
        <f t="shared" si="37"/>
        <v>0</v>
      </c>
      <c r="X120" s="66">
        <f t="shared" si="37"/>
        <v>0</v>
      </c>
      <c r="Y120" s="67">
        <f t="shared" si="37"/>
        <v>0</v>
      </c>
      <c r="Z120" s="67">
        <f t="shared" si="37"/>
        <v>0</v>
      </c>
      <c r="AA120" s="67">
        <f t="shared" si="37"/>
        <v>0</v>
      </c>
      <c r="AB120" s="68">
        <f t="shared" si="37"/>
        <v>0</v>
      </c>
    </row>
    <row r="121" spans="1:28" ht="12.3" x14ac:dyDescent="0.35">
      <c r="D121" s="15" t="str">
        <f t="shared" si="36"/>
        <v>“Other” asset items with long lives</v>
      </c>
      <c r="E121" s="52" t="str">
        <f t="shared" si="36"/>
        <v>Calc_Alloc</v>
      </c>
      <c r="F121" s="52" t="str">
        <f t="shared" si="32"/>
        <v>Dollars</v>
      </c>
      <c r="G121" s="52" t="str">
        <f t="shared" si="33"/>
        <v>Nominal</v>
      </c>
      <c r="H121" s="52" t="str">
        <f t="shared" si="34"/>
        <v>End_year</v>
      </c>
      <c r="J121" s="66">
        <f t="shared" si="37"/>
        <v>0.58076591627221685</v>
      </c>
      <c r="K121" s="67">
        <f t="shared" si="37"/>
        <v>0.59519915206123042</v>
      </c>
      <c r="L121" s="67">
        <f t="shared" si="37"/>
        <v>1.1576579982008739</v>
      </c>
      <c r="M121" s="67">
        <f t="shared" si="37"/>
        <v>1.4515497160196358</v>
      </c>
      <c r="N121" s="67">
        <f t="shared" si="37"/>
        <v>1.4939192752980466</v>
      </c>
      <c r="O121" s="67">
        <f t="shared" si="37"/>
        <v>1.5425658063214072</v>
      </c>
      <c r="P121" s="67">
        <f t="shared" si="37"/>
        <v>1.5676736933012065</v>
      </c>
      <c r="Q121" s="67">
        <f t="shared" si="37"/>
        <v>1.6069047667071426</v>
      </c>
      <c r="R121" s="68">
        <f t="shared" si="37"/>
        <v>1.736675383044163</v>
      </c>
      <c r="S121" s="66">
        <f t="shared" si="37"/>
        <v>1.9050662301253951</v>
      </c>
      <c r="T121" s="67">
        <f t="shared" si="37"/>
        <v>2.4524778089326911</v>
      </c>
      <c r="U121" s="67">
        <f t="shared" si="37"/>
        <v>4.8751079789943796</v>
      </c>
      <c r="V121" s="67">
        <f t="shared" si="37"/>
        <v>9.1333197251311944</v>
      </c>
      <c r="W121" s="68">
        <f t="shared" si="37"/>
        <v>24.525709004550599</v>
      </c>
      <c r="X121" s="66">
        <f t="shared" si="37"/>
        <v>43.239454071347161</v>
      </c>
      <c r="Y121" s="67">
        <f t="shared" si="37"/>
        <v>52.905082065824587</v>
      </c>
      <c r="Z121" s="67">
        <f t="shared" si="37"/>
        <v>66.233970334572021</v>
      </c>
      <c r="AA121" s="67">
        <f t="shared" si="37"/>
        <v>69.043729499132567</v>
      </c>
      <c r="AB121" s="68">
        <f t="shared" si="37"/>
        <v>70.379904669759995</v>
      </c>
    </row>
    <row r="122" spans="1:28" ht="12.3" x14ac:dyDescent="0.35">
      <c r="D122" s="15" t="str">
        <f t="shared" si="36"/>
        <v>“Other” asset items with short lives</v>
      </c>
      <c r="E122" s="52" t="str">
        <f t="shared" si="36"/>
        <v>Calc_Alloc</v>
      </c>
      <c r="F122" s="52" t="str">
        <f t="shared" si="32"/>
        <v>Dollars</v>
      </c>
      <c r="G122" s="52" t="str">
        <f t="shared" si="33"/>
        <v>Nominal</v>
      </c>
      <c r="H122" s="52" t="str">
        <f t="shared" si="34"/>
        <v>End_year</v>
      </c>
      <c r="J122" s="66">
        <f t="shared" si="37"/>
        <v>0.82091709057313911</v>
      </c>
      <c r="K122" s="67">
        <f t="shared" si="37"/>
        <v>0.60044477799461515</v>
      </c>
      <c r="L122" s="67">
        <f t="shared" si="37"/>
        <v>0.29246182684719696</v>
      </c>
      <c r="M122" s="67">
        <f t="shared" si="37"/>
        <v>3.9470165527343323E-2</v>
      </c>
      <c r="N122" s="67">
        <f t="shared" si="37"/>
        <v>4.0622267656249544E-2</v>
      </c>
      <c r="O122" s="67">
        <f t="shared" si="37"/>
        <v>0.31592684001872451</v>
      </c>
      <c r="P122" s="67">
        <f t="shared" si="37"/>
        <v>2.8181106960225857</v>
      </c>
      <c r="Q122" s="67">
        <f t="shared" si="37"/>
        <v>7.2490899399153559</v>
      </c>
      <c r="R122" s="68">
        <f t="shared" si="37"/>
        <v>8.1706924591252257</v>
      </c>
      <c r="S122" s="66">
        <f t="shared" si="37"/>
        <v>7.5405950108274276</v>
      </c>
      <c r="T122" s="67">
        <f t="shared" si="37"/>
        <v>6.0591650950727729</v>
      </c>
      <c r="U122" s="67">
        <f t="shared" si="37"/>
        <v>4.4831236140217596</v>
      </c>
      <c r="V122" s="67">
        <f t="shared" si="37"/>
        <v>3.1603810910413817</v>
      </c>
      <c r="W122" s="68">
        <f t="shared" si="37"/>
        <v>1.6681769129029336</v>
      </c>
      <c r="X122" s="66">
        <f t="shared" si="37"/>
        <v>26.318022251292152</v>
      </c>
      <c r="Y122" s="67">
        <f t="shared" si="37"/>
        <v>29.12275370556188</v>
      </c>
      <c r="Z122" s="67">
        <f t="shared" si="37"/>
        <v>55.125597468258384</v>
      </c>
      <c r="AA122" s="67">
        <f t="shared" si="37"/>
        <v>55.583814809038977</v>
      </c>
      <c r="AB122" s="68">
        <f t="shared" si="37"/>
        <v>54.671282008480127</v>
      </c>
    </row>
    <row r="123" spans="1:28" x14ac:dyDescent="0.35">
      <c r="J123" s="56"/>
      <c r="K123" s="57"/>
      <c r="L123" s="57"/>
      <c r="M123" s="57"/>
      <c r="N123" s="57"/>
      <c r="O123" s="57"/>
      <c r="P123" s="57"/>
      <c r="Q123" s="57"/>
      <c r="R123" s="58"/>
      <c r="S123" s="56"/>
      <c r="T123" s="57"/>
      <c r="U123" s="57"/>
      <c r="V123" s="57"/>
      <c r="W123" s="58"/>
      <c r="X123" s="56"/>
      <c r="Y123" s="57"/>
      <c r="Z123" s="57"/>
      <c r="AA123" s="57"/>
      <c r="AB123" s="58"/>
    </row>
    <row r="124" spans="1:28" ht="12.3" x14ac:dyDescent="0.35">
      <c r="D124" s="51" t="str">
        <f>"Total "&amp;D111</f>
        <v>Total EB RIN Categories</v>
      </c>
      <c r="E124" s="47" t="s">
        <v>111</v>
      </c>
      <c r="F124" s="47" t="str">
        <f>F113</f>
        <v>Dollars</v>
      </c>
      <c r="G124" s="47" t="str">
        <f>G113</f>
        <v>Nominal</v>
      </c>
      <c r="H124" s="47" t="str">
        <f>H113</f>
        <v>End_year</v>
      </c>
      <c r="J124" s="62">
        <f t="shared" ref="J124:AB124" si="38">SUM(J113:J122)</f>
        <v>365.95099660144587</v>
      </c>
      <c r="K124" s="46">
        <f t="shared" si="38"/>
        <v>386.15053982321189</v>
      </c>
      <c r="L124" s="46">
        <f t="shared" si="38"/>
        <v>431.64217307079826</v>
      </c>
      <c r="M124" s="46">
        <f t="shared" si="38"/>
        <v>482.44975325772111</v>
      </c>
      <c r="N124" s="46">
        <f t="shared" si="38"/>
        <v>551.68837985352081</v>
      </c>
      <c r="O124" s="46">
        <f t="shared" si="38"/>
        <v>634.15600608284797</v>
      </c>
      <c r="P124" s="46">
        <f t="shared" si="38"/>
        <v>692.9133326410572</v>
      </c>
      <c r="Q124" s="46">
        <f t="shared" si="38"/>
        <v>788.49290006313981</v>
      </c>
      <c r="R124" s="63">
        <f t="shared" si="38"/>
        <v>861.76968918951218</v>
      </c>
      <c r="S124" s="62">
        <f t="shared" si="38"/>
        <v>902.19935716127748</v>
      </c>
      <c r="T124" s="46">
        <f t="shared" si="38"/>
        <v>928.07207830488881</v>
      </c>
      <c r="U124" s="46">
        <f t="shared" si="38"/>
        <v>946.93488457381602</v>
      </c>
      <c r="V124" s="46">
        <f t="shared" si="38"/>
        <v>960.3467973368829</v>
      </c>
      <c r="W124" s="63">
        <f t="shared" si="38"/>
        <v>992.55376800616398</v>
      </c>
      <c r="X124" s="62">
        <f t="shared" si="38"/>
        <v>1059.4851784453674</v>
      </c>
      <c r="Y124" s="46">
        <f t="shared" si="38"/>
        <v>1108.3490384299268</v>
      </c>
      <c r="Z124" s="46">
        <f t="shared" si="38"/>
        <v>1181.1648474058211</v>
      </c>
      <c r="AA124" s="46">
        <f t="shared" si="38"/>
        <v>1217.4517649022789</v>
      </c>
      <c r="AB124" s="63">
        <f t="shared" si="38"/>
        <v>1245.3636980793876</v>
      </c>
    </row>
    <row r="125" spans="1:28" s="6" customFormat="1" ht="11.25" customHeight="1" x14ac:dyDescent="0.35"/>
    <row r="126" spans="1:28" s="6" customFormat="1" ht="11.25" customHeight="1" x14ac:dyDescent="0.35">
      <c r="A126" s="49">
        <f>IF(SUM($J126:$AB126)&lt;&gt;0,1,0)</f>
        <v>0</v>
      </c>
      <c r="D126" s="15" t="s">
        <v>114</v>
      </c>
      <c r="J126" s="70">
        <f>IF(ROUND(J124-Calc_RAB_NS!J$166,3)=0,0,1)</f>
        <v>0</v>
      </c>
      <c r="K126" s="70">
        <f>IF(ROUND(K124-Calc_RAB_NS!K$166,3)=0,0,1)</f>
        <v>0</v>
      </c>
      <c r="L126" s="70">
        <f>IF(ROUND(L124-Calc_RAB_NS!L$166,3)=0,0,1)</f>
        <v>0</v>
      </c>
      <c r="M126" s="70">
        <f>IF(ROUND(M124-Calc_RAB_NS!M$166,3)=0,0,1)</f>
        <v>0</v>
      </c>
      <c r="N126" s="70">
        <f>IF(ROUND(N124-Calc_RAB_NS!N$166,3)=0,0,1)</f>
        <v>0</v>
      </c>
      <c r="O126" s="70">
        <f>IF(ROUND(O124-Calc_RAB_NS!O$166,3)=0,0,1)</f>
        <v>0</v>
      </c>
      <c r="P126" s="70">
        <f>IF(ROUND(P124-Calc_RAB_NS!P$166,3)=0,0,1)</f>
        <v>0</v>
      </c>
      <c r="Q126" s="70">
        <f>IF(ROUND(Q124-Calc_RAB_NS!Q$166,3)=0,0,1)</f>
        <v>0</v>
      </c>
      <c r="R126" s="70">
        <f>IF(ROUND(R124-Calc_RAB_NS!R$166,3)=0,0,1)</f>
        <v>0</v>
      </c>
      <c r="S126" s="70">
        <f>IF(ROUND(S124-Calc_RAB_NS!S$166,3)=0,0,1)</f>
        <v>0</v>
      </c>
      <c r="T126" s="70">
        <f>IF(ROUND(T124-Calc_RAB_NS!T$166,3)=0,0,1)</f>
        <v>0</v>
      </c>
      <c r="U126" s="70">
        <f>IF(ROUND(U124-Calc_RAB_NS!U$166,3)=0,0,1)</f>
        <v>0</v>
      </c>
      <c r="V126" s="70">
        <f>IF(ROUND(V124-Calc_RAB_NS!V$166,3)=0,0,1)</f>
        <v>0</v>
      </c>
      <c r="W126" s="70">
        <f>IF(ROUND(W124-Calc_RAB_NS!W$166,3)=0,0,1)</f>
        <v>0</v>
      </c>
      <c r="X126" s="70">
        <f>IF(ROUND(X124-Calc_RAB_NS!X$166,3)=0,0,1)</f>
        <v>0</v>
      </c>
      <c r="Y126" s="70">
        <f>IF(ROUND(Y124-Calc_RAB_NS!Y$166,3)=0,0,1)</f>
        <v>0</v>
      </c>
      <c r="Z126" s="70">
        <f>IF(ROUND(Z124-Calc_RAB_NS!Z$166,3)=0,0,1)</f>
        <v>0</v>
      </c>
      <c r="AA126" s="70">
        <f>IF(ROUND(AA124-Calc_RAB_NS!AA$166,3)=0,0,1)</f>
        <v>0</v>
      </c>
      <c r="AB126" s="70">
        <f>IF(ROUND(AB124-Calc_RAB_NS!AB$166,3)=0,0,1)</f>
        <v>0</v>
      </c>
    </row>
    <row r="128" spans="1:28" s="13" customFormat="1" ht="14.1" x14ac:dyDescent="0.35">
      <c r="C128" s="13" t="s">
        <v>177</v>
      </c>
    </row>
    <row r="129" spans="4:28" s="6" customFormat="1" ht="11.25" customHeight="1" x14ac:dyDescent="0.35"/>
    <row r="130" spans="4:28" ht="12.3" x14ac:dyDescent="0.35">
      <c r="D130" s="50" t="str">
        <f>D$16</f>
        <v>EB RIN Categories</v>
      </c>
      <c r="E130" s="45" t="str">
        <f>Lookup!E$20</f>
        <v>Source</v>
      </c>
      <c r="F130" s="45" t="str">
        <f>Lookup!F$20</f>
        <v>Unit</v>
      </c>
      <c r="G130" s="45" t="str">
        <f>Lookup!G$20</f>
        <v>Basis</v>
      </c>
      <c r="H130" s="45" t="str">
        <f>Lookup!H$20</f>
        <v>Timing</v>
      </c>
      <c r="J130" s="54" t="str">
        <f>J$10</f>
        <v>RY06</v>
      </c>
      <c r="K130" s="45" t="str">
        <f t="shared" ref="K130:AB130" si="39">K$10</f>
        <v>RY07</v>
      </c>
      <c r="L130" s="45" t="str">
        <f t="shared" si="39"/>
        <v>RY08</v>
      </c>
      <c r="M130" s="45" t="str">
        <f t="shared" si="39"/>
        <v>RY09</v>
      </c>
      <c r="N130" s="45" t="str">
        <f t="shared" si="39"/>
        <v>RY10</v>
      </c>
      <c r="O130" s="45" t="str">
        <f>O$10</f>
        <v>RY11</v>
      </c>
      <c r="P130" s="45" t="str">
        <f t="shared" si="39"/>
        <v>RY12</v>
      </c>
      <c r="Q130" s="45" t="str">
        <f t="shared" si="39"/>
        <v>RY13</v>
      </c>
      <c r="R130" s="55" t="str">
        <f t="shared" si="39"/>
        <v>RY14</v>
      </c>
      <c r="S130" s="54" t="str">
        <f t="shared" si="39"/>
        <v>RY15</v>
      </c>
      <c r="T130" s="45" t="str">
        <f>T$10</f>
        <v>RY16</v>
      </c>
      <c r="U130" s="45" t="str">
        <f t="shared" si="39"/>
        <v>RY17</v>
      </c>
      <c r="V130" s="45" t="str">
        <f t="shared" si="39"/>
        <v>RY18</v>
      </c>
      <c r="W130" s="55" t="str">
        <f t="shared" si="39"/>
        <v>RY19</v>
      </c>
      <c r="X130" s="54" t="str">
        <f t="shared" si="39"/>
        <v>RY20</v>
      </c>
      <c r="Y130" s="45" t="str">
        <f>Y$10</f>
        <v>RY21</v>
      </c>
      <c r="Z130" s="45" t="str">
        <f t="shared" si="39"/>
        <v>RY22</v>
      </c>
      <c r="AA130" s="45" t="str">
        <f t="shared" si="39"/>
        <v>RY23</v>
      </c>
      <c r="AB130" s="55" t="str">
        <f t="shared" si="39"/>
        <v>RY24</v>
      </c>
    </row>
    <row r="131" spans="4:28" x14ac:dyDescent="0.35">
      <c r="J131" s="56"/>
      <c r="K131" s="57"/>
      <c r="L131" s="57"/>
      <c r="M131" s="57"/>
      <c r="N131" s="57"/>
      <c r="O131" s="57"/>
      <c r="P131" s="57"/>
      <c r="Q131" s="57"/>
      <c r="R131" s="58"/>
      <c r="S131" s="56"/>
      <c r="T131" s="57"/>
      <c r="U131" s="57"/>
      <c r="V131" s="57"/>
      <c r="W131" s="58"/>
      <c r="X131" s="56"/>
      <c r="Y131" s="57"/>
      <c r="Z131" s="57"/>
      <c r="AA131" s="57"/>
      <c r="AB131" s="58"/>
    </row>
    <row r="132" spans="4:28" ht="12.3" x14ac:dyDescent="0.35">
      <c r="D132" s="15" t="str">
        <f>D18</f>
        <v>Overhead network assets less than 33kV</v>
      </c>
      <c r="E132" s="52" t="str">
        <f>E18</f>
        <v>Calc_Alloc</v>
      </c>
      <c r="F132" s="52" t="str">
        <f t="shared" ref="F132:F141" si="40">Dollars</f>
        <v>Dollars</v>
      </c>
      <c r="G132" s="52" t="str">
        <f t="shared" ref="G132:G141" si="41">Nominal</f>
        <v>Nominal</v>
      </c>
      <c r="H132" s="52" t="str">
        <f t="shared" ref="H132:H141" si="42">End_year</f>
        <v>End_year</v>
      </c>
      <c r="J132" s="66">
        <f>SUMPRODUCT((Calc_Alloc!$E$11:$E$27)*(Calc_RAB_NS!J$174:J$190))</f>
        <v>0</v>
      </c>
      <c r="K132" s="67">
        <f>SUMPRODUCT((Calc_Alloc!$E$11:$E$27)*(Calc_RAB_NS!K$174:K$190))</f>
        <v>0</v>
      </c>
      <c r="L132" s="67">
        <f>SUMPRODUCT((Calc_Alloc!$E$11:$E$27)*(Calc_RAB_NS!L$174:L$190))</f>
        <v>0</v>
      </c>
      <c r="M132" s="67">
        <f>SUMPRODUCT((Calc_Alloc!$E$11:$E$27)*(Calc_RAB_NS!M$174:M$190))</f>
        <v>0</v>
      </c>
      <c r="N132" s="67">
        <f>SUMPRODUCT((Calc_Alloc!$E$11:$E$27)*(Calc_RAB_NS!N$174:N$190))</f>
        <v>0</v>
      </c>
      <c r="O132" s="67">
        <f>SUMPRODUCT((Calc_Alloc!$E$11:$E$27)*(Calc_RAB_NS!O$174:O$190))</f>
        <v>0</v>
      </c>
      <c r="P132" s="67">
        <f>SUMPRODUCT((Calc_Alloc!$E$11:$E$27)*(Calc_RAB_NS!P$174:P$190))</f>
        <v>0</v>
      </c>
      <c r="Q132" s="67">
        <f>SUMPRODUCT((Calc_Alloc!$E$11:$E$27)*(Calc_RAB_NS!Q$174:Q$190))</f>
        <v>0</v>
      </c>
      <c r="R132" s="68">
        <f>SUMPRODUCT((Calc_Alloc!$E$11:$E$27)*(Calc_RAB_NS!R$174:R$190))</f>
        <v>0</v>
      </c>
      <c r="S132" s="66">
        <f>SUMPRODUCT((Calc_Alloc!$E$11:$E$27)*(Calc_RAB_NS!S$174:S$190))</f>
        <v>0</v>
      </c>
      <c r="T132" s="67">
        <f>SUMPRODUCT((Calc_Alloc!$E$11:$E$27)*(Calc_RAB_NS!T$174:T$190))</f>
        <v>0</v>
      </c>
      <c r="U132" s="67">
        <f>SUMPRODUCT((Calc_Alloc!$E$11:$E$27)*(Calc_RAB_NS!U$174:U$190))</f>
        <v>0</v>
      </c>
      <c r="V132" s="67">
        <f>SUMPRODUCT((Calc_Alloc!$E$11:$E$27)*(Calc_RAB_NS!V$174:V$190))</f>
        <v>0</v>
      </c>
      <c r="W132" s="68">
        <f>SUMPRODUCT((Calc_Alloc!$E$11:$E$27)*(Calc_RAB_NS!W$174:W$190))</f>
        <v>-0.89550506228983873</v>
      </c>
      <c r="X132" s="66">
        <f>SUMPRODUCT((Calc_Alloc!$E$11:$E$27)*(Calc_RAB_NS!X$174:X$190))</f>
        <v>0</v>
      </c>
      <c r="Y132" s="67">
        <f>SUMPRODUCT((Calc_Alloc!$E$11:$E$27)*(Calc_RAB_NS!Y$174:Y$190))</f>
        <v>0</v>
      </c>
      <c r="Z132" s="67">
        <f>SUMPRODUCT((Calc_Alloc!$E$11:$E$27)*(Calc_RAB_NS!Z$174:Z$190))</f>
        <v>0</v>
      </c>
      <c r="AA132" s="67">
        <f>SUMPRODUCT((Calc_Alloc!$E$11:$E$27)*(Calc_RAB_NS!AA$174:AA$190))</f>
        <v>0</v>
      </c>
      <c r="AB132" s="68">
        <f>SUMPRODUCT((Calc_Alloc!$E$11:$E$27)*(Calc_RAB_NS!AB$174:AB$190))</f>
        <v>0</v>
      </c>
    </row>
    <row r="133" spans="4:28" ht="12.3" x14ac:dyDescent="0.35">
      <c r="D133" s="15" t="str">
        <f t="shared" ref="D133:E141" si="43">D19</f>
        <v>Underground network assets less than 33kV</v>
      </c>
      <c r="E133" s="52" t="str">
        <f t="shared" si="43"/>
        <v>Calc_Alloc</v>
      </c>
      <c r="F133" s="52" t="str">
        <f t="shared" si="40"/>
        <v>Dollars</v>
      </c>
      <c r="G133" s="52" t="str">
        <f t="shared" si="41"/>
        <v>Nominal</v>
      </c>
      <c r="H133" s="52" t="str">
        <f t="shared" si="42"/>
        <v>End_year</v>
      </c>
      <c r="J133" s="66">
        <f>SUMPRODUCT((Calc_Alloc!$F$11:$F$27)*(Calc_RAB_NS!J$174:J$190))</f>
        <v>0</v>
      </c>
      <c r="K133" s="67">
        <f>SUMPRODUCT((Calc_Alloc!$F$11:$F$27)*(Calc_RAB_NS!K$174:K$190))</f>
        <v>0</v>
      </c>
      <c r="L133" s="67">
        <f>SUMPRODUCT((Calc_Alloc!$F$11:$F$27)*(Calc_RAB_NS!L$174:L$190))</f>
        <v>0</v>
      </c>
      <c r="M133" s="67">
        <f>SUMPRODUCT((Calc_Alloc!$F$11:$F$27)*(Calc_RAB_NS!M$174:M$190))</f>
        <v>0</v>
      </c>
      <c r="N133" s="67">
        <f>SUMPRODUCT((Calc_Alloc!$F$11:$F$27)*(Calc_RAB_NS!N$174:N$190))</f>
        <v>0</v>
      </c>
      <c r="O133" s="67">
        <f>SUMPRODUCT((Calc_Alloc!$F$11:$F$27)*(Calc_RAB_NS!O$174:O$190))</f>
        <v>0</v>
      </c>
      <c r="P133" s="67">
        <f>SUMPRODUCT((Calc_Alloc!$F$11:$F$27)*(Calc_RAB_NS!P$174:P$190))</f>
        <v>0</v>
      </c>
      <c r="Q133" s="67">
        <f>SUMPRODUCT((Calc_Alloc!$F$11:$F$27)*(Calc_RAB_NS!Q$174:Q$190))</f>
        <v>0</v>
      </c>
      <c r="R133" s="68">
        <f>SUMPRODUCT((Calc_Alloc!$F$11:$F$27)*(Calc_RAB_NS!R$174:R$190))</f>
        <v>0</v>
      </c>
      <c r="S133" s="66">
        <f>SUMPRODUCT((Calc_Alloc!$F$11:$F$27)*(Calc_RAB_NS!S$174:S$190))</f>
        <v>0</v>
      </c>
      <c r="T133" s="67">
        <f>SUMPRODUCT((Calc_Alloc!$F$11:$F$27)*(Calc_RAB_NS!T$174:T$190))</f>
        <v>0</v>
      </c>
      <c r="U133" s="67">
        <f>SUMPRODUCT((Calc_Alloc!$F$11:$F$27)*(Calc_RAB_NS!U$174:U$190))</f>
        <v>0</v>
      </c>
      <c r="V133" s="67">
        <f>SUMPRODUCT((Calc_Alloc!$F$11:$F$27)*(Calc_RAB_NS!V$174:V$190))</f>
        <v>0</v>
      </c>
      <c r="W133" s="68">
        <f>SUMPRODUCT((Calc_Alloc!$F$11:$F$27)*(Calc_RAB_NS!W$174:W$190))</f>
        <v>-1.8551266602635386</v>
      </c>
      <c r="X133" s="66">
        <f>SUMPRODUCT((Calc_Alloc!$F$11:$F$27)*(Calc_RAB_NS!X$174:X$190))</f>
        <v>0</v>
      </c>
      <c r="Y133" s="67">
        <f>SUMPRODUCT((Calc_Alloc!$F$11:$F$27)*(Calc_RAB_NS!Y$174:Y$190))</f>
        <v>0</v>
      </c>
      <c r="Z133" s="67">
        <f>SUMPRODUCT((Calc_Alloc!$F$11:$F$27)*(Calc_RAB_NS!Z$174:Z$190))</f>
        <v>0</v>
      </c>
      <c r="AA133" s="67">
        <f>SUMPRODUCT((Calc_Alloc!$F$11:$F$27)*(Calc_RAB_NS!AA$174:AA$190))</f>
        <v>0</v>
      </c>
      <c r="AB133" s="68">
        <f>SUMPRODUCT((Calc_Alloc!$F$11:$F$27)*(Calc_RAB_NS!AB$174:AB$190))</f>
        <v>0</v>
      </c>
    </row>
    <row r="134" spans="4:28" ht="12.3" x14ac:dyDescent="0.35">
      <c r="D134" s="15" t="str">
        <f t="shared" si="43"/>
        <v>Distribution substations and transformers</v>
      </c>
      <c r="E134" s="52" t="str">
        <f t="shared" si="43"/>
        <v>Calc_Alloc</v>
      </c>
      <c r="F134" s="52" t="str">
        <f t="shared" si="40"/>
        <v>Dollars</v>
      </c>
      <c r="G134" s="52" t="str">
        <f t="shared" si="41"/>
        <v>Nominal</v>
      </c>
      <c r="H134" s="52" t="str">
        <f t="shared" si="42"/>
        <v>End_year</v>
      </c>
      <c r="J134" s="66">
        <f>SUMPRODUCT((Calc_Alloc!$G$11:$G$27)*(Calc_RAB_NS!J$174:J$190))</f>
        <v>0</v>
      </c>
      <c r="K134" s="67">
        <f>SUMPRODUCT((Calc_Alloc!$G$11:$G$27)*(Calc_RAB_NS!K$174:K$190))</f>
        <v>0</v>
      </c>
      <c r="L134" s="67">
        <f>SUMPRODUCT((Calc_Alloc!$G$11:$G$27)*(Calc_RAB_NS!L$174:L$190))</f>
        <v>0</v>
      </c>
      <c r="M134" s="67">
        <f>SUMPRODUCT((Calc_Alloc!$G$11:$G$27)*(Calc_RAB_NS!M$174:M$190))</f>
        <v>0</v>
      </c>
      <c r="N134" s="67">
        <f>SUMPRODUCT((Calc_Alloc!$G$11:$G$27)*(Calc_RAB_NS!N$174:N$190))</f>
        <v>0</v>
      </c>
      <c r="O134" s="67">
        <f>SUMPRODUCT((Calc_Alloc!$G$11:$G$27)*(Calc_RAB_NS!O$174:O$190))</f>
        <v>0</v>
      </c>
      <c r="P134" s="67">
        <f>SUMPRODUCT((Calc_Alloc!$G$11:$G$27)*(Calc_RAB_NS!P$174:P$190))</f>
        <v>0</v>
      </c>
      <c r="Q134" s="67">
        <f>SUMPRODUCT((Calc_Alloc!$G$11:$G$27)*(Calc_RAB_NS!Q$174:Q$190))</f>
        <v>0</v>
      </c>
      <c r="R134" s="68">
        <f>SUMPRODUCT((Calc_Alloc!$G$11:$G$27)*(Calc_RAB_NS!R$174:R$190))</f>
        <v>0</v>
      </c>
      <c r="S134" s="66">
        <f>SUMPRODUCT((Calc_Alloc!$G$11:$G$27)*(Calc_RAB_NS!S$174:S$190))</f>
        <v>0</v>
      </c>
      <c r="T134" s="67">
        <f>SUMPRODUCT((Calc_Alloc!$G$11:$G$27)*(Calc_RAB_NS!T$174:T$190))</f>
        <v>0</v>
      </c>
      <c r="U134" s="67">
        <f>SUMPRODUCT((Calc_Alloc!$G$11:$G$27)*(Calc_RAB_NS!U$174:U$190))</f>
        <v>0</v>
      </c>
      <c r="V134" s="67">
        <f>SUMPRODUCT((Calc_Alloc!$G$11:$G$27)*(Calc_RAB_NS!V$174:V$190))</f>
        <v>0</v>
      </c>
      <c r="W134" s="68">
        <f>SUMPRODUCT((Calc_Alloc!$G$11:$G$27)*(Calc_RAB_NS!W$174:W$190))</f>
        <v>9.4959409302455491</v>
      </c>
      <c r="X134" s="66">
        <f>SUMPRODUCT((Calc_Alloc!$G$11:$G$27)*(Calc_RAB_NS!X$174:X$190))</f>
        <v>0</v>
      </c>
      <c r="Y134" s="67">
        <f>SUMPRODUCT((Calc_Alloc!$G$11:$G$27)*(Calc_RAB_NS!Y$174:Y$190))</f>
        <v>0</v>
      </c>
      <c r="Z134" s="67">
        <f>SUMPRODUCT((Calc_Alloc!$G$11:$G$27)*(Calc_RAB_NS!Z$174:Z$190))</f>
        <v>0</v>
      </c>
      <c r="AA134" s="67">
        <f>SUMPRODUCT((Calc_Alloc!$G$11:$G$27)*(Calc_RAB_NS!AA$174:AA$190))</f>
        <v>0</v>
      </c>
      <c r="AB134" s="68">
        <f>SUMPRODUCT((Calc_Alloc!$G$11:$G$27)*(Calc_RAB_NS!AB$174:AB$190))</f>
        <v>0</v>
      </c>
    </row>
    <row r="135" spans="4:28" ht="12.3" x14ac:dyDescent="0.35">
      <c r="D135" s="15" t="str">
        <f t="shared" si="43"/>
        <v>Overhead network assets 33kV and above</v>
      </c>
      <c r="E135" s="52" t="str">
        <f t="shared" si="43"/>
        <v>Calc_Alloc</v>
      </c>
      <c r="F135" s="52" t="str">
        <f t="shared" si="40"/>
        <v>Dollars</v>
      </c>
      <c r="G135" s="52" t="str">
        <f t="shared" si="41"/>
        <v>Nominal</v>
      </c>
      <c r="H135" s="52" t="str">
        <f t="shared" si="42"/>
        <v>End_year</v>
      </c>
      <c r="J135" s="66">
        <f>SUMPRODUCT((Calc_Alloc!$H$11:$H$27)*(Calc_RAB_NS!J$174:J$190))</f>
        <v>0</v>
      </c>
      <c r="K135" s="67">
        <f>SUMPRODUCT((Calc_Alloc!$H$11:$H$27)*(Calc_RAB_NS!K$174:K$190))</f>
        <v>0</v>
      </c>
      <c r="L135" s="67">
        <f>SUMPRODUCT((Calc_Alloc!$H$11:$H$27)*(Calc_RAB_NS!L$174:L$190))</f>
        <v>0</v>
      </c>
      <c r="M135" s="67">
        <f>SUMPRODUCT((Calc_Alloc!$H$11:$H$27)*(Calc_RAB_NS!M$174:M$190))</f>
        <v>0</v>
      </c>
      <c r="N135" s="67">
        <f>SUMPRODUCT((Calc_Alloc!$H$11:$H$27)*(Calc_RAB_NS!N$174:N$190))</f>
        <v>0</v>
      </c>
      <c r="O135" s="67">
        <f>SUMPRODUCT((Calc_Alloc!$H$11:$H$27)*(Calc_RAB_NS!O$174:O$190))</f>
        <v>0</v>
      </c>
      <c r="P135" s="67">
        <f>SUMPRODUCT((Calc_Alloc!$H$11:$H$27)*(Calc_RAB_NS!P$174:P$190))</f>
        <v>0</v>
      </c>
      <c r="Q135" s="67">
        <f>SUMPRODUCT((Calc_Alloc!$H$11:$H$27)*(Calc_RAB_NS!Q$174:Q$190))</f>
        <v>0</v>
      </c>
      <c r="R135" s="68">
        <f>SUMPRODUCT((Calc_Alloc!$H$11:$H$27)*(Calc_RAB_NS!R$174:R$190))</f>
        <v>0</v>
      </c>
      <c r="S135" s="66">
        <f>SUMPRODUCT((Calc_Alloc!$H$11:$H$27)*(Calc_RAB_NS!S$174:S$190))</f>
        <v>0</v>
      </c>
      <c r="T135" s="67">
        <f>SUMPRODUCT((Calc_Alloc!$H$11:$H$27)*(Calc_RAB_NS!T$174:T$190))</f>
        <v>0</v>
      </c>
      <c r="U135" s="67">
        <f>SUMPRODUCT((Calc_Alloc!$H$11:$H$27)*(Calc_RAB_NS!U$174:U$190))</f>
        <v>0</v>
      </c>
      <c r="V135" s="67">
        <f>SUMPRODUCT((Calc_Alloc!$H$11:$H$27)*(Calc_RAB_NS!V$174:V$190))</f>
        <v>0</v>
      </c>
      <c r="W135" s="68">
        <f>SUMPRODUCT((Calc_Alloc!$H$11:$H$27)*(Calc_RAB_NS!W$174:W$190))</f>
        <v>1.0281999135360687</v>
      </c>
      <c r="X135" s="66">
        <f>SUMPRODUCT((Calc_Alloc!$H$11:$H$27)*(Calc_RAB_NS!X$174:X$190))</f>
        <v>0</v>
      </c>
      <c r="Y135" s="67">
        <f>SUMPRODUCT((Calc_Alloc!$H$11:$H$27)*(Calc_RAB_NS!Y$174:Y$190))</f>
        <v>0</v>
      </c>
      <c r="Z135" s="67">
        <f>SUMPRODUCT((Calc_Alloc!$H$11:$H$27)*(Calc_RAB_NS!Z$174:Z$190))</f>
        <v>0</v>
      </c>
      <c r="AA135" s="67">
        <f>SUMPRODUCT((Calc_Alloc!$H$11:$H$27)*(Calc_RAB_NS!AA$174:AA$190))</f>
        <v>0</v>
      </c>
      <c r="AB135" s="68">
        <f>SUMPRODUCT((Calc_Alloc!$H$11:$H$27)*(Calc_RAB_NS!AB$174:AB$190))</f>
        <v>0</v>
      </c>
    </row>
    <row r="136" spans="4:28" ht="12.3" x14ac:dyDescent="0.35">
      <c r="D136" s="15" t="str">
        <f t="shared" si="43"/>
        <v>Underground network assets 33kV and above</v>
      </c>
      <c r="E136" s="52" t="str">
        <f t="shared" si="43"/>
        <v>Calc_Alloc</v>
      </c>
      <c r="F136" s="52" t="str">
        <f t="shared" si="40"/>
        <v>Dollars</v>
      </c>
      <c r="G136" s="52" t="str">
        <f t="shared" si="41"/>
        <v>Nominal</v>
      </c>
      <c r="H136" s="52" t="str">
        <f t="shared" si="42"/>
        <v>End_year</v>
      </c>
      <c r="J136" s="66">
        <f>SUMPRODUCT((Calc_Alloc!$I$11:$I$27)*(Calc_RAB_NS!J$174:J$190))</f>
        <v>0</v>
      </c>
      <c r="K136" s="67">
        <f>SUMPRODUCT((Calc_Alloc!$I$11:$I$27)*(Calc_RAB_NS!K$174:K$190))</f>
        <v>0</v>
      </c>
      <c r="L136" s="67">
        <f>SUMPRODUCT((Calc_Alloc!$I$11:$I$27)*(Calc_RAB_NS!L$174:L$190))</f>
        <v>0</v>
      </c>
      <c r="M136" s="67">
        <f>SUMPRODUCT((Calc_Alloc!$I$11:$I$27)*(Calc_RAB_NS!M$174:M$190))</f>
        <v>0</v>
      </c>
      <c r="N136" s="67">
        <f>SUMPRODUCT((Calc_Alloc!$I$11:$I$27)*(Calc_RAB_NS!N$174:N$190))</f>
        <v>0</v>
      </c>
      <c r="O136" s="67">
        <f>SUMPRODUCT((Calc_Alloc!$I$11:$I$27)*(Calc_RAB_NS!O$174:O$190))</f>
        <v>0</v>
      </c>
      <c r="P136" s="67">
        <f>SUMPRODUCT((Calc_Alloc!$I$11:$I$27)*(Calc_RAB_NS!P$174:P$190))</f>
        <v>0</v>
      </c>
      <c r="Q136" s="67">
        <f>SUMPRODUCT((Calc_Alloc!$I$11:$I$27)*(Calc_RAB_NS!Q$174:Q$190))</f>
        <v>0</v>
      </c>
      <c r="R136" s="68">
        <f>SUMPRODUCT((Calc_Alloc!$I$11:$I$27)*(Calc_RAB_NS!R$174:R$190))</f>
        <v>0</v>
      </c>
      <c r="S136" s="66">
        <f>SUMPRODUCT((Calc_Alloc!$I$11:$I$27)*(Calc_RAB_NS!S$174:S$190))</f>
        <v>0</v>
      </c>
      <c r="T136" s="67">
        <f>SUMPRODUCT((Calc_Alloc!$I$11:$I$27)*(Calc_RAB_NS!T$174:T$190))</f>
        <v>0</v>
      </c>
      <c r="U136" s="67">
        <f>SUMPRODUCT((Calc_Alloc!$I$11:$I$27)*(Calc_RAB_NS!U$174:U$190))</f>
        <v>0</v>
      </c>
      <c r="V136" s="67">
        <f>SUMPRODUCT((Calc_Alloc!$I$11:$I$27)*(Calc_RAB_NS!V$174:V$190))</f>
        <v>0</v>
      </c>
      <c r="W136" s="68">
        <f>SUMPRODUCT((Calc_Alloc!$I$11:$I$27)*(Calc_RAB_NS!W$174:W$190))</f>
        <v>0.51449678698249268</v>
      </c>
      <c r="X136" s="66">
        <f>SUMPRODUCT((Calc_Alloc!$I$11:$I$27)*(Calc_RAB_NS!X$174:X$190))</f>
        <v>0</v>
      </c>
      <c r="Y136" s="67">
        <f>SUMPRODUCT((Calc_Alloc!$I$11:$I$27)*(Calc_RAB_NS!Y$174:Y$190))</f>
        <v>0</v>
      </c>
      <c r="Z136" s="67">
        <f>SUMPRODUCT((Calc_Alloc!$I$11:$I$27)*(Calc_RAB_NS!Z$174:Z$190))</f>
        <v>0</v>
      </c>
      <c r="AA136" s="67">
        <f>SUMPRODUCT((Calc_Alloc!$I$11:$I$27)*(Calc_RAB_NS!AA$174:AA$190))</f>
        <v>0</v>
      </c>
      <c r="AB136" s="68">
        <f>SUMPRODUCT((Calc_Alloc!$I$11:$I$27)*(Calc_RAB_NS!AB$174:AB$190))</f>
        <v>0</v>
      </c>
    </row>
    <row r="137" spans="4:28" ht="12.3" x14ac:dyDescent="0.35">
      <c r="D137" s="15" t="str">
        <f t="shared" si="43"/>
        <v>Zone substations and transformers</v>
      </c>
      <c r="E137" s="52" t="str">
        <f t="shared" si="43"/>
        <v>Calc_Alloc</v>
      </c>
      <c r="F137" s="52" t="str">
        <f t="shared" si="40"/>
        <v>Dollars</v>
      </c>
      <c r="G137" s="52" t="str">
        <f t="shared" si="41"/>
        <v>Nominal</v>
      </c>
      <c r="H137" s="52" t="str">
        <f t="shared" si="42"/>
        <v>End_year</v>
      </c>
      <c r="J137" s="66">
        <f>SUMPRODUCT((Calc_Alloc!$J$11:$J$27)*(Calc_RAB_NS!J$174:J$190))</f>
        <v>0</v>
      </c>
      <c r="K137" s="67">
        <f>SUMPRODUCT((Calc_Alloc!$J$11:$J$27)*(Calc_RAB_NS!K$174:K$190))</f>
        <v>0</v>
      </c>
      <c r="L137" s="67">
        <f>SUMPRODUCT((Calc_Alloc!$J$11:$J$27)*(Calc_RAB_NS!L$174:L$190))</f>
        <v>0</v>
      </c>
      <c r="M137" s="67">
        <f>SUMPRODUCT((Calc_Alloc!$J$11:$J$27)*(Calc_RAB_NS!M$174:M$190))</f>
        <v>0</v>
      </c>
      <c r="N137" s="67">
        <f>SUMPRODUCT((Calc_Alloc!$J$11:$J$27)*(Calc_RAB_NS!N$174:N$190))</f>
        <v>0</v>
      </c>
      <c r="O137" s="67">
        <f>SUMPRODUCT((Calc_Alloc!$J$11:$J$27)*(Calc_RAB_NS!O$174:O$190))</f>
        <v>0</v>
      </c>
      <c r="P137" s="67">
        <f>SUMPRODUCT((Calc_Alloc!$J$11:$J$27)*(Calc_RAB_NS!P$174:P$190))</f>
        <v>0</v>
      </c>
      <c r="Q137" s="67">
        <f>SUMPRODUCT((Calc_Alloc!$J$11:$J$27)*(Calc_RAB_NS!Q$174:Q$190))</f>
        <v>0</v>
      </c>
      <c r="R137" s="68">
        <f>SUMPRODUCT((Calc_Alloc!$J$11:$J$27)*(Calc_RAB_NS!R$174:R$190))</f>
        <v>0</v>
      </c>
      <c r="S137" s="66">
        <f>SUMPRODUCT((Calc_Alloc!$J$11:$J$27)*(Calc_RAB_NS!S$174:S$190))</f>
        <v>0</v>
      </c>
      <c r="T137" s="67">
        <f>SUMPRODUCT((Calc_Alloc!$J$11:$J$27)*(Calc_RAB_NS!T$174:T$190))</f>
        <v>0</v>
      </c>
      <c r="U137" s="67">
        <f>SUMPRODUCT((Calc_Alloc!$J$11:$J$27)*(Calc_RAB_NS!U$174:U$190))</f>
        <v>0</v>
      </c>
      <c r="V137" s="67">
        <f>SUMPRODUCT((Calc_Alloc!$J$11:$J$27)*(Calc_RAB_NS!V$174:V$190))</f>
        <v>0</v>
      </c>
      <c r="W137" s="68">
        <f>SUMPRODUCT((Calc_Alloc!$J$11:$J$27)*(Calc_RAB_NS!W$174:W$190))</f>
        <v>-15.490688097430906</v>
      </c>
      <c r="X137" s="66">
        <f>SUMPRODUCT((Calc_Alloc!$J$11:$J$27)*(Calc_RAB_NS!X$174:X$190))</f>
        <v>0</v>
      </c>
      <c r="Y137" s="67">
        <f>SUMPRODUCT((Calc_Alloc!$J$11:$J$27)*(Calc_RAB_NS!Y$174:Y$190))</f>
        <v>0</v>
      </c>
      <c r="Z137" s="67">
        <f>SUMPRODUCT((Calc_Alloc!$J$11:$J$27)*(Calc_RAB_NS!Z$174:Z$190))</f>
        <v>0</v>
      </c>
      <c r="AA137" s="67">
        <f>SUMPRODUCT((Calc_Alloc!$J$11:$J$27)*(Calc_RAB_NS!AA$174:AA$190))</f>
        <v>0</v>
      </c>
      <c r="AB137" s="68">
        <f>SUMPRODUCT((Calc_Alloc!$J$11:$J$27)*(Calc_RAB_NS!AB$174:AB$190))</f>
        <v>0</v>
      </c>
    </row>
    <row r="138" spans="4:28" ht="12.3" x14ac:dyDescent="0.35">
      <c r="D138" s="15" t="str">
        <f t="shared" si="43"/>
        <v>Easements</v>
      </c>
      <c r="E138" s="52" t="str">
        <f t="shared" si="43"/>
        <v>Calc_Alloc</v>
      </c>
      <c r="F138" s="52" t="str">
        <f t="shared" si="40"/>
        <v>Dollars</v>
      </c>
      <c r="G138" s="52" t="str">
        <f t="shared" si="41"/>
        <v>Nominal</v>
      </c>
      <c r="H138" s="52" t="str">
        <f t="shared" si="42"/>
        <v>End_year</v>
      </c>
      <c r="J138" s="66">
        <f>SUMPRODUCT((Calc_Alloc!$K$11:$K$27)*(Calc_RAB_NS!J$174:J$190))</f>
        <v>0</v>
      </c>
      <c r="K138" s="67">
        <f>SUMPRODUCT((Calc_Alloc!$K$11:$K$27)*(Calc_RAB_NS!K$174:K$190))</f>
        <v>0</v>
      </c>
      <c r="L138" s="67">
        <f>SUMPRODUCT((Calc_Alloc!$K$11:$K$27)*(Calc_RAB_NS!L$174:L$190))</f>
        <v>0</v>
      </c>
      <c r="M138" s="67">
        <f>SUMPRODUCT((Calc_Alloc!$K$11:$K$27)*(Calc_RAB_NS!M$174:M$190))</f>
        <v>0</v>
      </c>
      <c r="N138" s="67">
        <f>SUMPRODUCT((Calc_Alloc!$K$11:$K$27)*(Calc_RAB_NS!N$174:N$190))</f>
        <v>0</v>
      </c>
      <c r="O138" s="67">
        <f>SUMPRODUCT((Calc_Alloc!$K$11:$K$27)*(Calc_RAB_NS!O$174:O$190))</f>
        <v>0</v>
      </c>
      <c r="P138" s="67">
        <f>SUMPRODUCT((Calc_Alloc!$K$11:$K$27)*(Calc_RAB_NS!P$174:P$190))</f>
        <v>0</v>
      </c>
      <c r="Q138" s="67">
        <f>SUMPRODUCT((Calc_Alloc!$K$11:$K$27)*(Calc_RAB_NS!Q$174:Q$190))</f>
        <v>0</v>
      </c>
      <c r="R138" s="68">
        <f>SUMPRODUCT((Calc_Alloc!$K$11:$K$27)*(Calc_RAB_NS!R$174:R$190))</f>
        <v>0</v>
      </c>
      <c r="S138" s="66">
        <f>SUMPRODUCT((Calc_Alloc!$K$11:$K$27)*(Calc_RAB_NS!S$174:S$190))</f>
        <v>0</v>
      </c>
      <c r="T138" s="67">
        <f>SUMPRODUCT((Calc_Alloc!$K$11:$K$27)*(Calc_RAB_NS!T$174:T$190))</f>
        <v>0</v>
      </c>
      <c r="U138" s="67">
        <f>SUMPRODUCT((Calc_Alloc!$K$11:$K$27)*(Calc_RAB_NS!U$174:U$190))</f>
        <v>0</v>
      </c>
      <c r="V138" s="67">
        <f>SUMPRODUCT((Calc_Alloc!$K$11:$K$27)*(Calc_RAB_NS!V$174:V$190))</f>
        <v>0</v>
      </c>
      <c r="W138" s="68">
        <f>SUMPRODUCT((Calc_Alloc!$K$11:$K$27)*(Calc_RAB_NS!W$174:W$190))</f>
        <v>-1.0011422426514007</v>
      </c>
      <c r="X138" s="66">
        <f>SUMPRODUCT((Calc_Alloc!$K$11:$K$27)*(Calc_RAB_NS!X$174:X$190))</f>
        <v>0</v>
      </c>
      <c r="Y138" s="67">
        <f>SUMPRODUCT((Calc_Alloc!$K$11:$K$27)*(Calc_RAB_NS!Y$174:Y$190))</f>
        <v>0</v>
      </c>
      <c r="Z138" s="67">
        <f>SUMPRODUCT((Calc_Alloc!$K$11:$K$27)*(Calc_RAB_NS!Z$174:Z$190))</f>
        <v>0</v>
      </c>
      <c r="AA138" s="67">
        <f>SUMPRODUCT((Calc_Alloc!$K$11:$K$27)*(Calc_RAB_NS!AA$174:AA$190))</f>
        <v>0</v>
      </c>
      <c r="AB138" s="68">
        <f>SUMPRODUCT((Calc_Alloc!$K$11:$K$27)*(Calc_RAB_NS!AB$174:AB$190))</f>
        <v>0</v>
      </c>
    </row>
    <row r="139" spans="4:28" ht="12.3" x14ac:dyDescent="0.35">
      <c r="D139" s="15" t="str">
        <f t="shared" si="43"/>
        <v>Meters</v>
      </c>
      <c r="E139" s="52" t="str">
        <f t="shared" si="43"/>
        <v>Calc_Alloc</v>
      </c>
      <c r="F139" s="52" t="str">
        <f t="shared" si="40"/>
        <v>Dollars</v>
      </c>
      <c r="G139" s="52" t="str">
        <f t="shared" si="41"/>
        <v>Nominal</v>
      </c>
      <c r="H139" s="52" t="str">
        <f t="shared" si="42"/>
        <v>End_year</v>
      </c>
      <c r="J139" s="66">
        <f>SUMPRODUCT((Calc_Alloc!$L$11:$L$27)*(Calc_RAB_NS!J$174:J$190))</f>
        <v>0</v>
      </c>
      <c r="K139" s="67">
        <f>SUMPRODUCT((Calc_Alloc!$L$11:$L$27)*(Calc_RAB_NS!K$174:K$190))</f>
        <v>0</v>
      </c>
      <c r="L139" s="67">
        <f>SUMPRODUCT((Calc_Alloc!$L$11:$L$27)*(Calc_RAB_NS!L$174:L$190))</f>
        <v>0</v>
      </c>
      <c r="M139" s="67">
        <f>SUMPRODUCT((Calc_Alloc!$L$11:$L$27)*(Calc_RAB_NS!M$174:M$190))</f>
        <v>0</v>
      </c>
      <c r="N139" s="67">
        <f>SUMPRODUCT((Calc_Alloc!$L$11:$L$27)*(Calc_RAB_NS!N$174:N$190))</f>
        <v>0</v>
      </c>
      <c r="O139" s="67">
        <f>SUMPRODUCT((Calc_Alloc!$L$11:$L$27)*(Calc_RAB_NS!O$174:O$190))</f>
        <v>0</v>
      </c>
      <c r="P139" s="67">
        <f>SUMPRODUCT((Calc_Alloc!$L$11:$L$27)*(Calc_RAB_NS!P$174:P$190))</f>
        <v>0</v>
      </c>
      <c r="Q139" s="67">
        <f>SUMPRODUCT((Calc_Alloc!$L$11:$L$27)*(Calc_RAB_NS!Q$174:Q$190))</f>
        <v>0</v>
      </c>
      <c r="R139" s="68">
        <f>SUMPRODUCT((Calc_Alloc!$L$11:$L$27)*(Calc_RAB_NS!R$174:R$190))</f>
        <v>0</v>
      </c>
      <c r="S139" s="66">
        <f>SUMPRODUCT((Calc_Alloc!$L$11:$L$27)*(Calc_RAB_NS!S$174:S$190))</f>
        <v>0</v>
      </c>
      <c r="T139" s="67">
        <f>SUMPRODUCT((Calc_Alloc!$L$11:$L$27)*(Calc_RAB_NS!T$174:T$190))</f>
        <v>0</v>
      </c>
      <c r="U139" s="67">
        <f>SUMPRODUCT((Calc_Alloc!$L$11:$L$27)*(Calc_RAB_NS!U$174:U$190))</f>
        <v>0</v>
      </c>
      <c r="V139" s="67">
        <f>SUMPRODUCT((Calc_Alloc!$L$11:$L$27)*(Calc_RAB_NS!V$174:V$190))</f>
        <v>0</v>
      </c>
      <c r="W139" s="68">
        <f>SUMPRODUCT((Calc_Alloc!$L$11:$L$27)*(Calc_RAB_NS!W$174:W$190))</f>
        <v>0</v>
      </c>
      <c r="X139" s="66">
        <f>SUMPRODUCT((Calc_Alloc!$L$11:$L$27)*(Calc_RAB_NS!X$174:X$190))</f>
        <v>0</v>
      </c>
      <c r="Y139" s="67">
        <f>SUMPRODUCT((Calc_Alloc!$L$11:$L$27)*(Calc_RAB_NS!Y$174:Y$190))</f>
        <v>0</v>
      </c>
      <c r="Z139" s="67">
        <f>SUMPRODUCT((Calc_Alloc!$L$11:$L$27)*(Calc_RAB_NS!Z$174:Z$190))</f>
        <v>0</v>
      </c>
      <c r="AA139" s="67">
        <f>SUMPRODUCT((Calc_Alloc!$L$11:$L$27)*(Calc_RAB_NS!AA$174:AA$190))</f>
        <v>0</v>
      </c>
      <c r="AB139" s="68">
        <f>SUMPRODUCT((Calc_Alloc!$L$11:$L$27)*(Calc_RAB_NS!AB$174:AB$190))</f>
        <v>0</v>
      </c>
    </row>
    <row r="140" spans="4:28" ht="12.3" x14ac:dyDescent="0.35">
      <c r="D140" s="15" t="str">
        <f t="shared" si="43"/>
        <v>“Other” asset items with long lives</v>
      </c>
      <c r="E140" s="52" t="str">
        <f t="shared" si="43"/>
        <v>Calc_Alloc</v>
      </c>
      <c r="F140" s="52" t="str">
        <f t="shared" si="40"/>
        <v>Dollars</v>
      </c>
      <c r="G140" s="52" t="str">
        <f t="shared" si="41"/>
        <v>Nominal</v>
      </c>
      <c r="H140" s="52" t="str">
        <f t="shared" si="42"/>
        <v>End_year</v>
      </c>
      <c r="J140" s="66">
        <f>SUMPRODUCT((Calc_Alloc!$M$11:$M$27)*(Calc_RAB_NS!J$174:J$190))</f>
        <v>0</v>
      </c>
      <c r="K140" s="67">
        <f>SUMPRODUCT((Calc_Alloc!$M$11:$M$27)*(Calc_RAB_NS!K$174:K$190))</f>
        <v>0</v>
      </c>
      <c r="L140" s="67">
        <f>SUMPRODUCT((Calc_Alloc!$M$11:$M$27)*(Calc_RAB_NS!L$174:L$190))</f>
        <v>0</v>
      </c>
      <c r="M140" s="67">
        <f>SUMPRODUCT((Calc_Alloc!$M$11:$M$27)*(Calc_RAB_NS!M$174:M$190))</f>
        <v>0</v>
      </c>
      <c r="N140" s="67">
        <f>SUMPRODUCT((Calc_Alloc!$M$11:$M$27)*(Calc_RAB_NS!N$174:N$190))</f>
        <v>0</v>
      </c>
      <c r="O140" s="67">
        <f>SUMPRODUCT((Calc_Alloc!$M$11:$M$27)*(Calc_RAB_NS!O$174:O$190))</f>
        <v>0</v>
      </c>
      <c r="P140" s="67">
        <f>SUMPRODUCT((Calc_Alloc!$M$11:$M$27)*(Calc_RAB_NS!P$174:P$190))</f>
        <v>0</v>
      </c>
      <c r="Q140" s="67">
        <f>SUMPRODUCT((Calc_Alloc!$M$11:$M$27)*(Calc_RAB_NS!Q$174:Q$190))</f>
        <v>0</v>
      </c>
      <c r="R140" s="68">
        <f>SUMPRODUCT((Calc_Alloc!$M$11:$M$27)*(Calc_RAB_NS!R$174:R$190))</f>
        <v>0</v>
      </c>
      <c r="S140" s="66">
        <f>SUMPRODUCT((Calc_Alloc!$M$11:$M$27)*(Calc_RAB_NS!S$174:S$190))</f>
        <v>0</v>
      </c>
      <c r="T140" s="67">
        <f>SUMPRODUCT((Calc_Alloc!$M$11:$M$27)*(Calc_RAB_NS!T$174:T$190))</f>
        <v>0</v>
      </c>
      <c r="U140" s="67">
        <f>SUMPRODUCT((Calc_Alloc!$M$11:$M$27)*(Calc_RAB_NS!U$174:U$190))</f>
        <v>0</v>
      </c>
      <c r="V140" s="67">
        <f>SUMPRODUCT((Calc_Alloc!$M$11:$M$27)*(Calc_RAB_NS!V$174:V$190))</f>
        <v>0</v>
      </c>
      <c r="W140" s="68">
        <f>SUMPRODUCT((Calc_Alloc!$M$11:$M$27)*(Calc_RAB_NS!W$174:W$190))</f>
        <v>0.55570773408622298</v>
      </c>
      <c r="X140" s="66">
        <f>SUMPRODUCT((Calc_Alloc!$M$11:$M$27)*(Calc_RAB_NS!X$174:X$190))</f>
        <v>0</v>
      </c>
      <c r="Y140" s="67">
        <f>SUMPRODUCT((Calc_Alloc!$M$11:$M$27)*(Calc_RAB_NS!Y$174:Y$190))</f>
        <v>0</v>
      </c>
      <c r="Z140" s="67">
        <f>SUMPRODUCT((Calc_Alloc!$M$11:$M$27)*(Calc_RAB_NS!Z$174:Z$190))</f>
        <v>0</v>
      </c>
      <c r="AA140" s="67">
        <f>SUMPRODUCT((Calc_Alloc!$M$11:$M$27)*(Calc_RAB_NS!AA$174:AA$190))</f>
        <v>0</v>
      </c>
      <c r="AB140" s="68">
        <f>SUMPRODUCT((Calc_Alloc!$M$11:$M$27)*(Calc_RAB_NS!AB$174:AB$190))</f>
        <v>0</v>
      </c>
    </row>
    <row r="141" spans="4:28" ht="12.3" x14ac:dyDescent="0.35">
      <c r="D141" s="15" t="str">
        <f t="shared" si="43"/>
        <v>“Other” asset items with short lives</v>
      </c>
      <c r="E141" s="52" t="str">
        <f t="shared" si="43"/>
        <v>Calc_Alloc</v>
      </c>
      <c r="F141" s="52" t="str">
        <f t="shared" si="40"/>
        <v>Dollars</v>
      </c>
      <c r="G141" s="52" t="str">
        <f t="shared" si="41"/>
        <v>Nominal</v>
      </c>
      <c r="H141" s="52" t="str">
        <f t="shared" si="42"/>
        <v>End_year</v>
      </c>
      <c r="J141" s="66">
        <f>SUMPRODUCT((Calc_Alloc!$N$11:$N$27)*(Calc_RAB_NS!J$174:J$190))</f>
        <v>0</v>
      </c>
      <c r="K141" s="67">
        <f>SUMPRODUCT((Calc_Alloc!$N$11:$N$27)*(Calc_RAB_NS!K$174:K$190))</f>
        <v>0</v>
      </c>
      <c r="L141" s="67">
        <f>SUMPRODUCT((Calc_Alloc!$N$11:$N$27)*(Calc_RAB_NS!L$174:L$190))</f>
        <v>0</v>
      </c>
      <c r="M141" s="67">
        <f>SUMPRODUCT((Calc_Alloc!$N$11:$N$27)*(Calc_RAB_NS!M$174:M$190))</f>
        <v>0</v>
      </c>
      <c r="N141" s="67">
        <f>SUMPRODUCT((Calc_Alloc!$N$11:$N$27)*(Calc_RAB_NS!N$174:N$190))</f>
        <v>0</v>
      </c>
      <c r="O141" s="67">
        <f>SUMPRODUCT((Calc_Alloc!$N$11:$N$27)*(Calc_RAB_NS!O$174:O$190))</f>
        <v>0</v>
      </c>
      <c r="P141" s="67">
        <f>SUMPRODUCT((Calc_Alloc!$N$11:$N$27)*(Calc_RAB_NS!P$174:P$190))</f>
        <v>0</v>
      </c>
      <c r="Q141" s="67">
        <f>SUMPRODUCT((Calc_Alloc!$N$11:$N$27)*(Calc_RAB_NS!Q$174:Q$190))</f>
        <v>0</v>
      </c>
      <c r="R141" s="68">
        <f>SUMPRODUCT((Calc_Alloc!$N$11:$N$27)*(Calc_RAB_NS!R$174:R$190))</f>
        <v>0</v>
      </c>
      <c r="S141" s="66">
        <f>SUMPRODUCT((Calc_Alloc!$N$11:$N$27)*(Calc_RAB_NS!S$174:S$190))</f>
        <v>0</v>
      </c>
      <c r="T141" s="67">
        <f>SUMPRODUCT((Calc_Alloc!$N$11:$N$27)*(Calc_RAB_NS!T$174:T$190))</f>
        <v>0</v>
      </c>
      <c r="U141" s="67">
        <f>SUMPRODUCT((Calc_Alloc!$N$11:$N$27)*(Calc_RAB_NS!U$174:U$190))</f>
        <v>0</v>
      </c>
      <c r="V141" s="67">
        <f>SUMPRODUCT((Calc_Alloc!$N$11:$N$27)*(Calc_RAB_NS!V$174:V$190))</f>
        <v>0</v>
      </c>
      <c r="W141" s="68">
        <f>SUMPRODUCT((Calc_Alloc!$N$11:$N$27)*(Calc_RAB_NS!W$174:W$190))</f>
        <v>-0.90928451702367419</v>
      </c>
      <c r="X141" s="66">
        <f>SUMPRODUCT((Calc_Alloc!$N$11:$N$27)*(Calc_RAB_NS!X$174:X$190))</f>
        <v>0</v>
      </c>
      <c r="Y141" s="67">
        <f>SUMPRODUCT((Calc_Alloc!$N$11:$N$27)*(Calc_RAB_NS!Y$174:Y$190))</f>
        <v>0</v>
      </c>
      <c r="Z141" s="67">
        <f>SUMPRODUCT((Calc_Alloc!$N$11:$N$27)*(Calc_RAB_NS!Z$174:Z$190))</f>
        <v>0</v>
      </c>
      <c r="AA141" s="67">
        <f>SUMPRODUCT((Calc_Alloc!$N$11:$N$27)*(Calc_RAB_NS!AA$174:AA$190))</f>
        <v>0</v>
      </c>
      <c r="AB141" s="68">
        <f>SUMPRODUCT((Calc_Alloc!$N$11:$N$27)*(Calc_RAB_NS!AB$174:AB$190))</f>
        <v>0</v>
      </c>
    </row>
    <row r="142" spans="4:28" x14ac:dyDescent="0.35">
      <c r="J142" s="56"/>
      <c r="K142" s="57"/>
      <c r="L142" s="57"/>
      <c r="M142" s="57"/>
      <c r="N142" s="57"/>
      <c r="O142" s="57"/>
      <c r="P142" s="57"/>
      <c r="Q142" s="57"/>
      <c r="R142" s="58"/>
      <c r="S142" s="56"/>
      <c r="T142" s="57"/>
      <c r="U142" s="57"/>
      <c r="V142" s="57"/>
      <c r="W142" s="58"/>
      <c r="X142" s="56"/>
      <c r="Y142" s="57"/>
      <c r="Z142" s="57"/>
      <c r="AA142" s="57"/>
      <c r="AB142" s="58"/>
    </row>
    <row r="143" spans="4:28" ht="12.3" x14ac:dyDescent="0.35">
      <c r="D143" s="51" t="str">
        <f>"Total "&amp;D130</f>
        <v>Total EB RIN Categories</v>
      </c>
      <c r="E143" s="47" t="s">
        <v>111</v>
      </c>
      <c r="F143" s="47" t="str">
        <f>F132</f>
        <v>Dollars</v>
      </c>
      <c r="G143" s="47" t="str">
        <f>G132</f>
        <v>Nominal</v>
      </c>
      <c r="H143" s="47" t="str">
        <f>H132</f>
        <v>End_year</v>
      </c>
      <c r="J143" s="62">
        <f t="shared" ref="J143:AB143" si="44">SUM(J132:J141)</f>
        <v>0</v>
      </c>
      <c r="K143" s="46">
        <f t="shared" si="44"/>
        <v>0</v>
      </c>
      <c r="L143" s="46">
        <f t="shared" si="44"/>
        <v>0</v>
      </c>
      <c r="M143" s="46">
        <f t="shared" si="44"/>
        <v>0</v>
      </c>
      <c r="N143" s="46">
        <f t="shared" si="44"/>
        <v>0</v>
      </c>
      <c r="O143" s="46">
        <f t="shared" si="44"/>
        <v>0</v>
      </c>
      <c r="P143" s="46">
        <f t="shared" si="44"/>
        <v>0</v>
      </c>
      <c r="Q143" s="46">
        <f t="shared" si="44"/>
        <v>0</v>
      </c>
      <c r="R143" s="63">
        <f t="shared" si="44"/>
        <v>0</v>
      </c>
      <c r="S143" s="62">
        <f t="shared" si="44"/>
        <v>0</v>
      </c>
      <c r="T143" s="46">
        <f t="shared" si="44"/>
        <v>0</v>
      </c>
      <c r="U143" s="46">
        <f t="shared" si="44"/>
        <v>0</v>
      </c>
      <c r="V143" s="46">
        <f t="shared" si="44"/>
        <v>0</v>
      </c>
      <c r="W143" s="63">
        <f t="shared" si="44"/>
        <v>-8.5574012148090262</v>
      </c>
      <c r="X143" s="62">
        <f t="shared" si="44"/>
        <v>0</v>
      </c>
      <c r="Y143" s="46">
        <f t="shared" si="44"/>
        <v>0</v>
      </c>
      <c r="Z143" s="46">
        <f t="shared" si="44"/>
        <v>0</v>
      </c>
      <c r="AA143" s="46">
        <f t="shared" si="44"/>
        <v>0</v>
      </c>
      <c r="AB143" s="63">
        <f t="shared" si="44"/>
        <v>0</v>
      </c>
    </row>
    <row r="144" spans="4:28" s="6" customFormat="1" ht="11.25" customHeight="1" x14ac:dyDescent="0.35"/>
    <row r="145" spans="1:28" s="6" customFormat="1" ht="11.25" customHeight="1" x14ac:dyDescent="0.35">
      <c r="A145" s="49">
        <f>IF(SUM($J145:$AB145)&lt;&gt;0,1,0)</f>
        <v>0</v>
      </c>
      <c r="D145" s="15" t="s">
        <v>114</v>
      </c>
      <c r="J145" s="70">
        <f>IF(ROUND(J143-Calc_RAB_NS!J$192,3)=0,0,1)</f>
        <v>0</v>
      </c>
      <c r="K145" s="70">
        <f>IF(ROUND(K143-Calc_RAB_NS!K$192,3)=0,0,1)</f>
        <v>0</v>
      </c>
      <c r="L145" s="70">
        <f>IF(ROUND(L143-Calc_RAB_NS!L$192,3)=0,0,1)</f>
        <v>0</v>
      </c>
      <c r="M145" s="70">
        <f>IF(ROUND(M143-Calc_RAB_NS!M$192,3)=0,0,1)</f>
        <v>0</v>
      </c>
      <c r="N145" s="70">
        <f>IF(ROUND(N143-Calc_RAB_NS!N$192,3)=0,0,1)</f>
        <v>0</v>
      </c>
      <c r="O145" s="70">
        <f>IF(ROUND(O143-Calc_RAB_NS!O$192,3)=0,0,1)</f>
        <v>0</v>
      </c>
      <c r="P145" s="70">
        <f>IF(ROUND(P143-Calc_RAB_NS!P$192,3)=0,0,1)</f>
        <v>0</v>
      </c>
      <c r="Q145" s="70">
        <f>IF(ROUND(Q143-Calc_RAB_NS!Q$192,3)=0,0,1)</f>
        <v>0</v>
      </c>
      <c r="R145" s="70">
        <f>IF(ROUND(R143-Calc_RAB_NS!R$192,3)=0,0,1)</f>
        <v>0</v>
      </c>
      <c r="S145" s="70">
        <f>IF(ROUND(S143-Calc_RAB_NS!S$192,3)=0,0,1)</f>
        <v>0</v>
      </c>
      <c r="T145" s="70">
        <f>IF(ROUND(T143-Calc_RAB_NS!T$192,3)=0,0,1)</f>
        <v>0</v>
      </c>
      <c r="U145" s="70">
        <f>IF(ROUND(U143-Calc_RAB_NS!U$192,3)=0,0,1)</f>
        <v>0</v>
      </c>
      <c r="V145" s="70">
        <f>IF(ROUND(V143-Calc_RAB_NS!V$192,3)=0,0,1)</f>
        <v>0</v>
      </c>
      <c r="W145" s="70">
        <f>IF(ROUND(W143-Calc_RAB_NS!W$192,3)=0,0,1)</f>
        <v>0</v>
      </c>
      <c r="X145" s="70">
        <f>IF(ROUND(X143-Calc_RAB_NS!X$192,3)=0,0,1)</f>
        <v>0</v>
      </c>
      <c r="Y145" s="70">
        <f>IF(ROUND(Y143-Calc_RAB_NS!Y$192,3)=0,0,1)</f>
        <v>0</v>
      </c>
      <c r="Z145" s="70">
        <f>IF(ROUND(Z143-Calc_RAB_NS!Z$192,3)=0,0,1)</f>
        <v>0</v>
      </c>
      <c r="AA145" s="70">
        <f>IF(ROUND(AA143-Calc_RAB_NS!AA$192,3)=0,0,1)</f>
        <v>0</v>
      </c>
      <c r="AB145" s="70">
        <f>IF(ROUND(AB143-Calc_RAB_NS!AB$192,3)=0,0,1)</f>
        <v>0</v>
      </c>
    </row>
    <row r="147" spans="1:28" s="13" customFormat="1" ht="14.1" x14ac:dyDescent="0.35">
      <c r="C147" s="13" t="s">
        <v>152</v>
      </c>
    </row>
    <row r="148" spans="1:28" s="6" customFormat="1" ht="11.25" customHeight="1" x14ac:dyDescent="0.35"/>
    <row r="149" spans="1:28" ht="12.3" x14ac:dyDescent="0.35">
      <c r="D149" s="50" t="str">
        <f>D$16</f>
        <v>EB RIN Categories</v>
      </c>
      <c r="E149" s="45" t="str">
        <f>Lookup!E$20</f>
        <v>Source</v>
      </c>
      <c r="F149" s="45" t="str">
        <f>Lookup!F$20</f>
        <v>Unit</v>
      </c>
      <c r="G149" s="45" t="str">
        <f>Lookup!G$20</f>
        <v>Basis</v>
      </c>
      <c r="H149" s="45" t="str">
        <f>Lookup!H$20</f>
        <v>Timing</v>
      </c>
      <c r="J149" s="54" t="str">
        <f>J$10</f>
        <v>RY06</v>
      </c>
      <c r="K149" s="45" t="str">
        <f t="shared" ref="K149:AB149" si="45">K$10</f>
        <v>RY07</v>
      </c>
      <c r="L149" s="45" t="str">
        <f t="shared" si="45"/>
        <v>RY08</v>
      </c>
      <c r="M149" s="45" t="str">
        <f t="shared" si="45"/>
        <v>RY09</v>
      </c>
      <c r="N149" s="45" t="str">
        <f t="shared" si="45"/>
        <v>RY10</v>
      </c>
      <c r="O149" s="45" t="str">
        <f>O$10</f>
        <v>RY11</v>
      </c>
      <c r="P149" s="45" t="str">
        <f t="shared" si="45"/>
        <v>RY12</v>
      </c>
      <c r="Q149" s="45" t="str">
        <f t="shared" si="45"/>
        <v>RY13</v>
      </c>
      <c r="R149" s="55" t="str">
        <f t="shared" si="45"/>
        <v>RY14</v>
      </c>
      <c r="S149" s="54" t="str">
        <f t="shared" si="45"/>
        <v>RY15</v>
      </c>
      <c r="T149" s="45" t="str">
        <f>T$10</f>
        <v>RY16</v>
      </c>
      <c r="U149" s="45" t="str">
        <f t="shared" si="45"/>
        <v>RY17</v>
      </c>
      <c r="V149" s="45" t="str">
        <f t="shared" si="45"/>
        <v>RY18</v>
      </c>
      <c r="W149" s="55" t="str">
        <f t="shared" si="45"/>
        <v>RY19</v>
      </c>
      <c r="X149" s="54" t="str">
        <f t="shared" si="45"/>
        <v>RY20</v>
      </c>
      <c r="Y149" s="45" t="str">
        <f>Y$10</f>
        <v>RY21</v>
      </c>
      <c r="Z149" s="45" t="str">
        <f t="shared" si="45"/>
        <v>RY22</v>
      </c>
      <c r="AA149" s="45" t="str">
        <f t="shared" si="45"/>
        <v>RY23</v>
      </c>
      <c r="AB149" s="55" t="str">
        <f t="shared" si="45"/>
        <v>RY24</v>
      </c>
    </row>
    <row r="150" spans="1:28" x14ac:dyDescent="0.35">
      <c r="J150" s="56"/>
      <c r="K150" s="57"/>
      <c r="L150" s="57"/>
      <c r="M150" s="57"/>
      <c r="N150" s="57"/>
      <c r="O150" s="57"/>
      <c r="P150" s="57"/>
      <c r="Q150" s="57"/>
      <c r="R150" s="58"/>
      <c r="S150" s="56"/>
      <c r="T150" s="57"/>
      <c r="U150" s="57"/>
      <c r="V150" s="57"/>
      <c r="W150" s="58"/>
      <c r="X150" s="56"/>
      <c r="Y150" s="57"/>
      <c r="Z150" s="57"/>
      <c r="AA150" s="57"/>
      <c r="AB150" s="58"/>
    </row>
    <row r="151" spans="1:28" ht="12.3" x14ac:dyDescent="0.35">
      <c r="D151" s="15" t="str">
        <f t="shared" ref="D151:E160" si="46">D18</f>
        <v>Overhead network assets less than 33kV</v>
      </c>
      <c r="E151" s="52" t="str">
        <f t="shared" si="46"/>
        <v>Calc_Alloc</v>
      </c>
      <c r="F151" s="52" t="str">
        <f t="shared" ref="F151:F160" si="47">Dollars</f>
        <v>Dollars</v>
      </c>
      <c r="G151" s="52" t="str">
        <f t="shared" ref="G151:G160" si="48">Nominal</f>
        <v>Nominal</v>
      </c>
      <c r="H151" s="52" t="str">
        <f t="shared" ref="H151:H160" si="49">End_year</f>
        <v>End_year</v>
      </c>
      <c r="J151" s="66">
        <f>J113+J132</f>
        <v>40.58084052630528</v>
      </c>
      <c r="K151" s="67">
        <f t="shared" ref="K151:AB151" si="50">K113+K132</f>
        <v>43.998327474311651</v>
      </c>
      <c r="L151" s="67">
        <f t="shared" si="50"/>
        <v>48.579072176043539</v>
      </c>
      <c r="M151" s="67">
        <f t="shared" si="50"/>
        <v>52.016970815439393</v>
      </c>
      <c r="N151" s="67">
        <f t="shared" si="50"/>
        <v>55.674338794952604</v>
      </c>
      <c r="O151" s="67">
        <f t="shared" si="50"/>
        <v>59.565342633047557</v>
      </c>
      <c r="P151" s="67">
        <f t="shared" si="50"/>
        <v>63.17000271572261</v>
      </c>
      <c r="Q151" s="67">
        <f t="shared" si="50"/>
        <v>70.782453599585736</v>
      </c>
      <c r="R151" s="68">
        <f t="shared" si="50"/>
        <v>75.810388470053482</v>
      </c>
      <c r="S151" s="66">
        <f t="shared" si="50"/>
        <v>79.184237783716938</v>
      </c>
      <c r="T151" s="67">
        <f t="shared" si="50"/>
        <v>80.897508137741013</v>
      </c>
      <c r="U151" s="67">
        <f t="shared" si="50"/>
        <v>82.957813462294112</v>
      </c>
      <c r="V151" s="67">
        <f t="shared" si="50"/>
        <v>83.473133796022097</v>
      </c>
      <c r="W151" s="68">
        <f t="shared" si="50"/>
        <v>84.042515233104851</v>
      </c>
      <c r="X151" s="66">
        <f t="shared" si="50"/>
        <v>89.577721642038085</v>
      </c>
      <c r="Y151" s="67">
        <f t="shared" si="50"/>
        <v>96.490790556337956</v>
      </c>
      <c r="Z151" s="67">
        <f t="shared" si="50"/>
        <v>101.53111148057896</v>
      </c>
      <c r="AA151" s="67">
        <f t="shared" si="50"/>
        <v>105.91312928979234</v>
      </c>
      <c r="AB151" s="68">
        <f t="shared" si="50"/>
        <v>111.03357213024786</v>
      </c>
    </row>
    <row r="152" spans="1:28" ht="12.3" x14ac:dyDescent="0.35">
      <c r="D152" s="15" t="str">
        <f t="shared" si="46"/>
        <v>Underground network assets less than 33kV</v>
      </c>
      <c r="E152" s="52" t="str">
        <f t="shared" si="46"/>
        <v>Calc_Alloc</v>
      </c>
      <c r="F152" s="52" t="str">
        <f t="shared" si="47"/>
        <v>Dollars</v>
      </c>
      <c r="G152" s="52" t="str">
        <f t="shared" si="48"/>
        <v>Nominal</v>
      </c>
      <c r="H152" s="52" t="str">
        <f t="shared" si="49"/>
        <v>End_year</v>
      </c>
      <c r="J152" s="66">
        <f t="shared" ref="J152:AB160" si="51">J114+J133</f>
        <v>84.061721445565368</v>
      </c>
      <c r="K152" s="67">
        <f t="shared" si="51"/>
        <v>91.140920923402533</v>
      </c>
      <c r="L152" s="67">
        <f t="shared" si="51"/>
        <v>100.629766253337</v>
      </c>
      <c r="M152" s="67">
        <f t="shared" si="51"/>
        <v>107.75124779233633</v>
      </c>
      <c r="N152" s="67">
        <f t="shared" si="51"/>
        <v>115.32735200659791</v>
      </c>
      <c r="O152" s="67">
        <f t="shared" si="51"/>
        <v>123.38742433764841</v>
      </c>
      <c r="P152" s="67">
        <f t="shared" si="51"/>
        <v>130.85434622052722</v>
      </c>
      <c r="Q152" s="67">
        <f t="shared" si="51"/>
        <v>146.62326069173824</v>
      </c>
      <c r="R152" s="68">
        <f t="shared" si="51"/>
        <v>157.03844405373135</v>
      </c>
      <c r="S152" s="66">
        <f t="shared" si="51"/>
        <v>164.02710836171775</v>
      </c>
      <c r="T152" s="67">
        <f t="shared" si="51"/>
        <v>167.57593934634804</v>
      </c>
      <c r="U152" s="67">
        <f t="shared" si="51"/>
        <v>171.84364848128192</v>
      </c>
      <c r="V152" s="67">
        <f t="shared" si="51"/>
        <v>172.91110390082534</v>
      </c>
      <c r="W152" s="68">
        <f t="shared" si="51"/>
        <v>174.09042101536977</v>
      </c>
      <c r="X152" s="66">
        <f t="shared" si="51"/>
        <v>185.55638489281415</v>
      </c>
      <c r="Y152" s="67">
        <f t="shared" si="51"/>
        <v>199.87653219642934</v>
      </c>
      <c r="Z152" s="67">
        <f t="shared" si="51"/>
        <v>210.31735491986669</v>
      </c>
      <c r="AA152" s="67">
        <f t="shared" si="51"/>
        <v>219.39453058757411</v>
      </c>
      <c r="AB152" s="68">
        <f t="shared" si="51"/>
        <v>230.0013247196656</v>
      </c>
    </row>
    <row r="153" spans="1:28" ht="12.3" x14ac:dyDescent="0.35">
      <c r="D153" s="15" t="str">
        <f t="shared" si="46"/>
        <v>Distribution substations and transformers</v>
      </c>
      <c r="E153" s="52" t="str">
        <f t="shared" si="46"/>
        <v>Calc_Alloc</v>
      </c>
      <c r="F153" s="52" t="str">
        <f t="shared" si="47"/>
        <v>Dollars</v>
      </c>
      <c r="G153" s="52" t="str">
        <f t="shared" si="48"/>
        <v>Nominal</v>
      </c>
      <c r="H153" s="52" t="str">
        <f t="shared" si="49"/>
        <v>End_year</v>
      </c>
      <c r="J153" s="66">
        <f t="shared" si="51"/>
        <v>55.066758148958435</v>
      </c>
      <c r="K153" s="67">
        <f t="shared" si="51"/>
        <v>53.511958775880494</v>
      </c>
      <c r="L153" s="67">
        <f t="shared" si="51"/>
        <v>59.796961032124919</v>
      </c>
      <c r="M153" s="67">
        <f t="shared" si="51"/>
        <v>68.281614135150278</v>
      </c>
      <c r="N153" s="67">
        <f t="shared" si="51"/>
        <v>80.384183096319191</v>
      </c>
      <c r="O153" s="67">
        <f t="shared" si="51"/>
        <v>91.927764552293439</v>
      </c>
      <c r="P153" s="67">
        <f t="shared" si="51"/>
        <v>94.368202669798663</v>
      </c>
      <c r="Q153" s="67">
        <f t="shared" si="51"/>
        <v>97.269887866474079</v>
      </c>
      <c r="R153" s="68">
        <f t="shared" si="51"/>
        <v>100.47441671974134</v>
      </c>
      <c r="S153" s="66">
        <f t="shared" si="51"/>
        <v>111.29602347145031</v>
      </c>
      <c r="T153" s="67">
        <f t="shared" si="51"/>
        <v>120.24849856743077</v>
      </c>
      <c r="U153" s="67">
        <f t="shared" si="51"/>
        <v>127.06892298093524</v>
      </c>
      <c r="V153" s="67">
        <f t="shared" si="51"/>
        <v>131.95708981330677</v>
      </c>
      <c r="W153" s="68">
        <f t="shared" si="51"/>
        <v>147.23298763042686</v>
      </c>
      <c r="X153" s="66">
        <f t="shared" si="51"/>
        <v>153.34285378764153</v>
      </c>
      <c r="Y153" s="67">
        <f t="shared" si="51"/>
        <v>160.41252437963658</v>
      </c>
      <c r="Z153" s="67">
        <f t="shared" si="51"/>
        <v>167.23641989848062</v>
      </c>
      <c r="AA153" s="67">
        <f t="shared" si="51"/>
        <v>175.4719882423995</v>
      </c>
      <c r="AB153" s="68">
        <f t="shared" si="51"/>
        <v>184.3448904326728</v>
      </c>
    </row>
    <row r="154" spans="1:28" ht="12.3" x14ac:dyDescent="0.35">
      <c r="D154" s="15" t="str">
        <f t="shared" si="46"/>
        <v>Overhead network assets 33kV and above</v>
      </c>
      <c r="E154" s="52" t="str">
        <f t="shared" si="46"/>
        <v>Calc_Alloc</v>
      </c>
      <c r="F154" s="52" t="str">
        <f t="shared" si="47"/>
        <v>Dollars</v>
      </c>
      <c r="G154" s="52" t="str">
        <f t="shared" si="48"/>
        <v>Nominal</v>
      </c>
      <c r="H154" s="52" t="str">
        <f t="shared" si="49"/>
        <v>End_year</v>
      </c>
      <c r="J154" s="66">
        <f t="shared" si="51"/>
        <v>70.740199656719199</v>
      </c>
      <c r="K154" s="67">
        <f t="shared" si="51"/>
        <v>75.612645019104377</v>
      </c>
      <c r="L154" s="67">
        <f t="shared" si="51"/>
        <v>76.897616946939394</v>
      </c>
      <c r="M154" s="67">
        <f t="shared" si="51"/>
        <v>76.242035307053598</v>
      </c>
      <c r="N154" s="67">
        <f t="shared" si="51"/>
        <v>86.989103942939948</v>
      </c>
      <c r="O154" s="67">
        <f t="shared" si="51"/>
        <v>97.554269173773747</v>
      </c>
      <c r="P154" s="67">
        <f t="shared" si="51"/>
        <v>101.94955559821641</v>
      </c>
      <c r="Q154" s="67">
        <f t="shared" si="51"/>
        <v>111.32195664985137</v>
      </c>
      <c r="R154" s="68">
        <f t="shared" si="51"/>
        <v>112.69114532304692</v>
      </c>
      <c r="S154" s="66">
        <f t="shared" si="51"/>
        <v>112.64394026495373</v>
      </c>
      <c r="T154" s="67">
        <f t="shared" si="51"/>
        <v>114.13606717696348</v>
      </c>
      <c r="U154" s="67">
        <f t="shared" si="51"/>
        <v>116.39551161419392</v>
      </c>
      <c r="V154" s="67">
        <f t="shared" si="51"/>
        <v>120.67292872717621</v>
      </c>
      <c r="W154" s="68">
        <f t="shared" si="51"/>
        <v>120.32531256962051</v>
      </c>
      <c r="X154" s="66">
        <f t="shared" si="51"/>
        <v>120.91444021703823</v>
      </c>
      <c r="Y154" s="67">
        <f t="shared" si="51"/>
        <v>121.35502625510428</v>
      </c>
      <c r="Z154" s="67">
        <f t="shared" si="51"/>
        <v>121.65446115412682</v>
      </c>
      <c r="AA154" s="67">
        <f t="shared" si="51"/>
        <v>122.01797211602037</v>
      </c>
      <c r="AB154" s="68">
        <f t="shared" si="51"/>
        <v>122.31828967673989</v>
      </c>
    </row>
    <row r="155" spans="1:28" ht="12.3" x14ac:dyDescent="0.35">
      <c r="D155" s="15" t="str">
        <f t="shared" si="46"/>
        <v>Underground network assets 33kV and above</v>
      </c>
      <c r="E155" s="52" t="str">
        <f t="shared" si="46"/>
        <v>Calc_Alloc</v>
      </c>
      <c r="F155" s="52" t="str">
        <f t="shared" si="47"/>
        <v>Dollars</v>
      </c>
      <c r="G155" s="52" t="str">
        <f t="shared" si="48"/>
        <v>Nominal</v>
      </c>
      <c r="H155" s="52" t="str">
        <f t="shared" si="49"/>
        <v>End_year</v>
      </c>
      <c r="J155" s="66">
        <f t="shared" si="51"/>
        <v>35.397401764715589</v>
      </c>
      <c r="K155" s="67">
        <f t="shared" si="51"/>
        <v>37.835504949410108</v>
      </c>
      <c r="L155" s="67">
        <f t="shared" si="51"/>
        <v>38.478486843816412</v>
      </c>
      <c r="M155" s="67">
        <f t="shared" si="51"/>
        <v>38.150443004398092</v>
      </c>
      <c r="N155" s="67">
        <f t="shared" si="51"/>
        <v>43.528125116457396</v>
      </c>
      <c r="O155" s="67">
        <f t="shared" si="51"/>
        <v>48.814785320997913</v>
      </c>
      <c r="P155" s="67">
        <f t="shared" si="51"/>
        <v>51.014124878872899</v>
      </c>
      <c r="Q155" s="67">
        <f t="shared" si="51"/>
        <v>55.703942650588139</v>
      </c>
      <c r="R155" s="68">
        <f t="shared" si="51"/>
        <v>56.389065420837447</v>
      </c>
      <c r="S155" s="66">
        <f t="shared" si="51"/>
        <v>56.365444673161299</v>
      </c>
      <c r="T155" s="67">
        <f t="shared" si="51"/>
        <v>57.11208401040745</v>
      </c>
      <c r="U155" s="67">
        <f t="shared" si="51"/>
        <v>58.242678253819385</v>
      </c>
      <c r="V155" s="67">
        <f t="shared" si="51"/>
        <v>60.383037664709491</v>
      </c>
      <c r="W155" s="68">
        <f t="shared" si="51"/>
        <v>60.20909542467318</v>
      </c>
      <c r="X155" s="66">
        <f t="shared" si="51"/>
        <v>60.503886620168004</v>
      </c>
      <c r="Y155" s="67">
        <f t="shared" si="51"/>
        <v>60.724349681864581</v>
      </c>
      <c r="Z155" s="67">
        <f t="shared" si="51"/>
        <v>60.874182697243562</v>
      </c>
      <c r="AA155" s="67">
        <f t="shared" si="51"/>
        <v>61.056078473993779</v>
      </c>
      <c r="AB155" s="68">
        <f t="shared" si="51"/>
        <v>61.206353160881484</v>
      </c>
    </row>
    <row r="156" spans="1:28" ht="12.3" x14ac:dyDescent="0.35">
      <c r="D156" s="15" t="str">
        <f t="shared" si="46"/>
        <v>Zone substations and transformers</v>
      </c>
      <c r="E156" s="52" t="str">
        <f t="shared" si="46"/>
        <v>Calc_Alloc</v>
      </c>
      <c r="F156" s="52" t="str">
        <f t="shared" si="47"/>
        <v>Dollars</v>
      </c>
      <c r="G156" s="52" t="str">
        <f t="shared" si="48"/>
        <v>Nominal</v>
      </c>
      <c r="H156" s="52" t="str">
        <f t="shared" si="49"/>
        <v>End_year</v>
      </c>
      <c r="J156" s="66">
        <f t="shared" si="51"/>
        <v>49.257548154962308</v>
      </c>
      <c r="K156" s="67">
        <f t="shared" si="51"/>
        <v>51.93307559593201</v>
      </c>
      <c r="L156" s="67">
        <f t="shared" si="51"/>
        <v>73.566519243986875</v>
      </c>
      <c r="M156" s="67">
        <f t="shared" si="51"/>
        <v>105.48723246211824</v>
      </c>
      <c r="N156" s="67">
        <f t="shared" si="51"/>
        <v>134.25745022204163</v>
      </c>
      <c r="O156" s="67">
        <f t="shared" si="51"/>
        <v>175.9477180867863</v>
      </c>
      <c r="P156" s="67">
        <f t="shared" si="51"/>
        <v>211.49979112014324</v>
      </c>
      <c r="Q156" s="67">
        <f t="shared" si="51"/>
        <v>264.91040389827987</v>
      </c>
      <c r="R156" s="68">
        <f t="shared" si="51"/>
        <v>314.98760845090567</v>
      </c>
      <c r="S156" s="66">
        <f t="shared" si="51"/>
        <v>334.30781602676626</v>
      </c>
      <c r="T156" s="67">
        <f t="shared" si="51"/>
        <v>344.20334039390258</v>
      </c>
      <c r="U156" s="67">
        <f t="shared" si="51"/>
        <v>344.93919547332405</v>
      </c>
      <c r="V156" s="67">
        <f t="shared" si="51"/>
        <v>341.65083978271218</v>
      </c>
      <c r="W156" s="68">
        <f t="shared" si="51"/>
        <v>325.90080806224711</v>
      </c>
      <c r="X156" s="66">
        <f t="shared" si="51"/>
        <v>332.5534485892818</v>
      </c>
      <c r="Y156" s="67">
        <f t="shared" si="51"/>
        <v>338.83170779216249</v>
      </c>
      <c r="Z156" s="67">
        <f t="shared" si="51"/>
        <v>348.38225451899098</v>
      </c>
      <c r="AA156" s="67">
        <f t="shared" si="51"/>
        <v>357.95320913092814</v>
      </c>
      <c r="AB156" s="68">
        <f t="shared" si="51"/>
        <v>359.15366263962591</v>
      </c>
    </row>
    <row r="157" spans="1:28" ht="12.3" x14ac:dyDescent="0.35">
      <c r="D157" s="15" t="str">
        <f t="shared" si="46"/>
        <v>Easements</v>
      </c>
      <c r="E157" s="52" t="str">
        <f t="shared" si="46"/>
        <v>Calc_Alloc</v>
      </c>
      <c r="F157" s="52" t="str">
        <f t="shared" si="47"/>
        <v>Dollars</v>
      </c>
      <c r="G157" s="52" t="str">
        <f t="shared" si="48"/>
        <v>Nominal</v>
      </c>
      <c r="H157" s="52" t="str">
        <f t="shared" si="49"/>
        <v>End_year</v>
      </c>
      <c r="J157" s="66">
        <f t="shared" si="51"/>
        <v>29.444843897374323</v>
      </c>
      <c r="K157" s="67">
        <f t="shared" si="51"/>
        <v>30.922463155114897</v>
      </c>
      <c r="L157" s="67">
        <f t="shared" si="51"/>
        <v>32.243630749502024</v>
      </c>
      <c r="M157" s="67">
        <f t="shared" si="51"/>
        <v>33.029189859678155</v>
      </c>
      <c r="N157" s="67">
        <f t="shared" si="51"/>
        <v>33.993285131257949</v>
      </c>
      <c r="O157" s="67">
        <f t="shared" si="51"/>
        <v>35.10020933196067</v>
      </c>
      <c r="P157" s="67">
        <f t="shared" si="51"/>
        <v>35.671525048452402</v>
      </c>
      <c r="Q157" s="67">
        <f t="shared" si="51"/>
        <v>33.024999999999999</v>
      </c>
      <c r="R157" s="68">
        <f t="shared" si="51"/>
        <v>34.47125290902666</v>
      </c>
      <c r="S157" s="66">
        <f t="shared" si="51"/>
        <v>34.929125338558322</v>
      </c>
      <c r="T157" s="67">
        <f t="shared" si="51"/>
        <v>35.386997768089991</v>
      </c>
      <c r="U157" s="67">
        <f t="shared" si="51"/>
        <v>36.128882714951189</v>
      </c>
      <c r="V157" s="67">
        <f t="shared" si="51"/>
        <v>37.004962835958267</v>
      </c>
      <c r="W157" s="68">
        <f t="shared" si="51"/>
        <v>46.354917721396681</v>
      </c>
      <c r="X157" s="66">
        <f t="shared" si="51"/>
        <v>47.478966373746196</v>
      </c>
      <c r="Y157" s="67">
        <f t="shared" si="51"/>
        <v>48.630271797004951</v>
      </c>
      <c r="Z157" s="67">
        <f t="shared" si="51"/>
        <v>49.809494933703185</v>
      </c>
      <c r="AA157" s="67">
        <f t="shared" si="51"/>
        <v>51.017312753399054</v>
      </c>
      <c r="AB157" s="68">
        <f t="shared" si="51"/>
        <v>52.254418641313983</v>
      </c>
    </row>
    <row r="158" spans="1:28" ht="12.3" x14ac:dyDescent="0.35">
      <c r="D158" s="15" t="str">
        <f t="shared" si="46"/>
        <v>Meters</v>
      </c>
      <c r="E158" s="52" t="str">
        <f t="shared" si="46"/>
        <v>Calc_Alloc</v>
      </c>
      <c r="F158" s="52" t="str">
        <f t="shared" si="47"/>
        <v>Dollars</v>
      </c>
      <c r="G158" s="52" t="str">
        <f t="shared" si="48"/>
        <v>Nominal</v>
      </c>
      <c r="H158" s="52" t="str">
        <f t="shared" si="49"/>
        <v>End_year</v>
      </c>
      <c r="J158" s="66">
        <f t="shared" si="51"/>
        <v>0</v>
      </c>
      <c r="K158" s="67">
        <f t="shared" si="51"/>
        <v>0</v>
      </c>
      <c r="L158" s="67">
        <f t="shared" si="51"/>
        <v>0</v>
      </c>
      <c r="M158" s="67">
        <f t="shared" si="51"/>
        <v>0</v>
      </c>
      <c r="N158" s="67">
        <f t="shared" si="51"/>
        <v>0</v>
      </c>
      <c r="O158" s="67">
        <f t="shared" si="51"/>
        <v>0</v>
      </c>
      <c r="P158" s="67">
        <f t="shared" si="51"/>
        <v>0</v>
      </c>
      <c r="Q158" s="67">
        <f t="shared" si="51"/>
        <v>0</v>
      </c>
      <c r="R158" s="68">
        <f t="shared" si="51"/>
        <v>0</v>
      </c>
      <c r="S158" s="66">
        <f t="shared" si="51"/>
        <v>0</v>
      </c>
      <c r="T158" s="67">
        <f t="shared" si="51"/>
        <v>0</v>
      </c>
      <c r="U158" s="67">
        <f t="shared" si="51"/>
        <v>0</v>
      </c>
      <c r="V158" s="67">
        <f t="shared" si="51"/>
        <v>0</v>
      </c>
      <c r="W158" s="68">
        <f t="shared" si="51"/>
        <v>0</v>
      </c>
      <c r="X158" s="66">
        <f t="shared" si="51"/>
        <v>0</v>
      </c>
      <c r="Y158" s="67">
        <f t="shared" si="51"/>
        <v>0</v>
      </c>
      <c r="Z158" s="67">
        <f t="shared" si="51"/>
        <v>0</v>
      </c>
      <c r="AA158" s="67">
        <f t="shared" si="51"/>
        <v>0</v>
      </c>
      <c r="AB158" s="68">
        <f t="shared" si="51"/>
        <v>0</v>
      </c>
    </row>
    <row r="159" spans="1:28" ht="12.3" x14ac:dyDescent="0.35">
      <c r="D159" s="15" t="str">
        <f t="shared" si="46"/>
        <v>“Other” asset items with long lives</v>
      </c>
      <c r="E159" s="52" t="str">
        <f t="shared" si="46"/>
        <v>Calc_Alloc</v>
      </c>
      <c r="F159" s="52" t="str">
        <f t="shared" si="47"/>
        <v>Dollars</v>
      </c>
      <c r="G159" s="52" t="str">
        <f t="shared" si="48"/>
        <v>Nominal</v>
      </c>
      <c r="H159" s="52" t="str">
        <f t="shared" si="49"/>
        <v>End_year</v>
      </c>
      <c r="J159" s="66">
        <f t="shared" si="51"/>
        <v>0.58076591627221685</v>
      </c>
      <c r="K159" s="67">
        <f t="shared" si="51"/>
        <v>0.59519915206123042</v>
      </c>
      <c r="L159" s="67">
        <f t="shared" si="51"/>
        <v>1.1576579982008739</v>
      </c>
      <c r="M159" s="67">
        <f t="shared" si="51"/>
        <v>1.4515497160196358</v>
      </c>
      <c r="N159" s="67">
        <f t="shared" si="51"/>
        <v>1.4939192752980466</v>
      </c>
      <c r="O159" s="67">
        <f t="shared" si="51"/>
        <v>1.5425658063214072</v>
      </c>
      <c r="P159" s="67">
        <f t="shared" si="51"/>
        <v>1.5676736933012065</v>
      </c>
      <c r="Q159" s="67">
        <f t="shared" si="51"/>
        <v>1.6069047667071426</v>
      </c>
      <c r="R159" s="68">
        <f t="shared" si="51"/>
        <v>1.736675383044163</v>
      </c>
      <c r="S159" s="66">
        <f t="shared" si="51"/>
        <v>1.9050662301253951</v>
      </c>
      <c r="T159" s="67">
        <f t="shared" si="51"/>
        <v>2.4524778089326911</v>
      </c>
      <c r="U159" s="67">
        <f t="shared" si="51"/>
        <v>4.8751079789943796</v>
      </c>
      <c r="V159" s="67">
        <f t="shared" si="51"/>
        <v>9.1333197251311944</v>
      </c>
      <c r="W159" s="68">
        <f t="shared" si="51"/>
        <v>25.081416738636822</v>
      </c>
      <c r="X159" s="66">
        <f t="shared" si="51"/>
        <v>43.239454071347161</v>
      </c>
      <c r="Y159" s="67">
        <f t="shared" si="51"/>
        <v>52.905082065824587</v>
      </c>
      <c r="Z159" s="67">
        <f t="shared" si="51"/>
        <v>66.233970334572021</v>
      </c>
      <c r="AA159" s="67">
        <f t="shared" si="51"/>
        <v>69.043729499132567</v>
      </c>
      <c r="AB159" s="68">
        <f t="shared" si="51"/>
        <v>70.379904669759995</v>
      </c>
    </row>
    <row r="160" spans="1:28" ht="12.3" x14ac:dyDescent="0.35">
      <c r="D160" s="15" t="str">
        <f t="shared" si="46"/>
        <v>“Other” asset items with short lives</v>
      </c>
      <c r="E160" s="52" t="str">
        <f t="shared" si="46"/>
        <v>Calc_Alloc</v>
      </c>
      <c r="F160" s="52" t="str">
        <f t="shared" si="47"/>
        <v>Dollars</v>
      </c>
      <c r="G160" s="52" t="str">
        <f t="shared" si="48"/>
        <v>Nominal</v>
      </c>
      <c r="H160" s="52" t="str">
        <f t="shared" si="49"/>
        <v>End_year</v>
      </c>
      <c r="J160" s="66">
        <f t="shared" si="51"/>
        <v>0.82091709057313911</v>
      </c>
      <c r="K160" s="67">
        <f t="shared" si="51"/>
        <v>0.60044477799461515</v>
      </c>
      <c r="L160" s="67">
        <f t="shared" si="51"/>
        <v>0.29246182684719696</v>
      </c>
      <c r="M160" s="67">
        <f t="shared" si="51"/>
        <v>3.9470165527343323E-2</v>
      </c>
      <c r="N160" s="67">
        <f t="shared" si="51"/>
        <v>4.0622267656249544E-2</v>
      </c>
      <c r="O160" s="67">
        <f t="shared" si="51"/>
        <v>0.31592684001872451</v>
      </c>
      <c r="P160" s="67">
        <f t="shared" si="51"/>
        <v>2.8181106960225857</v>
      </c>
      <c r="Q160" s="67">
        <f t="shared" si="51"/>
        <v>7.2490899399153559</v>
      </c>
      <c r="R160" s="68">
        <f t="shared" si="51"/>
        <v>8.1706924591252257</v>
      </c>
      <c r="S160" s="66">
        <f t="shared" si="51"/>
        <v>7.5405950108274276</v>
      </c>
      <c r="T160" s="67">
        <f t="shared" si="51"/>
        <v>6.0591650950727729</v>
      </c>
      <c r="U160" s="67">
        <f t="shared" si="51"/>
        <v>4.4831236140217596</v>
      </c>
      <c r="V160" s="67">
        <f t="shared" si="51"/>
        <v>3.1603810910413817</v>
      </c>
      <c r="W160" s="68">
        <f t="shared" si="51"/>
        <v>0.75889239587925938</v>
      </c>
      <c r="X160" s="66">
        <f t="shared" si="51"/>
        <v>26.318022251292152</v>
      </c>
      <c r="Y160" s="67">
        <f t="shared" si="51"/>
        <v>29.12275370556188</v>
      </c>
      <c r="Z160" s="67">
        <f t="shared" si="51"/>
        <v>55.125597468258384</v>
      </c>
      <c r="AA160" s="67">
        <f t="shared" si="51"/>
        <v>55.583814809038977</v>
      </c>
      <c r="AB160" s="68">
        <f t="shared" si="51"/>
        <v>54.671282008480127</v>
      </c>
    </row>
    <row r="161" spans="1:28" x14ac:dyDescent="0.35">
      <c r="J161" s="56"/>
      <c r="K161" s="57"/>
      <c r="L161" s="57"/>
      <c r="M161" s="57"/>
      <c r="N161" s="57"/>
      <c r="O161" s="57"/>
      <c r="P161" s="57"/>
      <c r="Q161" s="57"/>
      <c r="R161" s="58"/>
      <c r="S161" s="56"/>
      <c r="T161" s="57"/>
      <c r="U161" s="57"/>
      <c r="V161" s="57"/>
      <c r="W161" s="58"/>
      <c r="X161" s="56"/>
      <c r="Y161" s="57"/>
      <c r="Z161" s="57"/>
      <c r="AA161" s="57"/>
      <c r="AB161" s="58"/>
    </row>
    <row r="162" spans="1:28" ht="12.3" x14ac:dyDescent="0.35">
      <c r="D162" s="51" t="str">
        <f>"Total "&amp;D149</f>
        <v>Total EB RIN Categories</v>
      </c>
      <c r="E162" s="47" t="s">
        <v>111</v>
      </c>
      <c r="F162" s="47" t="str">
        <f>F151</f>
        <v>Dollars</v>
      </c>
      <c r="G162" s="47" t="str">
        <f>G151</f>
        <v>Nominal</v>
      </c>
      <c r="H162" s="47" t="str">
        <f>H151</f>
        <v>End_year</v>
      </c>
      <c r="J162" s="62">
        <f t="shared" ref="J162:AB162" si="52">SUM(J151:J160)</f>
        <v>365.95099660144587</v>
      </c>
      <c r="K162" s="46">
        <f t="shared" si="52"/>
        <v>386.15053982321189</v>
      </c>
      <c r="L162" s="46">
        <f t="shared" si="52"/>
        <v>431.64217307079826</v>
      </c>
      <c r="M162" s="46">
        <f t="shared" si="52"/>
        <v>482.44975325772111</v>
      </c>
      <c r="N162" s="46">
        <f t="shared" si="52"/>
        <v>551.68837985352081</v>
      </c>
      <c r="O162" s="46">
        <f t="shared" si="52"/>
        <v>634.15600608284797</v>
      </c>
      <c r="P162" s="46">
        <f t="shared" si="52"/>
        <v>692.9133326410572</v>
      </c>
      <c r="Q162" s="46">
        <f t="shared" si="52"/>
        <v>788.49290006313981</v>
      </c>
      <c r="R162" s="63">
        <f t="shared" si="52"/>
        <v>861.76968918951218</v>
      </c>
      <c r="S162" s="62">
        <f t="shared" si="52"/>
        <v>902.19935716127748</v>
      </c>
      <c r="T162" s="46">
        <f t="shared" si="52"/>
        <v>928.07207830488881</v>
      </c>
      <c r="U162" s="46">
        <f t="shared" si="52"/>
        <v>946.93488457381602</v>
      </c>
      <c r="V162" s="46">
        <f t="shared" si="52"/>
        <v>960.3467973368829</v>
      </c>
      <c r="W162" s="63">
        <f t="shared" si="52"/>
        <v>983.99636679135494</v>
      </c>
      <c r="X162" s="62">
        <f t="shared" si="52"/>
        <v>1059.4851784453674</v>
      </c>
      <c r="Y162" s="46">
        <f t="shared" si="52"/>
        <v>1108.3490384299268</v>
      </c>
      <c r="Z162" s="46">
        <f t="shared" si="52"/>
        <v>1181.1648474058211</v>
      </c>
      <c r="AA162" s="46">
        <f t="shared" si="52"/>
        <v>1217.4517649022789</v>
      </c>
      <c r="AB162" s="63">
        <f t="shared" si="52"/>
        <v>1245.3636980793876</v>
      </c>
    </row>
    <row r="163" spans="1:28" s="6" customFormat="1" ht="11.25" customHeight="1" x14ac:dyDescent="0.35"/>
    <row r="164" spans="1:28" s="6" customFormat="1" ht="11.25" customHeight="1" x14ac:dyDescent="0.35">
      <c r="A164" s="49">
        <f>IF(SUM($J164:$AB164)&lt;&gt;0,1,0)</f>
        <v>0</v>
      </c>
      <c r="D164" s="15" t="s">
        <v>114</v>
      </c>
      <c r="J164" s="70">
        <f>IF(ROUND(J162-Calc_RAB_NS!J$218,3)=0,0,1)</f>
        <v>0</v>
      </c>
      <c r="K164" s="70">
        <f>IF(ROUND(K162-Calc_RAB_NS!K$218,3)=0,0,1)</f>
        <v>0</v>
      </c>
      <c r="L164" s="70">
        <f>IF(ROUND(L162-Calc_RAB_NS!L$218,3)=0,0,1)</f>
        <v>0</v>
      </c>
      <c r="M164" s="70">
        <f>IF(ROUND(M162-Calc_RAB_NS!M$218,3)=0,0,1)</f>
        <v>0</v>
      </c>
      <c r="N164" s="70">
        <f>IF(ROUND(N162-Calc_RAB_NS!N$218,3)=0,0,1)</f>
        <v>0</v>
      </c>
      <c r="O164" s="70">
        <f>IF(ROUND(O162-Calc_RAB_NS!O$218,3)=0,0,1)</f>
        <v>0</v>
      </c>
      <c r="P164" s="70">
        <f>IF(ROUND(P162-Calc_RAB_NS!P$218,3)=0,0,1)</f>
        <v>0</v>
      </c>
      <c r="Q164" s="70">
        <f>IF(ROUND(Q162-Calc_RAB_NS!Q$218,3)=0,0,1)</f>
        <v>0</v>
      </c>
      <c r="R164" s="70">
        <f>IF(ROUND(R162-Calc_RAB_NS!R$218,3)=0,0,1)</f>
        <v>0</v>
      </c>
      <c r="S164" s="70">
        <f>IF(ROUND(S162-Calc_RAB_NS!S$218,3)=0,0,1)</f>
        <v>0</v>
      </c>
      <c r="T164" s="70">
        <f>IF(ROUND(T162-Calc_RAB_NS!T$218,3)=0,0,1)</f>
        <v>0</v>
      </c>
      <c r="U164" s="70">
        <f>IF(ROUND(U162-Calc_RAB_NS!U$218,3)=0,0,1)</f>
        <v>0</v>
      </c>
      <c r="V164" s="70">
        <f>IF(ROUND(V162-Calc_RAB_NS!V$218,3)=0,0,1)</f>
        <v>0</v>
      </c>
      <c r="W164" s="70">
        <f>IF(ROUND(W162-Calc_RAB_NS!W$218,3)=0,0,1)</f>
        <v>0</v>
      </c>
      <c r="X164" s="70">
        <f>IF(ROUND(X162-Calc_RAB_NS!X$218,3)=0,0,1)</f>
        <v>0</v>
      </c>
      <c r="Y164" s="70">
        <f>IF(ROUND(Y162-Calc_RAB_NS!Y$218,3)=0,0,1)</f>
        <v>0</v>
      </c>
      <c r="Z164" s="70">
        <f>IF(ROUND(Z162-Calc_RAB_NS!Z$218,3)=0,0,1)</f>
        <v>0</v>
      </c>
      <c r="AA164" s="70">
        <f>IF(ROUND(AA162-Calc_RAB_NS!AA$218,3)=0,0,1)</f>
        <v>0</v>
      </c>
      <c r="AB164" s="70">
        <f>IF(ROUND(AB162-Calc_RAB_NS!AB$218,3)=0,0,1)</f>
        <v>0</v>
      </c>
    </row>
    <row r="166" spans="1:28" s="4" customFormat="1" ht="15" x14ac:dyDescent="0.35">
      <c r="B166" s="4" t="s">
        <v>33</v>
      </c>
    </row>
  </sheetData>
  <conditionalFormatting sqref="B2">
    <cfRule type="cellIs" dxfId="11" priority="1" operator="notEqual">
      <formula>"No Errors Found"</formula>
    </cfRule>
  </conditionalFormatting>
  <hyperlinks>
    <hyperlink ref="B3:E3" location="TOC!A1" display="TOC!A1"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AB166"/>
  <sheetViews>
    <sheetView showGridLines="0" zoomScaleNormal="100" workbookViewId="0">
      <pane xSplit="1" ySplit="10" topLeftCell="B11" activePane="bottomRight" state="frozen"/>
      <selection activeCell="B5" sqref="B5"/>
      <selection pane="topRight" activeCell="B5" sqref="B5"/>
      <selection pane="bottomLeft" activeCell="B5" sqref="B5"/>
      <selection pane="bottomRight" activeCell="B11" sqref="B11"/>
    </sheetView>
  </sheetViews>
  <sheetFormatPr defaultColWidth="9.33203125" defaultRowHeight="10.199999999999999" outlineLevelRow="1" x14ac:dyDescent="0.35"/>
  <cols>
    <col min="1" max="1" width="3.33203125" style="7" customWidth="1"/>
    <col min="2" max="3" width="2.796875" style="7" customWidth="1"/>
    <col min="4" max="4" width="47.46484375" style="7" customWidth="1"/>
    <col min="5" max="5" width="11.796875" style="7" customWidth="1"/>
    <col min="6" max="6" width="9.1328125" style="7" customWidth="1"/>
    <col min="7" max="7" width="12" style="7" customWidth="1"/>
    <col min="8" max="8" width="10" style="7" customWidth="1"/>
    <col min="9" max="9" width="4.46484375" style="7" customWidth="1"/>
    <col min="10" max="28" width="12.796875" style="7" customWidth="1"/>
    <col min="29" max="29" width="4.33203125" style="7" customWidth="1"/>
    <col min="30" max="31" width="10.796875" style="7" customWidth="1"/>
    <col min="32" max="16384" width="9.33203125" style="7"/>
  </cols>
  <sheetData>
    <row r="1" spans="1:28" ht="18.899999999999999" x14ac:dyDescent="0.35">
      <c r="A1" s="49">
        <f>IF(SUM($A11:$A165)&gt;0,1,0)</f>
        <v>0</v>
      </c>
      <c r="B1" s="5" t="s">
        <v>160</v>
      </c>
    </row>
    <row r="2" spans="1:28" x14ac:dyDescent="0.35">
      <c r="B2" s="18" t="str">
        <f>Title_Msg</f>
        <v>No Errors Found</v>
      </c>
    </row>
    <row r="3" spans="1:28" x14ac:dyDescent="0.35">
      <c r="B3" s="37" t="str">
        <f>TOC!B1</f>
        <v>Table of Contents</v>
      </c>
      <c r="C3" s="35"/>
      <c r="D3" s="35"/>
      <c r="E3" s="35"/>
    </row>
    <row r="4" spans="1:28" ht="12.3" x14ac:dyDescent="0.35">
      <c r="B4" s="34" t="str">
        <f>Model_Name</f>
        <v>Power and Water Corporation (PWC) - RAB Allocation - EB RIN - DRAFT</v>
      </c>
    </row>
    <row r="5" spans="1:28" ht="12.3" hidden="1" outlineLevel="1" x14ac:dyDescent="0.35">
      <c r="B5" s="15" t="str">
        <f>Lookup!B15</f>
        <v>Period Start Date</v>
      </c>
      <c r="J5" s="42">
        <f>Lookup!J15</f>
        <v>38534</v>
      </c>
      <c r="K5" s="42">
        <f>Lookup!K15</f>
        <v>38899</v>
      </c>
      <c r="L5" s="42">
        <f>Lookup!L15</f>
        <v>39264</v>
      </c>
      <c r="M5" s="42">
        <f>Lookup!M15</f>
        <v>39630</v>
      </c>
      <c r="N5" s="42">
        <f>Lookup!N15</f>
        <v>39995</v>
      </c>
      <c r="O5" s="42">
        <f>Lookup!O15</f>
        <v>40360</v>
      </c>
      <c r="P5" s="42">
        <f>Lookup!P15</f>
        <v>40725</v>
      </c>
      <c r="Q5" s="42">
        <f>Lookup!Q15</f>
        <v>41091</v>
      </c>
      <c r="R5" s="42">
        <f>Lookup!R15</f>
        <v>41456</v>
      </c>
      <c r="S5" s="42">
        <f>Lookup!S15</f>
        <v>41821</v>
      </c>
      <c r="T5" s="42">
        <f>Lookup!T15</f>
        <v>42186</v>
      </c>
      <c r="U5" s="42">
        <f>Lookup!U15</f>
        <v>42552</v>
      </c>
      <c r="V5" s="42">
        <f>Lookup!V15</f>
        <v>42917</v>
      </c>
      <c r="W5" s="42">
        <f>Lookup!W15</f>
        <v>43282</v>
      </c>
      <c r="X5" s="42">
        <f>Lookup!X15</f>
        <v>43647</v>
      </c>
      <c r="Y5" s="42">
        <f>Lookup!Y15</f>
        <v>44013</v>
      </c>
      <c r="Z5" s="42">
        <f>Lookup!Z15</f>
        <v>44378</v>
      </c>
      <c r="AA5" s="42">
        <f>Lookup!AA15</f>
        <v>44743</v>
      </c>
      <c r="AB5" s="42">
        <f>Lookup!AB15</f>
        <v>45108</v>
      </c>
    </row>
    <row r="6" spans="1:28" ht="12.3" hidden="1" outlineLevel="1" x14ac:dyDescent="0.35">
      <c r="B6" s="15" t="str">
        <f>Lookup!B16</f>
        <v>Period End Date</v>
      </c>
      <c r="J6" s="42">
        <f>Lookup!J16</f>
        <v>38898</v>
      </c>
      <c r="K6" s="42">
        <f>Lookup!K16</f>
        <v>39263</v>
      </c>
      <c r="L6" s="42">
        <f>Lookup!L16</f>
        <v>39629</v>
      </c>
      <c r="M6" s="42">
        <f>Lookup!M16</f>
        <v>39994</v>
      </c>
      <c r="N6" s="42">
        <f>Lookup!N16</f>
        <v>40359</v>
      </c>
      <c r="O6" s="42">
        <f>Lookup!O16</f>
        <v>40724</v>
      </c>
      <c r="P6" s="42">
        <f>Lookup!P16</f>
        <v>41090</v>
      </c>
      <c r="Q6" s="42">
        <f>Lookup!Q16</f>
        <v>41455</v>
      </c>
      <c r="R6" s="42">
        <f>Lookup!R16</f>
        <v>41820</v>
      </c>
      <c r="S6" s="42">
        <f>Lookup!S16</f>
        <v>42185</v>
      </c>
      <c r="T6" s="42">
        <f>Lookup!T16</f>
        <v>42551</v>
      </c>
      <c r="U6" s="42">
        <f>Lookup!U16</f>
        <v>42916</v>
      </c>
      <c r="V6" s="42">
        <f>Lookup!V16</f>
        <v>43281</v>
      </c>
      <c r="W6" s="42">
        <f>Lookup!W16</f>
        <v>43646</v>
      </c>
      <c r="X6" s="42">
        <f>Lookup!X16</f>
        <v>44012</v>
      </c>
      <c r="Y6" s="42">
        <f>Lookup!Y16</f>
        <v>44377</v>
      </c>
      <c r="Z6" s="42">
        <f>Lookup!Z16</f>
        <v>44742</v>
      </c>
      <c r="AA6" s="42">
        <f>Lookup!AA16</f>
        <v>45107</v>
      </c>
      <c r="AB6" s="42">
        <f>Lookup!AB16</f>
        <v>45473</v>
      </c>
    </row>
    <row r="7" spans="1:28" ht="12.3" hidden="1" outlineLevel="1" x14ac:dyDescent="0.35">
      <c r="B7" s="15" t="str">
        <f>Lookup!B17</f>
        <v>Period Counter</v>
      </c>
      <c r="J7" s="43">
        <f>Lookup!J17</f>
        <v>1</v>
      </c>
      <c r="K7" s="43">
        <f>Lookup!K17</f>
        <v>2</v>
      </c>
      <c r="L7" s="43">
        <f>Lookup!L17</f>
        <v>3</v>
      </c>
      <c r="M7" s="43">
        <f>Lookup!M17</f>
        <v>4</v>
      </c>
      <c r="N7" s="43">
        <f>Lookup!N17</f>
        <v>5</v>
      </c>
      <c r="O7" s="43">
        <f>Lookup!O17</f>
        <v>6</v>
      </c>
      <c r="P7" s="43">
        <f>Lookup!P17</f>
        <v>7</v>
      </c>
      <c r="Q7" s="43">
        <f>Lookup!Q17</f>
        <v>8</v>
      </c>
      <c r="R7" s="43">
        <f>Lookup!R17</f>
        <v>9</v>
      </c>
      <c r="S7" s="43">
        <f>Lookup!S17</f>
        <v>10</v>
      </c>
      <c r="T7" s="43">
        <f>Lookup!T17</f>
        <v>11</v>
      </c>
      <c r="U7" s="43">
        <f>Lookup!U17</f>
        <v>12</v>
      </c>
      <c r="V7" s="43">
        <f>Lookup!V17</f>
        <v>13</v>
      </c>
      <c r="W7" s="43">
        <f>Lookup!W17</f>
        <v>14</v>
      </c>
      <c r="X7" s="43">
        <f>Lookup!X17</f>
        <v>15</v>
      </c>
      <c r="Y7" s="43">
        <f>Lookup!Y17</f>
        <v>16</v>
      </c>
      <c r="Z7" s="43">
        <f>Lookup!Z17</f>
        <v>17</v>
      </c>
      <c r="AA7" s="43">
        <f>Lookup!AA17</f>
        <v>18</v>
      </c>
      <c r="AB7" s="43">
        <f>Lookup!AB17</f>
        <v>19</v>
      </c>
    </row>
    <row r="8" spans="1:28" ht="12.3" hidden="1" outlineLevel="1" x14ac:dyDescent="0.35">
      <c r="B8" s="15" t="str">
        <f>Lookup!B18</f>
        <v>Year</v>
      </c>
      <c r="J8" s="44">
        <f>Lookup!J18</f>
        <v>2006</v>
      </c>
      <c r="K8" s="44">
        <f>Lookup!K18</f>
        <v>2007</v>
      </c>
      <c r="L8" s="44">
        <f>Lookup!L18</f>
        <v>2008</v>
      </c>
      <c r="M8" s="44">
        <f>Lookup!M18</f>
        <v>2009</v>
      </c>
      <c r="N8" s="44">
        <f>Lookup!N18</f>
        <v>2010</v>
      </c>
      <c r="O8" s="44">
        <f>Lookup!O18</f>
        <v>2011</v>
      </c>
      <c r="P8" s="44">
        <f>Lookup!P18</f>
        <v>2012</v>
      </c>
      <c r="Q8" s="44">
        <f>Lookup!Q18</f>
        <v>2013</v>
      </c>
      <c r="R8" s="44">
        <f>Lookup!R18</f>
        <v>2014</v>
      </c>
      <c r="S8" s="44">
        <f>Lookup!S18</f>
        <v>2015</v>
      </c>
      <c r="T8" s="44">
        <f>Lookup!T18</f>
        <v>2016</v>
      </c>
      <c r="U8" s="44">
        <f>Lookup!U18</f>
        <v>2017</v>
      </c>
      <c r="V8" s="44">
        <f>Lookup!V18</f>
        <v>2018</v>
      </c>
      <c r="W8" s="44">
        <f>Lookup!W18</f>
        <v>2019</v>
      </c>
      <c r="X8" s="44">
        <f>Lookup!X18</f>
        <v>2020</v>
      </c>
      <c r="Y8" s="44">
        <f>Lookup!Y18</f>
        <v>2021</v>
      </c>
      <c r="Z8" s="44">
        <f>Lookup!Z18</f>
        <v>2022</v>
      </c>
      <c r="AA8" s="44">
        <f>Lookup!AA18</f>
        <v>2023</v>
      </c>
      <c r="AB8" s="44">
        <f>Lookup!AB18</f>
        <v>2024</v>
      </c>
    </row>
    <row r="9" spans="1:28" ht="12.3" hidden="1" outlineLevel="1" x14ac:dyDescent="0.35">
      <c r="B9" s="15" t="str">
        <f>Lookup!B19</f>
        <v>Period Type</v>
      </c>
      <c r="J9" s="44" t="str">
        <f>Lookup!J19</f>
        <v>Actual</v>
      </c>
      <c r="K9" s="44" t="str">
        <f>Lookup!K19</f>
        <v>Actual</v>
      </c>
      <c r="L9" s="44" t="str">
        <f>Lookup!L19</f>
        <v>Actual</v>
      </c>
      <c r="M9" s="44" t="str">
        <f>Lookup!M19</f>
        <v>Base Year</v>
      </c>
      <c r="N9" s="44" t="str">
        <f>Lookup!N19</f>
        <v>Forecast</v>
      </c>
      <c r="O9" s="44" t="str">
        <f>Lookup!O19</f>
        <v>Forecast</v>
      </c>
      <c r="P9" s="44" t="str">
        <f>Lookup!P19</f>
        <v>Forecast</v>
      </c>
      <c r="Q9" s="44" t="str">
        <f>Lookup!Q19</f>
        <v>Forecast</v>
      </c>
      <c r="R9" s="44" t="str">
        <f>Lookup!R19</f>
        <v>Forecast</v>
      </c>
      <c r="S9" s="44" t="str">
        <f>Lookup!S19</f>
        <v>Forecast</v>
      </c>
      <c r="T9" s="44" t="str">
        <f>Lookup!T19</f>
        <v>Forecast</v>
      </c>
      <c r="U9" s="44" t="str">
        <f>Lookup!U19</f>
        <v>Forecast</v>
      </c>
      <c r="V9" s="44" t="str">
        <f>Lookup!V19</f>
        <v>Forecast</v>
      </c>
      <c r="W9" s="44" t="str">
        <f>Lookup!W19</f>
        <v>Forecast</v>
      </c>
      <c r="X9" s="44" t="str">
        <f>Lookup!X19</f>
        <v>Forecast</v>
      </c>
      <c r="Y9" s="44" t="str">
        <f>Lookup!Y19</f>
        <v>Forecast</v>
      </c>
      <c r="Z9" s="44" t="str">
        <f>Lookup!Z19</f>
        <v>Forecast</v>
      </c>
      <c r="AA9" s="44" t="str">
        <f>Lookup!AA19</f>
        <v>Forecast</v>
      </c>
      <c r="AB9" s="44" t="str">
        <f>Lookup!AB19</f>
        <v>Forecast</v>
      </c>
    </row>
    <row r="10" spans="1:28" ht="12.3" collapsed="1" x14ac:dyDescent="0.35">
      <c r="B10" s="10" t="str">
        <f>Lookup!B20</f>
        <v>Regulatory Year</v>
      </c>
      <c r="E10" s="41" t="str">
        <f>Lookup!E20</f>
        <v>Source</v>
      </c>
      <c r="F10" s="41" t="str">
        <f>Lookup!F20</f>
        <v>Unit</v>
      </c>
      <c r="G10" s="41" t="str">
        <f>Lookup!G20</f>
        <v>Basis</v>
      </c>
      <c r="H10" s="41" t="str">
        <f>Lookup!H20</f>
        <v>Timing</v>
      </c>
      <c r="I10" s="41"/>
      <c r="J10" s="41" t="str">
        <f>Lookup!J20</f>
        <v>RY06</v>
      </c>
      <c r="K10" s="41" t="str">
        <f>Lookup!K20</f>
        <v>RY07</v>
      </c>
      <c r="L10" s="41" t="str">
        <f>Lookup!L20</f>
        <v>RY08</v>
      </c>
      <c r="M10" s="41" t="str">
        <f>Lookup!M20</f>
        <v>RY09</v>
      </c>
      <c r="N10" s="41" t="str">
        <f>Lookup!N20</f>
        <v>RY10</v>
      </c>
      <c r="O10" s="41" t="str">
        <f>Lookup!O20</f>
        <v>RY11</v>
      </c>
      <c r="P10" s="41" t="str">
        <f>Lookup!P20</f>
        <v>RY12</v>
      </c>
      <c r="Q10" s="41" t="str">
        <f>Lookup!Q20</f>
        <v>RY13</v>
      </c>
      <c r="R10" s="41" t="str">
        <f>Lookup!R20</f>
        <v>RY14</v>
      </c>
      <c r="S10" s="41" t="str">
        <f>Lookup!S20</f>
        <v>RY15</v>
      </c>
      <c r="T10" s="41" t="str">
        <f>Lookup!T20</f>
        <v>RY16</v>
      </c>
      <c r="U10" s="41" t="str">
        <f>Lookup!U20</f>
        <v>RY17</v>
      </c>
      <c r="V10" s="41" t="str">
        <f>Lookup!V20</f>
        <v>RY18</v>
      </c>
      <c r="W10" s="41" t="str">
        <f>Lookup!W20</f>
        <v>RY19</v>
      </c>
      <c r="X10" s="41" t="str">
        <f>Lookup!X20</f>
        <v>RY20</v>
      </c>
      <c r="Y10" s="41" t="str">
        <f>Lookup!Y20</f>
        <v>RY21</v>
      </c>
      <c r="Z10" s="41" t="str">
        <f>Lookup!Z20</f>
        <v>RY22</v>
      </c>
      <c r="AA10" s="41" t="str">
        <f>Lookup!AA20</f>
        <v>RY23</v>
      </c>
      <c r="AB10" s="41" t="str">
        <f>Lookup!AB20</f>
        <v>RY24</v>
      </c>
    </row>
    <row r="12" spans="1:28" s="4" customFormat="1" ht="15" x14ac:dyDescent="0.35">
      <c r="B12" s="4" t="s">
        <v>155</v>
      </c>
    </row>
    <row r="13" spans="1:28" s="6" customFormat="1" ht="4.5" customHeight="1" x14ac:dyDescent="0.35"/>
    <row r="14" spans="1:28" s="13" customFormat="1" ht="14.1" x14ac:dyDescent="0.35">
      <c r="C14" s="13" t="s">
        <v>147</v>
      </c>
    </row>
    <row r="15" spans="1:28" s="6" customFormat="1" ht="11.25" customHeight="1" x14ac:dyDescent="0.35"/>
    <row r="16" spans="1:28" ht="12.3" x14ac:dyDescent="0.35">
      <c r="D16" s="50" t="s">
        <v>201</v>
      </c>
      <c r="E16" s="45" t="str">
        <f>Lookup!E$20</f>
        <v>Source</v>
      </c>
      <c r="F16" s="45" t="str">
        <f>Lookup!F$20</f>
        <v>Unit</v>
      </c>
      <c r="G16" s="45" t="str">
        <f>Lookup!G$20</f>
        <v>Basis</v>
      </c>
      <c r="H16" s="45" t="str">
        <f>Lookup!H$20</f>
        <v>Timing</v>
      </c>
      <c r="J16" s="54" t="str">
        <f t="shared" ref="J16:AB16" si="0">J$10</f>
        <v>RY06</v>
      </c>
      <c r="K16" s="45" t="str">
        <f t="shared" si="0"/>
        <v>RY07</v>
      </c>
      <c r="L16" s="45" t="str">
        <f t="shared" si="0"/>
        <v>RY08</v>
      </c>
      <c r="M16" s="45" t="str">
        <f t="shared" si="0"/>
        <v>RY09</v>
      </c>
      <c r="N16" s="45" t="str">
        <f t="shared" si="0"/>
        <v>RY10</v>
      </c>
      <c r="O16" s="45" t="str">
        <f t="shared" si="0"/>
        <v>RY11</v>
      </c>
      <c r="P16" s="45" t="str">
        <f t="shared" si="0"/>
        <v>RY12</v>
      </c>
      <c r="Q16" s="45" t="str">
        <f t="shared" si="0"/>
        <v>RY13</v>
      </c>
      <c r="R16" s="55" t="str">
        <f t="shared" si="0"/>
        <v>RY14</v>
      </c>
      <c r="S16" s="54" t="str">
        <f t="shared" si="0"/>
        <v>RY15</v>
      </c>
      <c r="T16" s="45" t="str">
        <f t="shared" si="0"/>
        <v>RY16</v>
      </c>
      <c r="U16" s="45" t="str">
        <f t="shared" si="0"/>
        <v>RY17</v>
      </c>
      <c r="V16" s="45" t="str">
        <f t="shared" si="0"/>
        <v>RY18</v>
      </c>
      <c r="W16" s="55" t="str">
        <f t="shared" si="0"/>
        <v>RY19</v>
      </c>
      <c r="X16" s="54" t="str">
        <f t="shared" si="0"/>
        <v>RY20</v>
      </c>
      <c r="Y16" s="45" t="str">
        <f t="shared" si="0"/>
        <v>RY21</v>
      </c>
      <c r="Z16" s="45" t="str">
        <f t="shared" si="0"/>
        <v>RY22</v>
      </c>
      <c r="AA16" s="45" t="str">
        <f t="shared" si="0"/>
        <v>RY23</v>
      </c>
      <c r="AB16" s="55" t="str">
        <f t="shared" si="0"/>
        <v>RY24</v>
      </c>
    </row>
    <row r="17" spans="1:28" x14ac:dyDescent="0.35">
      <c r="J17" s="56"/>
      <c r="K17" s="57"/>
      <c r="L17" s="57"/>
      <c r="M17" s="57"/>
      <c r="N17" s="57"/>
      <c r="O17" s="57"/>
      <c r="P17" s="57"/>
      <c r="Q17" s="57"/>
      <c r="R17" s="58"/>
      <c r="S17" s="56"/>
      <c r="T17" s="57"/>
      <c r="U17" s="57"/>
      <c r="V17" s="57"/>
      <c r="W17" s="58"/>
      <c r="X17" s="56"/>
      <c r="Y17" s="57"/>
      <c r="Z17" s="57"/>
      <c r="AA17" s="57"/>
      <c r="AB17" s="58"/>
    </row>
    <row r="18" spans="1:28" ht="12.3" x14ac:dyDescent="0.35">
      <c r="D18" s="15" t="str">
        <f>Lookup!D103</f>
        <v>Overhead network assets less than 33kV</v>
      </c>
      <c r="E18" s="52" t="s">
        <v>158</v>
      </c>
      <c r="F18" s="52" t="str">
        <f t="shared" ref="F18:F27" si="1">Dollars</f>
        <v>Dollars</v>
      </c>
      <c r="G18" s="52" t="str">
        <f t="shared" ref="G18:G27" si="2">Nominal</f>
        <v>Nominal</v>
      </c>
      <c r="H18" s="52" t="str">
        <f t="shared" ref="H18:H27" si="3">Start_year</f>
        <v>Start year</v>
      </c>
      <c r="J18" s="71">
        <f>SUMPRODUCT((Calc_Alloc!$E$11:$E$27)*(Input_RAB_SCS!J$18:J$34))</f>
        <v>36.812235077201727</v>
      </c>
      <c r="K18" s="67">
        <f t="shared" ref="K18:AB18" si="4">J151</f>
        <v>39.530378195940614</v>
      </c>
      <c r="L18" s="67">
        <f t="shared" si="4"/>
        <v>42.859401197492588</v>
      </c>
      <c r="M18" s="67">
        <f t="shared" si="4"/>
        <v>47.321570244019213</v>
      </c>
      <c r="N18" s="67">
        <f t="shared" si="4"/>
        <v>50.670476566610887</v>
      </c>
      <c r="O18" s="67">
        <f t="shared" si="4"/>
        <v>54.233171117951258</v>
      </c>
      <c r="P18" s="67">
        <f t="shared" si="4"/>
        <v>58.023453706653321</v>
      </c>
      <c r="Q18" s="67">
        <f t="shared" si="4"/>
        <v>61.534804740488809</v>
      </c>
      <c r="R18" s="68">
        <f t="shared" si="4"/>
        <v>68.950202217090307</v>
      </c>
      <c r="S18" s="66">
        <f t="shared" si="4"/>
        <v>73.847985614290039</v>
      </c>
      <c r="T18" s="67">
        <f t="shared" si="4"/>
        <v>77.13450057099179</v>
      </c>
      <c r="U18" s="67">
        <f t="shared" si="4"/>
        <v>78.803421770456936</v>
      </c>
      <c r="V18" s="67">
        <f t="shared" si="4"/>
        <v>80.810394707005656</v>
      </c>
      <c r="W18" s="68">
        <f t="shared" si="4"/>
        <v>81.312375627561508</v>
      </c>
      <c r="X18" s="66">
        <f t="shared" si="4"/>
        <v>81.867018243478739</v>
      </c>
      <c r="Y18" s="67">
        <f t="shared" si="4"/>
        <v>87.258942114446597</v>
      </c>
      <c r="Z18" s="67">
        <f t="shared" si="4"/>
        <v>93.993061593803645</v>
      </c>
      <c r="AA18" s="67">
        <f t="shared" si="4"/>
        <v>98.902910423450351</v>
      </c>
      <c r="AB18" s="68">
        <f t="shared" si="4"/>
        <v>103.17149675663056</v>
      </c>
    </row>
    <row r="19" spans="1:28" ht="12.3" x14ac:dyDescent="0.35">
      <c r="D19" s="15" t="str">
        <f>Lookup!D104</f>
        <v>Underground network assets less than 33kV</v>
      </c>
      <c r="E19" s="52" t="s">
        <v>158</v>
      </c>
      <c r="F19" s="52" t="str">
        <f t="shared" si="1"/>
        <v>Dollars</v>
      </c>
      <c r="G19" s="52" t="str">
        <f t="shared" si="2"/>
        <v>Nominal</v>
      </c>
      <c r="H19" s="52" t="str">
        <f t="shared" si="3"/>
        <v>Start year</v>
      </c>
      <c r="J19" s="72">
        <f>SUMPRODUCT((Calc_Alloc!$F$11:$F$27)*(Input_RAB_SCS!J$18:J$34))</f>
        <v>76.255193125098188</v>
      </c>
      <c r="K19" s="67">
        <f t="shared" ref="K19:AB19" si="5">J152</f>
        <v>81.885727290221723</v>
      </c>
      <c r="L19" s="67">
        <f t="shared" si="5"/>
        <v>88.781676931826823</v>
      </c>
      <c r="M19" s="67">
        <f t="shared" si="5"/>
        <v>98.024897123186577</v>
      </c>
      <c r="N19" s="67">
        <f t="shared" si="5"/>
        <v>104.96203432638399</v>
      </c>
      <c r="O19" s="67">
        <f t="shared" si="5"/>
        <v>112.34202599135423</v>
      </c>
      <c r="P19" s="67">
        <f t="shared" si="5"/>
        <v>120.19345793314777</v>
      </c>
      <c r="Q19" s="67">
        <f t="shared" si="5"/>
        <v>127.46709352476172</v>
      </c>
      <c r="R19" s="68">
        <f t="shared" si="5"/>
        <v>142.82781904700283</v>
      </c>
      <c r="S19" s="66">
        <f t="shared" si="5"/>
        <v>152.97339838789335</v>
      </c>
      <c r="T19" s="67">
        <f t="shared" si="5"/>
        <v>159.78115642336564</v>
      </c>
      <c r="U19" s="67">
        <f t="shared" si="5"/>
        <v>163.23812353288056</v>
      </c>
      <c r="V19" s="67">
        <f t="shared" si="5"/>
        <v>167.39536014863893</v>
      </c>
      <c r="W19" s="68">
        <f t="shared" si="5"/>
        <v>168.43518376723807</v>
      </c>
      <c r="X19" s="66">
        <f t="shared" si="5"/>
        <v>169.58397346568381</v>
      </c>
      <c r="Y19" s="67">
        <f t="shared" si="5"/>
        <v>180.75313316218052</v>
      </c>
      <c r="Z19" s="67">
        <f t="shared" si="5"/>
        <v>194.70259382863824</v>
      </c>
      <c r="AA19" s="67">
        <f t="shared" si="5"/>
        <v>204.87314883887046</v>
      </c>
      <c r="AB19" s="68">
        <f t="shared" si="5"/>
        <v>213.7153557138825</v>
      </c>
    </row>
    <row r="20" spans="1:28" ht="12.3" x14ac:dyDescent="0.35">
      <c r="D20" s="15" t="str">
        <f>Lookup!D105</f>
        <v>Distribution substations and transformers</v>
      </c>
      <c r="E20" s="52" t="s">
        <v>158</v>
      </c>
      <c r="F20" s="52" t="str">
        <f t="shared" si="1"/>
        <v>Dollars</v>
      </c>
      <c r="G20" s="52" t="str">
        <f t="shared" si="2"/>
        <v>Nominal</v>
      </c>
      <c r="H20" s="52" t="str">
        <f t="shared" si="3"/>
        <v>Start year</v>
      </c>
      <c r="J20" s="72">
        <f>SUMPRODUCT((Calc_Alloc!$G$11:$G$27)*(Input_RAB_SCS!J$18:J$34))</f>
        <v>55.044502921415621</v>
      </c>
      <c r="K20" s="67">
        <f t="shared" ref="K20:AB20" si="6">J153</f>
        <v>53.641318105318</v>
      </c>
      <c r="L20" s="67">
        <f t="shared" si="6"/>
        <v>52.126765758952928</v>
      </c>
      <c r="M20" s="67">
        <f t="shared" si="6"/>
        <v>58.249076507805782</v>
      </c>
      <c r="N20" s="67">
        <f t="shared" si="6"/>
        <v>66.514098662941777</v>
      </c>
      <c r="O20" s="67">
        <f t="shared" si="6"/>
        <v>78.303384492724888</v>
      </c>
      <c r="P20" s="67">
        <f t="shared" si="6"/>
        <v>89.548152584566452</v>
      </c>
      <c r="Q20" s="67">
        <f t="shared" si="6"/>
        <v>91.925418321244251</v>
      </c>
      <c r="R20" s="68">
        <f t="shared" si="6"/>
        <v>94.751991446455591</v>
      </c>
      <c r="S20" s="66">
        <f t="shared" si="6"/>
        <v>97.873568916674429</v>
      </c>
      <c r="T20" s="67">
        <f t="shared" si="6"/>
        <v>108.4150511046913</v>
      </c>
      <c r="U20" s="67">
        <f t="shared" si="6"/>
        <v>117.1357853660836</v>
      </c>
      <c r="V20" s="67">
        <f t="shared" si="6"/>
        <v>123.77965850981232</v>
      </c>
      <c r="W20" s="68">
        <f t="shared" si="6"/>
        <v>128.54129185851647</v>
      </c>
      <c r="X20" s="66">
        <f t="shared" si="6"/>
        <v>143.42176279410162</v>
      </c>
      <c r="Y20" s="67">
        <f t="shared" si="6"/>
        <v>149.37347095955261</v>
      </c>
      <c r="Z20" s="67">
        <f t="shared" si="6"/>
        <v>156.26013837692975</v>
      </c>
      <c r="AA20" s="67">
        <f t="shared" si="6"/>
        <v>162.9073927741035</v>
      </c>
      <c r="AB20" s="68">
        <f t="shared" si="6"/>
        <v>170.92977789652599</v>
      </c>
    </row>
    <row r="21" spans="1:28" ht="12.3" x14ac:dyDescent="0.35">
      <c r="D21" s="15" t="str">
        <f>Lookup!D106</f>
        <v>Overhead network assets 33kV and above</v>
      </c>
      <c r="E21" s="52" t="s">
        <v>158</v>
      </c>
      <c r="F21" s="52" t="str">
        <f t="shared" si="1"/>
        <v>Dollars</v>
      </c>
      <c r="G21" s="52" t="str">
        <f t="shared" si="2"/>
        <v>Nominal</v>
      </c>
      <c r="H21" s="52" t="str">
        <f t="shared" si="3"/>
        <v>Start year</v>
      </c>
      <c r="J21" s="72">
        <f>SUMPRODUCT((Calc_Alloc!$H$11:$H$27)*(Input_RAB_SCS!J$18:J$34))</f>
        <v>66.801062937318775</v>
      </c>
      <c r="K21" s="67">
        <f t="shared" ref="K21:AB21" si="7">J154</f>
        <v>70.740199656719199</v>
      </c>
      <c r="L21" s="67">
        <f t="shared" si="7"/>
        <v>75.612645019104377</v>
      </c>
      <c r="M21" s="67">
        <f t="shared" si="7"/>
        <v>76.897616946939394</v>
      </c>
      <c r="N21" s="67">
        <f t="shared" si="7"/>
        <v>76.242035307053598</v>
      </c>
      <c r="O21" s="67">
        <f t="shared" si="7"/>
        <v>86.989103942939948</v>
      </c>
      <c r="P21" s="67">
        <f t="shared" si="7"/>
        <v>97.554269173773747</v>
      </c>
      <c r="Q21" s="67">
        <f t="shared" si="7"/>
        <v>101.94955559821641</v>
      </c>
      <c r="R21" s="68">
        <f t="shared" si="7"/>
        <v>111.32195664985137</v>
      </c>
      <c r="S21" s="66">
        <f t="shared" si="7"/>
        <v>112.69114532304692</v>
      </c>
      <c r="T21" s="67">
        <f t="shared" si="7"/>
        <v>112.64394026495373</v>
      </c>
      <c r="U21" s="67">
        <f t="shared" si="7"/>
        <v>114.13606717696348</v>
      </c>
      <c r="V21" s="67">
        <f t="shared" si="7"/>
        <v>116.39551161419392</v>
      </c>
      <c r="W21" s="68">
        <f t="shared" si="7"/>
        <v>120.67292872717621</v>
      </c>
      <c r="X21" s="66">
        <f t="shared" si="7"/>
        <v>120.32531256962051</v>
      </c>
      <c r="Y21" s="67">
        <f t="shared" si="7"/>
        <v>120.91444021703823</v>
      </c>
      <c r="Z21" s="67">
        <f t="shared" si="7"/>
        <v>121.35502625510428</v>
      </c>
      <c r="AA21" s="67">
        <f t="shared" si="7"/>
        <v>121.65446115412682</v>
      </c>
      <c r="AB21" s="68">
        <f t="shared" si="7"/>
        <v>122.01797211602037</v>
      </c>
    </row>
    <row r="22" spans="1:28" ht="12.3" x14ac:dyDescent="0.35">
      <c r="D22" s="15" t="str">
        <f>Lookup!D107</f>
        <v>Underground network assets 33kV and above</v>
      </c>
      <c r="E22" s="52" t="s">
        <v>158</v>
      </c>
      <c r="F22" s="52" t="str">
        <f t="shared" si="1"/>
        <v>Dollars</v>
      </c>
      <c r="G22" s="52" t="str">
        <f t="shared" si="2"/>
        <v>Nominal</v>
      </c>
      <c r="H22" s="52" t="str">
        <f t="shared" si="3"/>
        <v>Start year</v>
      </c>
      <c r="J22" s="72">
        <f>SUMPRODUCT((Calc_Alloc!$I$11:$I$27)*(Input_RAB_SCS!J$18:J$34))</f>
        <v>33.426313108768937</v>
      </c>
      <c r="K22" s="67">
        <f t="shared" ref="K22:AB22" si="8">J155</f>
        <v>35.397401764715589</v>
      </c>
      <c r="L22" s="67">
        <f t="shared" si="8"/>
        <v>37.835504949410108</v>
      </c>
      <c r="M22" s="67">
        <f t="shared" si="8"/>
        <v>38.478486843816412</v>
      </c>
      <c r="N22" s="67">
        <f t="shared" si="8"/>
        <v>38.150443004398092</v>
      </c>
      <c r="O22" s="67">
        <f t="shared" si="8"/>
        <v>43.528125116457396</v>
      </c>
      <c r="P22" s="67">
        <f t="shared" si="8"/>
        <v>48.814785320997913</v>
      </c>
      <c r="Q22" s="67">
        <f t="shared" si="8"/>
        <v>51.014124878872899</v>
      </c>
      <c r="R22" s="68">
        <f t="shared" si="8"/>
        <v>55.703942650588139</v>
      </c>
      <c r="S22" s="66">
        <f t="shared" si="8"/>
        <v>56.389065420837447</v>
      </c>
      <c r="T22" s="67">
        <f t="shared" si="8"/>
        <v>56.365444673161299</v>
      </c>
      <c r="U22" s="67">
        <f t="shared" si="8"/>
        <v>57.11208401040745</v>
      </c>
      <c r="V22" s="67">
        <f t="shared" si="8"/>
        <v>58.242678253819385</v>
      </c>
      <c r="W22" s="68">
        <f t="shared" si="8"/>
        <v>60.383037664709491</v>
      </c>
      <c r="X22" s="66">
        <f t="shared" si="8"/>
        <v>60.20909542467318</v>
      </c>
      <c r="Y22" s="67">
        <f t="shared" si="8"/>
        <v>60.503886620168004</v>
      </c>
      <c r="Z22" s="67">
        <f t="shared" si="8"/>
        <v>60.724349681864581</v>
      </c>
      <c r="AA22" s="67">
        <f t="shared" si="8"/>
        <v>60.874182697243562</v>
      </c>
      <c r="AB22" s="68">
        <f t="shared" si="8"/>
        <v>61.056078473993779</v>
      </c>
    </row>
    <row r="23" spans="1:28" ht="12.3" x14ac:dyDescent="0.35">
      <c r="D23" s="15" t="str">
        <f>Lookup!D108</f>
        <v>Zone substations and transformers</v>
      </c>
      <c r="E23" s="52" t="s">
        <v>158</v>
      </c>
      <c r="F23" s="52" t="str">
        <f t="shared" si="1"/>
        <v>Dollars</v>
      </c>
      <c r="G23" s="52" t="str">
        <f t="shared" si="2"/>
        <v>Nominal</v>
      </c>
      <c r="H23" s="52" t="str">
        <f t="shared" si="3"/>
        <v>Start year</v>
      </c>
      <c r="J23" s="72">
        <f>SUMPRODUCT((Calc_Alloc!$J$11:$J$27)*(Input_RAB_SCS!J$18:J$34))</f>
        <v>47.071726111497853</v>
      </c>
      <c r="K23" s="67">
        <f t="shared" ref="K23:AB23" si="9">J156</f>
        <v>49.257548154962308</v>
      </c>
      <c r="L23" s="67">
        <f t="shared" si="9"/>
        <v>51.93307559593201</v>
      </c>
      <c r="M23" s="67">
        <f t="shared" si="9"/>
        <v>73.566519243986875</v>
      </c>
      <c r="N23" s="67">
        <f t="shared" si="9"/>
        <v>105.48723246211824</v>
      </c>
      <c r="O23" s="67">
        <f t="shared" si="9"/>
        <v>134.25745022204163</v>
      </c>
      <c r="P23" s="67">
        <f t="shared" si="9"/>
        <v>175.9477180867863</v>
      </c>
      <c r="Q23" s="67">
        <f t="shared" si="9"/>
        <v>211.49979112014324</v>
      </c>
      <c r="R23" s="68">
        <f t="shared" si="9"/>
        <v>264.91040389827987</v>
      </c>
      <c r="S23" s="66">
        <f t="shared" si="9"/>
        <v>314.98760845090567</v>
      </c>
      <c r="T23" s="67">
        <f t="shared" si="9"/>
        <v>334.30781602676626</v>
      </c>
      <c r="U23" s="67">
        <f t="shared" si="9"/>
        <v>344.20334039390258</v>
      </c>
      <c r="V23" s="67">
        <f t="shared" si="9"/>
        <v>344.93919547332405</v>
      </c>
      <c r="W23" s="68">
        <f t="shared" si="9"/>
        <v>341.65083978271218</v>
      </c>
      <c r="X23" s="66">
        <f t="shared" si="9"/>
        <v>325.90080806224711</v>
      </c>
      <c r="Y23" s="67">
        <f t="shared" si="9"/>
        <v>332.5534485892818</v>
      </c>
      <c r="Z23" s="67">
        <f t="shared" si="9"/>
        <v>338.83170779216249</v>
      </c>
      <c r="AA23" s="67">
        <f t="shared" si="9"/>
        <v>348.38225451899098</v>
      </c>
      <c r="AB23" s="68">
        <f t="shared" si="9"/>
        <v>357.95320913092814</v>
      </c>
    </row>
    <row r="24" spans="1:28" ht="12.3" x14ac:dyDescent="0.35">
      <c r="D24" s="15" t="str">
        <f>Lookup!D109</f>
        <v>Easements</v>
      </c>
      <c r="E24" s="52" t="s">
        <v>158</v>
      </c>
      <c r="F24" s="52" t="str">
        <f t="shared" si="1"/>
        <v>Dollars</v>
      </c>
      <c r="G24" s="52" t="str">
        <f t="shared" si="2"/>
        <v>Nominal</v>
      </c>
      <c r="H24" s="52" t="str">
        <f t="shared" si="3"/>
        <v>Start year</v>
      </c>
      <c r="J24" s="72">
        <f>SUMPRODUCT((Calc_Alloc!$K$11:$K$27)*(Input_RAB_SCS!J$18:J$34))</f>
        <v>28.03394700308905</v>
      </c>
      <c r="K24" s="67">
        <f t="shared" ref="K24:AB24" si="10">J157</f>
        <v>29.444843897374323</v>
      </c>
      <c r="L24" s="67">
        <f t="shared" si="10"/>
        <v>30.922463155114897</v>
      </c>
      <c r="M24" s="67">
        <f t="shared" si="10"/>
        <v>32.243630749502024</v>
      </c>
      <c r="N24" s="67">
        <f t="shared" si="10"/>
        <v>33.029189859678155</v>
      </c>
      <c r="O24" s="67">
        <f t="shared" si="10"/>
        <v>33.993285131257949</v>
      </c>
      <c r="P24" s="67">
        <f t="shared" si="10"/>
        <v>35.10020933196067</v>
      </c>
      <c r="Q24" s="67">
        <f t="shared" si="10"/>
        <v>35.671525048452402</v>
      </c>
      <c r="R24" s="68">
        <f t="shared" si="10"/>
        <v>33.024999999999999</v>
      </c>
      <c r="S24" s="66">
        <f t="shared" si="10"/>
        <v>34.47125290902666</v>
      </c>
      <c r="T24" s="67">
        <f t="shared" si="10"/>
        <v>34.929125338558322</v>
      </c>
      <c r="U24" s="67">
        <f t="shared" si="10"/>
        <v>35.386997768089991</v>
      </c>
      <c r="V24" s="67">
        <f t="shared" si="10"/>
        <v>36.128882714951189</v>
      </c>
      <c r="W24" s="68">
        <f t="shared" si="10"/>
        <v>37.004962835958267</v>
      </c>
      <c r="X24" s="66">
        <f t="shared" si="10"/>
        <v>46.354917721396681</v>
      </c>
      <c r="Y24" s="67">
        <f t="shared" si="10"/>
        <v>47.478966373746196</v>
      </c>
      <c r="Z24" s="67">
        <f t="shared" si="10"/>
        <v>48.630271797004951</v>
      </c>
      <c r="AA24" s="67">
        <f t="shared" si="10"/>
        <v>49.809494933703185</v>
      </c>
      <c r="AB24" s="68">
        <f t="shared" si="10"/>
        <v>51.017312753399054</v>
      </c>
    </row>
    <row r="25" spans="1:28" ht="12.3" x14ac:dyDescent="0.35">
      <c r="D25" s="15" t="str">
        <f>Lookup!D110</f>
        <v>Meters</v>
      </c>
      <c r="E25" s="52" t="s">
        <v>158</v>
      </c>
      <c r="F25" s="52" t="str">
        <f t="shared" si="1"/>
        <v>Dollars</v>
      </c>
      <c r="G25" s="52" t="str">
        <f t="shared" si="2"/>
        <v>Nominal</v>
      </c>
      <c r="H25" s="52" t="str">
        <f t="shared" si="3"/>
        <v>Start year</v>
      </c>
      <c r="J25" s="72">
        <f>SUMPRODUCT((Calc_Alloc!$L$11:$L$27)*(Input_RAB_SCS!J$18:J$34))</f>
        <v>0</v>
      </c>
      <c r="K25" s="67">
        <f t="shared" ref="K25:AB25" si="11">J158</f>
        <v>0</v>
      </c>
      <c r="L25" s="67">
        <f t="shared" si="11"/>
        <v>0</v>
      </c>
      <c r="M25" s="67">
        <f t="shared" si="11"/>
        <v>0</v>
      </c>
      <c r="N25" s="67">
        <f t="shared" si="11"/>
        <v>0</v>
      </c>
      <c r="O25" s="67">
        <f t="shared" si="11"/>
        <v>0</v>
      </c>
      <c r="P25" s="67">
        <f t="shared" si="11"/>
        <v>0</v>
      </c>
      <c r="Q25" s="67">
        <f t="shared" si="11"/>
        <v>0</v>
      </c>
      <c r="R25" s="68">
        <f t="shared" si="11"/>
        <v>0</v>
      </c>
      <c r="S25" s="66">
        <f t="shared" si="11"/>
        <v>0</v>
      </c>
      <c r="T25" s="67">
        <f t="shared" si="11"/>
        <v>0</v>
      </c>
      <c r="U25" s="67">
        <f t="shared" si="11"/>
        <v>0</v>
      </c>
      <c r="V25" s="67">
        <f t="shared" si="11"/>
        <v>0</v>
      </c>
      <c r="W25" s="68">
        <f t="shared" si="11"/>
        <v>0</v>
      </c>
      <c r="X25" s="66">
        <f t="shared" si="11"/>
        <v>0</v>
      </c>
      <c r="Y25" s="67">
        <f t="shared" si="11"/>
        <v>0</v>
      </c>
      <c r="Z25" s="67">
        <f t="shared" si="11"/>
        <v>0</v>
      </c>
      <c r="AA25" s="67">
        <f t="shared" si="11"/>
        <v>0</v>
      </c>
      <c r="AB25" s="68">
        <f t="shared" si="11"/>
        <v>0</v>
      </c>
    </row>
    <row r="26" spans="1:28" ht="12.3" x14ac:dyDescent="0.35">
      <c r="D26" s="15" t="str">
        <f>Lookup!D111</f>
        <v>“Other” asset items with long lives</v>
      </c>
      <c r="E26" s="52" t="s">
        <v>158</v>
      </c>
      <c r="F26" s="52" t="str">
        <f t="shared" si="1"/>
        <v>Dollars</v>
      </c>
      <c r="G26" s="52" t="str">
        <f t="shared" si="2"/>
        <v>Nominal</v>
      </c>
      <c r="H26" s="52" t="str">
        <f t="shared" si="3"/>
        <v>Start year</v>
      </c>
      <c r="J26" s="72">
        <f>SUMPRODUCT((Calc_Alloc!$M$11:$M$27)*(Input_RAB_SCS!J$18:J$34))</f>
        <v>0.56427078965620114</v>
      </c>
      <c r="K26" s="67">
        <f t="shared" ref="K26:AB26" si="12">J159</f>
        <v>0.58076591627221685</v>
      </c>
      <c r="L26" s="67">
        <f t="shared" si="12"/>
        <v>0.59519915206123042</v>
      </c>
      <c r="M26" s="67">
        <f t="shared" si="12"/>
        <v>1.1576579982008739</v>
      </c>
      <c r="N26" s="67">
        <f t="shared" si="12"/>
        <v>1.4515497160196358</v>
      </c>
      <c r="O26" s="67">
        <f t="shared" si="12"/>
        <v>1.4939192752980466</v>
      </c>
      <c r="P26" s="67">
        <f t="shared" si="12"/>
        <v>1.5425658063214072</v>
      </c>
      <c r="Q26" s="67">
        <f t="shared" si="12"/>
        <v>1.5676736933012065</v>
      </c>
      <c r="R26" s="68">
        <f t="shared" si="12"/>
        <v>1.6069047667071426</v>
      </c>
      <c r="S26" s="66">
        <f t="shared" si="12"/>
        <v>1.736675383044163</v>
      </c>
      <c r="T26" s="67">
        <f t="shared" si="12"/>
        <v>1.9050662301253951</v>
      </c>
      <c r="U26" s="67">
        <f t="shared" si="12"/>
        <v>2.4524778089326911</v>
      </c>
      <c r="V26" s="67">
        <f t="shared" si="12"/>
        <v>4.8751079789943796</v>
      </c>
      <c r="W26" s="68">
        <f t="shared" si="12"/>
        <v>9.1333197251311944</v>
      </c>
      <c r="X26" s="66">
        <f t="shared" si="12"/>
        <v>25.081416738636822</v>
      </c>
      <c r="Y26" s="67">
        <f t="shared" si="12"/>
        <v>43.239454071347161</v>
      </c>
      <c r="Z26" s="67">
        <f t="shared" si="12"/>
        <v>52.905082065824587</v>
      </c>
      <c r="AA26" s="67">
        <f t="shared" si="12"/>
        <v>66.233970334572021</v>
      </c>
      <c r="AB26" s="68">
        <f t="shared" si="12"/>
        <v>69.043729499132567</v>
      </c>
    </row>
    <row r="27" spans="1:28" ht="12.3" x14ac:dyDescent="0.35">
      <c r="D27" s="15" t="str">
        <f>Lookup!D112</f>
        <v>“Other” asset items with short lives</v>
      </c>
      <c r="E27" s="52" t="s">
        <v>158</v>
      </c>
      <c r="F27" s="52" t="str">
        <f t="shared" si="1"/>
        <v>Dollars</v>
      </c>
      <c r="G27" s="52" t="str">
        <f t="shared" si="2"/>
        <v>Nominal</v>
      </c>
      <c r="H27" s="52" t="str">
        <f t="shared" si="3"/>
        <v>Start year</v>
      </c>
      <c r="J27" s="73">
        <f>SUMPRODUCT((Calc_Alloc!$N$11:$N$27)*(Input_RAB_SCS!J$18:J$34))</f>
        <v>2.0885146676098501</v>
      </c>
      <c r="K27" s="67">
        <f t="shared" ref="K27:AB27" si="13">J160</f>
        <v>0.82091709057313911</v>
      </c>
      <c r="L27" s="67">
        <f t="shared" si="13"/>
        <v>0.60044477799461515</v>
      </c>
      <c r="M27" s="67">
        <f t="shared" si="13"/>
        <v>0.29246182684719696</v>
      </c>
      <c r="N27" s="67">
        <f t="shared" si="13"/>
        <v>3.9470165527343323E-2</v>
      </c>
      <c r="O27" s="67">
        <f t="shared" si="13"/>
        <v>4.0622267656249544E-2</v>
      </c>
      <c r="P27" s="67">
        <f t="shared" si="13"/>
        <v>0.31592684001872451</v>
      </c>
      <c r="Q27" s="67">
        <f t="shared" si="13"/>
        <v>2.8181106960225857</v>
      </c>
      <c r="R27" s="68">
        <f t="shared" si="13"/>
        <v>7.2490899399153559</v>
      </c>
      <c r="S27" s="66">
        <f t="shared" si="13"/>
        <v>8.1706924591252257</v>
      </c>
      <c r="T27" s="67">
        <f t="shared" si="13"/>
        <v>7.5405950108274276</v>
      </c>
      <c r="U27" s="67">
        <f t="shared" si="13"/>
        <v>6.0591650950727729</v>
      </c>
      <c r="V27" s="67">
        <f t="shared" si="13"/>
        <v>4.4831236140217596</v>
      </c>
      <c r="W27" s="68">
        <f t="shared" si="13"/>
        <v>3.1603810910413817</v>
      </c>
      <c r="X27" s="66">
        <f t="shared" si="13"/>
        <v>0.75889239587925938</v>
      </c>
      <c r="Y27" s="67">
        <f t="shared" si="13"/>
        <v>26.318022251292152</v>
      </c>
      <c r="Z27" s="67">
        <f t="shared" si="13"/>
        <v>29.12275370556188</v>
      </c>
      <c r="AA27" s="67">
        <f t="shared" si="13"/>
        <v>55.125597468258384</v>
      </c>
      <c r="AB27" s="68">
        <f t="shared" si="13"/>
        <v>55.583814809038977</v>
      </c>
    </row>
    <row r="28" spans="1:28" x14ac:dyDescent="0.35">
      <c r="J28" s="56"/>
      <c r="K28" s="57"/>
      <c r="L28" s="57"/>
      <c r="M28" s="57"/>
      <c r="N28" s="57"/>
      <c r="O28" s="57"/>
      <c r="P28" s="57"/>
      <c r="Q28" s="57"/>
      <c r="R28" s="58"/>
      <c r="S28" s="56"/>
      <c r="T28" s="57"/>
      <c r="U28" s="57"/>
      <c r="V28" s="57"/>
      <c r="W28" s="58"/>
      <c r="X28" s="56"/>
      <c r="Y28" s="57"/>
      <c r="Z28" s="57"/>
      <c r="AA28" s="57"/>
      <c r="AB28" s="58"/>
    </row>
    <row r="29" spans="1:28" ht="12.3" x14ac:dyDescent="0.35">
      <c r="D29" s="51" t="str">
        <f>"Total "&amp;D16</f>
        <v>Total EB RIN Categories</v>
      </c>
      <c r="E29" s="47" t="s">
        <v>111</v>
      </c>
      <c r="F29" s="47" t="str">
        <f>F18</f>
        <v>Dollars</v>
      </c>
      <c r="G29" s="47" t="str">
        <f>G18</f>
        <v>Nominal</v>
      </c>
      <c r="H29" s="47" t="str">
        <f>H18</f>
        <v>Start year</v>
      </c>
      <c r="J29" s="62">
        <f t="shared" ref="J29:AB29" si="14">SUM(J18:J27)</f>
        <v>346.09776574165613</v>
      </c>
      <c r="K29" s="46">
        <f t="shared" si="14"/>
        <v>361.29910007209708</v>
      </c>
      <c r="L29" s="46">
        <f t="shared" si="14"/>
        <v>381.26717653788955</v>
      </c>
      <c r="M29" s="46">
        <f t="shared" si="14"/>
        <v>426.23191748430435</v>
      </c>
      <c r="N29" s="46">
        <f t="shared" si="14"/>
        <v>476.54653007073171</v>
      </c>
      <c r="O29" s="46">
        <f t="shared" si="14"/>
        <v>545.18108755768151</v>
      </c>
      <c r="P29" s="46">
        <f t="shared" si="14"/>
        <v>627.0405387842261</v>
      </c>
      <c r="Q29" s="46">
        <f t="shared" si="14"/>
        <v>685.44809762150362</v>
      </c>
      <c r="R29" s="63">
        <f t="shared" si="14"/>
        <v>780.34731061589059</v>
      </c>
      <c r="S29" s="62">
        <f t="shared" si="14"/>
        <v>853.14139286484385</v>
      </c>
      <c r="T29" s="46">
        <f t="shared" si="14"/>
        <v>893.02269564344124</v>
      </c>
      <c r="U29" s="46">
        <f t="shared" si="14"/>
        <v>918.52746292279005</v>
      </c>
      <c r="V29" s="46">
        <f t="shared" si="14"/>
        <v>937.04991301476161</v>
      </c>
      <c r="W29" s="63">
        <f t="shared" si="14"/>
        <v>950.29432108004471</v>
      </c>
      <c r="X29" s="62">
        <f t="shared" si="14"/>
        <v>973.50319741571764</v>
      </c>
      <c r="Y29" s="46">
        <f t="shared" si="14"/>
        <v>1048.3937643590532</v>
      </c>
      <c r="Z29" s="46">
        <f t="shared" si="14"/>
        <v>1096.5249850968946</v>
      </c>
      <c r="AA29" s="46">
        <f t="shared" si="14"/>
        <v>1168.7634131433192</v>
      </c>
      <c r="AB29" s="63">
        <f t="shared" si="14"/>
        <v>1204.488747149552</v>
      </c>
    </row>
    <row r="30" spans="1:28" s="6" customFormat="1" ht="11.25" customHeight="1" x14ac:dyDescent="0.35"/>
    <row r="31" spans="1:28" s="6" customFormat="1" ht="11.25" customHeight="1" x14ac:dyDescent="0.35">
      <c r="A31" s="49">
        <f>IF(SUM($J31:$AB31)&lt;&gt;0,1,0)</f>
        <v>0</v>
      </c>
      <c r="D31" s="15" t="s">
        <v>114</v>
      </c>
      <c r="J31" s="70">
        <f>IF(ROUND(J29-Input_RAB_SCS!J$36,3)=0,0,1)</f>
        <v>0</v>
      </c>
      <c r="K31" s="70">
        <f>IF(ROUND(K29-Input_RAB_SCS!K$36,3)=0,0,1)</f>
        <v>0</v>
      </c>
      <c r="L31" s="70">
        <f>IF(ROUND(L29-Input_RAB_SCS!L$36,3)=0,0,1)</f>
        <v>0</v>
      </c>
      <c r="M31" s="70">
        <f>IF(ROUND(M29-Input_RAB_SCS!M$36,3)=0,0,1)</f>
        <v>0</v>
      </c>
      <c r="N31" s="70">
        <f>IF(ROUND(N29-Input_RAB_SCS!N$36,3)=0,0,1)</f>
        <v>0</v>
      </c>
      <c r="O31" s="70">
        <f>IF(ROUND(O29-Input_RAB_SCS!O$36,3)=0,0,1)</f>
        <v>0</v>
      </c>
      <c r="P31" s="70">
        <f>IF(ROUND(P29-Input_RAB_SCS!P$36,3)=0,0,1)</f>
        <v>0</v>
      </c>
      <c r="Q31" s="70">
        <f>IF(ROUND(Q29-Input_RAB_SCS!Q$36,3)=0,0,1)</f>
        <v>0</v>
      </c>
      <c r="R31" s="70">
        <f>IF(ROUND(R29-Input_RAB_SCS!R$36,3)=0,0,1)</f>
        <v>0</v>
      </c>
      <c r="S31" s="70">
        <f>IF(ROUND(S29-Input_RAB_SCS!S$36,3)=0,0,1)</f>
        <v>0</v>
      </c>
      <c r="T31" s="70">
        <f>IF(ROUND(T29-Input_RAB_SCS!T$36,3)=0,0,1)</f>
        <v>0</v>
      </c>
      <c r="U31" s="70">
        <f>IF(ROUND(U29-Input_RAB_SCS!U$36,3)=0,0,1)</f>
        <v>0</v>
      </c>
      <c r="V31" s="70">
        <f>IF(ROUND(V29-Input_RAB_SCS!V$36,3)=0,0,1)</f>
        <v>0</v>
      </c>
      <c r="W31" s="70">
        <f>IF(ROUND(W29-Input_RAB_SCS!W$36,3)=0,0,1)</f>
        <v>0</v>
      </c>
      <c r="X31" s="70">
        <f>IF(ROUND(X29-Input_RAB_SCS!X$36,3)=0,0,1)</f>
        <v>0</v>
      </c>
      <c r="Y31" s="70">
        <f>IF(ROUND(Y29-Input_RAB_SCS!Y$36,3)=0,0,1)</f>
        <v>0</v>
      </c>
      <c r="Z31" s="70">
        <f>IF(ROUND(Z29-Input_RAB_SCS!Z$36,3)=0,0,1)</f>
        <v>0</v>
      </c>
      <c r="AA31" s="70">
        <f>IF(ROUND(AA29-Input_RAB_SCS!AA$36,3)=0,0,1)</f>
        <v>0</v>
      </c>
      <c r="AB31" s="70">
        <f>IF(ROUND(AB29-Input_RAB_SCS!AB$36,3)=0,0,1)</f>
        <v>0</v>
      </c>
    </row>
    <row r="32" spans="1:28" s="6" customFormat="1" ht="11.25" customHeight="1" x14ac:dyDescent="0.35">
      <c r="L32" s="10"/>
      <c r="Q32" s="10"/>
      <c r="V32" s="10"/>
      <c r="AA32" s="10"/>
    </row>
    <row r="33" spans="3:28" s="13" customFormat="1" ht="14.1" x14ac:dyDescent="0.35">
      <c r="C33" s="13" t="s">
        <v>148</v>
      </c>
    </row>
    <row r="34" spans="3:28" s="6" customFormat="1" ht="11.25" customHeight="1" x14ac:dyDescent="0.35"/>
    <row r="35" spans="3:28" ht="12.3" x14ac:dyDescent="0.35">
      <c r="D35" s="50" t="str">
        <f>D$16</f>
        <v>EB RIN Categories</v>
      </c>
      <c r="E35" s="45" t="str">
        <f>Lookup!E$20</f>
        <v>Source</v>
      </c>
      <c r="F35" s="45" t="str">
        <f>Lookup!F$20</f>
        <v>Unit</v>
      </c>
      <c r="G35" s="45" t="str">
        <f>Lookup!G$20</f>
        <v>Basis</v>
      </c>
      <c r="H35" s="45" t="str">
        <f>Lookup!H$20</f>
        <v>Timing</v>
      </c>
      <c r="J35" s="54" t="str">
        <f t="shared" ref="J35:AB35" si="15">J$10</f>
        <v>RY06</v>
      </c>
      <c r="K35" s="45" t="str">
        <f t="shared" si="15"/>
        <v>RY07</v>
      </c>
      <c r="L35" s="45" t="str">
        <f t="shared" si="15"/>
        <v>RY08</v>
      </c>
      <c r="M35" s="45" t="str">
        <f t="shared" si="15"/>
        <v>RY09</v>
      </c>
      <c r="N35" s="45" t="str">
        <f t="shared" si="15"/>
        <v>RY10</v>
      </c>
      <c r="O35" s="45" t="str">
        <f t="shared" si="15"/>
        <v>RY11</v>
      </c>
      <c r="P35" s="45" t="str">
        <f t="shared" si="15"/>
        <v>RY12</v>
      </c>
      <c r="Q35" s="45" t="str">
        <f t="shared" si="15"/>
        <v>RY13</v>
      </c>
      <c r="R35" s="55" t="str">
        <f t="shared" si="15"/>
        <v>RY14</v>
      </c>
      <c r="S35" s="54" t="str">
        <f t="shared" si="15"/>
        <v>RY15</v>
      </c>
      <c r="T35" s="45" t="str">
        <f t="shared" si="15"/>
        <v>RY16</v>
      </c>
      <c r="U35" s="45" t="str">
        <f t="shared" si="15"/>
        <v>RY17</v>
      </c>
      <c r="V35" s="45" t="str">
        <f t="shared" si="15"/>
        <v>RY18</v>
      </c>
      <c r="W35" s="55" t="str">
        <f t="shared" si="15"/>
        <v>RY19</v>
      </c>
      <c r="X35" s="54" t="str">
        <f t="shared" si="15"/>
        <v>RY20</v>
      </c>
      <c r="Y35" s="45" t="str">
        <f t="shared" si="15"/>
        <v>RY21</v>
      </c>
      <c r="Z35" s="45" t="str">
        <f t="shared" si="15"/>
        <v>RY22</v>
      </c>
      <c r="AA35" s="45" t="str">
        <f t="shared" si="15"/>
        <v>RY23</v>
      </c>
      <c r="AB35" s="55" t="str">
        <f t="shared" si="15"/>
        <v>RY24</v>
      </c>
    </row>
    <row r="36" spans="3:28" x14ac:dyDescent="0.35">
      <c r="J36" s="56"/>
      <c r="K36" s="57"/>
      <c r="L36" s="57"/>
      <c r="M36" s="57"/>
      <c r="N36" s="57"/>
      <c r="O36" s="57"/>
      <c r="P36" s="57"/>
      <c r="Q36" s="57"/>
      <c r="R36" s="58"/>
      <c r="S36" s="56"/>
      <c r="T36" s="57"/>
      <c r="U36" s="57"/>
      <c r="V36" s="57"/>
      <c r="W36" s="58"/>
      <c r="X36" s="56"/>
      <c r="Y36" s="57"/>
      <c r="Z36" s="57"/>
      <c r="AA36" s="57"/>
      <c r="AB36" s="58"/>
    </row>
    <row r="37" spans="3:28" ht="12.3" x14ac:dyDescent="0.35">
      <c r="D37" s="15" t="str">
        <f t="shared" ref="D37:E46" si="16">D18</f>
        <v>Overhead network assets less than 33kV</v>
      </c>
      <c r="E37" s="52" t="str">
        <f t="shared" si="16"/>
        <v>Calc_Alloc</v>
      </c>
      <c r="F37" s="52" t="str">
        <f t="shared" ref="F37:F46" si="17">Dollars</f>
        <v>Dollars</v>
      </c>
      <c r="G37" s="52" t="str">
        <f t="shared" ref="G37:G46" si="18">Nominal</f>
        <v>Nominal</v>
      </c>
      <c r="H37" s="52" t="str">
        <f t="shared" ref="H37:H46" si="19">End_year</f>
        <v>End_year</v>
      </c>
      <c r="J37" s="66">
        <f>SUMPRODUCT((Calc_Alloc!$E$11:$E$27)*(Input_RAB_SCS!J$44:J$60))</f>
        <v>1.0761189303932317</v>
      </c>
      <c r="K37" s="67">
        <f>SUMPRODUCT((Calc_Alloc!$E$11:$E$27)*(Input_RAB_SCS!K$44:K$60))</f>
        <v>0.98241176581627043</v>
      </c>
      <c r="L37" s="67">
        <f>SUMPRODUCT((Calc_Alloc!$E$11:$E$27)*(Input_RAB_SCS!L$44:L$60))</f>
        <v>1.8311753398466812</v>
      </c>
      <c r="M37" s="67">
        <f>SUMPRODUCT((Calc_Alloc!$E$11:$E$27)*(Input_RAB_SCS!M$44:M$60))</f>
        <v>1.1529064732762162</v>
      </c>
      <c r="N37" s="67">
        <f>SUMPRODUCT((Calc_Alloc!$E$11:$E$27)*(Input_RAB_SCS!N$44:N$60))</f>
        <v>1.4790301268091786</v>
      </c>
      <c r="O37" s="67">
        <f>SUMPRODUCT((Calc_Alloc!$E$11:$E$27)*(Input_RAB_SCS!O$44:O$60))</f>
        <v>1.7659961183366419</v>
      </c>
      <c r="P37" s="67">
        <f>SUMPRODUCT((Calc_Alloc!$E$11:$E$27)*(Input_RAB_SCS!P$44:P$60))</f>
        <v>0.94443057915204642</v>
      </c>
      <c r="Q37" s="67">
        <f>SUMPRODUCT((Calc_Alloc!$E$11:$E$27)*(Input_RAB_SCS!Q$44:Q$60))</f>
        <v>1.5399100285407605</v>
      </c>
      <c r="R37" s="68">
        <f>SUMPRODUCT((Calc_Alloc!$E$11:$E$27)*(Input_RAB_SCS!R$44:R$60))</f>
        <v>1.6892031723563332</v>
      </c>
      <c r="S37" s="66">
        <f>SUMPRODUCT((Calc_Alloc!$E$11:$E$27)*(Input_RAB_SCS!S$44:S$60))</f>
        <v>0.98090303472490847</v>
      </c>
      <c r="T37" s="67">
        <f>SUMPRODUCT((Calc_Alloc!$E$11:$E$27)*(Input_RAB_SCS!T$44:T$60))</f>
        <v>1.0111264119793042</v>
      </c>
      <c r="U37" s="67">
        <f>SUMPRODUCT((Calc_Alloc!$E$11:$E$27)*(Input_RAB_SCS!U$44:U$60))</f>
        <v>1.675118947061464</v>
      </c>
      <c r="V37" s="67">
        <f>SUMPRODUCT((Calc_Alloc!$E$11:$E$27)*(Input_RAB_SCS!V$44:V$60))</f>
        <v>1.9595507819079558</v>
      </c>
      <c r="W37" s="68">
        <f>SUMPRODUCT((Calc_Alloc!$E$11:$E$27)*(Input_RAB_SCS!W$44:W$60))</f>
        <v>1.9717231900361996</v>
      </c>
      <c r="X37" s="66">
        <f>SUMPRODUCT((Calc_Alloc!$E$11:$E$27)*(Input_RAB_SCS!X$44:X$60))</f>
        <v>1.9851725782694916</v>
      </c>
      <c r="Y37" s="67">
        <f>SUMPRODUCT((Calc_Alloc!$E$11:$E$27)*(Input_RAB_SCS!Y$44:Y$60))</f>
        <v>2.115919973770422</v>
      </c>
      <c r="Z37" s="67">
        <f>SUMPRODUCT((Calc_Alloc!$E$11:$E$27)*(Input_RAB_SCS!Z$44:Z$60))</f>
        <v>2.2792139304337935</v>
      </c>
      <c r="AA37" s="67">
        <f>SUMPRODUCT((Calc_Alloc!$E$11:$E$27)*(Input_RAB_SCS!AA$44:AA$60))</f>
        <v>2.3982716104274049</v>
      </c>
      <c r="AB37" s="68">
        <f>SUMPRODUCT((Calc_Alloc!$E$11:$E$27)*(Input_RAB_SCS!AB$44:AB$60))</f>
        <v>2.5017794786558931</v>
      </c>
    </row>
    <row r="38" spans="3:28" ht="12.3" x14ac:dyDescent="0.35">
      <c r="D38" s="15" t="str">
        <f t="shared" si="16"/>
        <v>Underground network assets less than 33kV</v>
      </c>
      <c r="E38" s="52" t="str">
        <f t="shared" si="16"/>
        <v>Calc_Alloc</v>
      </c>
      <c r="F38" s="52" t="str">
        <f t="shared" si="17"/>
        <v>Dollars</v>
      </c>
      <c r="G38" s="52" t="str">
        <f t="shared" si="18"/>
        <v>Nominal</v>
      </c>
      <c r="H38" s="52" t="str">
        <f t="shared" si="19"/>
        <v>End_year</v>
      </c>
      <c r="J38" s="66">
        <f>SUMPRODUCT((Calc_Alloc!$F$11:$F$27)*(Input_RAB_SCS!J$44:J$60))</f>
        <v>2.2291408465314984</v>
      </c>
      <c r="K38" s="67">
        <f>SUMPRODUCT((Calc_Alloc!$F$11:$F$27)*(Input_RAB_SCS!K$44:K$60))</f>
        <v>2.0350299089877475</v>
      </c>
      <c r="L38" s="67">
        <f>SUMPRODUCT((Calc_Alloc!$F$11:$F$27)*(Input_RAB_SCS!L$44:L$60))</f>
        <v>3.7932125248009156</v>
      </c>
      <c r="M38" s="67">
        <f>SUMPRODUCT((Calc_Alloc!$F$11:$F$27)*(Input_RAB_SCS!M$44:M$60))</f>
        <v>2.3882034736546021</v>
      </c>
      <c r="N38" s="67">
        <f>SUMPRODUCT((Calc_Alloc!$F$11:$F$27)*(Input_RAB_SCS!N$44:N$60))</f>
        <v>3.0637566776349834</v>
      </c>
      <c r="O38" s="67">
        <f>SUMPRODUCT((Calc_Alloc!$F$11:$F$27)*(Input_RAB_SCS!O$44:O$60))</f>
        <v>3.6581962245083699</v>
      </c>
      <c r="P38" s="67">
        <f>SUMPRODUCT((Calc_Alloc!$F$11:$F$27)*(Input_RAB_SCS!P$44:P$60))</f>
        <v>1.9563533336016088</v>
      </c>
      <c r="Q38" s="67">
        <f>SUMPRODUCT((Calc_Alloc!$F$11:$F$27)*(Input_RAB_SCS!Q$44:Q$60))</f>
        <v>3.189867205324366</v>
      </c>
      <c r="R38" s="68">
        <f>SUMPRODUCT((Calc_Alloc!$F$11:$F$27)*(Input_RAB_SCS!R$44:R$60))</f>
        <v>3.499122515628132</v>
      </c>
      <c r="S38" s="66">
        <f>SUMPRODUCT((Calc_Alloc!$F$11:$F$27)*(Input_RAB_SCS!S$44:S$60))</f>
        <v>2.0319047224198217</v>
      </c>
      <c r="T38" s="67">
        <f>SUMPRODUCT((Calc_Alloc!$F$11:$F$27)*(Input_RAB_SCS!T$44:T$60))</f>
        <v>2.0945095411302832</v>
      </c>
      <c r="U38" s="67">
        <f>SUMPRODUCT((Calc_Alloc!$F$11:$F$27)*(Input_RAB_SCS!U$44:U$60))</f>
        <v>3.4699416277784101</v>
      </c>
      <c r="V38" s="67">
        <f>SUMPRODUCT((Calc_Alloc!$F$11:$F$27)*(Input_RAB_SCS!V$44:V$60))</f>
        <v>4.0591276661415971</v>
      </c>
      <c r="W38" s="68">
        <f>SUMPRODUCT((Calc_Alloc!$F$11:$F$27)*(Input_RAB_SCS!W$44:W$60))</f>
        <v>4.0843420855521195</v>
      </c>
      <c r="X38" s="66">
        <f>SUMPRODUCT((Calc_Alloc!$F$11:$F$27)*(Input_RAB_SCS!X$44:X$60))</f>
        <v>4.1121987958181556</v>
      </c>
      <c r="Y38" s="67">
        <f>SUMPRODUCT((Calc_Alloc!$F$11:$F$27)*(Input_RAB_SCS!Y$44:Y$60))</f>
        <v>4.3830369187586395</v>
      </c>
      <c r="Z38" s="67">
        <f>SUMPRODUCT((Calc_Alloc!$F$11:$F$27)*(Input_RAB_SCS!Z$44:Z$60))</f>
        <v>4.7212938553230357</v>
      </c>
      <c r="AA38" s="67">
        <f>SUMPRODUCT((Calc_Alloc!$F$11:$F$27)*(Input_RAB_SCS!AA$44:AA$60))</f>
        <v>4.9679170662972876</v>
      </c>
      <c r="AB38" s="68">
        <f>SUMPRODUCT((Calc_Alloc!$F$11:$F$27)*(Input_RAB_SCS!AB$44:AB$60))</f>
        <v>5.1823294999766851</v>
      </c>
    </row>
    <row r="39" spans="3:28" ht="12.3" x14ac:dyDescent="0.35">
      <c r="D39" s="15" t="str">
        <f t="shared" si="16"/>
        <v>Distribution substations and transformers</v>
      </c>
      <c r="E39" s="52" t="str">
        <f t="shared" si="16"/>
        <v>Calc_Alloc</v>
      </c>
      <c r="F39" s="52" t="str">
        <f t="shared" si="17"/>
        <v>Dollars</v>
      </c>
      <c r="G39" s="52" t="str">
        <f t="shared" si="18"/>
        <v>Nominal</v>
      </c>
      <c r="H39" s="52" t="str">
        <f t="shared" si="19"/>
        <v>End_year</v>
      </c>
      <c r="J39" s="66">
        <f>SUMPRODUCT((Calc_Alloc!$G$11:$G$27)*(Input_RAB_SCS!J$44:J$60))</f>
        <v>1.6090963095176343</v>
      </c>
      <c r="K39" s="67">
        <f>SUMPRODUCT((Calc_Alloc!$G$11:$G$27)*(Input_RAB_SCS!K$44:K$60))</f>
        <v>1.3330978464043453</v>
      </c>
      <c r="L39" s="67">
        <f>SUMPRODUCT((Calc_Alloc!$G$11:$G$27)*(Input_RAB_SCS!L$44:L$60))</f>
        <v>2.2271250959367883</v>
      </c>
      <c r="M39" s="67">
        <f>SUMPRODUCT((Calc_Alloc!$G$11:$G$27)*(Input_RAB_SCS!M$44:M$60))</f>
        <v>1.419135861762711</v>
      </c>
      <c r="N39" s="67">
        <f>SUMPRODUCT((Calc_Alloc!$G$11:$G$27)*(Input_RAB_SCS!N$44:N$60))</f>
        <v>1.9414926096209983</v>
      </c>
      <c r="O39" s="67">
        <f>SUMPRODUCT((Calc_Alloc!$G$11:$G$27)*(Input_RAB_SCS!O$44:O$60))</f>
        <v>2.5497950832714946</v>
      </c>
      <c r="P39" s="67">
        <f>SUMPRODUCT((Calc_Alloc!$G$11:$G$27)*(Input_RAB_SCS!P$44:P$60))</f>
        <v>1.4575487704507384</v>
      </c>
      <c r="Q39" s="67">
        <f>SUMPRODUCT((Calc_Alloc!$G$11:$G$27)*(Input_RAB_SCS!Q$44:Q$60))</f>
        <v>2.3004358939250302</v>
      </c>
      <c r="R39" s="68">
        <f>SUMPRODUCT((Calc_Alloc!$G$11:$G$27)*(Input_RAB_SCS!R$44:R$60))</f>
        <v>2.3213182759710724</v>
      </c>
      <c r="S39" s="66">
        <f>SUMPRODUCT((Calc_Alloc!$G$11:$G$27)*(Input_RAB_SCS!S$44:S$60))</f>
        <v>1.3000284296332376</v>
      </c>
      <c r="T39" s="67">
        <f>SUMPRODUCT((Calc_Alloc!$G$11:$G$27)*(Input_RAB_SCS!T$44:T$60))</f>
        <v>1.421171081896718</v>
      </c>
      <c r="U39" s="67">
        <f>SUMPRODUCT((Calc_Alloc!$G$11:$G$27)*(Input_RAB_SCS!U$44:U$60))</f>
        <v>2.489947378391788</v>
      </c>
      <c r="V39" s="67">
        <f>SUMPRODUCT((Calc_Alloc!$G$11:$G$27)*(Input_RAB_SCS!V$44:V$60))</f>
        <v>3.0015015703935797</v>
      </c>
      <c r="W39" s="68">
        <f>SUMPRODUCT((Calc_Alloc!$G$11:$G$27)*(Input_RAB_SCS!W$44:W$60))</f>
        <v>3.116965210751264</v>
      </c>
      <c r="X39" s="66">
        <f>SUMPRODUCT((Calc_Alloc!$G$11:$G$27)*(Input_RAB_SCS!X$44:X$60))</f>
        <v>3.4777979793908242</v>
      </c>
      <c r="Y39" s="67">
        <f>SUMPRODUCT((Calc_Alloc!$G$11:$G$27)*(Input_RAB_SCS!Y$44:Y$60))</f>
        <v>3.6221194423855634</v>
      </c>
      <c r="Z39" s="67">
        <f>SUMPRODUCT((Calc_Alloc!$G$11:$G$27)*(Input_RAB_SCS!Z$44:Z$60))</f>
        <v>3.7891124953385833</v>
      </c>
      <c r="AA39" s="67">
        <f>SUMPRODUCT((Calc_Alloc!$G$11:$G$27)*(Input_RAB_SCS!AA$44:AA$60))</f>
        <v>3.9503000826378405</v>
      </c>
      <c r="AB39" s="68">
        <f>SUMPRODUCT((Calc_Alloc!$G$11:$G$27)*(Input_RAB_SCS!AB$44:AB$60))</f>
        <v>4.1448328664016953</v>
      </c>
    </row>
    <row r="40" spans="3:28" ht="12.3" x14ac:dyDescent="0.35">
      <c r="D40" s="15" t="str">
        <f t="shared" si="16"/>
        <v>Overhead network assets 33kV and above</v>
      </c>
      <c r="E40" s="52" t="str">
        <f t="shared" si="16"/>
        <v>Calc_Alloc</v>
      </c>
      <c r="F40" s="52" t="str">
        <f t="shared" si="17"/>
        <v>Dollars</v>
      </c>
      <c r="G40" s="52" t="str">
        <f t="shared" si="18"/>
        <v>Nominal</v>
      </c>
      <c r="H40" s="52" t="str">
        <f t="shared" si="19"/>
        <v>End_year</v>
      </c>
      <c r="J40" s="66">
        <f>SUMPRODUCT((Calc_Alloc!$H$11:$H$27)*(Input_RAB_SCS!J$44:J$60))</f>
        <v>1.9527716327596272</v>
      </c>
      <c r="K40" s="67">
        <f>SUMPRODUCT((Calc_Alloc!$H$11:$H$27)*(Input_RAB_SCS!K$44:K$60))</f>
        <v>1.7580404648415324</v>
      </c>
      <c r="L40" s="67">
        <f>SUMPRODUCT((Calc_Alloc!$H$11:$H$27)*(Input_RAB_SCS!L$44:L$60))</f>
        <v>3.2305633553197026</v>
      </c>
      <c r="M40" s="67">
        <f>SUMPRODUCT((Calc_Alloc!$H$11:$H$27)*(Input_RAB_SCS!M$44:M$60))</f>
        <v>1.8734746100029538</v>
      </c>
      <c r="N40" s="67">
        <f>SUMPRODUCT((Calc_Alloc!$H$11:$H$27)*(Input_RAB_SCS!N$44:N$60))</f>
        <v>2.2254431927464235</v>
      </c>
      <c r="O40" s="67">
        <f>SUMPRODUCT((Calc_Alloc!$H$11:$H$27)*(Input_RAB_SCS!O$44:O$60))</f>
        <v>2.8326283846965632</v>
      </c>
      <c r="P40" s="67">
        <f>SUMPRODUCT((Calc_Alloc!$H$11:$H$27)*(Input_RAB_SCS!P$44:P$60))</f>
        <v>1.58786196010213</v>
      </c>
      <c r="Q40" s="67">
        <f>SUMPRODUCT((Calc_Alloc!$H$11:$H$27)*(Input_RAB_SCS!Q$44:Q$60))</f>
        <v>2.5512901801355445</v>
      </c>
      <c r="R40" s="68">
        <f>SUMPRODUCT((Calc_Alloc!$H$11:$H$27)*(Input_RAB_SCS!R$44:R$60))</f>
        <v>2.7272639713772056</v>
      </c>
      <c r="S40" s="66">
        <f>SUMPRODUCT((Calc_Alloc!$H$11:$H$27)*(Input_RAB_SCS!S$44:S$60))</f>
        <v>1.4968463325641803</v>
      </c>
      <c r="T40" s="67">
        <f>SUMPRODUCT((Calc_Alloc!$H$11:$H$27)*(Input_RAB_SCS!T$44:T$60))</f>
        <v>1.4766059585293716</v>
      </c>
      <c r="U40" s="67">
        <f>SUMPRODUCT((Calc_Alloc!$H$11:$H$27)*(Input_RAB_SCS!U$44:U$60))</f>
        <v>2.426182574001988</v>
      </c>
      <c r="V40" s="67">
        <f>SUMPRODUCT((Calc_Alloc!$H$11:$H$27)*(Input_RAB_SCS!V$44:V$60))</f>
        <v>2.8224452636462258</v>
      </c>
      <c r="W40" s="68">
        <f>SUMPRODUCT((Calc_Alloc!$H$11:$H$27)*(Input_RAB_SCS!W$44:W$60))</f>
        <v>2.9261672672161985</v>
      </c>
      <c r="X40" s="66">
        <f>SUMPRODUCT((Calc_Alloc!$H$11:$H$27)*(Input_RAB_SCS!X$44:X$60))</f>
        <v>2.9177380111061169</v>
      </c>
      <c r="Y40" s="67">
        <f>SUMPRODUCT((Calc_Alloc!$H$11:$H$27)*(Input_RAB_SCS!Y$44:Y$60))</f>
        <v>2.9320236181289085</v>
      </c>
      <c r="Z40" s="67">
        <f>SUMPRODUCT((Calc_Alloc!$H$11:$H$27)*(Input_RAB_SCS!Z$44:Z$60))</f>
        <v>2.94270727731063</v>
      </c>
      <c r="AA40" s="67">
        <f>SUMPRODUCT((Calc_Alloc!$H$11:$H$27)*(Input_RAB_SCS!AA$44:AA$60))</f>
        <v>2.9499681982928565</v>
      </c>
      <c r="AB40" s="68">
        <f>SUMPRODUCT((Calc_Alloc!$H$11:$H$27)*(Input_RAB_SCS!AB$44:AB$60))</f>
        <v>2.9587828834851924</v>
      </c>
    </row>
    <row r="41" spans="3:28" ht="12.3" x14ac:dyDescent="0.35">
      <c r="D41" s="15" t="str">
        <f t="shared" si="16"/>
        <v>Underground network assets 33kV and above</v>
      </c>
      <c r="E41" s="52" t="str">
        <f t="shared" si="16"/>
        <v>Calc_Alloc</v>
      </c>
      <c r="F41" s="52" t="str">
        <f t="shared" si="17"/>
        <v>Dollars</v>
      </c>
      <c r="G41" s="52" t="str">
        <f t="shared" si="18"/>
        <v>Nominal</v>
      </c>
      <c r="H41" s="52" t="str">
        <f t="shared" si="19"/>
        <v>End_year</v>
      </c>
      <c r="J41" s="66">
        <f>SUMPRODUCT((Calc_Alloc!$I$11:$I$27)*(Input_RAB_SCS!J$44:J$60))</f>
        <v>0.97713948186413657</v>
      </c>
      <c r="K41" s="67">
        <f>SUMPRODUCT((Calc_Alloc!$I$11:$I$27)*(Input_RAB_SCS!K$44:K$60))</f>
        <v>0.87969874208168441</v>
      </c>
      <c r="L41" s="67">
        <f>SUMPRODUCT((Calc_Alloc!$I$11:$I$27)*(Input_RAB_SCS!L$44:L$60))</f>
        <v>1.616528502457476</v>
      </c>
      <c r="M41" s="67">
        <f>SUMPRODUCT((Calc_Alloc!$I$11:$I$27)*(Input_RAB_SCS!M$44:M$60))</f>
        <v>0.93746036607304695</v>
      </c>
      <c r="N41" s="67">
        <f>SUMPRODUCT((Calc_Alloc!$I$11:$I$27)*(Input_RAB_SCS!N$44:N$60))</f>
        <v>1.1135804985067521</v>
      </c>
      <c r="O41" s="67">
        <f>SUMPRODUCT((Calc_Alloc!$I$11:$I$27)*(Input_RAB_SCS!O$44:O$60))</f>
        <v>1.4174074355148891</v>
      </c>
      <c r="P41" s="67">
        <f>SUMPRODUCT((Calc_Alloc!$I$11:$I$27)*(Input_RAB_SCS!P$44:P$60))</f>
        <v>0.79454380990434748</v>
      </c>
      <c r="Q41" s="67">
        <f>SUMPRODUCT((Calc_Alloc!$I$11:$I$27)*(Input_RAB_SCS!Q$44:Q$60))</f>
        <v>1.2766297517235456</v>
      </c>
      <c r="R41" s="68">
        <f>SUMPRODUCT((Calc_Alloc!$I$11:$I$27)*(Input_RAB_SCS!R$44:R$60))</f>
        <v>1.3646845638228724</v>
      </c>
      <c r="S41" s="66">
        <f>SUMPRODUCT((Calc_Alloc!$I$11:$I$27)*(Input_RAB_SCS!S$44:S$60))</f>
        <v>0.74900086896747531</v>
      </c>
      <c r="T41" s="67">
        <f>SUMPRODUCT((Calc_Alloc!$I$11:$I$27)*(Input_RAB_SCS!T$44:T$60))</f>
        <v>0.73887287024744075</v>
      </c>
      <c r="U41" s="67">
        <f>SUMPRODUCT((Calc_Alloc!$I$11:$I$27)*(Input_RAB_SCS!U$44:U$60))</f>
        <v>1.2140276638071785</v>
      </c>
      <c r="V41" s="67">
        <f>SUMPRODUCT((Calc_Alloc!$I$11:$I$27)*(Input_RAB_SCS!V$44:V$60))</f>
        <v>1.4123119448492321</v>
      </c>
      <c r="W41" s="68">
        <f>SUMPRODUCT((Calc_Alloc!$I$11:$I$27)*(Input_RAB_SCS!W$44:W$60))</f>
        <v>1.4642129777841717</v>
      </c>
      <c r="X41" s="66">
        <f>SUMPRODUCT((Calc_Alloc!$I$11:$I$27)*(Input_RAB_SCS!X$44:X$60))</f>
        <v>1.4599950964867741</v>
      </c>
      <c r="Y41" s="67">
        <f>SUMPRODUCT((Calc_Alloc!$I$11:$I$27)*(Input_RAB_SCS!Y$44:Y$60))</f>
        <v>1.4671434134789862</v>
      </c>
      <c r="Z41" s="67">
        <f>SUMPRODUCT((Calc_Alloc!$I$11:$I$27)*(Input_RAB_SCS!Z$44:Z$60))</f>
        <v>1.4724893663913028</v>
      </c>
      <c r="AA41" s="67">
        <f>SUMPRODUCT((Calc_Alloc!$I$11:$I$27)*(Input_RAB_SCS!AA$44:AA$60))</f>
        <v>1.476122629209855</v>
      </c>
      <c r="AB41" s="68">
        <f>SUMPRODUCT((Calc_Alloc!$I$11:$I$27)*(Input_RAB_SCS!AB$44:AB$60))</f>
        <v>1.4805333738034063</v>
      </c>
    </row>
    <row r="42" spans="3:28" ht="12.3" x14ac:dyDescent="0.35">
      <c r="D42" s="15" t="str">
        <f t="shared" si="16"/>
        <v>Zone substations and transformers</v>
      </c>
      <c r="E42" s="52" t="str">
        <f t="shared" si="16"/>
        <v>Calc_Alloc</v>
      </c>
      <c r="F42" s="52" t="str">
        <f t="shared" si="17"/>
        <v>Dollars</v>
      </c>
      <c r="G42" s="52" t="str">
        <f t="shared" si="18"/>
        <v>Nominal</v>
      </c>
      <c r="H42" s="52" t="str">
        <f t="shared" si="19"/>
        <v>End_year</v>
      </c>
      <c r="J42" s="66">
        <f>SUMPRODUCT((Calc_Alloc!$J$11:$J$27)*(Input_RAB_SCS!J$44:J$60))</f>
        <v>1.3760309703726563</v>
      </c>
      <c r="K42" s="67">
        <f>SUMPRODUCT((Calc_Alloc!$J$11:$J$27)*(Input_RAB_SCS!K$44:K$60))</f>
        <v>1.2241520843245004</v>
      </c>
      <c r="L42" s="67">
        <f>SUMPRODUCT((Calc_Alloc!$J$11:$J$27)*(Input_RAB_SCS!L$44:L$60))</f>
        <v>2.2188496501726154</v>
      </c>
      <c r="M42" s="67">
        <f>SUMPRODUCT((Calc_Alloc!$J$11:$J$27)*(Input_RAB_SCS!M$44:M$60))</f>
        <v>1.7923182983031143</v>
      </c>
      <c r="N42" s="67">
        <f>SUMPRODUCT((Calc_Alloc!$J$11:$J$27)*(Input_RAB_SCS!N$44:N$60))</f>
        <v>3.0790867853807411</v>
      </c>
      <c r="O42" s="67">
        <f>SUMPRODUCT((Calc_Alloc!$J$11:$J$27)*(Input_RAB_SCS!O$44:O$60))</f>
        <v>4.3718287362219286</v>
      </c>
      <c r="P42" s="67">
        <f>SUMPRODUCT((Calc_Alloc!$J$11:$J$27)*(Input_RAB_SCS!P$44:P$60))</f>
        <v>2.8638489210463947</v>
      </c>
      <c r="Q42" s="67">
        <f>SUMPRODUCT((Calc_Alloc!$J$11:$J$27)*(Input_RAB_SCS!Q$44:Q$60))</f>
        <v>5.2927875655691494</v>
      </c>
      <c r="R42" s="68">
        <f>SUMPRODUCT((Calc_Alloc!$J$11:$J$27)*(Input_RAB_SCS!R$44:R$60))</f>
        <v>6.4900098950580842</v>
      </c>
      <c r="S42" s="66">
        <f>SUMPRODUCT((Calc_Alloc!$J$11:$J$27)*(Input_RAB_SCS!S$44:S$60))</f>
        <v>4.1838961274313569</v>
      </c>
      <c r="T42" s="67">
        <f>SUMPRODUCT((Calc_Alloc!$J$11:$J$27)*(Input_RAB_SCS!T$44:T$60))</f>
        <v>4.3823121951074695</v>
      </c>
      <c r="U42" s="67">
        <f>SUMPRODUCT((Calc_Alloc!$J$11:$J$27)*(Input_RAB_SCS!U$44:U$60))</f>
        <v>7.3167068660441172</v>
      </c>
      <c r="V42" s="67">
        <f>SUMPRODUCT((Calc_Alloc!$J$11:$J$27)*(Input_RAB_SCS!V$44:V$60))</f>
        <v>8.3643431349538453</v>
      </c>
      <c r="W42" s="68">
        <f>SUMPRODUCT((Calc_Alloc!$J$11:$J$27)*(Input_RAB_SCS!W$44:W$60))</f>
        <v>8.2846046311624342</v>
      </c>
      <c r="X42" s="66">
        <f>SUMPRODUCT((Calc_Alloc!$J$11:$J$27)*(Input_RAB_SCS!X$44:X$60))</f>
        <v>7.902686103418417</v>
      </c>
      <c r="Y42" s="67">
        <f>SUMPRODUCT((Calc_Alloc!$J$11:$J$27)*(Input_RAB_SCS!Y$44:Y$60))</f>
        <v>8.0640042976156963</v>
      </c>
      <c r="Z42" s="67">
        <f>SUMPRODUCT((Calc_Alloc!$J$11:$J$27)*(Input_RAB_SCS!Z$44:Z$60))</f>
        <v>8.2162442139610032</v>
      </c>
      <c r="AA42" s="67">
        <f>SUMPRODUCT((Calc_Alloc!$J$11:$J$27)*(Input_RAB_SCS!AA$44:AA$60))</f>
        <v>8.4478330011963489</v>
      </c>
      <c r="AB42" s="68">
        <f>SUMPRODUCT((Calc_Alloc!$J$11:$J$27)*(Input_RAB_SCS!AB$44:AB$60))</f>
        <v>8.6799166540658383</v>
      </c>
    </row>
    <row r="43" spans="3:28" ht="12.3" x14ac:dyDescent="0.35">
      <c r="D43" s="15" t="str">
        <f t="shared" si="16"/>
        <v>Easements</v>
      </c>
      <c r="E43" s="52" t="str">
        <f t="shared" si="16"/>
        <v>Calc_Alloc</v>
      </c>
      <c r="F43" s="52" t="str">
        <f t="shared" si="17"/>
        <v>Dollars</v>
      </c>
      <c r="G43" s="52" t="str">
        <f t="shared" si="18"/>
        <v>Nominal</v>
      </c>
      <c r="H43" s="52" t="str">
        <f t="shared" si="19"/>
        <v>End_year</v>
      </c>
      <c r="J43" s="66">
        <f>SUMPRODUCT((Calc_Alloc!$K$11:$K$27)*(Input_RAB_SCS!J$44:J$60))</f>
        <v>0.81950636793439535</v>
      </c>
      <c r="K43" s="67">
        <f>SUMPRODUCT((Calc_Alloc!$K$11:$K$27)*(Input_RAB_SCS!K$44:K$60))</f>
        <v>0.73176535129568909</v>
      </c>
      <c r="L43" s="67">
        <f>SUMPRODUCT((Calc_Alloc!$K$11:$K$27)*(Input_RAB_SCS!L$44:L$60))</f>
        <v>1.3211675943871264</v>
      </c>
      <c r="M43" s="67">
        <f>SUMPRODUCT((Calc_Alloc!$K$11:$K$27)*(Input_RAB_SCS!M$44:M$60))</f>
        <v>0.78555911017612945</v>
      </c>
      <c r="N43" s="67">
        <f>SUMPRODUCT((Calc_Alloc!$K$11:$K$27)*(Input_RAB_SCS!N$44:N$60))</f>
        <v>0.96409527157979225</v>
      </c>
      <c r="O43" s="67">
        <f>SUMPRODUCT((Calc_Alloc!$K$11:$K$27)*(Input_RAB_SCS!O$44:O$60))</f>
        <v>1.1069242007027233</v>
      </c>
      <c r="P43" s="67">
        <f>SUMPRODUCT((Calc_Alloc!$K$11:$K$27)*(Input_RAB_SCS!P$44:P$60))</f>
        <v>0.57131571649173518</v>
      </c>
      <c r="Q43" s="67">
        <f>SUMPRODUCT((Calc_Alloc!$K$11:$K$27)*(Input_RAB_SCS!Q$44:Q$60))</f>
        <v>0.89268080701832808</v>
      </c>
      <c r="R43" s="68">
        <f>SUMPRODUCT((Calc_Alloc!$K$11:$K$27)*(Input_RAB_SCS!R$44:R$60))</f>
        <v>0.80907572383073523</v>
      </c>
      <c r="S43" s="66">
        <f>SUMPRODUCT((Calc_Alloc!$K$11:$K$27)*(Input_RAB_SCS!S$44:S$60))</f>
        <v>0.4578724295316603</v>
      </c>
      <c r="T43" s="67">
        <f>SUMPRODUCT((Calc_Alloc!$K$11:$K$27)*(Input_RAB_SCS!T$44:T$60))</f>
        <v>0.4578724295316684</v>
      </c>
      <c r="U43" s="67">
        <f>SUMPRODUCT((Calc_Alloc!$K$11:$K$27)*(Input_RAB_SCS!U$44:U$60))</f>
        <v>0.75221899137344483</v>
      </c>
      <c r="V43" s="67">
        <f>SUMPRODUCT((Calc_Alloc!$K$11:$K$27)*(Input_RAB_SCS!V$44:V$60))</f>
        <v>0.87608012100708033</v>
      </c>
      <c r="W43" s="68">
        <f>SUMPRODUCT((Calc_Alloc!$K$11:$K$27)*(Input_RAB_SCS!W$44:W$60))</f>
        <v>0.89732396584112384</v>
      </c>
      <c r="X43" s="66">
        <f>SUMPRODUCT((Calc_Alloc!$K$11:$K$27)*(Input_RAB_SCS!X$44:X$60))</f>
        <v>1.1240486523495119</v>
      </c>
      <c r="Y43" s="67">
        <f>SUMPRODUCT((Calc_Alloc!$K$11:$K$27)*(Input_RAB_SCS!Y$44:Y$60))</f>
        <v>1.1513054232587514</v>
      </c>
      <c r="Z43" s="67">
        <f>SUMPRODUCT((Calc_Alloc!$K$11:$K$27)*(Input_RAB_SCS!Z$44:Z$60))</f>
        <v>1.1792231366982326</v>
      </c>
      <c r="AA43" s="67">
        <f>SUMPRODUCT((Calc_Alloc!$K$11:$K$27)*(Input_RAB_SCS!AA$44:AA$60))</f>
        <v>1.2078178196958724</v>
      </c>
      <c r="AB43" s="68">
        <f>SUMPRODUCT((Calc_Alloc!$K$11:$K$27)*(Input_RAB_SCS!AB$44:AB$60))</f>
        <v>1.2371058879149257</v>
      </c>
    </row>
    <row r="44" spans="3:28" ht="12.3" x14ac:dyDescent="0.35">
      <c r="D44" s="15" t="str">
        <f t="shared" si="16"/>
        <v>Meters</v>
      </c>
      <c r="E44" s="52" t="str">
        <f t="shared" si="16"/>
        <v>Calc_Alloc</v>
      </c>
      <c r="F44" s="52" t="str">
        <f t="shared" si="17"/>
        <v>Dollars</v>
      </c>
      <c r="G44" s="52" t="str">
        <f t="shared" si="18"/>
        <v>Nominal</v>
      </c>
      <c r="H44" s="52" t="str">
        <f t="shared" si="19"/>
        <v>End_year</v>
      </c>
      <c r="J44" s="66">
        <f>SUMPRODUCT((Calc_Alloc!$L$11:$L$27)*(Input_RAB_SCS!J$44:J$60))</f>
        <v>0</v>
      </c>
      <c r="K44" s="67">
        <f>SUMPRODUCT((Calc_Alloc!$L$11:$L$27)*(Input_RAB_SCS!K$44:K$60))</f>
        <v>0</v>
      </c>
      <c r="L44" s="67">
        <f>SUMPRODUCT((Calc_Alloc!$L$11:$L$27)*(Input_RAB_SCS!L$44:L$60))</f>
        <v>0</v>
      </c>
      <c r="M44" s="67">
        <f>SUMPRODUCT((Calc_Alloc!$L$11:$L$27)*(Input_RAB_SCS!M$44:M$60))</f>
        <v>0</v>
      </c>
      <c r="N44" s="67">
        <f>SUMPRODUCT((Calc_Alloc!$L$11:$L$27)*(Input_RAB_SCS!N$44:N$60))</f>
        <v>0</v>
      </c>
      <c r="O44" s="67">
        <f>SUMPRODUCT((Calc_Alloc!$L$11:$L$27)*(Input_RAB_SCS!O$44:O$60))</f>
        <v>0</v>
      </c>
      <c r="P44" s="67">
        <f>SUMPRODUCT((Calc_Alloc!$L$11:$L$27)*(Input_RAB_SCS!P$44:P$60))</f>
        <v>0</v>
      </c>
      <c r="Q44" s="67">
        <f>SUMPRODUCT((Calc_Alloc!$L$11:$L$27)*(Input_RAB_SCS!Q$44:Q$60))</f>
        <v>0</v>
      </c>
      <c r="R44" s="68">
        <f>SUMPRODUCT((Calc_Alloc!$L$11:$L$27)*(Input_RAB_SCS!R$44:R$60))</f>
        <v>0</v>
      </c>
      <c r="S44" s="66">
        <f>SUMPRODUCT((Calc_Alloc!$L$11:$L$27)*(Input_RAB_SCS!S$44:S$60))</f>
        <v>0</v>
      </c>
      <c r="T44" s="67">
        <f>SUMPRODUCT((Calc_Alloc!$L$11:$L$27)*(Input_RAB_SCS!T$44:T$60))</f>
        <v>0</v>
      </c>
      <c r="U44" s="67">
        <f>SUMPRODUCT((Calc_Alloc!$L$11:$L$27)*(Input_RAB_SCS!U$44:U$60))</f>
        <v>0</v>
      </c>
      <c r="V44" s="67">
        <f>SUMPRODUCT((Calc_Alloc!$L$11:$L$27)*(Input_RAB_SCS!V$44:V$60))</f>
        <v>0</v>
      </c>
      <c r="W44" s="68">
        <f>SUMPRODUCT((Calc_Alloc!$L$11:$L$27)*(Input_RAB_SCS!W$44:W$60))</f>
        <v>0</v>
      </c>
      <c r="X44" s="66">
        <f>SUMPRODUCT((Calc_Alloc!$L$11:$L$27)*(Input_RAB_SCS!X$44:X$60))</f>
        <v>0</v>
      </c>
      <c r="Y44" s="67">
        <f>SUMPRODUCT((Calc_Alloc!$L$11:$L$27)*(Input_RAB_SCS!Y$44:Y$60))</f>
        <v>0</v>
      </c>
      <c r="Z44" s="67">
        <f>SUMPRODUCT((Calc_Alloc!$L$11:$L$27)*(Input_RAB_SCS!Z$44:Z$60))</f>
        <v>0</v>
      </c>
      <c r="AA44" s="67">
        <f>SUMPRODUCT((Calc_Alloc!$L$11:$L$27)*(Input_RAB_SCS!AA$44:AA$60))</f>
        <v>0</v>
      </c>
      <c r="AB44" s="68">
        <f>SUMPRODUCT((Calc_Alloc!$L$11:$L$27)*(Input_RAB_SCS!AB$44:AB$60))</f>
        <v>0</v>
      </c>
    </row>
    <row r="45" spans="3:28" ht="12.3" x14ac:dyDescent="0.35">
      <c r="D45" s="15" t="str">
        <f t="shared" si="16"/>
        <v>“Other” asset items with long lives</v>
      </c>
      <c r="E45" s="52" t="str">
        <f t="shared" si="16"/>
        <v>Calc_Alloc</v>
      </c>
      <c r="F45" s="52" t="str">
        <f t="shared" si="17"/>
        <v>Dollars</v>
      </c>
      <c r="G45" s="52" t="str">
        <f t="shared" si="18"/>
        <v>Nominal</v>
      </c>
      <c r="H45" s="52" t="str">
        <f t="shared" si="19"/>
        <v>End_year</v>
      </c>
      <c r="J45" s="66">
        <f>SUMPRODUCT((Calc_Alloc!$M$11:$M$27)*(Input_RAB_SCS!J$44:J$60))</f>
        <v>1.6495126616015657E-2</v>
      </c>
      <c r="K45" s="67">
        <f>SUMPRODUCT((Calc_Alloc!$M$11:$M$27)*(Input_RAB_SCS!K$44:K$60))</f>
        <v>1.4433235789013591E-2</v>
      </c>
      <c r="L45" s="67">
        <f>SUMPRODUCT((Calc_Alloc!$M$11:$M$27)*(Input_RAB_SCS!L$44:L$60))</f>
        <v>2.5429986866357425E-2</v>
      </c>
      <c r="M45" s="67">
        <f>SUMPRODUCT((Calc_Alloc!$M$11:$M$27)*(Input_RAB_SCS!M$44:M$60))</f>
        <v>2.8204292314971471E-2</v>
      </c>
      <c r="N45" s="67">
        <f>SUMPRODUCT((Calc_Alloc!$M$11:$M$27)*(Input_RAB_SCS!N$44:N$60))</f>
        <v>4.2369559278410879E-2</v>
      </c>
      <c r="O45" s="67">
        <f>SUMPRODUCT((Calc_Alloc!$M$11:$M$27)*(Input_RAB_SCS!O$44:O$60))</f>
        <v>4.8646531023360584E-2</v>
      </c>
      <c r="P45" s="67">
        <f>SUMPRODUCT((Calc_Alloc!$M$11:$M$27)*(Input_RAB_SCS!P$44:P$60))</f>
        <v>2.5107886979799324E-2</v>
      </c>
      <c r="Q45" s="67">
        <f>SUMPRODUCT((Calc_Alloc!$M$11:$M$27)*(Input_RAB_SCS!Q$44:Q$60))</f>
        <v>3.9231073405936089E-2</v>
      </c>
      <c r="R45" s="68">
        <f>SUMPRODUCT((Calc_Alloc!$M$11:$M$27)*(Input_RAB_SCS!R$44:R$60))</f>
        <v>3.9367377358081462E-2</v>
      </c>
      <c r="S45" s="66">
        <f>SUMPRODUCT((Calc_Alloc!$M$11:$M$27)*(Input_RAB_SCS!S$44:S$60))</f>
        <v>2.3067794461687021E-2</v>
      </c>
      <c r="T45" s="67">
        <f>SUMPRODUCT((Calc_Alloc!$M$11:$M$27)*(Input_RAB_SCS!T$44:T$60))</f>
        <v>2.497277829752418E-2</v>
      </c>
      <c r="U45" s="67">
        <f>SUMPRODUCT((Calc_Alloc!$M$11:$M$27)*(Input_RAB_SCS!U$44:U$60))</f>
        <v>5.2132153054946145E-2</v>
      </c>
      <c r="V45" s="67">
        <f>SUMPRODUCT((Calc_Alloc!$M$11:$M$27)*(Input_RAB_SCS!V$44:V$60))</f>
        <v>0.11821525791032891</v>
      </c>
      <c r="W45" s="68">
        <f>SUMPRODUCT((Calc_Alloc!$M$11:$M$27)*(Input_RAB_SCS!W$44:W$60))</f>
        <v>0.22147155540677785</v>
      </c>
      <c r="X45" s="66">
        <f>SUMPRODUCT((Calc_Alloc!$M$11:$M$27)*(Input_RAB_SCS!X$44:X$60))</f>
        <v>0.60819291824711619</v>
      </c>
      <c r="Y45" s="67">
        <f>SUMPRODUCT((Calc_Alloc!$M$11:$M$27)*(Input_RAB_SCS!Y$44:Y$60))</f>
        <v>1.0485025638346008</v>
      </c>
      <c r="Z45" s="67">
        <f>SUMPRODUCT((Calc_Alloc!$M$11:$M$27)*(Input_RAB_SCS!Z$44:Z$60))</f>
        <v>1.2828819275647434</v>
      </c>
      <c r="AA45" s="67">
        <f>SUMPRODUCT((Calc_Alloc!$M$11:$M$27)*(Input_RAB_SCS!AA$44:AA$60))</f>
        <v>1.6060907613253774</v>
      </c>
      <c r="AB45" s="68">
        <f>SUMPRODUCT((Calc_Alloc!$M$11:$M$27)*(Input_RAB_SCS!AB$44:AB$60))</f>
        <v>1.6742238992447047</v>
      </c>
    </row>
    <row r="46" spans="3:28" ht="12.3" x14ac:dyDescent="0.35">
      <c r="D46" s="15" t="str">
        <f t="shared" si="16"/>
        <v>“Other” asset items with short lives</v>
      </c>
      <c r="E46" s="52" t="str">
        <f t="shared" si="16"/>
        <v>Calc_Alloc</v>
      </c>
      <c r="F46" s="52" t="str">
        <f t="shared" si="17"/>
        <v>Dollars</v>
      </c>
      <c r="G46" s="52" t="str">
        <f t="shared" si="18"/>
        <v>Nominal</v>
      </c>
      <c r="H46" s="52" t="str">
        <f t="shared" si="19"/>
        <v>End_year</v>
      </c>
      <c r="J46" s="66">
        <f>SUMPRODUCT((Calc_Alloc!$N$11:$N$27)*(Input_RAB_SCS!J$44:J$60))</f>
        <v>6.1052803925257623E-2</v>
      </c>
      <c r="K46" s="67">
        <f>SUMPRODUCT((Calc_Alloc!$N$11:$N$27)*(Input_RAB_SCS!K$44:K$60))</f>
        <v>2.0401489824894477E-2</v>
      </c>
      <c r="L46" s="67">
        <f>SUMPRODUCT((Calc_Alloc!$N$11:$N$27)*(Input_RAB_SCS!L$44:L$60))</f>
        <v>2.565410714295702E-2</v>
      </c>
      <c r="M46" s="67">
        <f>SUMPRODUCT((Calc_Alloc!$N$11:$N$27)*(Input_RAB_SCS!M$44:M$60))</f>
        <v>7.1253158257346015E-3</v>
      </c>
      <c r="N46" s="67">
        <f>SUMPRODUCT((Calc_Alloc!$N$11:$N$27)*(Input_RAB_SCS!N$44:N$60))</f>
        <v>1.1521021289062471E-3</v>
      </c>
      <c r="O46" s="67">
        <f>SUMPRODUCT((Calc_Alloc!$N$11:$N$27)*(Input_RAB_SCS!O$44:O$60))</f>
        <v>1.3227839257812454E-3</v>
      </c>
      <c r="P46" s="67">
        <f>SUMPRODUCT((Calc_Alloc!$N$11:$N$27)*(Input_RAB_SCS!P$44:P$60))</f>
        <v>5.142247650355692E-3</v>
      </c>
      <c r="Q46" s="67">
        <f>SUMPRODUCT((Calc_Alloc!$N$11:$N$27)*(Input_RAB_SCS!Q$44:Q$60))</f>
        <v>7.0523290691255888E-2</v>
      </c>
      <c r="R46" s="68">
        <f>SUMPRODUCT((Calc_Alloc!$N$11:$N$27)*(Input_RAB_SCS!R$44:R$60))</f>
        <v>0.177594631044697</v>
      </c>
      <c r="S46" s="66">
        <f>SUMPRODUCT((Calc_Alloc!$N$11:$N$27)*(Input_RAB_SCS!S$44:S$60))</f>
        <v>0.1085291218479624</v>
      </c>
      <c r="T46" s="67">
        <f>SUMPRODUCT((Calc_Alloc!$N$11:$N$27)*(Input_RAB_SCS!T$44:T$60))</f>
        <v>9.8846751078263226E-2</v>
      </c>
      <c r="U46" s="67">
        <f>SUMPRODUCT((Calc_Alloc!$N$11:$N$27)*(Input_RAB_SCS!U$44:U$60))</f>
        <v>0.12879925802834874</v>
      </c>
      <c r="V46" s="67">
        <f>SUMPRODUCT((Calc_Alloc!$N$11:$N$27)*(Input_RAB_SCS!V$44:V$60))</f>
        <v>0.10871012838259</v>
      </c>
      <c r="W46" s="68">
        <f>SUMPRODUCT((Calc_Alloc!$N$11:$N$27)*(Input_RAB_SCS!W$44:W$60))</f>
        <v>7.6635280158338023E-2</v>
      </c>
      <c r="X46" s="66">
        <f>SUMPRODUCT((Calc_Alloc!$N$11:$N$27)*(Input_RAB_SCS!X$44:X$60))</f>
        <v>1.8402189385671713E-2</v>
      </c>
      <c r="Y46" s="67">
        <f>SUMPRODUCT((Calc_Alloc!$N$11:$N$27)*(Input_RAB_SCS!Y$44:Y$60))</f>
        <v>0.63817905193723368</v>
      </c>
      <c r="Z46" s="67">
        <f>SUMPRODUCT((Calc_Alloc!$N$11:$N$27)*(Input_RAB_SCS!Z$44:Z$60))</f>
        <v>0.70619027418386404</v>
      </c>
      <c r="AA46" s="67">
        <f>SUMPRODUCT((Calc_Alloc!$N$11:$N$27)*(Input_RAB_SCS!AA$44:AA$60))</f>
        <v>1.3367266428251252</v>
      </c>
      <c r="AB46" s="68">
        <f>SUMPRODUCT((Calc_Alloc!$N$11:$N$27)*(Input_RAB_SCS!AB$44:AB$60))</f>
        <v>1.3478378389981658</v>
      </c>
    </row>
    <row r="47" spans="3:28" x14ac:dyDescent="0.35">
      <c r="J47" s="56"/>
      <c r="K47" s="57"/>
      <c r="L47" s="57"/>
      <c r="M47" s="57"/>
      <c r="N47" s="57"/>
      <c r="O47" s="57"/>
      <c r="P47" s="57"/>
      <c r="Q47" s="57"/>
      <c r="R47" s="58"/>
      <c r="S47" s="56"/>
      <c r="T47" s="57"/>
      <c r="U47" s="57"/>
      <c r="V47" s="57"/>
      <c r="W47" s="58"/>
      <c r="X47" s="56"/>
      <c r="Y47" s="57"/>
      <c r="Z47" s="57"/>
      <c r="AA47" s="57"/>
      <c r="AB47" s="58"/>
    </row>
    <row r="48" spans="3:28" ht="12.3" x14ac:dyDescent="0.35">
      <c r="D48" s="51" t="str">
        <f>"Total "&amp;D35</f>
        <v>Total EB RIN Categories</v>
      </c>
      <c r="E48" s="47" t="s">
        <v>111</v>
      </c>
      <c r="F48" s="47" t="str">
        <f>F37</f>
        <v>Dollars</v>
      </c>
      <c r="G48" s="47" t="str">
        <f>G37</f>
        <v>Nominal</v>
      </c>
      <c r="H48" s="47" t="str">
        <f>H37</f>
        <v>End_year</v>
      </c>
      <c r="J48" s="62">
        <f t="shared" ref="J48:AB48" si="20">SUM(J37:J46)</f>
        <v>10.117352469914453</v>
      </c>
      <c r="K48" s="46">
        <f t="shared" si="20"/>
        <v>8.9790308893656778</v>
      </c>
      <c r="L48" s="46">
        <f t="shared" si="20"/>
        <v>16.28970615693062</v>
      </c>
      <c r="M48" s="46">
        <f t="shared" si="20"/>
        <v>10.384387801389478</v>
      </c>
      <c r="N48" s="46">
        <f t="shared" si="20"/>
        <v>13.910006823686189</v>
      </c>
      <c r="O48" s="46">
        <f t="shared" si="20"/>
        <v>17.752745498201758</v>
      </c>
      <c r="P48" s="46">
        <f t="shared" si="20"/>
        <v>10.206153225379156</v>
      </c>
      <c r="Q48" s="46">
        <f t="shared" si="20"/>
        <v>17.153355796333919</v>
      </c>
      <c r="R48" s="63">
        <f t="shared" si="20"/>
        <v>19.117640126447213</v>
      </c>
      <c r="S48" s="62">
        <f t="shared" si="20"/>
        <v>11.33204886158229</v>
      </c>
      <c r="T48" s="46">
        <f t="shared" si="20"/>
        <v>11.706290017798043</v>
      </c>
      <c r="U48" s="46">
        <f t="shared" si="20"/>
        <v>19.525075459541686</v>
      </c>
      <c r="V48" s="46">
        <f t="shared" si="20"/>
        <v>22.722285869192437</v>
      </c>
      <c r="W48" s="63">
        <f t="shared" si="20"/>
        <v>23.04344616390863</v>
      </c>
      <c r="X48" s="62">
        <f t="shared" si="20"/>
        <v>23.606232324472078</v>
      </c>
      <c r="Y48" s="46">
        <f t="shared" si="20"/>
        <v>25.422234703168801</v>
      </c>
      <c r="Z48" s="46">
        <f t="shared" si="20"/>
        <v>26.58935647720519</v>
      </c>
      <c r="AA48" s="46">
        <f t="shared" si="20"/>
        <v>28.341047811907963</v>
      </c>
      <c r="AB48" s="63">
        <f t="shared" si="20"/>
        <v>29.207342382546507</v>
      </c>
    </row>
    <row r="49" spans="1:28" s="6" customFormat="1" ht="11.25" customHeight="1" x14ac:dyDescent="0.35"/>
    <row r="50" spans="1:28" s="6" customFormat="1" ht="11.25" customHeight="1" x14ac:dyDescent="0.35">
      <c r="A50" s="49">
        <f>IF(SUM($J50:$AB50)&lt;&gt;0,1,0)</f>
        <v>0</v>
      </c>
      <c r="D50" s="15" t="s">
        <v>114</v>
      </c>
      <c r="J50" s="70">
        <f>IF(ROUND(J48-Input_RAB_SCS!J$62,5)&lt;&gt;0,1,0)</f>
        <v>0</v>
      </c>
      <c r="K50" s="70">
        <f>IF(ROUND(K48-Input_RAB_SCS!K$62,5)&lt;&gt;0,1,0)</f>
        <v>0</v>
      </c>
      <c r="L50" s="70">
        <f>IF(ROUND(L48-Input_RAB_SCS!L$62,5)&lt;&gt;0,1,0)</f>
        <v>0</v>
      </c>
      <c r="M50" s="70">
        <f>IF(ROUND(M48-Input_RAB_SCS!M$62,5)&lt;&gt;0,1,0)</f>
        <v>0</v>
      </c>
      <c r="N50" s="70">
        <f>IF(ROUND(N48-Input_RAB_SCS!N$62,5)&lt;&gt;0,1,0)</f>
        <v>0</v>
      </c>
      <c r="O50" s="70">
        <f>IF(ROUND(O48-Input_RAB_SCS!O$62,5)&lt;&gt;0,1,0)</f>
        <v>0</v>
      </c>
      <c r="P50" s="70">
        <f>IF(ROUND(P48-Input_RAB_SCS!P$62,5)&lt;&gt;0,1,0)</f>
        <v>0</v>
      </c>
      <c r="Q50" s="70">
        <f>IF(ROUND(Q48-Input_RAB_SCS!Q$62,5)&lt;&gt;0,1,0)</f>
        <v>0</v>
      </c>
      <c r="R50" s="70">
        <f>IF(ROUND(R48-Input_RAB_SCS!R$62,5)&lt;&gt;0,1,0)</f>
        <v>0</v>
      </c>
      <c r="S50" s="70">
        <f>IF(ROUND(S48-Input_RAB_SCS!S$62,5)&lt;&gt;0,1,0)</f>
        <v>0</v>
      </c>
      <c r="T50" s="70">
        <f>IF(ROUND(T48-Input_RAB_SCS!T$62,5)&lt;&gt;0,1,0)</f>
        <v>0</v>
      </c>
      <c r="U50" s="70">
        <f>IF(ROUND(U48-Input_RAB_SCS!U$62,5)&lt;&gt;0,1,0)</f>
        <v>0</v>
      </c>
      <c r="V50" s="70">
        <f>IF(ROUND(V48-Input_RAB_SCS!V$62,5)&lt;&gt;0,1,0)</f>
        <v>0</v>
      </c>
      <c r="W50" s="70">
        <f>IF(ROUND(W48-Input_RAB_SCS!W$62,5)&lt;&gt;0,1,0)</f>
        <v>0</v>
      </c>
      <c r="X50" s="70">
        <f>IF(ROUND(X48-Input_RAB_SCS!X$62,5)&lt;&gt;0,1,0)</f>
        <v>0</v>
      </c>
      <c r="Y50" s="70">
        <f>IF(ROUND(Y48-Input_RAB_SCS!Y$62,5)&lt;&gt;0,1,0)</f>
        <v>0</v>
      </c>
      <c r="Z50" s="70">
        <f>IF(ROUND(Z48-Input_RAB_SCS!Z$62,5)&lt;&gt;0,1,0)</f>
        <v>0</v>
      </c>
      <c r="AA50" s="70">
        <f>IF(ROUND(AA48-Input_RAB_SCS!AA$62,5)&lt;&gt;0,1,0)</f>
        <v>0</v>
      </c>
      <c r="AB50" s="70">
        <f>IF(ROUND(AB48-Input_RAB_SCS!AB$62,5)&lt;&gt;0,1,0)</f>
        <v>0</v>
      </c>
    </row>
    <row r="51" spans="1:28" s="6" customFormat="1" ht="11.25" customHeight="1" x14ac:dyDescent="0.35">
      <c r="L51" s="10"/>
      <c r="Q51" s="10"/>
      <c r="V51" s="10"/>
      <c r="AA51" s="10"/>
    </row>
    <row r="52" spans="1:28" s="13" customFormat="1" ht="14.1" x14ac:dyDescent="0.35">
      <c r="C52" s="13" t="s">
        <v>149</v>
      </c>
    </row>
    <row r="53" spans="1:28" s="6" customFormat="1" ht="11.25" customHeight="1" x14ac:dyDescent="0.35"/>
    <row r="54" spans="1:28" ht="12.3" x14ac:dyDescent="0.35">
      <c r="D54" s="50" t="str">
        <f>D$16</f>
        <v>EB RIN Categories</v>
      </c>
      <c r="E54" s="45" t="str">
        <f>Lookup!E$20</f>
        <v>Source</v>
      </c>
      <c r="F54" s="45" t="str">
        <f>Lookup!F$20</f>
        <v>Unit</v>
      </c>
      <c r="G54" s="45" t="str">
        <f>Lookup!G$20</f>
        <v>Basis</v>
      </c>
      <c r="H54" s="45" t="str">
        <f>Lookup!H$20</f>
        <v>Timing</v>
      </c>
      <c r="J54" s="54" t="str">
        <f t="shared" ref="J54:AB54" si="21">J$10</f>
        <v>RY06</v>
      </c>
      <c r="K54" s="45" t="str">
        <f t="shared" si="21"/>
        <v>RY07</v>
      </c>
      <c r="L54" s="45" t="str">
        <f t="shared" si="21"/>
        <v>RY08</v>
      </c>
      <c r="M54" s="45" t="str">
        <f t="shared" si="21"/>
        <v>RY09</v>
      </c>
      <c r="N54" s="45" t="str">
        <f t="shared" si="21"/>
        <v>RY10</v>
      </c>
      <c r="O54" s="45" t="str">
        <f t="shared" si="21"/>
        <v>RY11</v>
      </c>
      <c r="P54" s="45" t="str">
        <f t="shared" si="21"/>
        <v>RY12</v>
      </c>
      <c r="Q54" s="45" t="str">
        <f t="shared" si="21"/>
        <v>RY13</v>
      </c>
      <c r="R54" s="55" t="str">
        <f t="shared" si="21"/>
        <v>RY14</v>
      </c>
      <c r="S54" s="54" t="str">
        <f t="shared" si="21"/>
        <v>RY15</v>
      </c>
      <c r="T54" s="45" t="str">
        <f t="shared" si="21"/>
        <v>RY16</v>
      </c>
      <c r="U54" s="45" t="str">
        <f t="shared" si="21"/>
        <v>RY17</v>
      </c>
      <c r="V54" s="45" t="str">
        <f t="shared" si="21"/>
        <v>RY18</v>
      </c>
      <c r="W54" s="55" t="str">
        <f t="shared" si="21"/>
        <v>RY19</v>
      </c>
      <c r="X54" s="54" t="str">
        <f t="shared" si="21"/>
        <v>RY20</v>
      </c>
      <c r="Y54" s="45" t="str">
        <f t="shared" si="21"/>
        <v>RY21</v>
      </c>
      <c r="Z54" s="45" t="str">
        <f t="shared" si="21"/>
        <v>RY22</v>
      </c>
      <c r="AA54" s="45" t="str">
        <f t="shared" si="21"/>
        <v>RY23</v>
      </c>
      <c r="AB54" s="55" t="str">
        <f t="shared" si="21"/>
        <v>RY24</v>
      </c>
    </row>
    <row r="55" spans="1:28" x14ac:dyDescent="0.35">
      <c r="J55" s="56"/>
      <c r="K55" s="57"/>
      <c r="L55" s="57"/>
      <c r="M55" s="57"/>
      <c r="N55" s="57"/>
      <c r="O55" s="57"/>
      <c r="P55" s="57"/>
      <c r="Q55" s="57"/>
      <c r="R55" s="58"/>
      <c r="S55" s="56"/>
      <c r="T55" s="57"/>
      <c r="U55" s="57"/>
      <c r="V55" s="57"/>
      <c r="W55" s="58"/>
      <c r="X55" s="56"/>
      <c r="Y55" s="57"/>
      <c r="Z55" s="57"/>
      <c r="AA55" s="57"/>
      <c r="AB55" s="58"/>
    </row>
    <row r="56" spans="1:28" ht="12.3" x14ac:dyDescent="0.35">
      <c r="D56" s="15" t="str">
        <f t="shared" ref="D56:E65" si="22">D18</f>
        <v>Overhead network assets less than 33kV</v>
      </c>
      <c r="E56" s="52" t="str">
        <f t="shared" si="22"/>
        <v>Calc_Alloc</v>
      </c>
      <c r="F56" s="52" t="str">
        <f t="shared" ref="F56:F65" si="23">Dollars</f>
        <v>Dollars</v>
      </c>
      <c r="G56" s="52" t="str">
        <f t="shared" ref="G56:G65" si="24">Nominal</f>
        <v>Nominal</v>
      </c>
      <c r="H56" s="52" t="str">
        <f t="shared" ref="H56:H65" si="25">End_year</f>
        <v>End_year</v>
      </c>
      <c r="J56" s="66">
        <f>SUMPRODUCT((Calc_Alloc!$E$11:$E$27)*(Input_RAB_SCS!J$71:J$87))</f>
        <v>-1.4241015115463305</v>
      </c>
      <c r="K56" s="67">
        <f>SUMPRODUCT((Calc_Alloc!$E$11:$E$27)*(Input_RAB_SCS!K$71:K$87))</f>
        <v>-1.5203459254256473</v>
      </c>
      <c r="L56" s="67">
        <f>SUMPRODUCT((Calc_Alloc!$E$11:$E$27)*(Input_RAB_SCS!L$71:L$87))</f>
        <v>-1.6569768757129681</v>
      </c>
      <c r="M56" s="67">
        <f>SUMPRODUCT((Calc_Alloc!$E$11:$E$27)*(Input_RAB_SCS!M$71:M$87))</f>
        <v>-1.7699759684561818</v>
      </c>
      <c r="N56" s="67">
        <f>SUMPRODUCT((Calc_Alloc!$E$11:$E$27)*(Input_RAB_SCS!N$71:N$87))</f>
        <v>-1.955672169497342</v>
      </c>
      <c r="O56" s="67">
        <f>SUMPRODUCT((Calc_Alloc!$E$11:$E$27)*(Input_RAB_SCS!O$71:O$87))</f>
        <v>-2.0915453876303305</v>
      </c>
      <c r="P56" s="67">
        <f>SUMPRODUCT((Calc_Alloc!$E$11:$E$27)*(Input_RAB_SCS!P$71:P$87))</f>
        <v>-2.1979863792919825</v>
      </c>
      <c r="Q56" s="67">
        <f>SUMPRODUCT((Calc_Alloc!$E$11:$E$27)*(Input_RAB_SCS!Q$71:Q$87))</f>
        <v>-2.3375273006760167</v>
      </c>
      <c r="R56" s="68">
        <f>SUMPRODUCT((Calc_Alloc!$E$11:$E$27)*(Input_RAB_SCS!R$71:R$87))</f>
        <v>-2.1168505731180254</v>
      </c>
      <c r="S56" s="66">
        <f>SUMPRODUCT((Calc_Alloc!$E$11:$E$27)*(Input_RAB_SCS!S$71:S$87))</f>
        <v>-3.1799513404441493</v>
      </c>
      <c r="T56" s="67">
        <f>SUMPRODUCT((Calc_Alloc!$E$11:$E$27)*(Input_RAB_SCS!T$71:T$87))</f>
        <v>-3.2492662618054031</v>
      </c>
      <c r="U56" s="67">
        <f>SUMPRODUCT((Calc_Alloc!$E$11:$E$27)*(Input_RAB_SCS!U$71:U$87))</f>
        <v>-3.3225855478538437</v>
      </c>
      <c r="V56" s="67">
        <f>SUMPRODUCT((Calc_Alloc!$E$11:$E$27)*(Input_RAB_SCS!V$71:V$87))</f>
        <v>-3.4082673397635079</v>
      </c>
      <c r="W56" s="68">
        <f>SUMPRODUCT((Calc_Alloc!$E$11:$E$27)*(Input_RAB_SCS!W$71:W$87))</f>
        <v>-3.5099287451744767</v>
      </c>
      <c r="X56" s="66">
        <f>SUMPRODUCT((Calc_Alloc!$E$11:$E$27)*(Input_RAB_SCS!X$71:X$87))</f>
        <v>-2.8447338622652767</v>
      </c>
      <c r="Y56" s="67">
        <f>SUMPRODUCT((Calc_Alloc!$E$11:$E$27)*(Input_RAB_SCS!Y$71:Y$87))</f>
        <v>-3.0281194118242492</v>
      </c>
      <c r="Z56" s="67">
        <f>SUMPRODUCT((Calc_Alloc!$E$11:$E$27)*(Input_RAB_SCS!Z$71:Z$87))</f>
        <v>-3.2414776512425925</v>
      </c>
      <c r="AA56" s="67">
        <f>SUMPRODUCT((Calc_Alloc!$E$11:$E$27)*(Input_RAB_SCS!AA$71:AA$87))</f>
        <v>-3.427540924267666</v>
      </c>
      <c r="AB56" s="68">
        <f>SUMPRODUCT((Calc_Alloc!$E$11:$E$27)*(Input_RAB_SCS!AB$71:AB$87))</f>
        <v>-3.6076069351061624</v>
      </c>
    </row>
    <row r="57" spans="1:28" ht="12.3" x14ac:dyDescent="0.35">
      <c r="D57" s="15" t="str">
        <f t="shared" si="22"/>
        <v>Underground network assets less than 33kV</v>
      </c>
      <c r="E57" s="52" t="str">
        <f t="shared" si="22"/>
        <v>Calc_Alloc</v>
      </c>
      <c r="F57" s="52" t="str">
        <f t="shared" si="23"/>
        <v>Dollars</v>
      </c>
      <c r="G57" s="52" t="str">
        <f t="shared" si="24"/>
        <v>Nominal</v>
      </c>
      <c r="H57" s="52" t="str">
        <f t="shared" si="25"/>
        <v>End_year</v>
      </c>
      <c r="J57" s="66">
        <f>SUMPRODUCT((Calc_Alloc!$F$11:$F$27)*(Input_RAB_SCS!J$71:J$87))</f>
        <v>-2.9499744283613603</v>
      </c>
      <c r="K57" s="67">
        <f>SUMPRODUCT((Calc_Alloc!$F$11:$F$27)*(Input_RAB_SCS!K$71:K$87))</f>
        <v>-3.1493412273673695</v>
      </c>
      <c r="L57" s="67">
        <f>SUMPRODUCT((Calc_Alloc!$F$11:$F$27)*(Input_RAB_SCS!L$71:L$87))</f>
        <v>-3.4323672660327293</v>
      </c>
      <c r="M57" s="67">
        <f>SUMPRODUCT((Calc_Alloc!$F$11:$F$27)*(Input_RAB_SCS!M$71:M$87))</f>
        <v>-3.6664407722524923</v>
      </c>
      <c r="N57" s="67">
        <f>SUMPRODUCT((Calc_Alloc!$F$11:$F$27)*(Input_RAB_SCS!N$71:N$87))</f>
        <v>-4.0511036913448653</v>
      </c>
      <c r="O57" s="67">
        <f>SUMPRODUCT((Calc_Alloc!$F$11:$F$27)*(Input_RAB_SCS!O$71:O$87))</f>
        <v>-4.3325601154422291</v>
      </c>
      <c r="P57" s="67">
        <f>SUMPRODUCT((Calc_Alloc!$F$11:$F$27)*(Input_RAB_SCS!P$71:P$87))</f>
        <v>-4.5530487540578504</v>
      </c>
      <c r="Q57" s="67">
        <f>SUMPRODUCT((Calc_Alloc!$F$11:$F$27)*(Input_RAB_SCS!Q$71:Q$87))</f>
        <v>-4.8421026918954073</v>
      </c>
      <c r="R57" s="68">
        <f>SUMPRODUCT((Calc_Alloc!$F$11:$F$27)*(Input_RAB_SCS!R$71:R$87))</f>
        <v>-4.3849784466700026</v>
      </c>
      <c r="S57" s="66">
        <f>SUMPRODUCT((Calc_Alloc!$F$11:$F$27)*(Input_RAB_SCS!S$71:S$87))</f>
        <v>-6.5871529857938453</v>
      </c>
      <c r="T57" s="67">
        <f>SUMPRODUCT((Calc_Alloc!$F$11:$F$27)*(Input_RAB_SCS!T$71:T$87))</f>
        <v>-6.7307363123158241</v>
      </c>
      <c r="U57" s="67">
        <f>SUMPRODUCT((Calc_Alloc!$F$11:$F$27)*(Input_RAB_SCS!U$71:U$87))</f>
        <v>-6.8826145339442748</v>
      </c>
      <c r="V57" s="67">
        <f>SUMPRODUCT((Calc_Alloc!$F$11:$F$27)*(Input_RAB_SCS!V$71:V$87))</f>
        <v>-7.0601012342651339</v>
      </c>
      <c r="W57" s="68">
        <f>SUMPRODUCT((Calc_Alloc!$F$11:$F$27)*(Input_RAB_SCS!W$71:W$87))</f>
        <v>-7.2706891203593633</v>
      </c>
      <c r="X57" s="66">
        <f>SUMPRODUCT((Calc_Alloc!$F$11:$F$27)*(Input_RAB_SCS!X$71:X$87))</f>
        <v>-5.8927419775978258</v>
      </c>
      <c r="Y57" s="67">
        <f>SUMPRODUCT((Calc_Alloc!$F$11:$F$27)*(Input_RAB_SCS!Y$71:Y$87))</f>
        <v>-6.2726175816713159</v>
      </c>
      <c r="Z57" s="67">
        <f>SUMPRODUCT((Calc_Alloc!$F$11:$F$27)*(Input_RAB_SCS!Z$71:Z$87))</f>
        <v>-6.7145803371753674</v>
      </c>
      <c r="AA57" s="67">
        <f>SUMPRODUCT((Calc_Alloc!$F$11:$F$27)*(Input_RAB_SCS!AA$71:AA$87))</f>
        <v>-7.1000026118279989</v>
      </c>
      <c r="AB57" s="68">
        <f>SUMPRODUCT((Calc_Alloc!$F$11:$F$27)*(Input_RAB_SCS!AB$71:AB$87))</f>
        <v>-7.4730018099209774</v>
      </c>
    </row>
    <row r="58" spans="1:28" ht="12.3" x14ac:dyDescent="0.35">
      <c r="D58" s="15" t="str">
        <f t="shared" si="22"/>
        <v>Distribution substations and transformers</v>
      </c>
      <c r="E58" s="52" t="str">
        <f t="shared" si="22"/>
        <v>Calc_Alloc</v>
      </c>
      <c r="F58" s="52" t="str">
        <f t="shared" si="23"/>
        <v>Dollars</v>
      </c>
      <c r="G58" s="52" t="str">
        <f t="shared" si="24"/>
        <v>Nominal</v>
      </c>
      <c r="H58" s="52" t="str">
        <f t="shared" si="25"/>
        <v>End_year</v>
      </c>
      <c r="J58" s="66">
        <f>SUMPRODUCT((Calc_Alloc!$G$11:$G$27)*(Input_RAB_SCS!J$71:J$87))</f>
        <v>-4.1881250270570378</v>
      </c>
      <c r="K58" s="67">
        <f>SUMPRODUCT((Calc_Alloc!$G$11:$G$27)*(Input_RAB_SCS!K$71:K$87))</f>
        <v>-4.3306089622837822</v>
      </c>
      <c r="L58" s="67">
        <f>SUMPRODUCT((Calc_Alloc!$G$11:$G$27)*(Input_RAB_SCS!L$71:L$87))</f>
        <v>-0.21212411942352455</v>
      </c>
      <c r="M58" s="67">
        <f>SUMPRODUCT((Calc_Alloc!$G$11:$G$27)*(Input_RAB_SCS!M$71:M$87))</f>
        <v>-0.36330411799732648</v>
      </c>
      <c r="N58" s="67">
        <f>SUMPRODUCT((Calc_Alloc!$G$11:$G$27)*(Input_RAB_SCS!N$71:N$87))</f>
        <v>-2.7825022381599682</v>
      </c>
      <c r="O58" s="67">
        <f>SUMPRODUCT((Calc_Alloc!$G$11:$G$27)*(Input_RAB_SCS!O$71:O$87))</f>
        <v>-3.1853435277694628</v>
      </c>
      <c r="P58" s="67">
        <f>SUMPRODUCT((Calc_Alloc!$G$11:$G$27)*(Input_RAB_SCS!P$71:P$87))</f>
        <v>-3.5122309342234006</v>
      </c>
      <c r="Q58" s="67">
        <f>SUMPRODUCT((Calc_Alloc!$G$11:$G$27)*(Input_RAB_SCS!Q$71:Q$87))</f>
        <v>-3.7166732243992118</v>
      </c>
      <c r="R58" s="68">
        <f>SUMPRODUCT((Calc_Alloc!$G$11:$G$27)*(Input_RAB_SCS!R$71:R$87))</f>
        <v>-3.9148637783913003</v>
      </c>
      <c r="S58" s="66">
        <f>SUMPRODUCT((Calc_Alloc!$G$11:$G$27)*(Input_RAB_SCS!S$71:S$87))</f>
        <v>-4.2805694274194162</v>
      </c>
      <c r="T58" s="67">
        <f>SUMPRODUCT((Calc_Alloc!$G$11:$G$27)*(Input_RAB_SCS!T$71:T$87))</f>
        <v>-4.3847408124133667</v>
      </c>
      <c r="U58" s="67">
        <f>SUMPRODUCT((Calc_Alloc!$G$11:$G$27)*(Input_RAB_SCS!U$71:U$87))</f>
        <v>-4.4805500177859567</v>
      </c>
      <c r="V58" s="67">
        <f>SUMPRODUCT((Calc_Alloc!$G$11:$G$27)*(Input_RAB_SCS!V$71:V$87))</f>
        <v>-4.6178915194108177</v>
      </c>
      <c r="W58" s="68">
        <f>SUMPRODUCT((Calc_Alloc!$G$11:$G$27)*(Input_RAB_SCS!W$71:W$87))</f>
        <v>-4.8031545504177444</v>
      </c>
      <c r="X58" s="66">
        <f>SUMPRODUCT((Calc_Alloc!$G$11:$G$27)*(Input_RAB_SCS!X$71:X$87))</f>
        <v>-6.9607656374702458</v>
      </c>
      <c r="Y58" s="67">
        <f>SUMPRODUCT((Calc_Alloc!$G$11:$G$27)*(Input_RAB_SCS!Y$71:Y$87))</f>
        <v>-7.3236591052581819</v>
      </c>
      <c r="Z58" s="67">
        <f>SUMPRODUCT((Calc_Alloc!$G$11:$G$27)*(Input_RAB_SCS!Z$71:Z$87))</f>
        <v>-7.7198300096509671</v>
      </c>
      <c r="AA58" s="67">
        <f>SUMPRODUCT((Calc_Alloc!$G$11:$G$27)*(Input_RAB_SCS!AA$71:AA$87))</f>
        <v>-8.1261879054519977</v>
      </c>
      <c r="AB58" s="68">
        <f>SUMPRODUCT((Calc_Alloc!$G$11:$G$27)*(Input_RAB_SCS!AB$71:AB$87))</f>
        <v>-8.576702712573411</v>
      </c>
    </row>
    <row r="59" spans="1:28" ht="12.3" x14ac:dyDescent="0.35">
      <c r="D59" s="15" t="str">
        <f t="shared" si="22"/>
        <v>Overhead network assets 33kV and above</v>
      </c>
      <c r="E59" s="52" t="str">
        <f t="shared" si="22"/>
        <v>Calc_Alloc</v>
      </c>
      <c r="F59" s="52" t="str">
        <f t="shared" si="23"/>
        <v>Dollars</v>
      </c>
      <c r="G59" s="52" t="str">
        <f t="shared" si="24"/>
        <v>Nominal</v>
      </c>
      <c r="H59" s="52" t="str">
        <f t="shared" si="25"/>
        <v>End_year</v>
      </c>
      <c r="J59" s="66">
        <f>SUMPRODUCT((Calc_Alloc!$H$11:$H$27)*(Input_RAB_SCS!J$71:J$87))</f>
        <v>-3.069692345818392</v>
      </c>
      <c r="K59" s="67">
        <f>SUMPRODUCT((Calc_Alloc!$H$11:$H$27)*(Input_RAB_SCS!K$71:K$87))</f>
        <v>-3.2622278335866701</v>
      </c>
      <c r="L59" s="67">
        <f>SUMPRODUCT((Calc_Alloc!$H$11:$H$27)*(Input_RAB_SCS!L$71:L$87))</f>
        <v>-3.4843697962262716</v>
      </c>
      <c r="M59" s="67">
        <f>SUMPRODUCT((Calc_Alloc!$H$11:$H$27)*(Input_RAB_SCS!M$71:M$87))</f>
        <v>-3.5964106323108624</v>
      </c>
      <c r="N59" s="67">
        <f>SUMPRODUCT((Calc_Alloc!$H$11:$H$27)*(Input_RAB_SCS!N$71:N$87))</f>
        <v>-2.1421803856213066</v>
      </c>
      <c r="O59" s="67">
        <f>SUMPRODUCT((Calc_Alloc!$H$11:$H$27)*(Input_RAB_SCS!O$71:O$87))</f>
        <v>-2.4278392322051658</v>
      </c>
      <c r="P59" s="67">
        <f>SUMPRODUCT((Calc_Alloc!$H$11:$H$27)*(Input_RAB_SCS!P$71:P$87))</f>
        <v>-2.6698222078049403</v>
      </c>
      <c r="Q59" s="67">
        <f>SUMPRODUCT((Calc_Alloc!$H$11:$H$27)*(Input_RAB_SCS!Q$71:Q$87))</f>
        <v>-2.8467191813908448</v>
      </c>
      <c r="R59" s="68">
        <f>SUMPRODUCT((Calc_Alloc!$H$11:$H$27)*(Input_RAB_SCS!R$71:R$87))</f>
        <v>-3.5251645088707861</v>
      </c>
      <c r="S59" s="66">
        <f>SUMPRODUCT((Calc_Alloc!$H$11:$H$27)*(Input_RAB_SCS!S$71:S$87))</f>
        <v>-3.8255604657202351</v>
      </c>
      <c r="T59" s="67">
        <f>SUMPRODUCT((Calc_Alloc!$H$11:$H$27)*(Input_RAB_SCS!T$71:T$87))</f>
        <v>-4.027415961167609</v>
      </c>
      <c r="U59" s="67">
        <f>SUMPRODUCT((Calc_Alloc!$H$11:$H$27)*(Input_RAB_SCS!U$71:U$87))</f>
        <v>-4.1520955439456566</v>
      </c>
      <c r="V59" s="67">
        <f>SUMPRODUCT((Calc_Alloc!$H$11:$H$27)*(Input_RAB_SCS!V$71:V$87))</f>
        <v>-4.2617544921939441</v>
      </c>
      <c r="W59" s="68">
        <f>SUMPRODUCT((Calc_Alloc!$H$11:$H$27)*(Input_RAB_SCS!W$71:W$87))</f>
        <v>-4.463459731527025</v>
      </c>
      <c r="X59" s="66">
        <f>SUMPRODUCT((Calc_Alloc!$H$11:$H$27)*(Input_RAB_SCS!X$71:X$87))</f>
        <v>-4.3397975083535583</v>
      </c>
      <c r="Y59" s="67">
        <f>SUMPRODUCT((Calc_Alloc!$H$11:$H$27)*(Input_RAB_SCS!Y$71:Y$87))</f>
        <v>-4.4814588596811582</v>
      </c>
      <c r="Z59" s="67">
        <f>SUMPRODUCT((Calc_Alloc!$H$11:$H$27)*(Input_RAB_SCS!Z$71:Z$87))</f>
        <v>-4.6261719642291341</v>
      </c>
      <c r="AA59" s="67">
        <f>SUMPRODUCT((Calc_Alloc!$H$11:$H$27)*(Input_RAB_SCS!AA$71:AA$87))</f>
        <v>-4.7742651917769932</v>
      </c>
      <c r="AB59" s="68">
        <f>SUMPRODUCT((Calc_Alloc!$H$11:$H$27)*(Input_RAB_SCS!AB$71:AB$87))</f>
        <v>-4.9296608029862687</v>
      </c>
    </row>
    <row r="60" spans="1:28" ht="12.3" x14ac:dyDescent="0.35">
      <c r="D60" s="15" t="str">
        <f t="shared" si="22"/>
        <v>Underground network assets 33kV and above</v>
      </c>
      <c r="E60" s="52" t="str">
        <f t="shared" si="22"/>
        <v>Calc_Alloc</v>
      </c>
      <c r="F60" s="52" t="str">
        <f t="shared" si="23"/>
        <v>Dollars</v>
      </c>
      <c r="G60" s="52" t="str">
        <f t="shared" si="24"/>
        <v>Nominal</v>
      </c>
      <c r="H60" s="52" t="str">
        <f t="shared" si="25"/>
        <v>End_year</v>
      </c>
      <c r="J60" s="66">
        <f>SUMPRODUCT((Calc_Alloc!$I$11:$I$27)*(Input_RAB_SCS!J$71:J$87))</f>
        <v>-1.5360309100949081</v>
      </c>
      <c r="K60" s="67">
        <f>SUMPRODUCT((Calc_Alloc!$I$11:$I$27)*(Input_RAB_SCS!K$71:K$87))</f>
        <v>-1.6323729623872623</v>
      </c>
      <c r="L60" s="67">
        <f>SUMPRODUCT((Calc_Alloc!$I$11:$I$27)*(Input_RAB_SCS!L$71:L$87))</f>
        <v>-1.74352967863226</v>
      </c>
      <c r="M60" s="67">
        <f>SUMPRODUCT((Calc_Alloc!$I$11:$I$27)*(Input_RAB_SCS!M$71:M$87))</f>
        <v>-1.7995933384492591</v>
      </c>
      <c r="N60" s="67">
        <f>SUMPRODUCT((Calc_Alloc!$I$11:$I$27)*(Input_RAB_SCS!N$71:N$87))</f>
        <v>-1.071916959950626</v>
      </c>
      <c r="O60" s="67">
        <f>SUMPRODUCT((Calc_Alloc!$I$11:$I$27)*(Input_RAB_SCS!O$71:O$87))</f>
        <v>-1.2148566322902938</v>
      </c>
      <c r="P60" s="67">
        <f>SUMPRODUCT((Calc_Alloc!$I$11:$I$27)*(Input_RAB_SCS!P$71:P$87))</f>
        <v>-1.335941512585977</v>
      </c>
      <c r="Q60" s="67">
        <f>SUMPRODUCT((Calc_Alloc!$I$11:$I$27)*(Input_RAB_SCS!Q$71:Q$87))</f>
        <v>-1.4244582721564709</v>
      </c>
      <c r="R60" s="68">
        <f>SUMPRODUCT((Calc_Alloc!$I$11:$I$27)*(Input_RAB_SCS!R$71:R$87))</f>
        <v>-1.7639427795333236</v>
      </c>
      <c r="S60" s="66">
        <f>SUMPRODUCT((Calc_Alloc!$I$11:$I$27)*(Input_RAB_SCS!S$71:S$87))</f>
        <v>-1.9142566947427235</v>
      </c>
      <c r="T60" s="67">
        <f>SUMPRODUCT((Calc_Alloc!$I$11:$I$27)*(Input_RAB_SCS!T$71:T$87))</f>
        <v>-2.015262347899482</v>
      </c>
      <c r="U60" s="67">
        <f>SUMPRODUCT((Calc_Alloc!$I$11:$I$27)*(Input_RAB_SCS!U$71:U$87))</f>
        <v>-2.0776502589439549</v>
      </c>
      <c r="V60" s="67">
        <f>SUMPRODUCT((Calc_Alloc!$I$11:$I$27)*(Input_RAB_SCS!V$71:V$87))</f>
        <v>-2.132522055561398</v>
      </c>
      <c r="W60" s="68">
        <f>SUMPRODUCT((Calc_Alloc!$I$11:$I$27)*(Input_RAB_SCS!W$71:W$87))</f>
        <v>-2.2334525226701798</v>
      </c>
      <c r="X60" s="66">
        <f>SUMPRODUCT((Calc_Alloc!$I$11:$I$27)*(Input_RAB_SCS!X$71:X$87))</f>
        <v>-2.1715736840744317</v>
      </c>
      <c r="Y60" s="67">
        <f>SUMPRODUCT((Calc_Alloc!$I$11:$I$27)*(Input_RAB_SCS!Y$71:Y$87))</f>
        <v>-2.2424590334487502</v>
      </c>
      <c r="Z60" s="67">
        <f>SUMPRODUCT((Calc_Alloc!$I$11:$I$27)*(Input_RAB_SCS!Z$71:Z$87))</f>
        <v>-2.3148714372468984</v>
      </c>
      <c r="AA60" s="67">
        <f>SUMPRODUCT((Calc_Alloc!$I$11:$I$27)*(Input_RAB_SCS!AA$71:AA$87))</f>
        <v>-2.388975207091816</v>
      </c>
      <c r="AB60" s="68">
        <f>SUMPRODUCT((Calc_Alloc!$I$11:$I$27)*(Input_RAB_SCS!AB$71:AB$87))</f>
        <v>-2.4667329870972585</v>
      </c>
    </row>
    <row r="61" spans="1:28" ht="12.3" x14ac:dyDescent="0.35">
      <c r="D61" s="15" t="str">
        <f t="shared" si="22"/>
        <v>Zone substations and transformers</v>
      </c>
      <c r="E61" s="52" t="str">
        <f t="shared" si="22"/>
        <v>Calc_Alloc</v>
      </c>
      <c r="F61" s="52" t="str">
        <f t="shared" si="23"/>
        <v>Dollars</v>
      </c>
      <c r="G61" s="52" t="str">
        <f t="shared" si="24"/>
        <v>Nominal</v>
      </c>
      <c r="H61" s="52" t="str">
        <f t="shared" si="25"/>
        <v>End_year</v>
      </c>
      <c r="J61" s="66">
        <f>SUMPRODUCT((Calc_Alloc!$J$11:$J$27)*(Input_RAB_SCS!J$71:J$87))</f>
        <v>-2.2074682474033178</v>
      </c>
      <c r="K61" s="67">
        <f>SUMPRODUCT((Calc_Alloc!$J$11:$J$27)*(Input_RAB_SCS!K$71:K$87))</f>
        <v>-2.3539521734297795</v>
      </c>
      <c r="L61" s="67">
        <f>SUMPRODUCT((Calc_Alloc!$J$11:$J$27)*(Input_RAB_SCS!L$71:L$87))</f>
        <v>-3.4743398366165703</v>
      </c>
      <c r="M61" s="67">
        <f>SUMPRODUCT((Calc_Alloc!$J$11:$J$27)*(Input_RAB_SCS!M$71:M$87))</f>
        <v>-3.7743000258034614</v>
      </c>
      <c r="N61" s="67">
        <f>SUMPRODUCT((Calc_Alloc!$J$11:$J$27)*(Input_RAB_SCS!N$71:N$87))</f>
        <v>-9.6485981317395684</v>
      </c>
      <c r="O61" s="67">
        <f>SUMPRODUCT((Calc_Alloc!$J$11:$J$27)*(Input_RAB_SCS!O$71:O$87))</f>
        <v>-10.984840820686102</v>
      </c>
      <c r="P61" s="67">
        <f>SUMPRODUCT((Calc_Alloc!$J$11:$J$27)*(Input_RAB_SCS!P$71:P$87))</f>
        <v>-12.442862590473061</v>
      </c>
      <c r="Q61" s="67">
        <f>SUMPRODUCT((Calc_Alloc!$J$11:$J$27)*(Input_RAB_SCS!Q$71:Q$87))</f>
        <v>-7.3134451142680543</v>
      </c>
      <c r="R61" s="68">
        <f>SUMPRODUCT((Calc_Alloc!$J$11:$J$27)*(Input_RAB_SCS!R$71:R$87))</f>
        <v>-21.91293772800579</v>
      </c>
      <c r="S61" s="66">
        <f>SUMPRODUCT((Calc_Alloc!$J$11:$J$27)*(Input_RAB_SCS!S$71:S$87))</f>
        <v>-28.995427905109779</v>
      </c>
      <c r="T61" s="67">
        <f>SUMPRODUCT((Calc_Alloc!$J$11:$J$27)*(Input_RAB_SCS!T$71:T$87))</f>
        <v>-30.630083961773614</v>
      </c>
      <c r="U61" s="67">
        <f>SUMPRODUCT((Calc_Alloc!$J$11:$J$27)*(Input_RAB_SCS!U$71:U$87))</f>
        <v>-25.435071226427869</v>
      </c>
      <c r="V61" s="67">
        <f>SUMPRODUCT((Calc_Alloc!$J$11:$J$27)*(Input_RAB_SCS!V$71:V$87))</f>
        <v>-26.541323732389785</v>
      </c>
      <c r="W61" s="68">
        <f>SUMPRODUCT((Calc_Alloc!$J$11:$J$27)*(Input_RAB_SCS!W$71:W$87))</f>
        <v>-27.77255235511771</v>
      </c>
      <c r="X61" s="66">
        <f>SUMPRODUCT((Calc_Alloc!$J$11:$J$27)*(Input_RAB_SCS!X$71:X$87))</f>
        <v>-21.773127652734381</v>
      </c>
      <c r="Y61" s="67">
        <f>SUMPRODUCT((Calc_Alloc!$J$11:$J$27)*(Input_RAB_SCS!Y$71:Y$87))</f>
        <v>-22.348006821059766</v>
      </c>
      <c r="Z61" s="67">
        <f>SUMPRODUCT((Calc_Alloc!$J$11:$J$27)*(Input_RAB_SCS!Z$71:Z$87))</f>
        <v>-22.408896590474072</v>
      </c>
      <c r="AA61" s="67">
        <f>SUMPRODUCT((Calc_Alloc!$J$11:$J$27)*(Input_RAB_SCS!AA$71:AA$87))</f>
        <v>-22.980799371139419</v>
      </c>
      <c r="AB61" s="68">
        <f>SUMPRODUCT((Calc_Alloc!$J$11:$J$27)*(Input_RAB_SCS!AB$71:AB$87))</f>
        <v>-24.310825405960902</v>
      </c>
    </row>
    <row r="62" spans="1:28" ht="12.3" x14ac:dyDescent="0.35">
      <c r="D62" s="15" t="str">
        <f t="shared" si="22"/>
        <v>Easements</v>
      </c>
      <c r="E62" s="52" t="str">
        <f t="shared" si="22"/>
        <v>Calc_Alloc</v>
      </c>
      <c r="F62" s="52" t="str">
        <f t="shared" si="23"/>
        <v>Dollars</v>
      </c>
      <c r="G62" s="52" t="str">
        <f t="shared" si="24"/>
        <v>Nominal</v>
      </c>
      <c r="H62" s="52" t="str">
        <f t="shared" si="25"/>
        <v>End_year</v>
      </c>
      <c r="J62" s="66">
        <f>SUMPRODUCT((Calc_Alloc!$K$11:$K$27)*(Input_RAB_SCS!J$71:J$87))</f>
        <v>0</v>
      </c>
      <c r="K62" s="67">
        <f>SUMPRODUCT((Calc_Alloc!$K$11:$K$27)*(Input_RAB_SCS!K$71:K$87))</f>
        <v>0</v>
      </c>
      <c r="L62" s="67">
        <f>SUMPRODUCT((Calc_Alloc!$K$11:$K$27)*(Input_RAB_SCS!L$71:L$87))</f>
        <v>0</v>
      </c>
      <c r="M62" s="67">
        <f>SUMPRODUCT((Calc_Alloc!$K$11:$K$27)*(Input_RAB_SCS!M$71:M$87))</f>
        <v>0</v>
      </c>
      <c r="N62" s="67">
        <f>SUMPRODUCT((Calc_Alloc!$K$11:$K$27)*(Input_RAB_SCS!N$71:N$87))</f>
        <v>0</v>
      </c>
      <c r="O62" s="67">
        <f>SUMPRODUCT((Calc_Alloc!$K$11:$K$27)*(Input_RAB_SCS!O$71:O$87))</f>
        <v>0</v>
      </c>
      <c r="P62" s="67">
        <f>SUMPRODUCT((Calc_Alloc!$K$11:$K$27)*(Input_RAB_SCS!P$71:P$87))</f>
        <v>0</v>
      </c>
      <c r="Q62" s="67">
        <f>SUMPRODUCT((Calc_Alloc!$K$11:$K$27)*(Input_RAB_SCS!Q$71:Q$87))</f>
        <v>0</v>
      </c>
      <c r="R62" s="68">
        <f>SUMPRODUCT((Calc_Alloc!$K$11:$K$27)*(Input_RAB_SCS!R$71:R$87))</f>
        <v>-9.0828959042256185E-2</v>
      </c>
      <c r="S62" s="66">
        <f>SUMPRODUCT((Calc_Alloc!$K$11:$K$27)*(Input_RAB_SCS!S$71:S$87))</f>
        <v>0</v>
      </c>
      <c r="T62" s="67">
        <f>SUMPRODUCT((Calc_Alloc!$K$11:$K$27)*(Input_RAB_SCS!T$71:T$87))</f>
        <v>0</v>
      </c>
      <c r="U62" s="67">
        <f>SUMPRODUCT((Calc_Alloc!$K$11:$K$27)*(Input_RAB_SCS!U$71:U$87))</f>
        <v>0</v>
      </c>
      <c r="V62" s="67">
        <f>SUMPRODUCT((Calc_Alloc!$K$11:$K$27)*(Input_RAB_SCS!V$71:V$87))</f>
        <v>0</v>
      </c>
      <c r="W62" s="68">
        <f>SUMPRODUCT((Calc_Alloc!$K$11:$K$27)*(Input_RAB_SCS!W$71:W$87))</f>
        <v>0</v>
      </c>
      <c r="X62" s="66">
        <f>SUMPRODUCT((Calc_Alloc!$K$11:$K$27)*(Input_RAB_SCS!X$71:X$87))</f>
        <v>0</v>
      </c>
      <c r="Y62" s="67">
        <f>SUMPRODUCT((Calc_Alloc!$K$11:$K$27)*(Input_RAB_SCS!Y$71:Y$87))</f>
        <v>0</v>
      </c>
      <c r="Z62" s="67">
        <f>SUMPRODUCT((Calc_Alloc!$K$11:$K$27)*(Input_RAB_SCS!Z$71:Z$87))</f>
        <v>0</v>
      </c>
      <c r="AA62" s="67">
        <f>SUMPRODUCT((Calc_Alloc!$K$11:$K$27)*(Input_RAB_SCS!AA$71:AA$87))</f>
        <v>0</v>
      </c>
      <c r="AB62" s="68">
        <f>SUMPRODUCT((Calc_Alloc!$K$11:$K$27)*(Input_RAB_SCS!AB$71:AB$87))</f>
        <v>0</v>
      </c>
    </row>
    <row r="63" spans="1:28" ht="12.3" x14ac:dyDescent="0.35">
      <c r="D63" s="15" t="str">
        <f t="shared" si="22"/>
        <v>Meters</v>
      </c>
      <c r="E63" s="52" t="str">
        <f t="shared" si="22"/>
        <v>Calc_Alloc</v>
      </c>
      <c r="F63" s="52" t="str">
        <f t="shared" si="23"/>
        <v>Dollars</v>
      </c>
      <c r="G63" s="52" t="str">
        <f t="shared" si="24"/>
        <v>Nominal</v>
      </c>
      <c r="H63" s="52" t="str">
        <f t="shared" si="25"/>
        <v>End_year</v>
      </c>
      <c r="J63" s="66">
        <f>SUMPRODUCT((Calc_Alloc!$L$11:$L$27)*(Input_RAB_SCS!J$71:J$87))</f>
        <v>0</v>
      </c>
      <c r="K63" s="67">
        <f>SUMPRODUCT((Calc_Alloc!$L$11:$L$27)*(Input_RAB_SCS!K$71:K$87))</f>
        <v>0</v>
      </c>
      <c r="L63" s="67">
        <f>SUMPRODUCT((Calc_Alloc!$L$11:$L$27)*(Input_RAB_SCS!L$71:L$87))</f>
        <v>0</v>
      </c>
      <c r="M63" s="67">
        <f>SUMPRODUCT((Calc_Alloc!$L$11:$L$27)*(Input_RAB_SCS!M$71:M$87))</f>
        <v>0</v>
      </c>
      <c r="N63" s="67">
        <f>SUMPRODUCT((Calc_Alloc!$L$11:$L$27)*(Input_RAB_SCS!N$71:N$87))</f>
        <v>0</v>
      </c>
      <c r="O63" s="67">
        <f>SUMPRODUCT((Calc_Alloc!$L$11:$L$27)*(Input_RAB_SCS!O$71:O$87))</f>
        <v>0</v>
      </c>
      <c r="P63" s="67">
        <f>SUMPRODUCT((Calc_Alloc!$L$11:$L$27)*(Input_RAB_SCS!P$71:P$87))</f>
        <v>0</v>
      </c>
      <c r="Q63" s="67">
        <f>SUMPRODUCT((Calc_Alloc!$L$11:$L$27)*(Input_RAB_SCS!Q$71:Q$87))</f>
        <v>0</v>
      </c>
      <c r="R63" s="68">
        <f>SUMPRODUCT((Calc_Alloc!$L$11:$L$27)*(Input_RAB_SCS!R$71:R$87))</f>
        <v>0</v>
      </c>
      <c r="S63" s="66">
        <f>SUMPRODUCT((Calc_Alloc!$L$11:$L$27)*(Input_RAB_SCS!S$71:S$87))</f>
        <v>0</v>
      </c>
      <c r="T63" s="67">
        <f>SUMPRODUCT((Calc_Alloc!$L$11:$L$27)*(Input_RAB_SCS!T$71:T$87))</f>
        <v>0</v>
      </c>
      <c r="U63" s="67">
        <f>SUMPRODUCT((Calc_Alloc!$L$11:$L$27)*(Input_RAB_SCS!U$71:U$87))</f>
        <v>0</v>
      </c>
      <c r="V63" s="67">
        <f>SUMPRODUCT((Calc_Alloc!$L$11:$L$27)*(Input_RAB_SCS!V$71:V$87))</f>
        <v>0</v>
      </c>
      <c r="W63" s="68">
        <f>SUMPRODUCT((Calc_Alloc!$L$11:$L$27)*(Input_RAB_SCS!W$71:W$87))</f>
        <v>0</v>
      </c>
      <c r="X63" s="66">
        <f>SUMPRODUCT((Calc_Alloc!$L$11:$L$27)*(Input_RAB_SCS!X$71:X$87))</f>
        <v>0</v>
      </c>
      <c r="Y63" s="67">
        <f>SUMPRODUCT((Calc_Alloc!$L$11:$L$27)*(Input_RAB_SCS!Y$71:Y$87))</f>
        <v>0</v>
      </c>
      <c r="Z63" s="67">
        <f>SUMPRODUCT((Calc_Alloc!$L$11:$L$27)*(Input_RAB_SCS!Z$71:Z$87))</f>
        <v>0</v>
      </c>
      <c r="AA63" s="67">
        <f>SUMPRODUCT((Calc_Alloc!$L$11:$L$27)*(Input_RAB_SCS!AA$71:AA$87))</f>
        <v>0</v>
      </c>
      <c r="AB63" s="68">
        <f>SUMPRODUCT((Calc_Alloc!$L$11:$L$27)*(Input_RAB_SCS!AB$71:AB$87))</f>
        <v>0</v>
      </c>
    </row>
    <row r="64" spans="1:28" ht="12.3" x14ac:dyDescent="0.35">
      <c r="D64" s="15" t="str">
        <f t="shared" si="22"/>
        <v>“Other” asset items with long lives</v>
      </c>
      <c r="E64" s="52" t="str">
        <f t="shared" si="22"/>
        <v>Calc_Alloc</v>
      </c>
      <c r="F64" s="52" t="str">
        <f t="shared" si="23"/>
        <v>Dollars</v>
      </c>
      <c r="G64" s="52" t="str">
        <f t="shared" si="24"/>
        <v>Nominal</v>
      </c>
      <c r="H64" s="52" t="str">
        <f t="shared" si="25"/>
        <v>End_year</v>
      </c>
      <c r="J64" s="66">
        <f>SUMPRODUCT((Calc_Alloc!$M$11:$M$27)*(Input_RAB_SCS!J$71:J$87))</f>
        <v>-9.1570493467389755E-2</v>
      </c>
      <c r="K64" s="67">
        <f>SUMPRODUCT((Calc_Alloc!$M$11:$M$27)*(Input_RAB_SCS!K$71:K$87))</f>
        <v>-0.11548749468336357</v>
      </c>
      <c r="L64" s="67">
        <f>SUMPRODUCT((Calc_Alloc!$M$11:$M$27)*(Input_RAB_SCS!L$71:L$87))</f>
        <v>-1.2503114474974337</v>
      </c>
      <c r="M64" s="67">
        <f>SUMPRODUCT((Calc_Alloc!$M$11:$M$27)*(Input_RAB_SCS!M$71:M$87))</f>
        <v>-8.3950888300187862E-2</v>
      </c>
      <c r="N64" s="67">
        <f>SUMPRODUCT((Calc_Alloc!$M$11:$M$27)*(Input_RAB_SCS!N$71:N$87))</f>
        <v>0</v>
      </c>
      <c r="O64" s="67">
        <f>SUMPRODUCT((Calc_Alloc!$M$11:$M$27)*(Input_RAB_SCS!O$71:O$87))</f>
        <v>0</v>
      </c>
      <c r="P64" s="67">
        <f>SUMPRODUCT((Calc_Alloc!$M$11:$M$27)*(Input_RAB_SCS!P$71:P$87))</f>
        <v>0</v>
      </c>
      <c r="Q64" s="67">
        <f>SUMPRODUCT((Calc_Alloc!$M$11:$M$27)*(Input_RAB_SCS!Q$71:Q$87))</f>
        <v>0</v>
      </c>
      <c r="R64" s="68">
        <f>SUMPRODUCT((Calc_Alloc!$M$11:$M$27)*(Input_RAB_SCS!R$71:R$87))</f>
        <v>-0.16906791567837032</v>
      </c>
      <c r="S64" s="66">
        <f>SUMPRODUCT((Calc_Alloc!$M$11:$M$27)*(Input_RAB_SCS!S$71:S$87))</f>
        <v>-0.30093023473039737</v>
      </c>
      <c r="T64" s="67">
        <f>SUMPRODUCT((Calc_Alloc!$M$11:$M$27)*(Input_RAB_SCS!T$71:T$87))</f>
        <v>-0.43524835611150758</v>
      </c>
      <c r="U64" s="67">
        <f>SUMPRODUCT((Calc_Alloc!$M$11:$M$27)*(Input_RAB_SCS!U$71:U$87))</f>
        <v>-0.49744561920134001</v>
      </c>
      <c r="V64" s="67">
        <f>SUMPRODUCT((Calc_Alloc!$M$11:$M$27)*(Input_RAB_SCS!V$71:V$87))</f>
        <v>-0.46788995268681888</v>
      </c>
      <c r="W64" s="68">
        <f>SUMPRODUCT((Calc_Alloc!$M$11:$M$27)*(Input_RAB_SCS!W$71:W$87))</f>
        <v>-0.50382598056122074</v>
      </c>
      <c r="X64" s="66">
        <f>SUMPRODUCT((Calc_Alloc!$M$11:$M$27)*(Input_RAB_SCS!X$71:X$87))</f>
        <v>-4.1340733371536311</v>
      </c>
      <c r="Y64" s="67">
        <f>SUMPRODUCT((Calc_Alloc!$M$11:$M$27)*(Input_RAB_SCS!Y$71:Y$87))</f>
        <v>-5.1752824901651957</v>
      </c>
      <c r="Z64" s="67">
        <f>SUMPRODUCT((Calc_Alloc!$M$11:$M$27)*(Input_RAB_SCS!Z$71:Z$87))</f>
        <v>-6.0108933437519667</v>
      </c>
      <c r="AA64" s="67">
        <f>SUMPRODUCT((Calc_Alloc!$M$11:$M$27)*(Input_RAB_SCS!AA$71:AA$87))</f>
        <v>-7.7019300231853514</v>
      </c>
      <c r="AB64" s="68">
        <f>SUMPRODUCT((Calc_Alloc!$M$11:$M$27)*(Input_RAB_SCS!AB$71:AB$87))</f>
        <v>-8.6433116174808102</v>
      </c>
    </row>
    <row r="65" spans="1:28" ht="12.3" x14ac:dyDescent="0.35">
      <c r="D65" s="15" t="str">
        <f t="shared" si="22"/>
        <v>“Other” asset items with short lives</v>
      </c>
      <c r="E65" s="52" t="str">
        <f t="shared" si="22"/>
        <v>Calc_Alloc</v>
      </c>
      <c r="F65" s="52" t="str">
        <f t="shared" si="23"/>
        <v>Dollars</v>
      </c>
      <c r="G65" s="52" t="str">
        <f t="shared" si="24"/>
        <v>Nominal</v>
      </c>
      <c r="H65" s="52" t="str">
        <f t="shared" si="25"/>
        <v>End_year</v>
      </c>
      <c r="J65" s="66">
        <f>SUMPRODUCT((Calc_Alloc!$N$11:$N$27)*(Input_RAB_SCS!J$71:J$87))</f>
        <v>-1.6866154201882169</v>
      </c>
      <c r="K65" s="67">
        <f>SUMPRODUCT((Calc_Alloc!$N$11:$N$27)*(Input_RAB_SCS!K$71:K$87))</f>
        <v>-0.69233457321594694</v>
      </c>
      <c r="L65" s="67">
        <f>SUMPRODUCT((Calc_Alloc!$N$11:$N$27)*(Input_RAB_SCS!L$71:L$87))</f>
        <v>-0.33882921743439359</v>
      </c>
      <c r="M65" s="67">
        <f>SUMPRODUCT((Calc_Alloc!$N$11:$N$27)*(Input_RAB_SCS!M$71:M$87))</f>
        <v>-0.27596460609987622</v>
      </c>
      <c r="N65" s="67">
        <f>SUMPRODUCT((Calc_Alloc!$N$11:$N$27)*(Input_RAB_SCS!N$71:N$87))</f>
        <v>-2.7903342389835935</v>
      </c>
      <c r="O65" s="67">
        <f>SUMPRODUCT((Calc_Alloc!$N$11:$N$27)*(Input_RAB_SCS!O$71:O$87))</f>
        <v>-1.9341440812118655</v>
      </c>
      <c r="P65" s="67">
        <f>SUMPRODUCT((Calc_Alloc!$N$11:$N$27)*(Input_RAB_SCS!P$71:P$87))</f>
        <v>-0.66186864003919288</v>
      </c>
      <c r="Q65" s="67">
        <f>SUMPRODUCT((Calc_Alloc!$N$11:$N$27)*(Input_RAB_SCS!Q$71:Q$87))</f>
        <v>-0.77404867680624723</v>
      </c>
      <c r="R65" s="68">
        <f>SUMPRODUCT((Calc_Alloc!$N$11:$N$27)*(Input_RAB_SCS!R$71:R$87))</f>
        <v>-0.70957194848141658</v>
      </c>
      <c r="S65" s="66">
        <f>SUMPRODUCT((Calc_Alloc!$N$11:$N$27)*(Input_RAB_SCS!S$71:S$87))</f>
        <v>-1.4273517799783406</v>
      </c>
      <c r="T65" s="67">
        <f>SUMPRODUCT((Calc_Alloc!$N$11:$N$27)*(Input_RAB_SCS!T$71:T$87))</f>
        <v>-1.9095853253764445</v>
      </c>
      <c r="U65" s="67">
        <f>SUMPRODUCT((Calc_Alloc!$N$11:$N$27)*(Input_RAB_SCS!U$71:U$87))</f>
        <v>-2.1689376661917517</v>
      </c>
      <c r="V65" s="67">
        <f>SUMPRODUCT((Calc_Alloc!$N$11:$N$27)*(Input_RAB_SCS!V$71:V$87))</f>
        <v>-1.990231826884308</v>
      </c>
      <c r="W65" s="68">
        <f>SUMPRODUCT((Calc_Alloc!$N$11:$N$27)*(Input_RAB_SCS!W$71:W$87))</f>
        <v>-2.1762493449145106</v>
      </c>
      <c r="X65" s="66">
        <f>SUMPRODUCT((Calc_Alloc!$N$11:$N$27)*(Input_RAB_SCS!X$71:X$87))</f>
        <v>-9.8162455094707946E-2</v>
      </c>
      <c r="Y65" s="67">
        <f>SUMPRODUCT((Calc_Alloc!$N$11:$N$27)*(Input_RAB_SCS!Y$71:Y$87))</f>
        <v>-3.9774643030981189</v>
      </c>
      <c r="Z65" s="67">
        <f>SUMPRODUCT((Calc_Alloc!$N$11:$N$27)*(Input_RAB_SCS!Z$71:Z$87))</f>
        <v>-5.0430031851621786</v>
      </c>
      <c r="AA65" s="67">
        <f>SUMPRODUCT((Calc_Alloc!$N$11:$N$27)*(Input_RAB_SCS!AA$71:AA$87))</f>
        <v>-7.6461620146669143</v>
      </c>
      <c r="AB65" s="68">
        <f>SUMPRODUCT((Calc_Alloc!$N$11:$N$27)*(Input_RAB_SCS!AB$71:AB$87))</f>
        <v>-8.8791900819803793</v>
      </c>
    </row>
    <row r="66" spans="1:28" x14ac:dyDescent="0.35">
      <c r="J66" s="56"/>
      <c r="K66" s="57"/>
      <c r="L66" s="57"/>
      <c r="M66" s="57"/>
      <c r="N66" s="57"/>
      <c r="O66" s="57"/>
      <c r="P66" s="57"/>
      <c r="Q66" s="57"/>
      <c r="R66" s="58"/>
      <c r="S66" s="56"/>
      <c r="T66" s="57"/>
      <c r="U66" s="57"/>
      <c r="V66" s="57"/>
      <c r="W66" s="58"/>
      <c r="X66" s="56"/>
      <c r="Y66" s="57"/>
      <c r="Z66" s="57"/>
      <c r="AA66" s="57"/>
      <c r="AB66" s="58"/>
    </row>
    <row r="67" spans="1:28" ht="12.3" x14ac:dyDescent="0.35">
      <c r="D67" s="51" t="str">
        <f>"Total "&amp;D54</f>
        <v>Total EB RIN Categories</v>
      </c>
      <c r="E67" s="47" t="s">
        <v>111</v>
      </c>
      <c r="F67" s="47" t="str">
        <f>F56</f>
        <v>Dollars</v>
      </c>
      <c r="G67" s="47" t="str">
        <f>G56</f>
        <v>Nominal</v>
      </c>
      <c r="H67" s="47" t="str">
        <f>H56</f>
        <v>End_year</v>
      </c>
      <c r="J67" s="62">
        <f t="shared" ref="J67:AB67" si="26">SUM(J56:J65)</f>
        <v>-17.153578383936953</v>
      </c>
      <c r="K67" s="46">
        <f t="shared" si="26"/>
        <v>-17.056671152379824</v>
      </c>
      <c r="L67" s="46">
        <f t="shared" si="26"/>
        <v>-15.592848237576151</v>
      </c>
      <c r="M67" s="46">
        <f t="shared" si="26"/>
        <v>-15.329940349669648</v>
      </c>
      <c r="N67" s="46">
        <f t="shared" si="26"/>
        <v>-24.442307815297269</v>
      </c>
      <c r="O67" s="46">
        <f t="shared" si="26"/>
        <v>-26.171129797235448</v>
      </c>
      <c r="P67" s="46">
        <f t="shared" si="26"/>
        <v>-27.373761018476404</v>
      </c>
      <c r="Q67" s="46">
        <f t="shared" si="26"/>
        <v>-23.254974461592258</v>
      </c>
      <c r="R67" s="63">
        <f t="shared" si="26"/>
        <v>-38.588206637791266</v>
      </c>
      <c r="S67" s="62">
        <f t="shared" si="26"/>
        <v>-50.511200833938879</v>
      </c>
      <c r="T67" s="46">
        <f t="shared" si="26"/>
        <v>-53.382339338863261</v>
      </c>
      <c r="U67" s="46">
        <f t="shared" si="26"/>
        <v>-49.016950414294655</v>
      </c>
      <c r="V67" s="46">
        <f t="shared" si="26"/>
        <v>-50.47998215315571</v>
      </c>
      <c r="W67" s="63">
        <f t="shared" si="26"/>
        <v>-52.733312350742231</v>
      </c>
      <c r="X67" s="62">
        <f t="shared" si="26"/>
        <v>-48.214976114744054</v>
      </c>
      <c r="Y67" s="46">
        <f t="shared" si="26"/>
        <v>-54.849067606206738</v>
      </c>
      <c r="Z67" s="46">
        <f t="shared" si="26"/>
        <v>-58.079724518933176</v>
      </c>
      <c r="AA67" s="46">
        <f t="shared" si="26"/>
        <v>-64.145863249408151</v>
      </c>
      <c r="AB67" s="63">
        <f t="shared" si="26"/>
        <v>-68.887032353106164</v>
      </c>
    </row>
    <row r="68" spans="1:28" s="6" customFormat="1" ht="11.25" customHeight="1" x14ac:dyDescent="0.35"/>
    <row r="69" spans="1:28" s="6" customFormat="1" ht="11.25" customHeight="1" x14ac:dyDescent="0.35">
      <c r="A69" s="49">
        <f>IF(SUM($J69:$AB69)&lt;&gt;0,1,0)</f>
        <v>0</v>
      </c>
      <c r="D69" s="15" t="s">
        <v>114</v>
      </c>
      <c r="J69" s="70">
        <f>IF(ROUND(J67-Input_RAB_SCS!J$89,5)&lt;&gt;0,1,0)</f>
        <v>0</v>
      </c>
      <c r="K69" s="70">
        <f>IF(ROUND(K67-Input_RAB_SCS!K$89,5)&lt;&gt;0,1,0)</f>
        <v>0</v>
      </c>
      <c r="L69" s="70">
        <f>IF(ROUND(L67-Input_RAB_SCS!L$89,5)&lt;&gt;0,1,0)</f>
        <v>0</v>
      </c>
      <c r="M69" s="70">
        <f>IF(ROUND(M67-Input_RAB_SCS!M$89,5)&lt;&gt;0,1,0)</f>
        <v>0</v>
      </c>
      <c r="N69" s="70">
        <f>IF(ROUND(N67-Input_RAB_SCS!N$89,5)&lt;&gt;0,1,0)</f>
        <v>0</v>
      </c>
      <c r="O69" s="70">
        <f>IF(ROUND(O67-Input_RAB_SCS!O$89,5)&lt;&gt;0,1,0)</f>
        <v>0</v>
      </c>
      <c r="P69" s="70">
        <f>IF(ROUND(P67-Input_RAB_SCS!P$89,5)&lt;&gt;0,1,0)</f>
        <v>0</v>
      </c>
      <c r="Q69" s="70">
        <f>IF(ROUND(Q67-Input_RAB_SCS!Q$89,5)&lt;&gt;0,1,0)</f>
        <v>0</v>
      </c>
      <c r="R69" s="70">
        <f>IF(ROUND(R67-Input_RAB_SCS!R$89,5)&lt;&gt;0,1,0)</f>
        <v>0</v>
      </c>
      <c r="S69" s="70">
        <f>IF(ROUND(S67-Input_RAB_SCS!S$89,5)&lt;&gt;0,1,0)</f>
        <v>0</v>
      </c>
      <c r="T69" s="70">
        <f>IF(ROUND(T67-Input_RAB_SCS!T$89,5)&lt;&gt;0,1,0)</f>
        <v>0</v>
      </c>
      <c r="U69" s="70">
        <f>IF(ROUND(U67-Input_RAB_SCS!U$89,5)&lt;&gt;0,1,0)</f>
        <v>0</v>
      </c>
      <c r="V69" s="70">
        <f>IF(ROUND(V67-Input_RAB_SCS!V$89,5)&lt;&gt;0,1,0)</f>
        <v>0</v>
      </c>
      <c r="W69" s="70">
        <f>IF(ROUND(W67-Input_RAB_SCS!W$89,5)&lt;&gt;0,1,0)</f>
        <v>0</v>
      </c>
      <c r="X69" s="70">
        <f>IF(ROUND(X67-Input_RAB_SCS!X$89,5)&lt;&gt;0,1,0)</f>
        <v>0</v>
      </c>
      <c r="Y69" s="70">
        <f>IF(ROUND(Y67-Input_RAB_SCS!Y$89,5)&lt;&gt;0,1,0)</f>
        <v>0</v>
      </c>
      <c r="Z69" s="70">
        <f>IF(ROUND(Z67-Input_RAB_SCS!Z$89,5)&lt;&gt;0,1,0)</f>
        <v>0</v>
      </c>
      <c r="AA69" s="70">
        <f>IF(ROUND(AA67-Input_RAB_SCS!AA$89,5)&lt;&gt;0,1,0)</f>
        <v>0</v>
      </c>
      <c r="AB69" s="70">
        <f>IF(ROUND(AB67-Input_RAB_SCS!AB$89,5)&lt;&gt;0,1,0)</f>
        <v>0</v>
      </c>
    </row>
    <row r="70" spans="1:28" s="6" customFormat="1" ht="11.25" customHeight="1" x14ac:dyDescent="0.35">
      <c r="L70" s="10"/>
      <c r="Q70" s="10"/>
      <c r="V70" s="10"/>
      <c r="AA70" s="10"/>
    </row>
    <row r="71" spans="1:28" s="13" customFormat="1" ht="14.1" x14ac:dyDescent="0.35">
      <c r="C71" s="13" t="s">
        <v>150</v>
      </c>
    </row>
    <row r="72" spans="1:28" s="6" customFormat="1" ht="11.25" customHeight="1" x14ac:dyDescent="0.35"/>
    <row r="73" spans="1:28" ht="12.3" x14ac:dyDescent="0.35">
      <c r="D73" s="50" t="str">
        <f>D$16</f>
        <v>EB RIN Categories</v>
      </c>
      <c r="E73" s="45" t="str">
        <f>Lookup!E$20</f>
        <v>Source</v>
      </c>
      <c r="F73" s="45" t="str">
        <f>Lookup!F$20</f>
        <v>Unit</v>
      </c>
      <c r="G73" s="45" t="str">
        <f>Lookup!G$20</f>
        <v>Basis</v>
      </c>
      <c r="H73" s="45" t="str">
        <f>Lookup!H$20</f>
        <v>Timing</v>
      </c>
      <c r="J73" s="54" t="str">
        <f t="shared" ref="J73:AB73" si="27">J$10</f>
        <v>RY06</v>
      </c>
      <c r="K73" s="45" t="str">
        <f t="shared" si="27"/>
        <v>RY07</v>
      </c>
      <c r="L73" s="45" t="str">
        <f t="shared" si="27"/>
        <v>RY08</v>
      </c>
      <c r="M73" s="45" t="str">
        <f t="shared" si="27"/>
        <v>RY09</v>
      </c>
      <c r="N73" s="45" t="str">
        <f t="shared" si="27"/>
        <v>RY10</v>
      </c>
      <c r="O73" s="45" t="str">
        <f t="shared" si="27"/>
        <v>RY11</v>
      </c>
      <c r="P73" s="45" t="str">
        <f t="shared" si="27"/>
        <v>RY12</v>
      </c>
      <c r="Q73" s="45" t="str">
        <f t="shared" si="27"/>
        <v>RY13</v>
      </c>
      <c r="R73" s="55" t="str">
        <f t="shared" si="27"/>
        <v>RY14</v>
      </c>
      <c r="S73" s="54" t="str">
        <f t="shared" si="27"/>
        <v>RY15</v>
      </c>
      <c r="T73" s="45" t="str">
        <f t="shared" si="27"/>
        <v>RY16</v>
      </c>
      <c r="U73" s="45" t="str">
        <f t="shared" si="27"/>
        <v>RY17</v>
      </c>
      <c r="V73" s="45" t="str">
        <f t="shared" si="27"/>
        <v>RY18</v>
      </c>
      <c r="W73" s="55" t="str">
        <f t="shared" si="27"/>
        <v>RY19</v>
      </c>
      <c r="X73" s="54" t="str">
        <f t="shared" si="27"/>
        <v>RY20</v>
      </c>
      <c r="Y73" s="45" t="str">
        <f t="shared" si="27"/>
        <v>RY21</v>
      </c>
      <c r="Z73" s="45" t="str">
        <f t="shared" si="27"/>
        <v>RY22</v>
      </c>
      <c r="AA73" s="45" t="str">
        <f t="shared" si="27"/>
        <v>RY23</v>
      </c>
      <c r="AB73" s="55" t="str">
        <f t="shared" si="27"/>
        <v>RY24</v>
      </c>
    </row>
    <row r="74" spans="1:28" x14ac:dyDescent="0.35">
      <c r="J74" s="56"/>
      <c r="K74" s="57"/>
      <c r="L74" s="57"/>
      <c r="M74" s="57"/>
      <c r="N74" s="57"/>
      <c r="O74" s="57"/>
      <c r="P74" s="57"/>
      <c r="Q74" s="57"/>
      <c r="R74" s="58"/>
      <c r="S74" s="56"/>
      <c r="T74" s="57"/>
      <c r="U74" s="57"/>
      <c r="V74" s="57"/>
      <c r="W74" s="58"/>
      <c r="X74" s="56"/>
      <c r="Y74" s="57"/>
      <c r="Z74" s="57"/>
      <c r="AA74" s="57"/>
      <c r="AB74" s="58"/>
    </row>
    <row r="75" spans="1:28" ht="12.3" x14ac:dyDescent="0.35">
      <c r="D75" s="15" t="str">
        <f t="shared" ref="D75:E84" si="28">D18</f>
        <v>Overhead network assets less than 33kV</v>
      </c>
      <c r="E75" s="52" t="str">
        <f t="shared" si="28"/>
        <v>Calc_Alloc</v>
      </c>
      <c r="F75" s="52" t="str">
        <f t="shared" ref="F75:F84" si="29">Dollars</f>
        <v>Dollars</v>
      </c>
      <c r="G75" s="52" t="str">
        <f t="shared" ref="G75:G84" si="30">Nominal</f>
        <v>Nominal</v>
      </c>
      <c r="H75" s="52" t="str">
        <f t="shared" ref="H75:H84" si="31">End_year</f>
        <v>End_year</v>
      </c>
      <c r="J75" s="66">
        <f>SUMPRODUCT((Calc_Alloc!$E$11:$E$27)*(Input_RAB_SCS!J$98:J$114))</f>
        <v>3.0661256998919928</v>
      </c>
      <c r="K75" s="67">
        <f>SUMPRODUCT((Calc_Alloc!$E$11:$E$27)*(Input_RAB_SCS!K$98:K$114))</f>
        <v>3.8669571611613436</v>
      </c>
      <c r="L75" s="67">
        <f>SUMPRODUCT((Calc_Alloc!$E$11:$E$27)*(Input_RAB_SCS!L$98:L$114))</f>
        <v>4.287970582392914</v>
      </c>
      <c r="M75" s="67">
        <f>SUMPRODUCT((Calc_Alloc!$E$11:$E$27)*(Input_RAB_SCS!M$98:M$114))</f>
        <v>3.9659758177716355</v>
      </c>
      <c r="N75" s="67">
        <f>SUMPRODUCT((Calc_Alloc!$E$11:$E$27)*(Input_RAB_SCS!N$98:N$114))</f>
        <v>4.0393365940285353</v>
      </c>
      <c r="O75" s="67">
        <f>SUMPRODUCT((Calc_Alloc!$E$11:$E$27)*(Input_RAB_SCS!O$98:O$114))</f>
        <v>4.1967386341191153</v>
      </c>
      <c r="P75" s="67">
        <f>SUMPRODUCT((Calc_Alloc!$E$11:$E$27)*(Input_RAB_SCS!P$98:P$114))</f>
        <v>4.7714758535625865</v>
      </c>
      <c r="Q75" s="67">
        <f>SUMPRODUCT((Calc_Alloc!$E$11:$E$27)*(Input_RAB_SCS!Q$98:Q$114))</f>
        <v>8.4592781121478158</v>
      </c>
      <c r="R75" s="68">
        <f>SUMPRODUCT((Calc_Alloc!$E$11:$E$27)*(Input_RAB_SCS!R$98:R$114))</f>
        <v>5.4079657208797096</v>
      </c>
      <c r="S75" s="66">
        <f>SUMPRODUCT((Calc_Alloc!$E$11:$E$27)*(Input_RAB_SCS!S$98:S$114))</f>
        <v>5.5065561049215743</v>
      </c>
      <c r="T75" s="67">
        <f>SUMPRODUCT((Calc_Alloc!$E$11:$E$27)*(Input_RAB_SCS!T$98:T$114))</f>
        <v>3.9279914647699261</v>
      </c>
      <c r="U75" s="67">
        <f>SUMPRODUCT((Calc_Alloc!$E$11:$E$27)*(Input_RAB_SCS!U$98:U$114))</f>
        <v>3.6943572580752662</v>
      </c>
      <c r="V75" s="67">
        <f>SUMPRODUCT((Calc_Alloc!$E$11:$E$27)*(Input_RAB_SCS!V$98:V$114))</f>
        <v>1.9506974784114204</v>
      </c>
      <c r="W75" s="68">
        <f>SUMPRODUCT((Calc_Alloc!$E$11:$E$27)*(Input_RAB_SCS!W$98:W$114))</f>
        <v>2.9651724829620107</v>
      </c>
      <c r="X75" s="66">
        <f>SUMPRODUCT((Calc_Alloc!$E$11:$E$27)*(Input_RAB_SCS!X$98:X$114))</f>
        <v>6.2514851549636248</v>
      </c>
      <c r="Y75" s="67">
        <f>SUMPRODUCT((Calc_Alloc!$E$11:$E$27)*(Input_RAB_SCS!Y$98:Y$114))</f>
        <v>7.6463189174108797</v>
      </c>
      <c r="Z75" s="67">
        <f>SUMPRODUCT((Calc_Alloc!$E$11:$E$27)*(Input_RAB_SCS!Z$98:Z$114))</f>
        <v>5.8721125504555038</v>
      </c>
      <c r="AA75" s="67">
        <f>SUMPRODUCT((Calc_Alloc!$E$11:$E$27)*(Input_RAB_SCS!AA$98:AA$114))</f>
        <v>5.2978556470204667</v>
      </c>
      <c r="AB75" s="68">
        <f>SUMPRODUCT((Calc_Alloc!$E$11:$E$27)*(Input_RAB_SCS!AB$98:AB$114))</f>
        <v>6.0937241926624104</v>
      </c>
    </row>
    <row r="76" spans="1:28" ht="12.3" x14ac:dyDescent="0.35">
      <c r="D76" s="15" t="str">
        <f t="shared" si="28"/>
        <v>Underground network assets less than 33kV</v>
      </c>
      <c r="E76" s="52" t="str">
        <f t="shared" si="28"/>
        <v>Calc_Alloc</v>
      </c>
      <c r="F76" s="52" t="str">
        <f t="shared" si="29"/>
        <v>Dollars</v>
      </c>
      <c r="G76" s="52" t="str">
        <f t="shared" si="30"/>
        <v>Nominal</v>
      </c>
      <c r="H76" s="52" t="str">
        <f t="shared" si="31"/>
        <v>End_year</v>
      </c>
      <c r="J76" s="66">
        <f>SUMPRODUCT((Calc_Alloc!$F$11:$F$27)*(Input_RAB_SCS!J$98:J$114))</f>
        <v>6.3513677469534056</v>
      </c>
      <c r="K76" s="67">
        <f>SUMPRODUCT((Calc_Alloc!$F$11:$F$27)*(Input_RAB_SCS!K$98:K$114))</f>
        <v>8.0102609599847217</v>
      </c>
      <c r="L76" s="67">
        <f>SUMPRODUCT((Calc_Alloc!$F$11:$F$27)*(Input_RAB_SCS!L$98:L$114))</f>
        <v>8.8823749325915529</v>
      </c>
      <c r="M76" s="67">
        <f>SUMPRODUCT((Calc_Alloc!$F$11:$F$27)*(Input_RAB_SCS!M$98:M$114))</f>
        <v>8.2153745017952922</v>
      </c>
      <c r="N76" s="67">
        <f>SUMPRODUCT((Calc_Alloc!$F$11:$F$27)*(Input_RAB_SCS!N$98:N$114))</f>
        <v>8.3673386786801309</v>
      </c>
      <c r="O76" s="67">
        <f>SUMPRODUCT((Calc_Alloc!$F$11:$F$27)*(Input_RAB_SCS!O$98:O$114))</f>
        <v>8.693391273579028</v>
      </c>
      <c r="P76" s="67">
        <f>SUMPRODUCT((Calc_Alloc!$F$11:$F$27)*(Input_RAB_SCS!P$98:P$114))</f>
        <v>9.8839384969611395</v>
      </c>
      <c r="Q76" s="67">
        <f>SUMPRODUCT((Calc_Alloc!$F$11:$F$27)*(Input_RAB_SCS!Q$98:Q$114))</f>
        <v>17.523086599449314</v>
      </c>
      <c r="R76" s="68">
        <f>SUMPRODUCT((Calc_Alloc!$F$11:$F$27)*(Input_RAB_SCS!R$98:R$114))</f>
        <v>11.202403348366641</v>
      </c>
      <c r="S76" s="66">
        <f>SUMPRODUCT((Calc_Alloc!$F$11:$F$27)*(Input_RAB_SCS!S$98:S$114))</f>
        <v>11.406492207718106</v>
      </c>
      <c r="T76" s="67">
        <f>SUMPRODUCT((Calc_Alloc!$F$11:$F$27)*(Input_RAB_SCS!T$98:T$114))</f>
        <v>8.1365504742694537</v>
      </c>
      <c r="U76" s="67">
        <f>SUMPRODUCT((Calc_Alloc!$F$11:$F$27)*(Input_RAB_SCS!U$98:U$114))</f>
        <v>7.6525976269851981</v>
      </c>
      <c r="V76" s="67">
        <f>SUMPRODUCT((Calc_Alloc!$F$11:$F$27)*(Input_RAB_SCS!V$98:V$114))</f>
        <v>4.0407971867226884</v>
      </c>
      <c r="W76" s="68">
        <f>SUMPRODUCT((Calc_Alloc!$F$11:$F$27)*(Input_RAB_SCS!W$98:W$114))</f>
        <v>6.1422421931325619</v>
      </c>
      <c r="X76" s="66">
        <f>SUMPRODUCT((Calc_Alloc!$F$11:$F$27)*(Input_RAB_SCS!X$98:X$114))</f>
        <v>12.949702878276398</v>
      </c>
      <c r="Y76" s="67">
        <f>SUMPRODUCT((Calc_Alloc!$F$11:$F$27)*(Input_RAB_SCS!Y$98:Y$114))</f>
        <v>15.839041329370385</v>
      </c>
      <c r="Z76" s="67">
        <f>SUMPRODUCT((Calc_Alloc!$F$11:$F$27)*(Input_RAB_SCS!Z$98:Z$114))</f>
        <v>12.163841492084542</v>
      </c>
      <c r="AA76" s="67">
        <f>SUMPRODUCT((Calc_Alloc!$F$11:$F$27)*(Input_RAB_SCS!AA$98:AA$114))</f>
        <v>10.974292420542765</v>
      </c>
      <c r="AB76" s="68">
        <f>SUMPRODUCT((Calc_Alloc!$F$11:$F$27)*(Input_RAB_SCS!AB$98:AB$114))</f>
        <v>12.622902447372512</v>
      </c>
    </row>
    <row r="77" spans="1:28" ht="12.3" x14ac:dyDescent="0.35">
      <c r="D77" s="15" t="str">
        <f t="shared" si="28"/>
        <v>Distribution substations and transformers</v>
      </c>
      <c r="E77" s="52" t="str">
        <f t="shared" si="28"/>
        <v>Calc_Alloc</v>
      </c>
      <c r="F77" s="52" t="str">
        <f t="shared" si="29"/>
        <v>Dollars</v>
      </c>
      <c r="G77" s="52" t="str">
        <f t="shared" si="30"/>
        <v>Nominal</v>
      </c>
      <c r="H77" s="52" t="str">
        <f t="shared" si="31"/>
        <v>End_year</v>
      </c>
      <c r="J77" s="66">
        <f>SUMPRODUCT((Calc_Alloc!$G$11:$G$27)*(Input_RAB_SCS!J$98:J$114))</f>
        <v>1.1758439014417859</v>
      </c>
      <c r="K77" s="67">
        <f>SUMPRODUCT((Calc_Alloc!$G$11:$G$27)*(Input_RAB_SCS!K$98:K$114))</f>
        <v>1.4829587695143671</v>
      </c>
      <c r="L77" s="67">
        <f>SUMPRODUCT((Calc_Alloc!$G$11:$G$27)*(Input_RAB_SCS!L$98:L$114))</f>
        <v>4.1073097723395895</v>
      </c>
      <c r="M77" s="67">
        <f>SUMPRODUCT((Calc_Alloc!$G$11:$G$27)*(Input_RAB_SCS!M$98:M$114))</f>
        <v>7.2091904113706065</v>
      </c>
      <c r="N77" s="67">
        <f>SUMPRODUCT((Calc_Alloc!$G$11:$G$27)*(Input_RAB_SCS!N$98:N$114))</f>
        <v>12.630295458322083</v>
      </c>
      <c r="O77" s="67">
        <f>SUMPRODUCT((Calc_Alloc!$G$11:$G$27)*(Input_RAB_SCS!O$98:O$114))</f>
        <v>12.284275029227013</v>
      </c>
      <c r="P77" s="67">
        <f>SUMPRODUCT((Calc_Alloc!$G$11:$G$27)*(Input_RAB_SCS!P$98:P$114))</f>
        <v>4.9790162049504652</v>
      </c>
      <c r="Q77" s="67">
        <f>SUMPRODUCT((Calc_Alloc!$G$11:$G$27)*(Input_RAB_SCS!Q$98:Q$114))</f>
        <v>4.9195138669814025</v>
      </c>
      <c r="R77" s="68">
        <f>SUMPRODUCT((Calc_Alloc!$G$11:$G$27)*(Input_RAB_SCS!R$98:R$114))</f>
        <v>5.1655288281582523</v>
      </c>
      <c r="S77" s="66">
        <f>SUMPRODUCT((Calc_Alloc!$G$11:$G$27)*(Input_RAB_SCS!S$98:S$114))</f>
        <v>13.529864428994518</v>
      </c>
      <c r="T77" s="67">
        <f>SUMPRODUCT((Calc_Alloc!$G$11:$G$27)*(Input_RAB_SCS!T$98:T$114))</f>
        <v>11.684303991908944</v>
      </c>
      <c r="U77" s="67">
        <f>SUMPRODUCT((Calc_Alloc!$G$11:$G$27)*(Input_RAB_SCS!U$98:U$114))</f>
        <v>8.6344757831228982</v>
      </c>
      <c r="V77" s="67">
        <f>SUMPRODUCT((Calc_Alloc!$G$11:$G$27)*(Input_RAB_SCS!V$98:V$114))</f>
        <v>6.378023297721386</v>
      </c>
      <c r="W77" s="68">
        <f>SUMPRODUCT((Calc_Alloc!$G$11:$G$27)*(Input_RAB_SCS!W$98:W$114))</f>
        <v>7.316528157963643</v>
      </c>
      <c r="X77" s="66">
        <f>SUMPRODUCT((Calc_Alloc!$G$11:$G$27)*(Input_RAB_SCS!X$98:X$114))</f>
        <v>9.434675823530398</v>
      </c>
      <c r="Y77" s="67">
        <f>SUMPRODUCT((Calc_Alloc!$G$11:$G$27)*(Input_RAB_SCS!Y$98:Y$114))</f>
        <v>10.588207080249749</v>
      </c>
      <c r="Z77" s="67">
        <f>SUMPRODUCT((Calc_Alloc!$G$11:$G$27)*(Input_RAB_SCS!Z$98:Z$114))</f>
        <v>10.577971911486134</v>
      </c>
      <c r="AA77" s="67">
        <f>SUMPRODUCT((Calc_Alloc!$G$11:$G$27)*(Input_RAB_SCS!AA$98:AA$114))</f>
        <v>12.19827294523661</v>
      </c>
      <c r="AB77" s="68">
        <f>SUMPRODUCT((Calc_Alloc!$G$11:$G$27)*(Input_RAB_SCS!AB$98:AB$114))</f>
        <v>13.075091</v>
      </c>
    </row>
    <row r="78" spans="1:28" ht="12.3" x14ac:dyDescent="0.35">
      <c r="D78" s="15" t="str">
        <f t="shared" si="28"/>
        <v>Overhead network assets 33kV and above</v>
      </c>
      <c r="E78" s="52" t="str">
        <f t="shared" si="28"/>
        <v>Calc_Alloc</v>
      </c>
      <c r="F78" s="52" t="str">
        <f t="shared" si="29"/>
        <v>Dollars</v>
      </c>
      <c r="G78" s="52" t="str">
        <f t="shared" si="30"/>
        <v>Nominal</v>
      </c>
      <c r="H78" s="52" t="str">
        <f t="shared" si="31"/>
        <v>End_year</v>
      </c>
      <c r="J78" s="66">
        <f>SUMPRODUCT((Calc_Alloc!$H$11:$H$27)*(Input_RAB_SCS!J$98:J$114))</f>
        <v>5.0560574324591929</v>
      </c>
      <c r="K78" s="67">
        <f>SUMPRODUCT((Calc_Alloc!$H$11:$H$27)*(Input_RAB_SCS!K$98:K$114))</f>
        <v>6.3766327311303108</v>
      </c>
      <c r="L78" s="67">
        <f>SUMPRODUCT((Calc_Alloc!$H$11:$H$27)*(Input_RAB_SCS!L$98:L$114))</f>
        <v>1.538778368741589</v>
      </c>
      <c r="M78" s="67">
        <f>SUMPRODUCT((Calc_Alloc!$H$11:$H$27)*(Input_RAB_SCS!M$98:M$114))</f>
        <v>1.067354382422105</v>
      </c>
      <c r="N78" s="67">
        <f>SUMPRODUCT((Calc_Alloc!$H$11:$H$27)*(Input_RAB_SCS!N$98:N$114))</f>
        <v>10.66380582876123</v>
      </c>
      <c r="O78" s="67">
        <f>SUMPRODUCT((Calc_Alloc!$H$11:$H$27)*(Input_RAB_SCS!O$98:O$114))</f>
        <v>10.160376078342406</v>
      </c>
      <c r="P78" s="67">
        <f>SUMPRODUCT((Calc_Alloc!$H$11:$H$27)*(Input_RAB_SCS!P$98:P$114))</f>
        <v>5.4772466721454673</v>
      </c>
      <c r="Q78" s="67">
        <f>SUMPRODUCT((Calc_Alloc!$H$11:$H$27)*(Input_RAB_SCS!Q$98:Q$114))</f>
        <v>9.6678300528902685</v>
      </c>
      <c r="R78" s="68">
        <f>SUMPRODUCT((Calc_Alloc!$H$11:$H$27)*(Input_RAB_SCS!R$98:R$114))</f>
        <v>2.1695681224965604</v>
      </c>
      <c r="S78" s="66">
        <f>SUMPRODUCT((Calc_Alloc!$H$11:$H$27)*(Input_RAB_SCS!S$98:S$114))</f>
        <v>2.2886715378856559</v>
      </c>
      <c r="T78" s="67">
        <f>SUMPRODUCT((Calc_Alloc!$H$11:$H$27)*(Input_RAB_SCS!T$98:T$114))</f>
        <v>4.0500780782482932</v>
      </c>
      <c r="U78" s="67">
        <f>SUMPRODUCT((Calc_Alloc!$H$11:$H$27)*(Input_RAB_SCS!U$98:U$114))</f>
        <v>3.9989767724754963</v>
      </c>
      <c r="V78" s="67">
        <f>SUMPRODUCT((Calc_Alloc!$H$11:$H$27)*(Input_RAB_SCS!V$98:V$114))</f>
        <v>5.7167263415300029</v>
      </c>
      <c r="W78" s="68">
        <f>SUMPRODUCT((Calc_Alloc!$H$11:$H$27)*(Input_RAB_SCS!W$98:W$114))</f>
        <v>0.16147639321905352</v>
      </c>
      <c r="X78" s="66">
        <f>SUMPRODUCT((Calc_Alloc!$H$11:$H$27)*(Input_RAB_SCS!X$98:X$114))</f>
        <v>2.0111871446651679</v>
      </c>
      <c r="Y78" s="67">
        <f>SUMPRODUCT((Calc_Alloc!$H$11:$H$27)*(Input_RAB_SCS!Y$98:Y$114))</f>
        <v>1.9900212796182835</v>
      </c>
      <c r="Z78" s="67">
        <f>SUMPRODUCT((Calc_Alloc!$H$11:$H$27)*(Input_RAB_SCS!Z$98:Z$114))</f>
        <v>1.9828995859410365</v>
      </c>
      <c r="AA78" s="67">
        <f>SUMPRODUCT((Calc_Alloc!$H$11:$H$27)*(Input_RAB_SCS!AA$98:AA$114))</f>
        <v>2.1878079553776932</v>
      </c>
      <c r="AB78" s="68">
        <f>SUMPRODUCT((Calc_Alloc!$H$11:$H$27)*(Input_RAB_SCS!AB$98:AB$114))</f>
        <v>2.2711954802205772</v>
      </c>
    </row>
    <row r="79" spans="1:28" ht="12.3" x14ac:dyDescent="0.35">
      <c r="D79" s="15" t="str">
        <f t="shared" si="28"/>
        <v>Underground network assets 33kV and above</v>
      </c>
      <c r="E79" s="52" t="str">
        <f t="shared" si="28"/>
        <v>Calc_Alloc</v>
      </c>
      <c r="F79" s="52" t="str">
        <f t="shared" si="29"/>
        <v>Dollars</v>
      </c>
      <c r="G79" s="52" t="str">
        <f t="shared" si="30"/>
        <v>Nominal</v>
      </c>
      <c r="H79" s="52" t="str">
        <f t="shared" si="31"/>
        <v>End_year</v>
      </c>
      <c r="J79" s="66">
        <f>SUMPRODUCT((Calc_Alloc!$I$11:$I$27)*(Input_RAB_SCS!J$98:J$114))</f>
        <v>2.5299800841774269</v>
      </c>
      <c r="K79" s="67">
        <f>SUMPRODUCT((Calc_Alloc!$I$11:$I$27)*(Input_RAB_SCS!K$98:K$114))</f>
        <v>3.1907774050000972</v>
      </c>
      <c r="L79" s="67">
        <f>SUMPRODUCT((Calc_Alloc!$I$11:$I$27)*(Input_RAB_SCS!L$98:L$114))</f>
        <v>0.7699830705810855</v>
      </c>
      <c r="M79" s="67">
        <f>SUMPRODUCT((Calc_Alloc!$I$11:$I$27)*(Input_RAB_SCS!M$98:M$114))</f>
        <v>0.5340891329578894</v>
      </c>
      <c r="N79" s="67">
        <f>SUMPRODUCT((Calc_Alloc!$I$11:$I$27)*(Input_RAB_SCS!N$98:N$114))</f>
        <v>5.3360185735031838</v>
      </c>
      <c r="O79" s="67">
        <f>SUMPRODUCT((Calc_Alloc!$I$11:$I$27)*(Input_RAB_SCS!O$98:O$114))</f>
        <v>5.0841094013159234</v>
      </c>
      <c r="P79" s="67">
        <f>SUMPRODUCT((Calc_Alloc!$I$11:$I$27)*(Input_RAB_SCS!P$98:P$114))</f>
        <v>2.7407372605566147</v>
      </c>
      <c r="Q79" s="67">
        <f>SUMPRODUCT((Calc_Alloc!$I$11:$I$27)*(Input_RAB_SCS!Q$98:Q$114))</f>
        <v>4.8376462921481629</v>
      </c>
      <c r="R79" s="68">
        <f>SUMPRODUCT((Calc_Alloc!$I$11:$I$27)*(Input_RAB_SCS!R$98:R$114))</f>
        <v>1.0856213985909486</v>
      </c>
      <c r="S79" s="66">
        <f>SUMPRODUCT((Calc_Alloc!$I$11:$I$27)*(Input_RAB_SCS!S$98:S$114))</f>
        <v>1.1452190738383519</v>
      </c>
      <c r="T79" s="67">
        <f>SUMPRODUCT((Calc_Alloc!$I$11:$I$27)*(Input_RAB_SCS!T$98:T$114))</f>
        <v>2.0266021528058396</v>
      </c>
      <c r="U79" s="67">
        <f>SUMPRODUCT((Calc_Alloc!$I$11:$I$27)*(Input_RAB_SCS!U$98:U$114))</f>
        <v>2.0010317775465234</v>
      </c>
      <c r="V79" s="67">
        <f>SUMPRODUCT((Calc_Alloc!$I$11:$I$27)*(Input_RAB_SCS!V$98:V$114))</f>
        <v>2.8605695216022688</v>
      </c>
      <c r="W79" s="68">
        <f>SUMPRODUCT((Calc_Alloc!$I$11:$I$27)*(Input_RAB_SCS!W$98:W$114))</f>
        <v>8.0800517867199981E-2</v>
      </c>
      <c r="X79" s="66">
        <f>SUMPRODUCT((Calc_Alloc!$I$11:$I$27)*(Input_RAB_SCS!X$98:X$114))</f>
        <v>1.0063697830824843</v>
      </c>
      <c r="Y79" s="67">
        <f>SUMPRODUCT((Calc_Alloc!$I$11:$I$27)*(Input_RAB_SCS!Y$98:Y$114))</f>
        <v>0.99577868166634398</v>
      </c>
      <c r="Z79" s="67">
        <f>SUMPRODUCT((Calc_Alloc!$I$11:$I$27)*(Input_RAB_SCS!Z$98:Z$114))</f>
        <v>0.99221508623458021</v>
      </c>
      <c r="AA79" s="67">
        <f>SUMPRODUCT((Calc_Alloc!$I$11:$I$27)*(Input_RAB_SCS!AA$98:AA$114))</f>
        <v>1.0947483546321788</v>
      </c>
      <c r="AB79" s="68">
        <f>SUMPRODUCT((Calc_Alloc!$I$11:$I$27)*(Input_RAB_SCS!AB$98:AB$114))</f>
        <v>1.136474300181562</v>
      </c>
    </row>
    <row r="80" spans="1:28" ht="12.3" x14ac:dyDescent="0.35">
      <c r="D80" s="15" t="str">
        <f t="shared" si="28"/>
        <v>Zone substations and transformers</v>
      </c>
      <c r="E80" s="52" t="str">
        <f t="shared" si="28"/>
        <v>Calc_Alloc</v>
      </c>
      <c r="F80" s="52" t="str">
        <f t="shared" si="29"/>
        <v>Dollars</v>
      </c>
      <c r="G80" s="52" t="str">
        <f t="shared" si="30"/>
        <v>Nominal</v>
      </c>
      <c r="H80" s="52" t="str">
        <f t="shared" si="31"/>
        <v>End_year</v>
      </c>
      <c r="J80" s="66">
        <f>SUMPRODUCT((Calc_Alloc!$J$11:$J$27)*(Input_RAB_SCS!J$98:J$114))</f>
        <v>3.017259320495123</v>
      </c>
      <c r="K80" s="67">
        <f>SUMPRODUCT((Calc_Alloc!$J$11:$J$27)*(Input_RAB_SCS!K$98:K$114))</f>
        <v>3.8053275300749831</v>
      </c>
      <c r="L80" s="67">
        <f>SUMPRODUCT((Calc_Alloc!$J$11:$J$27)*(Input_RAB_SCS!L$98:L$114))</f>
        <v>22.888933834498829</v>
      </c>
      <c r="M80" s="67">
        <f>SUMPRODUCT((Calc_Alloc!$J$11:$J$27)*(Input_RAB_SCS!M$98:M$114))</f>
        <v>33.902694945631701</v>
      </c>
      <c r="N80" s="67">
        <f>SUMPRODUCT((Calc_Alloc!$J$11:$J$27)*(Input_RAB_SCS!N$98:N$114))</f>
        <v>35.522326060781353</v>
      </c>
      <c r="O80" s="67">
        <f>SUMPRODUCT((Calc_Alloc!$J$11:$J$27)*(Input_RAB_SCS!O$98:O$114))</f>
        <v>48.489640774936042</v>
      </c>
      <c r="P80" s="67">
        <f>SUMPRODUCT((Calc_Alloc!$J$11:$J$27)*(Input_RAB_SCS!P$98:P$114))</f>
        <v>45.238627848901139</v>
      </c>
      <c r="Q80" s="67">
        <f>SUMPRODUCT((Calc_Alloc!$J$11:$J$27)*(Input_RAB_SCS!Q$98:Q$114))</f>
        <v>55.44977546794528</v>
      </c>
      <c r="R80" s="68">
        <f>SUMPRODUCT((Calc_Alloc!$J$11:$J$27)*(Input_RAB_SCS!R$98:R$114))</f>
        <v>65.634841040325497</v>
      </c>
      <c r="S80" s="66">
        <f>SUMPRODUCT((Calc_Alloc!$J$11:$J$27)*(Input_RAB_SCS!S$98:S$114))</f>
        <v>44.163978729225157</v>
      </c>
      <c r="T80" s="67">
        <f>SUMPRODUCT((Calc_Alloc!$J$11:$J$27)*(Input_RAB_SCS!T$98:T$114))</f>
        <v>36.176617665472392</v>
      </c>
      <c r="U80" s="67">
        <f>SUMPRODUCT((Calc_Alloc!$J$11:$J$27)*(Input_RAB_SCS!U$98:U$114))</f>
        <v>18.993715949713604</v>
      </c>
      <c r="V80" s="67">
        <f>SUMPRODUCT((Calc_Alloc!$J$11:$J$27)*(Input_RAB_SCS!V$98:V$114))</f>
        <v>14.888624906824095</v>
      </c>
      <c r="W80" s="68">
        <f>SUMPRODUCT((Calc_Alloc!$J$11:$J$27)*(Input_RAB_SCS!W$98:W$114))</f>
        <v>19.228604100921061</v>
      </c>
      <c r="X80" s="66">
        <f>SUMPRODUCT((Calc_Alloc!$J$11:$J$27)*(Input_RAB_SCS!X$98:X$114))</f>
        <v>20.523082076350665</v>
      </c>
      <c r="Y80" s="67">
        <f>SUMPRODUCT((Calc_Alloc!$J$11:$J$27)*(Input_RAB_SCS!Y$98:Y$114))</f>
        <v>20.562261726324778</v>
      </c>
      <c r="Z80" s="67">
        <f>SUMPRODUCT((Calc_Alloc!$J$11:$J$27)*(Input_RAB_SCS!Z$98:Z$114))</f>
        <v>23.743199103341563</v>
      </c>
      <c r="AA80" s="67">
        <f>SUMPRODUCT((Calc_Alloc!$J$11:$J$27)*(Input_RAB_SCS!AA$98:AA$114))</f>
        <v>24.103920981880247</v>
      </c>
      <c r="AB80" s="68">
        <f>SUMPRODUCT((Calc_Alloc!$J$11:$J$27)*(Input_RAB_SCS!AB$98:AB$114))</f>
        <v>16.83136226059279</v>
      </c>
    </row>
    <row r="81" spans="1:28" ht="12.3" x14ac:dyDescent="0.35">
      <c r="D81" s="15" t="str">
        <f t="shared" si="28"/>
        <v>Easements</v>
      </c>
      <c r="E81" s="52" t="str">
        <f t="shared" si="28"/>
        <v>Calc_Alloc</v>
      </c>
      <c r="F81" s="52" t="str">
        <f t="shared" si="29"/>
        <v>Dollars</v>
      </c>
      <c r="G81" s="52" t="str">
        <f t="shared" si="30"/>
        <v>Nominal</v>
      </c>
      <c r="H81" s="52" t="str">
        <f t="shared" si="31"/>
        <v>End_year</v>
      </c>
      <c r="J81" s="66">
        <f>SUMPRODUCT((Calc_Alloc!$K$11:$K$27)*(Input_RAB_SCS!J$98:J$114))</f>
        <v>0.59139052635087741</v>
      </c>
      <c r="K81" s="67">
        <f>SUMPRODUCT((Calc_Alloc!$K$11:$K$27)*(Input_RAB_SCS!K$98:K$114))</f>
        <v>0.74585390644488558</v>
      </c>
      <c r="L81" s="67">
        <f>SUMPRODUCT((Calc_Alloc!$K$11:$K$27)*(Input_RAB_SCS!L$98:L$114))</f>
        <v>0</v>
      </c>
      <c r="M81" s="67">
        <f>SUMPRODUCT((Calc_Alloc!$K$11:$K$27)*(Input_RAB_SCS!M$98:M$114))</f>
        <v>0</v>
      </c>
      <c r="N81" s="67">
        <f>SUMPRODUCT((Calc_Alloc!$K$11:$K$27)*(Input_RAB_SCS!N$98:N$114))</f>
        <v>0</v>
      </c>
      <c r="O81" s="67">
        <f>SUMPRODUCT((Calc_Alloc!$K$11:$K$27)*(Input_RAB_SCS!O$98:O$114))</f>
        <v>0</v>
      </c>
      <c r="P81" s="67">
        <f>SUMPRODUCT((Calc_Alloc!$K$11:$K$27)*(Input_RAB_SCS!P$98:P$114))</f>
        <v>0</v>
      </c>
      <c r="Q81" s="67">
        <f>SUMPRODUCT((Calc_Alloc!$K$11:$K$27)*(Input_RAB_SCS!Q$98:Q$114))</f>
        <v>-4.4607753397497785E-2</v>
      </c>
      <c r="R81" s="68">
        <f>SUMPRODUCT((Calc_Alloc!$K$11:$K$27)*(Input_RAB_SCS!R$98:R$114))</f>
        <v>0.72800614423817966</v>
      </c>
      <c r="S81" s="66">
        <f>SUMPRODUCT((Calc_Alloc!$K$11:$K$27)*(Input_RAB_SCS!S$98:S$114))</f>
        <v>0</v>
      </c>
      <c r="T81" s="67">
        <f>SUMPRODUCT((Calc_Alloc!$K$11:$K$27)*(Input_RAB_SCS!T$98:T$114))</f>
        <v>0</v>
      </c>
      <c r="U81" s="67">
        <f>SUMPRODUCT((Calc_Alloc!$K$11:$K$27)*(Input_RAB_SCS!U$98:U$114))</f>
        <v>-1.081144242647495E-4</v>
      </c>
      <c r="V81" s="67">
        <f>SUMPRODUCT((Calc_Alloc!$K$11:$K$27)*(Input_RAB_SCS!V$98:V$114))</f>
        <v>0</v>
      </c>
      <c r="W81" s="68">
        <f>SUMPRODUCT((Calc_Alloc!$K$11:$K$27)*(Input_RAB_SCS!W$98:W$114))</f>
        <v>9.4537731622486891</v>
      </c>
      <c r="X81" s="66">
        <f>SUMPRODUCT((Calc_Alloc!$K$11:$K$27)*(Input_RAB_SCS!X$98:X$114))</f>
        <v>0</v>
      </c>
      <c r="Y81" s="67">
        <f>SUMPRODUCT((Calc_Alloc!$K$11:$K$27)*(Input_RAB_SCS!Y$98:Y$114))</f>
        <v>0</v>
      </c>
      <c r="Z81" s="67">
        <f>SUMPRODUCT((Calc_Alloc!$K$11:$K$27)*(Input_RAB_SCS!Z$98:Z$114))</f>
        <v>0</v>
      </c>
      <c r="AA81" s="67">
        <f>SUMPRODUCT((Calc_Alloc!$K$11:$K$27)*(Input_RAB_SCS!AA$98:AA$114))</f>
        <v>0</v>
      </c>
      <c r="AB81" s="68">
        <f>SUMPRODUCT((Calc_Alloc!$K$11:$K$27)*(Input_RAB_SCS!AB$98:AB$114))</f>
        <v>0</v>
      </c>
    </row>
    <row r="82" spans="1:28" ht="12.3" x14ac:dyDescent="0.35">
      <c r="D82" s="15" t="str">
        <f t="shared" si="28"/>
        <v>Meters</v>
      </c>
      <c r="E82" s="52" t="str">
        <f t="shared" si="28"/>
        <v>Calc_Alloc</v>
      </c>
      <c r="F82" s="52" t="str">
        <f t="shared" si="29"/>
        <v>Dollars</v>
      </c>
      <c r="G82" s="52" t="str">
        <f t="shared" si="30"/>
        <v>Nominal</v>
      </c>
      <c r="H82" s="52" t="str">
        <f t="shared" si="31"/>
        <v>End_year</v>
      </c>
      <c r="J82" s="66">
        <f>SUMPRODUCT((Calc_Alloc!$L$11:$L$27)*(Input_RAB_SCS!J$98:J$114))</f>
        <v>0</v>
      </c>
      <c r="K82" s="67">
        <f>SUMPRODUCT((Calc_Alloc!$L$11:$L$27)*(Input_RAB_SCS!K$98:K$114))</f>
        <v>0</v>
      </c>
      <c r="L82" s="67">
        <f>SUMPRODUCT((Calc_Alloc!$L$11:$L$27)*(Input_RAB_SCS!L$98:L$114))</f>
        <v>0</v>
      </c>
      <c r="M82" s="67">
        <f>SUMPRODUCT((Calc_Alloc!$L$11:$L$27)*(Input_RAB_SCS!M$98:M$114))</f>
        <v>0</v>
      </c>
      <c r="N82" s="67">
        <f>SUMPRODUCT((Calc_Alloc!$L$11:$L$27)*(Input_RAB_SCS!N$98:N$114))</f>
        <v>0</v>
      </c>
      <c r="O82" s="67">
        <f>SUMPRODUCT((Calc_Alloc!$L$11:$L$27)*(Input_RAB_SCS!O$98:O$114))</f>
        <v>0</v>
      </c>
      <c r="P82" s="67">
        <f>SUMPRODUCT((Calc_Alloc!$L$11:$L$27)*(Input_RAB_SCS!P$98:P$114))</f>
        <v>0</v>
      </c>
      <c r="Q82" s="67">
        <f>SUMPRODUCT((Calc_Alloc!$L$11:$L$27)*(Input_RAB_SCS!Q$98:Q$114))</f>
        <v>0</v>
      </c>
      <c r="R82" s="68">
        <f>SUMPRODUCT((Calc_Alloc!$L$11:$L$27)*(Input_RAB_SCS!R$98:R$114))</f>
        <v>0</v>
      </c>
      <c r="S82" s="66">
        <f>SUMPRODUCT((Calc_Alloc!$L$11:$L$27)*(Input_RAB_SCS!S$98:S$114))</f>
        <v>0</v>
      </c>
      <c r="T82" s="67">
        <f>SUMPRODUCT((Calc_Alloc!$L$11:$L$27)*(Input_RAB_SCS!T$98:T$114))</f>
        <v>0</v>
      </c>
      <c r="U82" s="67">
        <f>SUMPRODUCT((Calc_Alloc!$L$11:$L$27)*(Input_RAB_SCS!U$98:U$114))</f>
        <v>0</v>
      </c>
      <c r="V82" s="67">
        <f>SUMPRODUCT((Calc_Alloc!$L$11:$L$27)*(Input_RAB_SCS!V$98:V$114))</f>
        <v>0</v>
      </c>
      <c r="W82" s="68">
        <f>SUMPRODUCT((Calc_Alloc!$L$11:$L$27)*(Input_RAB_SCS!W$98:W$114))</f>
        <v>0</v>
      </c>
      <c r="X82" s="66">
        <f>SUMPRODUCT((Calc_Alloc!$L$11:$L$27)*(Input_RAB_SCS!X$98:X$114))</f>
        <v>0</v>
      </c>
      <c r="Y82" s="67">
        <f>SUMPRODUCT((Calc_Alloc!$L$11:$L$27)*(Input_RAB_SCS!Y$98:Y$114))</f>
        <v>0</v>
      </c>
      <c r="Z82" s="67">
        <f>SUMPRODUCT((Calc_Alloc!$L$11:$L$27)*(Input_RAB_SCS!Z$98:Z$114))</f>
        <v>0</v>
      </c>
      <c r="AA82" s="67">
        <f>SUMPRODUCT((Calc_Alloc!$L$11:$L$27)*(Input_RAB_SCS!AA$98:AA$114))</f>
        <v>0</v>
      </c>
      <c r="AB82" s="68">
        <f>SUMPRODUCT((Calc_Alloc!$L$11:$L$27)*(Input_RAB_SCS!AB$98:AB$114))</f>
        <v>0</v>
      </c>
    </row>
    <row r="83" spans="1:28" ht="12.3" x14ac:dyDescent="0.35">
      <c r="D83" s="15" t="str">
        <f t="shared" si="28"/>
        <v>“Other” asset items with long lives</v>
      </c>
      <c r="E83" s="52" t="str">
        <f t="shared" si="28"/>
        <v>Calc_Alloc</v>
      </c>
      <c r="F83" s="52" t="str">
        <f t="shared" si="29"/>
        <v>Dollars</v>
      </c>
      <c r="G83" s="52" t="str">
        <f t="shared" si="30"/>
        <v>Nominal</v>
      </c>
      <c r="H83" s="52" t="str">
        <f t="shared" si="31"/>
        <v>End_year</v>
      </c>
      <c r="J83" s="66">
        <f>SUMPRODUCT((Calc_Alloc!$M$11:$M$27)*(Input_RAB_SCS!J$98:J$114))</f>
        <v>9.1570493467389755E-2</v>
      </c>
      <c r="K83" s="67">
        <f>SUMPRODUCT((Calc_Alloc!$M$11:$M$27)*(Input_RAB_SCS!K$98:K$114))</f>
        <v>0.11548749468336357</v>
      </c>
      <c r="L83" s="67">
        <f>SUMPRODUCT((Calc_Alloc!$M$11:$M$27)*(Input_RAB_SCS!L$98:L$114))</f>
        <v>1.7873403067707199</v>
      </c>
      <c r="M83" s="67">
        <f>SUMPRODUCT((Calc_Alloc!$M$11:$M$27)*(Input_RAB_SCS!M$98:M$114))</f>
        <v>0.3496383138039782</v>
      </c>
      <c r="N83" s="67">
        <f>SUMPRODUCT((Calc_Alloc!$M$11:$M$27)*(Input_RAB_SCS!N$98:N$114))</f>
        <v>0</v>
      </c>
      <c r="O83" s="67">
        <f>SUMPRODUCT((Calc_Alloc!$M$11:$M$27)*(Input_RAB_SCS!O$98:O$114))</f>
        <v>0</v>
      </c>
      <c r="P83" s="67">
        <f>SUMPRODUCT((Calc_Alloc!$M$11:$M$27)*(Input_RAB_SCS!P$98:P$114))</f>
        <v>0</v>
      </c>
      <c r="Q83" s="67">
        <f>SUMPRODUCT((Calc_Alloc!$M$11:$M$27)*(Input_RAB_SCS!Q$98:Q$114))</f>
        <v>0</v>
      </c>
      <c r="R83" s="68">
        <f>SUMPRODUCT((Calc_Alloc!$M$11:$M$27)*(Input_RAB_SCS!R$98:R$114))</f>
        <v>0.25947115465730947</v>
      </c>
      <c r="S83" s="66">
        <f>SUMPRODUCT((Calc_Alloc!$M$11:$M$27)*(Input_RAB_SCS!S$98:S$114))</f>
        <v>0.44625328734994235</v>
      </c>
      <c r="T83" s="67">
        <f>SUMPRODUCT((Calc_Alloc!$M$11:$M$27)*(Input_RAB_SCS!T$98:T$114))</f>
        <v>0.96675587955678721</v>
      </c>
      <c r="U83" s="67">
        <f>SUMPRODUCT((Calc_Alloc!$M$11:$M$27)*(Input_RAB_SCS!U$98:U$114))</f>
        <v>2.8679436362080821</v>
      </c>
      <c r="V83" s="67">
        <f>SUMPRODUCT((Calc_Alloc!$M$11:$M$27)*(Input_RAB_SCS!V$98:V$114))</f>
        <v>4.6078864409133056</v>
      </c>
      <c r="W83" s="68">
        <f>SUMPRODUCT((Calc_Alloc!$M$11:$M$27)*(Input_RAB_SCS!W$98:W$114))</f>
        <v>15.674743704573846</v>
      </c>
      <c r="X83" s="66">
        <f>SUMPRODUCT((Calc_Alloc!$M$11:$M$27)*(Input_RAB_SCS!X$98:X$114))</f>
        <v>21.683917751616853</v>
      </c>
      <c r="Y83" s="67">
        <f>SUMPRODUCT((Calc_Alloc!$M$11:$M$27)*(Input_RAB_SCS!Y$98:Y$114))</f>
        <v>13.792407920808021</v>
      </c>
      <c r="Z83" s="67">
        <f>SUMPRODUCT((Calc_Alloc!$M$11:$M$27)*(Input_RAB_SCS!Z$98:Z$114))</f>
        <v>18.056899684934656</v>
      </c>
      <c r="AA83" s="67">
        <f>SUMPRODUCT((Calc_Alloc!$M$11:$M$27)*(Input_RAB_SCS!AA$98:AA$114))</f>
        <v>8.9055984264205215</v>
      </c>
      <c r="AB83" s="68">
        <f>SUMPRODUCT((Calc_Alloc!$M$11:$M$27)*(Input_RAB_SCS!AB$98:AB$114))</f>
        <v>8.3052628888635347</v>
      </c>
    </row>
    <row r="84" spans="1:28" ht="12.3" x14ac:dyDescent="0.35">
      <c r="D84" s="15" t="str">
        <f t="shared" si="28"/>
        <v>“Other” asset items with short lives</v>
      </c>
      <c r="E84" s="52" t="str">
        <f t="shared" si="28"/>
        <v>Calc_Alloc</v>
      </c>
      <c r="F84" s="52" t="str">
        <f t="shared" si="29"/>
        <v>Dollars</v>
      </c>
      <c r="G84" s="52" t="str">
        <f t="shared" si="30"/>
        <v>Nominal</v>
      </c>
      <c r="H84" s="52" t="str">
        <f t="shared" si="31"/>
        <v>End_year</v>
      </c>
      <c r="J84" s="66">
        <f>SUMPRODUCT((Calc_Alloc!$N$11:$N$27)*(Input_RAB_SCS!J$98:J$114))</f>
        <v>0.35796503922624839</v>
      </c>
      <c r="K84" s="67">
        <f>SUMPRODUCT((Calc_Alloc!$N$11:$N$27)*(Input_RAB_SCS!K$98:K$114))</f>
        <v>0.45146077081252856</v>
      </c>
      <c r="L84" s="67">
        <f>SUMPRODUCT((Calc_Alloc!$N$11:$N$27)*(Input_RAB_SCS!L$98:L$114))</f>
        <v>5.1921591440183806E-3</v>
      </c>
      <c r="M84" s="67">
        <f>SUMPRODUCT((Calc_Alloc!$N$11:$N$27)*(Input_RAB_SCS!M$98:M$114))</f>
        <v>1.5847628954287967E-2</v>
      </c>
      <c r="N84" s="67">
        <f>SUMPRODUCT((Calc_Alloc!$N$11:$N$27)*(Input_RAB_SCS!N$98:N$114))</f>
        <v>2.7903342389835935</v>
      </c>
      <c r="O84" s="67">
        <f>SUMPRODUCT((Calc_Alloc!$N$11:$N$27)*(Input_RAB_SCS!O$98:O$114))</f>
        <v>2.2081258696485593</v>
      </c>
      <c r="P84" s="67">
        <f>SUMPRODUCT((Calc_Alloc!$N$11:$N$27)*(Input_RAB_SCS!P$98:P$114))</f>
        <v>3.1589102483926985</v>
      </c>
      <c r="Q84" s="67">
        <f>SUMPRODUCT((Calc_Alloc!$N$11:$N$27)*(Input_RAB_SCS!Q$98:Q$114))</f>
        <v>5.1414366399532092</v>
      </c>
      <c r="R84" s="68">
        <f>SUMPRODUCT((Calc_Alloc!$N$11:$N$27)*(Input_RAB_SCS!R$98:R$114))</f>
        <v>1.4535798366465891</v>
      </c>
      <c r="S84" s="66">
        <f>SUMPRODUCT((Calc_Alloc!$N$11:$N$27)*(Input_RAB_SCS!S$98:S$114))</f>
        <v>0.69151177578155665</v>
      </c>
      <c r="T84" s="67">
        <f>SUMPRODUCT((Calc_Alloc!$N$11:$N$27)*(Input_RAB_SCS!T$98:T$114))</f>
        <v>0.33153977242198368</v>
      </c>
      <c r="U84" s="67">
        <f>SUMPRODUCT((Calc_Alloc!$N$11:$N$27)*(Input_RAB_SCS!U$98:U$114))</f>
        <v>0.46898279470098703</v>
      </c>
      <c r="V84" s="67">
        <f>SUMPRODUCT((Calc_Alloc!$N$11:$N$27)*(Input_RAB_SCS!V$98:V$114))</f>
        <v>0.55877917552134027</v>
      </c>
      <c r="W84" s="68">
        <f>SUMPRODUCT((Calc_Alloc!$N$11:$N$27)*(Input_RAB_SCS!W$98:W$114))</f>
        <v>0.60740988661772466</v>
      </c>
      <c r="X84" s="66">
        <f>SUMPRODUCT((Calc_Alloc!$N$11:$N$27)*(Input_RAB_SCS!X$98:X$114))</f>
        <v>25.638890121121928</v>
      </c>
      <c r="Y84" s="67">
        <f>SUMPRODUCT((Calc_Alloc!$N$11:$N$27)*(Input_RAB_SCS!Y$98:Y$114))</f>
        <v>6.1440167054306158</v>
      </c>
      <c r="Z84" s="67">
        <f>SUMPRODUCT((Calc_Alloc!$N$11:$N$27)*(Input_RAB_SCS!Z$98:Z$114))</f>
        <v>30.339656673674817</v>
      </c>
      <c r="AA84" s="67">
        <f>SUMPRODUCT((Calc_Alloc!$N$11:$N$27)*(Input_RAB_SCS!AA$98:AA$114))</f>
        <v>6.7676527126223807</v>
      </c>
      <c r="AB84" s="68">
        <f>SUMPRODUCT((Calc_Alloc!$N$11:$N$27)*(Input_RAB_SCS!AB$98:AB$114))</f>
        <v>6.618819442423364</v>
      </c>
    </row>
    <row r="85" spans="1:28" x14ac:dyDescent="0.35">
      <c r="J85" s="56"/>
      <c r="K85" s="57"/>
      <c r="L85" s="57"/>
      <c r="M85" s="57"/>
      <c r="N85" s="57"/>
      <c r="O85" s="57"/>
      <c r="P85" s="57"/>
      <c r="Q85" s="57"/>
      <c r="R85" s="58"/>
      <c r="S85" s="56"/>
      <c r="T85" s="57"/>
      <c r="U85" s="57"/>
      <c r="V85" s="57"/>
      <c r="W85" s="58"/>
      <c r="X85" s="56"/>
      <c r="Y85" s="57"/>
      <c r="Z85" s="57"/>
      <c r="AA85" s="57"/>
      <c r="AB85" s="58"/>
    </row>
    <row r="86" spans="1:28" ht="12.3" x14ac:dyDescent="0.35">
      <c r="D86" s="51" t="str">
        <f>"Total "&amp;D73</f>
        <v>Total EB RIN Categories</v>
      </c>
      <c r="E86" s="47" t="s">
        <v>111</v>
      </c>
      <c r="F86" s="47" t="str">
        <f>F75</f>
        <v>Dollars</v>
      </c>
      <c r="G86" s="47" t="str">
        <f>G75</f>
        <v>Nominal</v>
      </c>
      <c r="H86" s="47" t="str">
        <f>H75</f>
        <v>End_year</v>
      </c>
      <c r="J86" s="62">
        <f t="shared" ref="J86:AB86" si="32">SUM(J75:J84)</f>
        <v>22.237560244463445</v>
      </c>
      <c r="K86" s="46">
        <f t="shared" si="32"/>
        <v>28.0457167288066</v>
      </c>
      <c r="L86" s="46">
        <f t="shared" si="32"/>
        <v>44.2678830270603</v>
      </c>
      <c r="M86" s="46">
        <f t="shared" si="32"/>
        <v>55.260165134707499</v>
      </c>
      <c r="N86" s="46">
        <f t="shared" si="32"/>
        <v>79.349455433060101</v>
      </c>
      <c r="O86" s="46">
        <f t="shared" si="32"/>
        <v>91.116657061168084</v>
      </c>
      <c r="P86" s="46">
        <f t="shared" si="32"/>
        <v>76.249952585470112</v>
      </c>
      <c r="Q86" s="46">
        <f t="shared" si="32"/>
        <v>105.95395927811795</v>
      </c>
      <c r="R86" s="63">
        <f t="shared" si="32"/>
        <v>93.106985594359671</v>
      </c>
      <c r="S86" s="62">
        <f t="shared" si="32"/>
        <v>79.178547145714887</v>
      </c>
      <c r="T86" s="46">
        <f t="shared" si="32"/>
        <v>67.30043947945363</v>
      </c>
      <c r="U86" s="46">
        <f t="shared" si="32"/>
        <v>48.311973484403786</v>
      </c>
      <c r="V86" s="46">
        <f t="shared" si="32"/>
        <v>41.002104349246508</v>
      </c>
      <c r="W86" s="63">
        <f t="shared" si="32"/>
        <v>61.630750599505795</v>
      </c>
      <c r="X86" s="62">
        <f t="shared" si="32"/>
        <v>99.49931073360753</v>
      </c>
      <c r="Y86" s="46">
        <f t="shared" si="32"/>
        <v>77.558053640879052</v>
      </c>
      <c r="Z86" s="46">
        <f t="shared" si="32"/>
        <v>103.72879608815285</v>
      </c>
      <c r="AA86" s="46">
        <f t="shared" si="32"/>
        <v>71.530149443732867</v>
      </c>
      <c r="AB86" s="63">
        <f t="shared" si="32"/>
        <v>66.954832012316743</v>
      </c>
    </row>
    <row r="87" spans="1:28" s="6" customFormat="1" ht="11.25" customHeight="1" x14ac:dyDescent="0.35"/>
    <row r="88" spans="1:28" s="6" customFormat="1" ht="11.25" customHeight="1" x14ac:dyDescent="0.35">
      <c r="A88" s="49">
        <f>IF(SUM($J88:$AB88)&lt;&gt;0,1,0)</f>
        <v>0</v>
      </c>
      <c r="D88" s="15" t="s">
        <v>114</v>
      </c>
      <c r="J88" s="70">
        <f>IF(ROUND(J86-Input_RAB_SCS!J$116,5)&lt;&gt;0,1,0)</f>
        <v>0</v>
      </c>
      <c r="K88" s="70">
        <f>IF(ROUND(K86-Input_RAB_SCS!K$116,5)&lt;&gt;0,1,0)</f>
        <v>0</v>
      </c>
      <c r="L88" s="70">
        <f>IF(ROUND(L86-Input_RAB_SCS!L$116,5)&lt;&gt;0,1,0)</f>
        <v>0</v>
      </c>
      <c r="M88" s="70">
        <f>IF(ROUND(M86-Input_RAB_SCS!M$116,5)&lt;&gt;0,1,0)</f>
        <v>0</v>
      </c>
      <c r="N88" s="70">
        <f>IF(ROUND(N86-Input_RAB_SCS!N$116,5)&lt;&gt;0,1,0)</f>
        <v>0</v>
      </c>
      <c r="O88" s="70">
        <f>IF(ROUND(O86-Input_RAB_SCS!O$116,5)&lt;&gt;0,1,0)</f>
        <v>0</v>
      </c>
      <c r="P88" s="70">
        <f>IF(ROUND(P86-Input_RAB_SCS!P$116,5)&lt;&gt;0,1,0)</f>
        <v>0</v>
      </c>
      <c r="Q88" s="70">
        <f>IF(ROUND(Q86-Input_RAB_SCS!Q$116,5)&lt;&gt;0,1,0)</f>
        <v>0</v>
      </c>
      <c r="R88" s="70">
        <f>IF(ROUND(R86-Input_RAB_SCS!R$116,5)&lt;&gt;0,1,0)</f>
        <v>0</v>
      </c>
      <c r="S88" s="70">
        <f>IF(ROUND(S86-Input_RAB_SCS!S$116,5)&lt;&gt;0,1,0)</f>
        <v>0</v>
      </c>
      <c r="T88" s="70">
        <f>IF(ROUND(T86-Input_RAB_SCS!T$116,5)&lt;&gt;0,1,0)</f>
        <v>0</v>
      </c>
      <c r="U88" s="70">
        <f>IF(ROUND(U86-Input_RAB_SCS!U$116,5)&lt;&gt;0,1,0)</f>
        <v>0</v>
      </c>
      <c r="V88" s="70">
        <f>IF(ROUND(V86-Input_RAB_SCS!V$116,5)&lt;&gt;0,1,0)</f>
        <v>0</v>
      </c>
      <c r="W88" s="70">
        <f>IF(ROUND(W86-Input_RAB_SCS!W$116,5)&lt;&gt;0,1,0)</f>
        <v>0</v>
      </c>
      <c r="X88" s="70">
        <f>IF(ROUND(X86-Input_RAB_SCS!X$116,5)&lt;&gt;0,1,0)</f>
        <v>0</v>
      </c>
      <c r="Y88" s="70">
        <f>IF(ROUND(Y86-Input_RAB_SCS!Y$116,5)&lt;&gt;0,1,0)</f>
        <v>0</v>
      </c>
      <c r="Z88" s="70">
        <f>IF(ROUND(Z86-Input_RAB_SCS!Z$116,5)&lt;&gt;0,1,0)</f>
        <v>0</v>
      </c>
      <c r="AA88" s="70">
        <f>IF(ROUND(AA86-Input_RAB_SCS!AA$116,5)&lt;&gt;0,1,0)</f>
        <v>0</v>
      </c>
      <c r="AB88" s="70">
        <f>IF(ROUND(AB86-Input_RAB_SCS!AB$116,5)&lt;&gt;0,1,0)</f>
        <v>0</v>
      </c>
    </row>
    <row r="90" spans="1:28" s="13" customFormat="1" ht="14.1" x14ac:dyDescent="0.35">
      <c r="C90" s="13" t="s">
        <v>151</v>
      </c>
    </row>
    <row r="91" spans="1:28" s="6" customFormat="1" ht="11.25" customHeight="1" x14ac:dyDescent="0.35"/>
    <row r="92" spans="1:28" ht="12.3" x14ac:dyDescent="0.35">
      <c r="D92" s="50" t="str">
        <f>D$16</f>
        <v>EB RIN Categories</v>
      </c>
      <c r="E92" s="45" t="str">
        <f>Lookup!E$20</f>
        <v>Source</v>
      </c>
      <c r="F92" s="45" t="str">
        <f>Lookup!F$20</f>
        <v>Unit</v>
      </c>
      <c r="G92" s="45" t="str">
        <f>Lookup!G$20</f>
        <v>Basis</v>
      </c>
      <c r="H92" s="45" t="str">
        <f>Lookup!H$20</f>
        <v>Timing</v>
      </c>
      <c r="J92" s="54" t="str">
        <f t="shared" ref="J92:AB92" si="33">J$10</f>
        <v>RY06</v>
      </c>
      <c r="K92" s="45" t="str">
        <f t="shared" si="33"/>
        <v>RY07</v>
      </c>
      <c r="L92" s="45" t="str">
        <f t="shared" si="33"/>
        <v>RY08</v>
      </c>
      <c r="M92" s="45" t="str">
        <f t="shared" si="33"/>
        <v>RY09</v>
      </c>
      <c r="N92" s="45" t="str">
        <f t="shared" si="33"/>
        <v>RY10</v>
      </c>
      <c r="O92" s="45" t="str">
        <f t="shared" si="33"/>
        <v>RY11</v>
      </c>
      <c r="P92" s="45" t="str">
        <f t="shared" si="33"/>
        <v>RY12</v>
      </c>
      <c r="Q92" s="45" t="str">
        <f t="shared" si="33"/>
        <v>RY13</v>
      </c>
      <c r="R92" s="55" t="str">
        <f t="shared" si="33"/>
        <v>RY14</v>
      </c>
      <c r="S92" s="54" t="str">
        <f t="shared" si="33"/>
        <v>RY15</v>
      </c>
      <c r="T92" s="45" t="str">
        <f t="shared" si="33"/>
        <v>RY16</v>
      </c>
      <c r="U92" s="45" t="str">
        <f t="shared" si="33"/>
        <v>RY17</v>
      </c>
      <c r="V92" s="45" t="str">
        <f t="shared" si="33"/>
        <v>RY18</v>
      </c>
      <c r="W92" s="55" t="str">
        <f t="shared" si="33"/>
        <v>RY19</v>
      </c>
      <c r="X92" s="54" t="str">
        <f t="shared" si="33"/>
        <v>RY20</v>
      </c>
      <c r="Y92" s="45" t="str">
        <f t="shared" si="33"/>
        <v>RY21</v>
      </c>
      <c r="Z92" s="45" t="str">
        <f t="shared" si="33"/>
        <v>RY22</v>
      </c>
      <c r="AA92" s="45" t="str">
        <f t="shared" si="33"/>
        <v>RY23</v>
      </c>
      <c r="AB92" s="55" t="str">
        <f t="shared" si="33"/>
        <v>RY24</v>
      </c>
    </row>
    <row r="93" spans="1:28" x14ac:dyDescent="0.35">
      <c r="J93" s="56"/>
      <c r="K93" s="57"/>
      <c r="L93" s="57"/>
      <c r="M93" s="57"/>
      <c r="N93" s="57"/>
      <c r="O93" s="57"/>
      <c r="P93" s="57"/>
      <c r="Q93" s="57"/>
      <c r="R93" s="58"/>
      <c r="S93" s="56"/>
      <c r="T93" s="57"/>
      <c r="U93" s="57"/>
      <c r="V93" s="57"/>
      <c r="W93" s="58"/>
      <c r="X93" s="56"/>
      <c r="Y93" s="57"/>
      <c r="Z93" s="57"/>
      <c r="AA93" s="57"/>
      <c r="AB93" s="58"/>
    </row>
    <row r="94" spans="1:28" ht="12.3" x14ac:dyDescent="0.35">
      <c r="D94" s="15" t="str">
        <f t="shared" ref="D94:E103" si="34">D18</f>
        <v>Overhead network assets less than 33kV</v>
      </c>
      <c r="E94" s="52" t="str">
        <f t="shared" si="34"/>
        <v>Calc_Alloc</v>
      </c>
      <c r="F94" s="52" t="str">
        <f t="shared" ref="F94:F103" si="35">Dollars</f>
        <v>Dollars</v>
      </c>
      <c r="G94" s="52" t="str">
        <f t="shared" ref="G94:G103" si="36">Nominal</f>
        <v>Nominal</v>
      </c>
      <c r="H94" s="52" t="str">
        <f t="shared" ref="H94:H103" si="37">End_year</f>
        <v>End_year</v>
      </c>
      <c r="J94" s="66">
        <f>SUMPRODUCT((Calc_Alloc!$E$11:$E$27)*(Input_RAB_SCS!J$125:J$141))</f>
        <v>0</v>
      </c>
      <c r="K94" s="67">
        <f>SUMPRODUCT((Calc_Alloc!$E$11:$E$27)*(Input_RAB_SCS!K$125:K$141))</f>
        <v>0</v>
      </c>
      <c r="L94" s="67">
        <f>SUMPRODUCT((Calc_Alloc!$E$11:$E$27)*(Input_RAB_SCS!L$125:L$141))</f>
        <v>0</v>
      </c>
      <c r="M94" s="67">
        <f>SUMPRODUCT((Calc_Alloc!$E$11:$E$27)*(Input_RAB_SCS!M$125:M$141))</f>
        <v>0</v>
      </c>
      <c r="N94" s="67">
        <f>SUMPRODUCT((Calc_Alloc!$E$11:$E$27)*(Input_RAB_SCS!N$125:N$141))</f>
        <v>0</v>
      </c>
      <c r="O94" s="67">
        <f>SUMPRODUCT((Calc_Alloc!$E$11:$E$27)*(Input_RAB_SCS!O$125:O$141))</f>
        <v>-8.0906776123361376E-2</v>
      </c>
      <c r="P94" s="67">
        <f>SUMPRODUCT((Calc_Alloc!$E$11:$E$27)*(Input_RAB_SCS!P$125:P$141))</f>
        <v>-6.5690195871628389E-3</v>
      </c>
      <c r="Q94" s="67">
        <f>SUMPRODUCT((Calc_Alloc!$E$11:$E$27)*(Input_RAB_SCS!Q$125:Q$141))</f>
        <v>-0.24626336341105828</v>
      </c>
      <c r="R94" s="68">
        <f>SUMPRODUCT((Calc_Alloc!$E$11:$E$27)*(Input_RAB_SCS!R$125:R$141))</f>
        <v>-8.2534922918283016E-2</v>
      </c>
      <c r="S94" s="66">
        <f>SUMPRODUCT((Calc_Alloc!$E$11:$E$27)*(Input_RAB_SCS!S$125:S$141))</f>
        <v>-2.0992842500579791E-2</v>
      </c>
      <c r="T94" s="67">
        <f>SUMPRODUCT((Calc_Alloc!$E$11:$E$27)*(Input_RAB_SCS!T$125:T$141))</f>
        <v>-2.0930415478691029E-2</v>
      </c>
      <c r="U94" s="67">
        <f>SUMPRODUCT((Calc_Alloc!$E$11:$E$27)*(Input_RAB_SCS!U$125:U$141))</f>
        <v>-3.9917720734167411E-2</v>
      </c>
      <c r="V94" s="67">
        <f>SUMPRODUCT((Calc_Alloc!$E$11:$E$27)*(Input_RAB_SCS!V$125:V$141))</f>
        <v>0</v>
      </c>
      <c r="W94" s="68">
        <f>SUMPRODUCT((Calc_Alloc!$E$11:$E$27)*(Input_RAB_SCS!W$125:W$141))</f>
        <v>0</v>
      </c>
      <c r="X94" s="66">
        <f>SUMPRODUCT((Calc_Alloc!$E$11:$E$27)*(Input_RAB_SCS!X$125:X$141))</f>
        <v>0</v>
      </c>
      <c r="Y94" s="67">
        <f>SUMPRODUCT((Calc_Alloc!$E$11:$E$27)*(Input_RAB_SCS!Y$125:Y$141))</f>
        <v>0</v>
      </c>
      <c r="Z94" s="67">
        <f>SUMPRODUCT((Calc_Alloc!$E$11:$E$27)*(Input_RAB_SCS!Z$125:Z$141))</f>
        <v>0</v>
      </c>
      <c r="AA94" s="67">
        <f>SUMPRODUCT((Calc_Alloc!$E$11:$E$27)*(Input_RAB_SCS!AA$125:AA$141))</f>
        <v>0</v>
      </c>
      <c r="AB94" s="68">
        <f>SUMPRODUCT((Calc_Alloc!$E$11:$E$27)*(Input_RAB_SCS!AB$125:AB$141))</f>
        <v>0</v>
      </c>
    </row>
    <row r="95" spans="1:28" ht="12.3" x14ac:dyDescent="0.35">
      <c r="D95" s="15" t="str">
        <f t="shared" si="34"/>
        <v>Underground network assets less than 33kV</v>
      </c>
      <c r="E95" s="52" t="str">
        <f t="shared" si="34"/>
        <v>Calc_Alloc</v>
      </c>
      <c r="F95" s="52" t="str">
        <f t="shared" si="35"/>
        <v>Dollars</v>
      </c>
      <c r="G95" s="52" t="str">
        <f t="shared" si="36"/>
        <v>Nominal</v>
      </c>
      <c r="H95" s="52" t="str">
        <f t="shared" si="37"/>
        <v>End_year</v>
      </c>
      <c r="J95" s="66">
        <f>SUMPRODUCT((Calc_Alloc!$F$11:$F$27)*(Input_RAB_SCS!J$125:J$141))</f>
        <v>0</v>
      </c>
      <c r="K95" s="67">
        <f>SUMPRODUCT((Calc_Alloc!$F$11:$F$27)*(Input_RAB_SCS!K$125:K$141))</f>
        <v>0</v>
      </c>
      <c r="L95" s="67">
        <f>SUMPRODUCT((Calc_Alloc!$F$11:$F$27)*(Input_RAB_SCS!L$125:L$141))</f>
        <v>0</v>
      </c>
      <c r="M95" s="67">
        <f>SUMPRODUCT((Calc_Alloc!$F$11:$F$27)*(Input_RAB_SCS!M$125:M$141))</f>
        <v>0</v>
      </c>
      <c r="N95" s="67">
        <f>SUMPRODUCT((Calc_Alloc!$F$11:$F$27)*(Input_RAB_SCS!N$125:N$141))</f>
        <v>0</v>
      </c>
      <c r="O95" s="67">
        <f>SUMPRODUCT((Calc_Alloc!$F$11:$F$27)*(Input_RAB_SCS!O$125:O$141))</f>
        <v>-0.1675954408516255</v>
      </c>
      <c r="P95" s="67">
        <f>SUMPRODUCT((Calc_Alloc!$F$11:$F$27)*(Input_RAB_SCS!P$125:P$141))</f>
        <v>-1.3607484890942644E-2</v>
      </c>
      <c r="Q95" s="67">
        <f>SUMPRODUCT((Calc_Alloc!$F$11:$F$27)*(Input_RAB_SCS!Q$125:Q$141))</f>
        <v>-0.51012559063718699</v>
      </c>
      <c r="R95" s="68">
        <f>SUMPRODUCT((Calc_Alloc!$F$11:$F$27)*(Input_RAB_SCS!R$125:R$141))</f>
        <v>-0.17096807643424305</v>
      </c>
      <c r="S95" s="66">
        <f>SUMPRODUCT((Calc_Alloc!$F$11:$F$27)*(Input_RAB_SCS!S$125:S$141))</f>
        <v>-4.3485908871822167E-2</v>
      </c>
      <c r="T95" s="67">
        <f>SUMPRODUCT((Calc_Alloc!$F$11:$F$27)*(Input_RAB_SCS!T$125:T$141))</f>
        <v>-4.335659356900317E-2</v>
      </c>
      <c r="U95" s="67">
        <f>SUMPRODUCT((Calc_Alloc!$F$11:$F$27)*(Input_RAB_SCS!U$125:U$141))</f>
        <v>-8.2688105060994402E-2</v>
      </c>
      <c r="V95" s="67">
        <f>SUMPRODUCT((Calc_Alloc!$F$11:$F$27)*(Input_RAB_SCS!V$125:V$141))</f>
        <v>0</v>
      </c>
      <c r="W95" s="68">
        <f>SUMPRODUCT((Calc_Alloc!$F$11:$F$27)*(Input_RAB_SCS!W$125:W$141))</f>
        <v>0</v>
      </c>
      <c r="X95" s="66">
        <f>SUMPRODUCT((Calc_Alloc!$F$11:$F$27)*(Input_RAB_SCS!X$125:X$141))</f>
        <v>0</v>
      </c>
      <c r="Y95" s="67">
        <f>SUMPRODUCT((Calc_Alloc!$F$11:$F$27)*(Input_RAB_SCS!Y$125:Y$141))</f>
        <v>0</v>
      </c>
      <c r="Z95" s="67">
        <f>SUMPRODUCT((Calc_Alloc!$F$11:$F$27)*(Input_RAB_SCS!Z$125:Z$141))</f>
        <v>0</v>
      </c>
      <c r="AA95" s="67">
        <f>SUMPRODUCT((Calc_Alloc!$F$11:$F$27)*(Input_RAB_SCS!AA$125:AA$141))</f>
        <v>0</v>
      </c>
      <c r="AB95" s="68">
        <f>SUMPRODUCT((Calc_Alloc!$F$11:$F$27)*(Input_RAB_SCS!AB$125:AB$141))</f>
        <v>0</v>
      </c>
    </row>
    <row r="96" spans="1:28" ht="12.3" x14ac:dyDescent="0.35">
      <c r="D96" s="15" t="str">
        <f t="shared" si="34"/>
        <v>Distribution substations and transformers</v>
      </c>
      <c r="E96" s="52" t="str">
        <f t="shared" si="34"/>
        <v>Calc_Alloc</v>
      </c>
      <c r="F96" s="52" t="str">
        <f t="shared" si="35"/>
        <v>Dollars</v>
      </c>
      <c r="G96" s="52" t="str">
        <f t="shared" si="36"/>
        <v>Nominal</v>
      </c>
      <c r="H96" s="52" t="str">
        <f t="shared" si="37"/>
        <v>End_year</v>
      </c>
      <c r="J96" s="66">
        <f>SUMPRODUCT((Calc_Alloc!$G$11:$G$27)*(Input_RAB_SCS!J$125:J$141))</f>
        <v>0</v>
      </c>
      <c r="K96" s="67">
        <f>SUMPRODUCT((Calc_Alloc!$G$11:$G$27)*(Input_RAB_SCS!K$125:K$141))</f>
        <v>0</v>
      </c>
      <c r="L96" s="67">
        <f>SUMPRODUCT((Calc_Alloc!$G$11:$G$27)*(Input_RAB_SCS!L$125:L$141))</f>
        <v>0</v>
      </c>
      <c r="M96" s="67">
        <f>SUMPRODUCT((Calc_Alloc!$G$11:$G$27)*(Input_RAB_SCS!M$125:M$141))</f>
        <v>0</v>
      </c>
      <c r="N96" s="67">
        <f>SUMPRODUCT((Calc_Alloc!$G$11:$G$27)*(Input_RAB_SCS!N$125:N$141))</f>
        <v>0</v>
      </c>
      <c r="O96" s="67">
        <f>SUMPRODUCT((Calc_Alloc!$G$11:$G$27)*(Input_RAB_SCS!O$125:O$141))</f>
        <v>-0.40395849288747782</v>
      </c>
      <c r="P96" s="67">
        <f>SUMPRODUCT((Calc_Alloc!$G$11:$G$27)*(Input_RAB_SCS!P$125:P$141))</f>
        <v>-0.54706830450001331</v>
      </c>
      <c r="Q96" s="67">
        <f>SUMPRODUCT((Calc_Alloc!$G$11:$G$27)*(Input_RAB_SCS!Q$125:Q$141))</f>
        <v>-0.67670341129587697</v>
      </c>
      <c r="R96" s="68">
        <f>SUMPRODUCT((Calc_Alloc!$G$11:$G$27)*(Input_RAB_SCS!R$125:R$141))</f>
        <v>-0.45040585551917622</v>
      </c>
      <c r="S96" s="66">
        <f>SUMPRODUCT((Calc_Alloc!$G$11:$G$27)*(Input_RAB_SCS!S$125:S$141))</f>
        <v>-7.841243191466396E-3</v>
      </c>
      <c r="T96" s="67">
        <f>SUMPRODUCT((Calc_Alloc!$G$11:$G$27)*(Input_RAB_SCS!T$125:T$141))</f>
        <v>0</v>
      </c>
      <c r="U96" s="67">
        <f>SUMPRODUCT((Calc_Alloc!$G$11:$G$27)*(Input_RAB_SCS!U$125:U$141))</f>
        <v>0</v>
      </c>
      <c r="V96" s="67">
        <f>SUMPRODUCT((Calc_Alloc!$G$11:$G$27)*(Input_RAB_SCS!V$125:V$141))</f>
        <v>0</v>
      </c>
      <c r="W96" s="68">
        <f>SUMPRODUCT((Calc_Alloc!$G$11:$G$27)*(Input_RAB_SCS!W$125:W$141))</f>
        <v>0</v>
      </c>
      <c r="X96" s="66">
        <f>SUMPRODUCT((Calc_Alloc!$G$11:$G$27)*(Input_RAB_SCS!X$125:X$141))</f>
        <v>0</v>
      </c>
      <c r="Y96" s="67">
        <f>SUMPRODUCT((Calc_Alloc!$G$11:$G$27)*(Input_RAB_SCS!Y$125:Y$141))</f>
        <v>0</v>
      </c>
      <c r="Z96" s="67">
        <f>SUMPRODUCT((Calc_Alloc!$G$11:$G$27)*(Input_RAB_SCS!Z$125:Z$141))</f>
        <v>0</v>
      </c>
      <c r="AA96" s="67">
        <f>SUMPRODUCT((Calc_Alloc!$G$11:$G$27)*(Input_RAB_SCS!AA$125:AA$141))</f>
        <v>0</v>
      </c>
      <c r="AB96" s="68">
        <f>SUMPRODUCT((Calc_Alloc!$G$11:$G$27)*(Input_RAB_SCS!AB$125:AB$141))</f>
        <v>0</v>
      </c>
    </row>
    <row r="97" spans="1:28" ht="12.3" x14ac:dyDescent="0.35">
      <c r="D97" s="15" t="str">
        <f t="shared" si="34"/>
        <v>Overhead network assets 33kV and above</v>
      </c>
      <c r="E97" s="52" t="str">
        <f t="shared" si="34"/>
        <v>Calc_Alloc</v>
      </c>
      <c r="F97" s="52" t="str">
        <f t="shared" si="35"/>
        <v>Dollars</v>
      </c>
      <c r="G97" s="52" t="str">
        <f t="shared" si="36"/>
        <v>Nominal</v>
      </c>
      <c r="H97" s="52" t="str">
        <f t="shared" si="37"/>
        <v>End_year</v>
      </c>
      <c r="J97" s="66">
        <f>SUMPRODUCT((Calc_Alloc!$H$11:$H$27)*(Input_RAB_SCS!J$125:J$141))</f>
        <v>0</v>
      </c>
      <c r="K97" s="67">
        <f>SUMPRODUCT((Calc_Alloc!$H$11:$H$27)*(Input_RAB_SCS!K$125:K$141))</f>
        <v>0</v>
      </c>
      <c r="L97" s="67">
        <f>SUMPRODUCT((Calc_Alloc!$H$11:$H$27)*(Input_RAB_SCS!L$125:L$141))</f>
        <v>0</v>
      </c>
      <c r="M97" s="67">
        <f>SUMPRODUCT((Calc_Alloc!$H$11:$H$27)*(Input_RAB_SCS!M$125:M$141))</f>
        <v>0</v>
      </c>
      <c r="N97" s="67">
        <f>SUMPRODUCT((Calc_Alloc!$H$11:$H$27)*(Input_RAB_SCS!N$125:N$141))</f>
        <v>0</v>
      </c>
      <c r="O97" s="67">
        <f>SUMPRODUCT((Calc_Alloc!$H$11:$H$27)*(Input_RAB_SCS!O$125:O$141))</f>
        <v>0</v>
      </c>
      <c r="P97" s="67">
        <f>SUMPRODUCT((Calc_Alloc!$H$11:$H$27)*(Input_RAB_SCS!P$125:P$141))</f>
        <v>0</v>
      </c>
      <c r="Q97" s="67">
        <f>SUMPRODUCT((Calc_Alloc!$H$11:$H$27)*(Input_RAB_SCS!Q$125:Q$141))</f>
        <v>0</v>
      </c>
      <c r="R97" s="68">
        <f>SUMPRODUCT((Calc_Alloc!$H$11:$H$27)*(Input_RAB_SCS!R$125:R$141))</f>
        <v>-2.4789118074350306E-3</v>
      </c>
      <c r="S97" s="66">
        <f>SUMPRODUCT((Calc_Alloc!$H$11:$H$27)*(Input_RAB_SCS!S$125:S$141))</f>
        <v>-7.1624628228102475E-3</v>
      </c>
      <c r="T97" s="67">
        <f>SUMPRODUCT((Calc_Alloc!$H$11:$H$27)*(Input_RAB_SCS!T$125:T$141))</f>
        <v>-7.1411636003059749E-3</v>
      </c>
      <c r="U97" s="67">
        <f>SUMPRODUCT((Calc_Alloc!$H$11:$H$27)*(Input_RAB_SCS!U$125:U$141))</f>
        <v>-1.3619365301383054E-2</v>
      </c>
      <c r="V97" s="67">
        <f>SUMPRODUCT((Calc_Alloc!$H$11:$H$27)*(Input_RAB_SCS!V$125:V$141))</f>
        <v>0</v>
      </c>
      <c r="W97" s="68">
        <f>SUMPRODUCT((Calc_Alloc!$H$11:$H$27)*(Input_RAB_SCS!W$125:W$141))</f>
        <v>0</v>
      </c>
      <c r="X97" s="66">
        <f>SUMPRODUCT((Calc_Alloc!$H$11:$H$27)*(Input_RAB_SCS!X$125:X$141))</f>
        <v>0</v>
      </c>
      <c r="Y97" s="67">
        <f>SUMPRODUCT((Calc_Alloc!$H$11:$H$27)*(Input_RAB_SCS!Y$125:Y$141))</f>
        <v>0</v>
      </c>
      <c r="Z97" s="67">
        <f>SUMPRODUCT((Calc_Alloc!$H$11:$H$27)*(Input_RAB_SCS!Z$125:Z$141))</f>
        <v>0</v>
      </c>
      <c r="AA97" s="67">
        <f>SUMPRODUCT((Calc_Alloc!$H$11:$H$27)*(Input_RAB_SCS!AA$125:AA$141))</f>
        <v>0</v>
      </c>
      <c r="AB97" s="68">
        <f>SUMPRODUCT((Calc_Alloc!$H$11:$H$27)*(Input_RAB_SCS!AB$125:AB$141))</f>
        <v>0</v>
      </c>
    </row>
    <row r="98" spans="1:28" ht="12.3" x14ac:dyDescent="0.35">
      <c r="D98" s="15" t="str">
        <f t="shared" si="34"/>
        <v>Underground network assets 33kV and above</v>
      </c>
      <c r="E98" s="52" t="str">
        <f t="shared" si="34"/>
        <v>Calc_Alloc</v>
      </c>
      <c r="F98" s="52" t="str">
        <f t="shared" si="35"/>
        <v>Dollars</v>
      </c>
      <c r="G98" s="52" t="str">
        <f t="shared" si="36"/>
        <v>Nominal</v>
      </c>
      <c r="H98" s="52" t="str">
        <f t="shared" si="37"/>
        <v>End_year</v>
      </c>
      <c r="J98" s="66">
        <f>SUMPRODUCT((Calc_Alloc!$I$11:$I$27)*(Input_RAB_SCS!J$125:J$141))</f>
        <v>0</v>
      </c>
      <c r="K98" s="67">
        <f>SUMPRODUCT((Calc_Alloc!$I$11:$I$27)*(Input_RAB_SCS!K$125:K$141))</f>
        <v>0</v>
      </c>
      <c r="L98" s="67">
        <f>SUMPRODUCT((Calc_Alloc!$I$11:$I$27)*(Input_RAB_SCS!L$125:L$141))</f>
        <v>0</v>
      </c>
      <c r="M98" s="67">
        <f>SUMPRODUCT((Calc_Alloc!$I$11:$I$27)*(Input_RAB_SCS!M$125:M$141))</f>
        <v>0</v>
      </c>
      <c r="N98" s="67">
        <f>SUMPRODUCT((Calc_Alloc!$I$11:$I$27)*(Input_RAB_SCS!N$125:N$141))</f>
        <v>0</v>
      </c>
      <c r="O98" s="67">
        <f>SUMPRODUCT((Calc_Alloc!$I$11:$I$27)*(Input_RAB_SCS!O$125:O$141))</f>
        <v>0</v>
      </c>
      <c r="P98" s="67">
        <f>SUMPRODUCT((Calc_Alloc!$I$11:$I$27)*(Input_RAB_SCS!P$125:P$141))</f>
        <v>0</v>
      </c>
      <c r="Q98" s="67">
        <f>SUMPRODUCT((Calc_Alloc!$I$11:$I$27)*(Input_RAB_SCS!Q$125:Q$141))</f>
        <v>0</v>
      </c>
      <c r="R98" s="68">
        <f>SUMPRODUCT((Calc_Alloc!$I$11:$I$27)*(Input_RAB_SCS!R$125:R$141))</f>
        <v>-1.2404126311896901E-3</v>
      </c>
      <c r="S98" s="66">
        <f>SUMPRODUCT((Calc_Alloc!$I$11:$I$27)*(Input_RAB_SCS!S$125:S$141))</f>
        <v>-3.5839957392567478E-3</v>
      </c>
      <c r="T98" s="67">
        <f>SUMPRODUCT((Calc_Alloc!$I$11:$I$27)*(Input_RAB_SCS!T$125:T$141))</f>
        <v>-3.5733379076430625E-3</v>
      </c>
      <c r="U98" s="67">
        <f>SUMPRODUCT((Calc_Alloc!$I$11:$I$27)*(Input_RAB_SCS!U$125:U$141))</f>
        <v>-6.8149389978105872E-3</v>
      </c>
      <c r="V98" s="67">
        <f>SUMPRODUCT((Calc_Alloc!$I$11:$I$27)*(Input_RAB_SCS!V$125:V$141))</f>
        <v>0</v>
      </c>
      <c r="W98" s="68">
        <f>SUMPRODUCT((Calc_Alloc!$I$11:$I$27)*(Input_RAB_SCS!W$125:W$141))</f>
        <v>0</v>
      </c>
      <c r="X98" s="66">
        <f>SUMPRODUCT((Calc_Alloc!$I$11:$I$27)*(Input_RAB_SCS!X$125:X$141))</f>
        <v>0</v>
      </c>
      <c r="Y98" s="67">
        <f>SUMPRODUCT((Calc_Alloc!$I$11:$I$27)*(Input_RAB_SCS!Y$125:Y$141))</f>
        <v>0</v>
      </c>
      <c r="Z98" s="67">
        <f>SUMPRODUCT((Calc_Alloc!$I$11:$I$27)*(Input_RAB_SCS!Z$125:Z$141))</f>
        <v>0</v>
      </c>
      <c r="AA98" s="67">
        <f>SUMPRODUCT((Calc_Alloc!$I$11:$I$27)*(Input_RAB_SCS!AA$125:AA$141))</f>
        <v>0</v>
      </c>
      <c r="AB98" s="68">
        <f>SUMPRODUCT((Calc_Alloc!$I$11:$I$27)*(Input_RAB_SCS!AB$125:AB$141))</f>
        <v>0</v>
      </c>
    </row>
    <row r="99" spans="1:28" ht="12.3" x14ac:dyDescent="0.35">
      <c r="D99" s="15" t="str">
        <f t="shared" si="34"/>
        <v>Zone substations and transformers</v>
      </c>
      <c r="E99" s="52" t="str">
        <f t="shared" si="34"/>
        <v>Calc_Alloc</v>
      </c>
      <c r="F99" s="52" t="str">
        <f t="shared" si="35"/>
        <v>Dollars</v>
      </c>
      <c r="G99" s="52" t="str">
        <f t="shared" si="36"/>
        <v>Nominal</v>
      </c>
      <c r="H99" s="52" t="str">
        <f t="shared" si="37"/>
        <v>End_year</v>
      </c>
      <c r="J99" s="66">
        <f>SUMPRODUCT((Calc_Alloc!$J$11:$J$27)*(Input_RAB_SCS!J$125:J$141))</f>
        <v>0</v>
      </c>
      <c r="K99" s="67">
        <f>SUMPRODUCT((Calc_Alloc!$J$11:$J$27)*(Input_RAB_SCS!K$125:K$141))</f>
        <v>0</v>
      </c>
      <c r="L99" s="67">
        <f>SUMPRODUCT((Calc_Alloc!$J$11:$J$27)*(Input_RAB_SCS!L$125:L$141))</f>
        <v>0</v>
      </c>
      <c r="M99" s="67">
        <f>SUMPRODUCT((Calc_Alloc!$J$11:$J$27)*(Input_RAB_SCS!M$125:M$141))</f>
        <v>0</v>
      </c>
      <c r="N99" s="67">
        <f>SUMPRODUCT((Calc_Alloc!$J$11:$J$27)*(Input_RAB_SCS!N$125:N$141))</f>
        <v>-0.18259695449911931</v>
      </c>
      <c r="O99" s="67">
        <f>SUMPRODUCT((Calc_Alloc!$J$11:$J$27)*(Input_RAB_SCS!O$125:O$141))</f>
        <v>-0.18636082572719792</v>
      </c>
      <c r="P99" s="67">
        <f>SUMPRODUCT((Calc_Alloc!$J$11:$J$27)*(Input_RAB_SCS!P$125:P$141))</f>
        <v>-0.10754114611750819</v>
      </c>
      <c r="Q99" s="67">
        <f>SUMPRODUCT((Calc_Alloc!$J$11:$J$27)*(Input_RAB_SCS!Q$125:Q$141))</f>
        <v>-1.8505141109755419E-2</v>
      </c>
      <c r="R99" s="68">
        <f>SUMPRODUCT((Calc_Alloc!$J$11:$J$27)*(Input_RAB_SCS!R$125:R$141))</f>
        <v>-0.13470865475200619</v>
      </c>
      <c r="S99" s="66">
        <f>SUMPRODUCT((Calc_Alloc!$J$11:$J$27)*(Input_RAB_SCS!S$125:S$141))</f>
        <v>-3.2239375686200979E-2</v>
      </c>
      <c r="T99" s="67">
        <f>SUMPRODUCT((Calc_Alloc!$J$11:$J$27)*(Input_RAB_SCS!T$125:T$141))</f>
        <v>-3.3321531669982897E-2</v>
      </c>
      <c r="U99" s="67">
        <f>SUMPRODUCT((Calc_Alloc!$J$11:$J$27)*(Input_RAB_SCS!U$125:U$141))</f>
        <v>-0.13949650990836202</v>
      </c>
      <c r="V99" s="67">
        <f>SUMPRODUCT((Calc_Alloc!$J$11:$J$27)*(Input_RAB_SCS!V$125:V$141))</f>
        <v>0</v>
      </c>
      <c r="W99" s="68">
        <f>SUMPRODUCT((Calc_Alloc!$J$11:$J$27)*(Input_RAB_SCS!W$125:W$141))</f>
        <v>0</v>
      </c>
      <c r="X99" s="66">
        <f>SUMPRODUCT((Calc_Alloc!$J$11:$J$27)*(Input_RAB_SCS!X$125:X$141))</f>
        <v>0</v>
      </c>
      <c r="Y99" s="67">
        <f>SUMPRODUCT((Calc_Alloc!$J$11:$J$27)*(Input_RAB_SCS!Y$125:Y$141))</f>
        <v>0</v>
      </c>
      <c r="Z99" s="67">
        <f>SUMPRODUCT((Calc_Alloc!$J$11:$J$27)*(Input_RAB_SCS!Z$125:Z$141))</f>
        <v>0</v>
      </c>
      <c r="AA99" s="67">
        <f>SUMPRODUCT((Calc_Alloc!$J$11:$J$27)*(Input_RAB_SCS!AA$125:AA$141))</f>
        <v>0</v>
      </c>
      <c r="AB99" s="68">
        <f>SUMPRODUCT((Calc_Alloc!$J$11:$J$27)*(Input_RAB_SCS!AB$125:AB$141))</f>
        <v>0</v>
      </c>
    </row>
    <row r="100" spans="1:28" ht="12.3" x14ac:dyDescent="0.35">
      <c r="D100" s="15" t="str">
        <f t="shared" si="34"/>
        <v>Easements</v>
      </c>
      <c r="E100" s="52" t="str">
        <f t="shared" si="34"/>
        <v>Calc_Alloc</v>
      </c>
      <c r="F100" s="52" t="str">
        <f t="shared" si="35"/>
        <v>Dollars</v>
      </c>
      <c r="G100" s="52" t="str">
        <f t="shared" si="36"/>
        <v>Nominal</v>
      </c>
      <c r="H100" s="52" t="str">
        <f t="shared" si="37"/>
        <v>End_year</v>
      </c>
      <c r="J100" s="66">
        <f>SUMPRODUCT((Calc_Alloc!$K$11:$K$27)*(Input_RAB_SCS!J$125:J$141))</f>
        <v>0</v>
      </c>
      <c r="K100" s="67">
        <f>SUMPRODUCT((Calc_Alloc!$K$11:$K$27)*(Input_RAB_SCS!K$125:K$141))</f>
        <v>0</v>
      </c>
      <c r="L100" s="67">
        <f>SUMPRODUCT((Calc_Alloc!$K$11:$K$27)*(Input_RAB_SCS!L$125:L$141))</f>
        <v>0</v>
      </c>
      <c r="M100" s="67">
        <f>SUMPRODUCT((Calc_Alloc!$K$11:$K$27)*(Input_RAB_SCS!M$125:M$141))</f>
        <v>0</v>
      </c>
      <c r="N100" s="67">
        <f>SUMPRODUCT((Calc_Alloc!$K$11:$K$27)*(Input_RAB_SCS!N$125:N$141))</f>
        <v>0</v>
      </c>
      <c r="O100" s="67">
        <f>SUMPRODUCT((Calc_Alloc!$K$11:$K$27)*(Input_RAB_SCS!O$125:O$141))</f>
        <v>0</v>
      </c>
      <c r="P100" s="67">
        <f>SUMPRODUCT((Calc_Alloc!$K$11:$K$27)*(Input_RAB_SCS!P$125:P$141))</f>
        <v>0</v>
      </c>
      <c r="Q100" s="67">
        <f>SUMPRODUCT((Calc_Alloc!$K$11:$K$27)*(Input_RAB_SCS!Q$125:Q$141))</f>
        <v>-3.4945981020732342</v>
      </c>
      <c r="R100" s="68">
        <f>SUMPRODUCT((Calc_Alloc!$K$11:$K$27)*(Input_RAB_SCS!R$125:R$141))</f>
        <v>0</v>
      </c>
      <c r="S100" s="66">
        <f>SUMPRODUCT((Calc_Alloc!$K$11:$K$27)*(Input_RAB_SCS!S$125:S$141))</f>
        <v>0</v>
      </c>
      <c r="T100" s="67">
        <f>SUMPRODUCT((Calc_Alloc!$K$11:$K$27)*(Input_RAB_SCS!T$125:T$141))</f>
        <v>0</v>
      </c>
      <c r="U100" s="67">
        <f>SUMPRODUCT((Calc_Alloc!$K$11:$K$27)*(Input_RAB_SCS!U$125:U$141))</f>
        <v>-1.0225930087984345E-2</v>
      </c>
      <c r="V100" s="67">
        <f>SUMPRODUCT((Calc_Alloc!$K$11:$K$27)*(Input_RAB_SCS!V$125:V$141))</f>
        <v>0</v>
      </c>
      <c r="W100" s="68">
        <f>SUMPRODUCT((Calc_Alloc!$K$11:$K$27)*(Input_RAB_SCS!W$125:W$141))</f>
        <v>0</v>
      </c>
      <c r="X100" s="66">
        <f>SUMPRODUCT((Calc_Alloc!$K$11:$K$27)*(Input_RAB_SCS!X$125:X$141))</f>
        <v>0</v>
      </c>
      <c r="Y100" s="67">
        <f>SUMPRODUCT((Calc_Alloc!$K$11:$K$27)*(Input_RAB_SCS!Y$125:Y$141))</f>
        <v>0</v>
      </c>
      <c r="Z100" s="67">
        <f>SUMPRODUCT((Calc_Alloc!$K$11:$K$27)*(Input_RAB_SCS!Z$125:Z$141))</f>
        <v>0</v>
      </c>
      <c r="AA100" s="67">
        <f>SUMPRODUCT((Calc_Alloc!$K$11:$K$27)*(Input_RAB_SCS!AA$125:AA$141))</f>
        <v>0</v>
      </c>
      <c r="AB100" s="68">
        <f>SUMPRODUCT((Calc_Alloc!$K$11:$K$27)*(Input_RAB_SCS!AB$125:AB$141))</f>
        <v>0</v>
      </c>
    </row>
    <row r="101" spans="1:28" ht="12.3" x14ac:dyDescent="0.35">
      <c r="D101" s="15" t="str">
        <f t="shared" si="34"/>
        <v>Meters</v>
      </c>
      <c r="E101" s="52" t="str">
        <f t="shared" si="34"/>
        <v>Calc_Alloc</v>
      </c>
      <c r="F101" s="52" t="str">
        <f t="shared" si="35"/>
        <v>Dollars</v>
      </c>
      <c r="G101" s="52" t="str">
        <f t="shared" si="36"/>
        <v>Nominal</v>
      </c>
      <c r="H101" s="52" t="str">
        <f t="shared" si="37"/>
        <v>End_year</v>
      </c>
      <c r="J101" s="66">
        <f>SUMPRODUCT((Calc_Alloc!$L$11:$L$27)*(Input_RAB_SCS!J$125:J$141))</f>
        <v>0</v>
      </c>
      <c r="K101" s="67">
        <f>SUMPRODUCT((Calc_Alloc!$L$11:$L$27)*(Input_RAB_SCS!K$125:K$141))</f>
        <v>0</v>
      </c>
      <c r="L101" s="67">
        <f>SUMPRODUCT((Calc_Alloc!$L$11:$L$27)*(Input_RAB_SCS!L$125:L$141))</f>
        <v>0</v>
      </c>
      <c r="M101" s="67">
        <f>SUMPRODUCT((Calc_Alloc!$L$11:$L$27)*(Input_RAB_SCS!M$125:M$141))</f>
        <v>0</v>
      </c>
      <c r="N101" s="67">
        <f>SUMPRODUCT((Calc_Alloc!$L$11:$L$27)*(Input_RAB_SCS!N$125:N$141))</f>
        <v>0</v>
      </c>
      <c r="O101" s="67">
        <f>SUMPRODUCT((Calc_Alloc!$L$11:$L$27)*(Input_RAB_SCS!O$125:O$141))</f>
        <v>0</v>
      </c>
      <c r="P101" s="67">
        <f>SUMPRODUCT((Calc_Alloc!$L$11:$L$27)*(Input_RAB_SCS!P$125:P$141))</f>
        <v>0</v>
      </c>
      <c r="Q101" s="67">
        <f>SUMPRODUCT((Calc_Alloc!$L$11:$L$27)*(Input_RAB_SCS!Q$125:Q$141))</f>
        <v>0</v>
      </c>
      <c r="R101" s="68">
        <f>SUMPRODUCT((Calc_Alloc!$L$11:$L$27)*(Input_RAB_SCS!R$125:R$141))</f>
        <v>0</v>
      </c>
      <c r="S101" s="66">
        <f>SUMPRODUCT((Calc_Alloc!$L$11:$L$27)*(Input_RAB_SCS!S$125:S$141))</f>
        <v>0</v>
      </c>
      <c r="T101" s="67">
        <f>SUMPRODUCT((Calc_Alloc!$L$11:$L$27)*(Input_RAB_SCS!T$125:T$141))</f>
        <v>0</v>
      </c>
      <c r="U101" s="67">
        <f>SUMPRODUCT((Calc_Alloc!$L$11:$L$27)*(Input_RAB_SCS!U$125:U$141))</f>
        <v>0</v>
      </c>
      <c r="V101" s="67">
        <f>SUMPRODUCT((Calc_Alloc!$L$11:$L$27)*(Input_RAB_SCS!V$125:V$141))</f>
        <v>0</v>
      </c>
      <c r="W101" s="68">
        <f>SUMPRODUCT((Calc_Alloc!$L$11:$L$27)*(Input_RAB_SCS!W$125:W$141))</f>
        <v>0</v>
      </c>
      <c r="X101" s="66">
        <f>SUMPRODUCT((Calc_Alloc!$L$11:$L$27)*(Input_RAB_SCS!X$125:X$141))</f>
        <v>0</v>
      </c>
      <c r="Y101" s="67">
        <f>SUMPRODUCT((Calc_Alloc!$L$11:$L$27)*(Input_RAB_SCS!Y$125:Y$141))</f>
        <v>0</v>
      </c>
      <c r="Z101" s="67">
        <f>SUMPRODUCT((Calc_Alloc!$L$11:$L$27)*(Input_RAB_SCS!Z$125:Z$141))</f>
        <v>0</v>
      </c>
      <c r="AA101" s="67">
        <f>SUMPRODUCT((Calc_Alloc!$L$11:$L$27)*(Input_RAB_SCS!AA$125:AA$141))</f>
        <v>0</v>
      </c>
      <c r="AB101" s="68">
        <f>SUMPRODUCT((Calc_Alloc!$L$11:$L$27)*(Input_RAB_SCS!AB$125:AB$141))</f>
        <v>0</v>
      </c>
    </row>
    <row r="102" spans="1:28" ht="12.3" x14ac:dyDescent="0.35">
      <c r="D102" s="15" t="str">
        <f t="shared" si="34"/>
        <v>“Other” asset items with long lives</v>
      </c>
      <c r="E102" s="52" t="str">
        <f t="shared" si="34"/>
        <v>Calc_Alloc</v>
      </c>
      <c r="F102" s="52" t="str">
        <f t="shared" si="35"/>
        <v>Dollars</v>
      </c>
      <c r="G102" s="52" t="str">
        <f t="shared" si="36"/>
        <v>Nominal</v>
      </c>
      <c r="H102" s="52" t="str">
        <f t="shared" si="37"/>
        <v>End_year</v>
      </c>
      <c r="J102" s="66">
        <f>SUMPRODUCT((Calc_Alloc!$M$11:$M$27)*(Input_RAB_SCS!J$125:J$141))</f>
        <v>0</v>
      </c>
      <c r="K102" s="67">
        <f>SUMPRODUCT((Calc_Alloc!$M$11:$M$27)*(Input_RAB_SCS!K$125:K$141))</f>
        <v>0</v>
      </c>
      <c r="L102" s="67">
        <f>SUMPRODUCT((Calc_Alloc!$M$11:$M$27)*(Input_RAB_SCS!L$125:L$141))</f>
        <v>0</v>
      </c>
      <c r="M102" s="67">
        <f>SUMPRODUCT((Calc_Alloc!$M$11:$M$27)*(Input_RAB_SCS!M$125:M$141))</f>
        <v>0</v>
      </c>
      <c r="N102" s="67">
        <f>SUMPRODUCT((Calc_Alloc!$M$11:$M$27)*(Input_RAB_SCS!N$125:N$141))</f>
        <v>0</v>
      </c>
      <c r="O102" s="67">
        <f>SUMPRODUCT((Calc_Alloc!$M$11:$M$27)*(Input_RAB_SCS!O$125:O$141))</f>
        <v>0</v>
      </c>
      <c r="P102" s="67">
        <f>SUMPRODUCT((Calc_Alloc!$M$11:$M$27)*(Input_RAB_SCS!P$125:P$141))</f>
        <v>0</v>
      </c>
      <c r="Q102" s="67">
        <f>SUMPRODUCT((Calc_Alloc!$M$11:$M$27)*(Input_RAB_SCS!Q$125:Q$141))</f>
        <v>0</v>
      </c>
      <c r="R102" s="68">
        <f>SUMPRODUCT((Calc_Alloc!$M$11:$M$27)*(Input_RAB_SCS!R$125:R$141))</f>
        <v>0</v>
      </c>
      <c r="S102" s="66">
        <f>SUMPRODUCT((Calc_Alloc!$M$11:$M$27)*(Input_RAB_SCS!S$125:S$141))</f>
        <v>0</v>
      </c>
      <c r="T102" s="67">
        <f>SUMPRODUCT((Calc_Alloc!$M$11:$M$27)*(Input_RAB_SCS!T$125:T$141))</f>
        <v>-9.0687229355076848E-3</v>
      </c>
      <c r="U102" s="67">
        <f>SUMPRODUCT((Calc_Alloc!$M$11:$M$27)*(Input_RAB_SCS!U$125:U$141))</f>
        <v>0</v>
      </c>
      <c r="V102" s="67">
        <f>SUMPRODUCT((Calc_Alloc!$M$11:$M$27)*(Input_RAB_SCS!V$125:V$141))</f>
        <v>0</v>
      </c>
      <c r="W102" s="68">
        <f>SUMPRODUCT((Calc_Alloc!$M$11:$M$27)*(Input_RAB_SCS!W$125:W$141))</f>
        <v>0</v>
      </c>
      <c r="X102" s="66">
        <f>SUMPRODUCT((Calc_Alloc!$M$11:$M$27)*(Input_RAB_SCS!X$125:X$141))</f>
        <v>0</v>
      </c>
      <c r="Y102" s="67">
        <f>SUMPRODUCT((Calc_Alloc!$M$11:$M$27)*(Input_RAB_SCS!Y$125:Y$141))</f>
        <v>0</v>
      </c>
      <c r="Z102" s="67">
        <f>SUMPRODUCT((Calc_Alloc!$M$11:$M$27)*(Input_RAB_SCS!Z$125:Z$141))</f>
        <v>0</v>
      </c>
      <c r="AA102" s="67">
        <f>SUMPRODUCT((Calc_Alloc!$M$11:$M$27)*(Input_RAB_SCS!AA$125:AA$141))</f>
        <v>0</v>
      </c>
      <c r="AB102" s="68">
        <f>SUMPRODUCT((Calc_Alloc!$M$11:$M$27)*(Input_RAB_SCS!AB$125:AB$141))</f>
        <v>0</v>
      </c>
    </row>
    <row r="103" spans="1:28" ht="12.3" x14ac:dyDescent="0.35">
      <c r="D103" s="15" t="str">
        <f t="shared" si="34"/>
        <v>“Other” asset items with short lives</v>
      </c>
      <c r="E103" s="52" t="str">
        <f t="shared" si="34"/>
        <v>Calc_Alloc</v>
      </c>
      <c r="F103" s="52" t="str">
        <f t="shared" si="35"/>
        <v>Dollars</v>
      </c>
      <c r="G103" s="52" t="str">
        <f t="shared" si="36"/>
        <v>Nominal</v>
      </c>
      <c r="H103" s="52" t="str">
        <f t="shared" si="37"/>
        <v>End_year</v>
      </c>
      <c r="J103" s="66">
        <f>SUMPRODUCT((Calc_Alloc!$N$11:$N$27)*(Input_RAB_SCS!J$125:J$141))</f>
        <v>0</v>
      </c>
      <c r="K103" s="67">
        <f>SUMPRODUCT((Calc_Alloc!$N$11:$N$27)*(Input_RAB_SCS!K$125:K$141))</f>
        <v>0</v>
      </c>
      <c r="L103" s="67">
        <f>SUMPRODUCT((Calc_Alloc!$N$11:$N$27)*(Input_RAB_SCS!L$125:L$141))</f>
        <v>0</v>
      </c>
      <c r="M103" s="67">
        <f>SUMPRODUCT((Calc_Alloc!$N$11:$N$27)*(Input_RAB_SCS!M$125:M$141))</f>
        <v>0</v>
      </c>
      <c r="N103" s="67">
        <f>SUMPRODUCT((Calc_Alloc!$N$11:$N$27)*(Input_RAB_SCS!N$125:N$141))</f>
        <v>0</v>
      </c>
      <c r="O103" s="67">
        <f>SUMPRODUCT((Calc_Alloc!$N$11:$N$27)*(Input_RAB_SCS!O$125:O$141))</f>
        <v>0</v>
      </c>
      <c r="P103" s="67">
        <f>SUMPRODUCT((Calc_Alloc!$N$11:$N$27)*(Input_RAB_SCS!P$125:P$141))</f>
        <v>0</v>
      </c>
      <c r="Q103" s="67">
        <f>SUMPRODUCT((Calc_Alloc!$N$11:$N$27)*(Input_RAB_SCS!Q$125:Q$141))</f>
        <v>-6.9320099454478904E-3</v>
      </c>
      <c r="R103" s="68">
        <f>SUMPRODUCT((Calc_Alloc!$N$11:$N$27)*(Input_RAB_SCS!R$125:R$141))</f>
        <v>0</v>
      </c>
      <c r="S103" s="66">
        <f>SUMPRODUCT((Calc_Alloc!$N$11:$N$27)*(Input_RAB_SCS!S$125:S$141))</f>
        <v>-2.7865659489757339E-3</v>
      </c>
      <c r="T103" s="67">
        <f>SUMPRODUCT((Calc_Alloc!$N$11:$N$27)*(Input_RAB_SCS!T$125:T$141))</f>
        <v>-2.2311138784566007E-3</v>
      </c>
      <c r="U103" s="67">
        <f>SUMPRODUCT((Calc_Alloc!$N$11:$N$27)*(Input_RAB_SCS!U$125:U$141))</f>
        <v>-4.8858675885982156E-3</v>
      </c>
      <c r="V103" s="67">
        <f>SUMPRODUCT((Calc_Alloc!$N$11:$N$27)*(Input_RAB_SCS!V$125:V$141))</f>
        <v>0</v>
      </c>
      <c r="W103" s="68">
        <f>SUMPRODUCT((Calc_Alloc!$N$11:$N$27)*(Input_RAB_SCS!W$125:W$141))</f>
        <v>0</v>
      </c>
      <c r="X103" s="66">
        <f>SUMPRODUCT((Calc_Alloc!$N$11:$N$27)*(Input_RAB_SCS!X$125:X$141))</f>
        <v>0</v>
      </c>
      <c r="Y103" s="67">
        <f>SUMPRODUCT((Calc_Alloc!$N$11:$N$27)*(Input_RAB_SCS!Y$125:Y$141))</f>
        <v>0</v>
      </c>
      <c r="Z103" s="67">
        <f>SUMPRODUCT((Calc_Alloc!$N$11:$N$27)*(Input_RAB_SCS!Z$125:Z$141))</f>
        <v>0</v>
      </c>
      <c r="AA103" s="67">
        <f>SUMPRODUCT((Calc_Alloc!$N$11:$N$27)*(Input_RAB_SCS!AA$125:AA$141))</f>
        <v>0</v>
      </c>
      <c r="AB103" s="68">
        <f>SUMPRODUCT((Calc_Alloc!$N$11:$N$27)*(Input_RAB_SCS!AB$125:AB$141))</f>
        <v>0</v>
      </c>
    </row>
    <row r="104" spans="1:28" x14ac:dyDescent="0.35">
      <c r="J104" s="56"/>
      <c r="K104" s="57"/>
      <c r="L104" s="57"/>
      <c r="M104" s="57"/>
      <c r="N104" s="57"/>
      <c r="O104" s="57"/>
      <c r="P104" s="57"/>
      <c r="Q104" s="57"/>
      <c r="R104" s="58"/>
      <c r="S104" s="56"/>
      <c r="T104" s="57"/>
      <c r="U104" s="57"/>
      <c r="V104" s="57"/>
      <c r="W104" s="58"/>
      <c r="X104" s="56"/>
      <c r="Y104" s="57"/>
      <c r="Z104" s="57"/>
      <c r="AA104" s="57"/>
      <c r="AB104" s="58"/>
    </row>
    <row r="105" spans="1:28" ht="12.3" x14ac:dyDescent="0.35">
      <c r="D105" s="51" t="str">
        <f>"Total "&amp;D92</f>
        <v>Total EB RIN Categories</v>
      </c>
      <c r="E105" s="47" t="s">
        <v>111</v>
      </c>
      <c r="F105" s="47" t="str">
        <f>F94</f>
        <v>Dollars</v>
      </c>
      <c r="G105" s="47" t="str">
        <f>G94</f>
        <v>Nominal</v>
      </c>
      <c r="H105" s="47" t="str">
        <f>H94</f>
        <v>End_year</v>
      </c>
      <c r="J105" s="62">
        <f t="shared" ref="J105:AB105" si="38">SUM(J94:J103)</f>
        <v>0</v>
      </c>
      <c r="K105" s="46">
        <f t="shared" si="38"/>
        <v>0</v>
      </c>
      <c r="L105" s="46">
        <f t="shared" si="38"/>
        <v>0</v>
      </c>
      <c r="M105" s="46">
        <f t="shared" si="38"/>
        <v>0</v>
      </c>
      <c r="N105" s="46">
        <f t="shared" si="38"/>
        <v>-0.18259695449911931</v>
      </c>
      <c r="O105" s="46">
        <f t="shared" si="38"/>
        <v>-0.83882153558966255</v>
      </c>
      <c r="P105" s="46">
        <f t="shared" si="38"/>
        <v>-0.674785955095627</v>
      </c>
      <c r="Q105" s="46">
        <f t="shared" si="38"/>
        <v>-4.9531276184725597</v>
      </c>
      <c r="R105" s="63">
        <f t="shared" si="38"/>
        <v>-0.84233683406233317</v>
      </c>
      <c r="S105" s="62">
        <f t="shared" si="38"/>
        <v>-0.11809239476111207</v>
      </c>
      <c r="T105" s="46">
        <f t="shared" si="38"/>
        <v>-0.11962287903959043</v>
      </c>
      <c r="U105" s="46">
        <f t="shared" si="38"/>
        <v>-0.29764843767930005</v>
      </c>
      <c r="V105" s="46">
        <f t="shared" si="38"/>
        <v>0</v>
      </c>
      <c r="W105" s="63">
        <f t="shared" si="38"/>
        <v>0</v>
      </c>
      <c r="X105" s="62">
        <f t="shared" si="38"/>
        <v>0</v>
      </c>
      <c r="Y105" s="46">
        <f t="shared" si="38"/>
        <v>0</v>
      </c>
      <c r="Z105" s="46">
        <f t="shared" si="38"/>
        <v>0</v>
      </c>
      <c r="AA105" s="46">
        <f t="shared" si="38"/>
        <v>0</v>
      </c>
      <c r="AB105" s="63">
        <f t="shared" si="38"/>
        <v>0</v>
      </c>
    </row>
    <row r="106" spans="1:28" s="6" customFormat="1" ht="11.25" customHeight="1" x14ac:dyDescent="0.35"/>
    <row r="107" spans="1:28" s="6" customFormat="1" ht="11.25" customHeight="1" x14ac:dyDescent="0.35">
      <c r="A107" s="49">
        <f>IF(SUM($J107:$AB107)&lt;&gt;0,1,0)</f>
        <v>0</v>
      </c>
      <c r="D107" s="15" t="s">
        <v>114</v>
      </c>
      <c r="J107" s="70">
        <f>IF(ROUND(J105-Input_RAB_SCS!J$143,5)&lt;&gt;0,1,0)</f>
        <v>0</v>
      </c>
      <c r="K107" s="70">
        <f>IF(ROUND(K105-Input_RAB_SCS!K$143,5)&lt;&gt;0,1,0)</f>
        <v>0</v>
      </c>
      <c r="L107" s="70">
        <f>IF(ROUND(L105-Input_RAB_SCS!L$143,5)&lt;&gt;0,1,0)</f>
        <v>0</v>
      </c>
      <c r="M107" s="70">
        <f>IF(ROUND(M105-Input_RAB_SCS!M$143,5)&lt;&gt;0,1,0)</f>
        <v>0</v>
      </c>
      <c r="N107" s="70">
        <f>IF(ROUND(N105-Input_RAB_SCS!N$143,5)&lt;&gt;0,1,0)</f>
        <v>0</v>
      </c>
      <c r="O107" s="70">
        <f>IF(ROUND(O105-Input_RAB_SCS!O$143,5)&lt;&gt;0,1,0)</f>
        <v>0</v>
      </c>
      <c r="P107" s="70">
        <f>IF(ROUND(P105-Input_RAB_SCS!P$143,5)&lt;&gt;0,1,0)</f>
        <v>0</v>
      </c>
      <c r="Q107" s="70">
        <f>IF(ROUND(Q105-Input_RAB_SCS!Q$143,5)&lt;&gt;0,1,0)</f>
        <v>0</v>
      </c>
      <c r="R107" s="70">
        <f>IF(ROUND(R105-Input_RAB_SCS!R$143,5)&lt;&gt;0,1,0)</f>
        <v>0</v>
      </c>
      <c r="S107" s="70">
        <f>IF(ROUND(S105-Input_RAB_SCS!S$143,5)&lt;&gt;0,1,0)</f>
        <v>0</v>
      </c>
      <c r="T107" s="70">
        <f>IF(ROUND(T105-Input_RAB_SCS!T$143,5)&lt;&gt;0,1,0)</f>
        <v>0</v>
      </c>
      <c r="U107" s="70">
        <f>IF(ROUND(U105-Input_RAB_SCS!U$143,5)&lt;&gt;0,1,0)</f>
        <v>0</v>
      </c>
      <c r="V107" s="70">
        <f>IF(ROUND(V105-Input_RAB_SCS!V$143,5)&lt;&gt;0,1,0)</f>
        <v>0</v>
      </c>
      <c r="W107" s="70">
        <f>IF(ROUND(W105-Input_RAB_SCS!W$143,5)&lt;&gt;0,1,0)</f>
        <v>0</v>
      </c>
      <c r="X107" s="70">
        <f>IF(ROUND(X105-Input_RAB_SCS!X$143,5)&lt;&gt;0,1,0)</f>
        <v>0</v>
      </c>
      <c r="Y107" s="70">
        <f>IF(ROUND(Y105-Input_RAB_SCS!Y$143,5)&lt;&gt;0,1,0)</f>
        <v>0</v>
      </c>
      <c r="Z107" s="70">
        <f>IF(ROUND(Z105-Input_RAB_SCS!Z$143,5)&lt;&gt;0,1,0)</f>
        <v>0</v>
      </c>
      <c r="AA107" s="70">
        <f>IF(ROUND(AA105-Input_RAB_SCS!AA$143,5)&lt;&gt;0,1,0)</f>
        <v>0</v>
      </c>
      <c r="AB107" s="70">
        <f>IF(ROUND(AB105-Input_RAB_SCS!AB$143,5)&lt;&gt;0,1,0)</f>
        <v>0</v>
      </c>
    </row>
    <row r="109" spans="1:28" s="13" customFormat="1" ht="14.1" x14ac:dyDescent="0.35">
      <c r="C109" s="13" t="s">
        <v>176</v>
      </c>
    </row>
    <row r="110" spans="1:28" s="6" customFormat="1" ht="11.25" customHeight="1" x14ac:dyDescent="0.35"/>
    <row r="111" spans="1:28" ht="12.3" x14ac:dyDescent="0.35">
      <c r="D111" s="50" t="str">
        <f>D$16</f>
        <v>EB RIN Categories</v>
      </c>
      <c r="E111" s="45" t="str">
        <f>Lookup!E$20</f>
        <v>Source</v>
      </c>
      <c r="F111" s="45" t="str">
        <f>Lookup!F$20</f>
        <v>Unit</v>
      </c>
      <c r="G111" s="45" t="str">
        <f>Lookup!G$20</f>
        <v>Basis</v>
      </c>
      <c r="H111" s="45" t="str">
        <f>Lookup!H$20</f>
        <v>Timing</v>
      </c>
      <c r="J111" s="54" t="str">
        <f t="shared" ref="J111:AB111" si="39">J$10</f>
        <v>RY06</v>
      </c>
      <c r="K111" s="45" t="str">
        <f t="shared" si="39"/>
        <v>RY07</v>
      </c>
      <c r="L111" s="45" t="str">
        <f t="shared" si="39"/>
        <v>RY08</v>
      </c>
      <c r="M111" s="45" t="str">
        <f t="shared" si="39"/>
        <v>RY09</v>
      </c>
      <c r="N111" s="45" t="str">
        <f t="shared" si="39"/>
        <v>RY10</v>
      </c>
      <c r="O111" s="45" t="str">
        <f t="shared" si="39"/>
        <v>RY11</v>
      </c>
      <c r="P111" s="45" t="str">
        <f t="shared" si="39"/>
        <v>RY12</v>
      </c>
      <c r="Q111" s="45" t="str">
        <f t="shared" si="39"/>
        <v>RY13</v>
      </c>
      <c r="R111" s="55" t="str">
        <f t="shared" si="39"/>
        <v>RY14</v>
      </c>
      <c r="S111" s="54" t="str">
        <f t="shared" si="39"/>
        <v>RY15</v>
      </c>
      <c r="T111" s="45" t="str">
        <f t="shared" si="39"/>
        <v>RY16</v>
      </c>
      <c r="U111" s="45" t="str">
        <f t="shared" si="39"/>
        <v>RY17</v>
      </c>
      <c r="V111" s="45" t="str">
        <f t="shared" si="39"/>
        <v>RY18</v>
      </c>
      <c r="W111" s="55" t="str">
        <f t="shared" si="39"/>
        <v>RY19</v>
      </c>
      <c r="X111" s="54" t="str">
        <f t="shared" si="39"/>
        <v>RY20</v>
      </c>
      <c r="Y111" s="45" t="str">
        <f t="shared" si="39"/>
        <v>RY21</v>
      </c>
      <c r="Z111" s="45" t="str">
        <f t="shared" si="39"/>
        <v>RY22</v>
      </c>
      <c r="AA111" s="45" t="str">
        <f t="shared" si="39"/>
        <v>RY23</v>
      </c>
      <c r="AB111" s="55" t="str">
        <f t="shared" si="39"/>
        <v>RY24</v>
      </c>
    </row>
    <row r="112" spans="1:28" x14ac:dyDescent="0.35">
      <c r="J112" s="56"/>
      <c r="K112" s="57"/>
      <c r="L112" s="57"/>
      <c r="M112" s="57"/>
      <c r="N112" s="57"/>
      <c r="O112" s="57"/>
      <c r="P112" s="57"/>
      <c r="Q112" s="57"/>
      <c r="R112" s="58"/>
      <c r="S112" s="56"/>
      <c r="T112" s="57"/>
      <c r="U112" s="57"/>
      <c r="V112" s="57"/>
      <c r="W112" s="58"/>
      <c r="X112" s="56"/>
      <c r="Y112" s="57"/>
      <c r="Z112" s="57"/>
      <c r="AA112" s="57"/>
      <c r="AB112" s="58"/>
    </row>
    <row r="113" spans="1:28" ht="12.3" x14ac:dyDescent="0.35">
      <c r="D113" s="15" t="str">
        <f t="shared" ref="D113:D122" si="40">D18</f>
        <v>Overhead network assets less than 33kV</v>
      </c>
      <c r="E113" s="52" t="s">
        <v>111</v>
      </c>
      <c r="F113" s="52" t="str">
        <f t="shared" ref="F113:F122" si="41">Dollars</f>
        <v>Dollars</v>
      </c>
      <c r="G113" s="52" t="str">
        <f t="shared" ref="G113:G122" si="42">Nominal</f>
        <v>Nominal</v>
      </c>
      <c r="H113" s="52" t="str">
        <f t="shared" ref="H113:H122" si="43">End_year</f>
        <v>End_year</v>
      </c>
      <c r="J113" s="66">
        <f t="shared" ref="J113:AB113" si="44">J18+J37+J56+J75+J94</f>
        <v>39.530378195940614</v>
      </c>
      <c r="K113" s="67">
        <f t="shared" si="44"/>
        <v>42.859401197492588</v>
      </c>
      <c r="L113" s="67">
        <f t="shared" si="44"/>
        <v>47.321570244019213</v>
      </c>
      <c r="M113" s="67">
        <f t="shared" si="44"/>
        <v>50.670476566610887</v>
      </c>
      <c r="N113" s="67">
        <f t="shared" si="44"/>
        <v>54.233171117951258</v>
      </c>
      <c r="O113" s="67">
        <f t="shared" si="44"/>
        <v>58.023453706653321</v>
      </c>
      <c r="P113" s="67">
        <f t="shared" si="44"/>
        <v>61.534804740488809</v>
      </c>
      <c r="Q113" s="67">
        <f t="shared" si="44"/>
        <v>68.950202217090307</v>
      </c>
      <c r="R113" s="68">
        <f t="shared" si="44"/>
        <v>73.847985614290039</v>
      </c>
      <c r="S113" s="66">
        <f t="shared" si="44"/>
        <v>77.13450057099179</v>
      </c>
      <c r="T113" s="67">
        <f t="shared" si="44"/>
        <v>78.803421770456936</v>
      </c>
      <c r="U113" s="67">
        <f t="shared" si="44"/>
        <v>80.810394707005656</v>
      </c>
      <c r="V113" s="67">
        <f t="shared" si="44"/>
        <v>81.312375627561508</v>
      </c>
      <c r="W113" s="68">
        <f t="shared" si="44"/>
        <v>82.739342555385235</v>
      </c>
      <c r="X113" s="66">
        <f t="shared" si="44"/>
        <v>87.258942114446597</v>
      </c>
      <c r="Y113" s="67">
        <f t="shared" si="44"/>
        <v>93.993061593803645</v>
      </c>
      <c r="Z113" s="67">
        <f t="shared" si="44"/>
        <v>98.902910423450351</v>
      </c>
      <c r="AA113" s="67">
        <f t="shared" si="44"/>
        <v>103.17149675663056</v>
      </c>
      <c r="AB113" s="68">
        <f t="shared" si="44"/>
        <v>108.1593934928427</v>
      </c>
    </row>
    <row r="114" spans="1:28" ht="12.3" x14ac:dyDescent="0.35">
      <c r="D114" s="15" t="str">
        <f t="shared" si="40"/>
        <v>Underground network assets less than 33kV</v>
      </c>
      <c r="E114" s="52" t="s">
        <v>111</v>
      </c>
      <c r="F114" s="52" t="str">
        <f t="shared" si="41"/>
        <v>Dollars</v>
      </c>
      <c r="G114" s="52" t="str">
        <f t="shared" si="42"/>
        <v>Nominal</v>
      </c>
      <c r="H114" s="52" t="str">
        <f t="shared" si="43"/>
        <v>End_year</v>
      </c>
      <c r="J114" s="66">
        <f t="shared" ref="J114:AB114" si="45">J19+J38+J57+J76+J95</f>
        <v>81.885727290221723</v>
      </c>
      <c r="K114" s="67">
        <f t="shared" si="45"/>
        <v>88.781676931826823</v>
      </c>
      <c r="L114" s="67">
        <f t="shared" si="45"/>
        <v>98.024897123186577</v>
      </c>
      <c r="M114" s="67">
        <f t="shared" si="45"/>
        <v>104.96203432638399</v>
      </c>
      <c r="N114" s="67">
        <f t="shared" si="45"/>
        <v>112.34202599135423</v>
      </c>
      <c r="O114" s="67">
        <f t="shared" si="45"/>
        <v>120.19345793314777</v>
      </c>
      <c r="P114" s="67">
        <f t="shared" si="45"/>
        <v>127.46709352476172</v>
      </c>
      <c r="Q114" s="67">
        <f t="shared" si="45"/>
        <v>142.82781904700283</v>
      </c>
      <c r="R114" s="68">
        <f t="shared" si="45"/>
        <v>152.97339838789335</v>
      </c>
      <c r="S114" s="66">
        <f t="shared" si="45"/>
        <v>159.78115642336564</v>
      </c>
      <c r="T114" s="67">
        <f t="shared" si="45"/>
        <v>163.23812353288056</v>
      </c>
      <c r="U114" s="67">
        <f t="shared" si="45"/>
        <v>167.39536014863893</v>
      </c>
      <c r="V114" s="67">
        <f t="shared" si="45"/>
        <v>168.43518376723807</v>
      </c>
      <c r="W114" s="68">
        <f t="shared" si="45"/>
        <v>171.39107892556342</v>
      </c>
      <c r="X114" s="66">
        <f t="shared" si="45"/>
        <v>180.75313316218052</v>
      </c>
      <c r="Y114" s="67">
        <f t="shared" si="45"/>
        <v>194.70259382863824</v>
      </c>
      <c r="Z114" s="67">
        <f t="shared" si="45"/>
        <v>204.87314883887046</v>
      </c>
      <c r="AA114" s="67">
        <f t="shared" si="45"/>
        <v>213.7153557138825</v>
      </c>
      <c r="AB114" s="68">
        <f t="shared" si="45"/>
        <v>224.04758585131071</v>
      </c>
    </row>
    <row r="115" spans="1:28" ht="12.3" x14ac:dyDescent="0.35">
      <c r="D115" s="15" t="str">
        <f t="shared" si="40"/>
        <v>Distribution substations and transformers</v>
      </c>
      <c r="E115" s="52" t="s">
        <v>111</v>
      </c>
      <c r="F115" s="52" t="str">
        <f t="shared" si="41"/>
        <v>Dollars</v>
      </c>
      <c r="G115" s="52" t="str">
        <f t="shared" si="42"/>
        <v>Nominal</v>
      </c>
      <c r="H115" s="52" t="str">
        <f t="shared" si="43"/>
        <v>End_year</v>
      </c>
      <c r="J115" s="66">
        <f t="shared" ref="J115:AB115" si="46">J20+J39+J58+J77+J96</f>
        <v>53.641318105318</v>
      </c>
      <c r="K115" s="67">
        <f t="shared" si="46"/>
        <v>52.126765758952928</v>
      </c>
      <c r="L115" s="67">
        <f t="shared" si="46"/>
        <v>58.249076507805782</v>
      </c>
      <c r="M115" s="67">
        <f t="shared" si="46"/>
        <v>66.514098662941777</v>
      </c>
      <c r="N115" s="67">
        <f t="shared" si="46"/>
        <v>78.303384492724888</v>
      </c>
      <c r="O115" s="67">
        <f t="shared" si="46"/>
        <v>89.548152584566452</v>
      </c>
      <c r="P115" s="67">
        <f t="shared" si="46"/>
        <v>91.925418321244251</v>
      </c>
      <c r="Q115" s="67">
        <f t="shared" si="46"/>
        <v>94.751991446455591</v>
      </c>
      <c r="R115" s="68">
        <f t="shared" si="46"/>
        <v>97.873568916674429</v>
      </c>
      <c r="S115" s="66">
        <f t="shared" si="46"/>
        <v>108.4150511046913</v>
      </c>
      <c r="T115" s="67">
        <f t="shared" si="46"/>
        <v>117.1357853660836</v>
      </c>
      <c r="U115" s="67">
        <f t="shared" si="46"/>
        <v>123.77965850981232</v>
      </c>
      <c r="V115" s="67">
        <f t="shared" si="46"/>
        <v>128.54129185851647</v>
      </c>
      <c r="W115" s="68">
        <f t="shared" si="46"/>
        <v>134.17163067681363</v>
      </c>
      <c r="X115" s="66">
        <f t="shared" si="46"/>
        <v>149.37347095955261</v>
      </c>
      <c r="Y115" s="67">
        <f t="shared" si="46"/>
        <v>156.26013837692975</v>
      </c>
      <c r="Z115" s="67">
        <f t="shared" si="46"/>
        <v>162.9073927741035</v>
      </c>
      <c r="AA115" s="67">
        <f t="shared" si="46"/>
        <v>170.92977789652599</v>
      </c>
      <c r="AB115" s="68">
        <f t="shared" si="46"/>
        <v>179.57299905035427</v>
      </c>
    </row>
    <row r="116" spans="1:28" ht="12.3" x14ac:dyDescent="0.35">
      <c r="D116" s="15" t="str">
        <f t="shared" si="40"/>
        <v>Overhead network assets 33kV and above</v>
      </c>
      <c r="E116" s="52" t="s">
        <v>111</v>
      </c>
      <c r="F116" s="52" t="str">
        <f t="shared" si="41"/>
        <v>Dollars</v>
      </c>
      <c r="G116" s="52" t="str">
        <f t="shared" si="42"/>
        <v>Nominal</v>
      </c>
      <c r="H116" s="52" t="str">
        <f t="shared" si="43"/>
        <v>End_year</v>
      </c>
      <c r="J116" s="66">
        <f t="shared" ref="J116:AB116" si="47">J21+J40+J59+J78+J97</f>
        <v>70.740199656719199</v>
      </c>
      <c r="K116" s="67">
        <f t="shared" si="47"/>
        <v>75.612645019104377</v>
      </c>
      <c r="L116" s="67">
        <f t="shared" si="47"/>
        <v>76.897616946939394</v>
      </c>
      <c r="M116" s="67">
        <f t="shared" si="47"/>
        <v>76.242035307053598</v>
      </c>
      <c r="N116" s="67">
        <f t="shared" si="47"/>
        <v>86.989103942939948</v>
      </c>
      <c r="O116" s="67">
        <f t="shared" si="47"/>
        <v>97.554269173773747</v>
      </c>
      <c r="P116" s="67">
        <f t="shared" si="47"/>
        <v>101.94955559821641</v>
      </c>
      <c r="Q116" s="67">
        <f t="shared" si="47"/>
        <v>111.32195664985137</v>
      </c>
      <c r="R116" s="68">
        <f t="shared" si="47"/>
        <v>112.69114532304692</v>
      </c>
      <c r="S116" s="66">
        <f t="shared" si="47"/>
        <v>112.64394026495373</v>
      </c>
      <c r="T116" s="67">
        <f t="shared" si="47"/>
        <v>114.13606717696348</v>
      </c>
      <c r="U116" s="67">
        <f t="shared" si="47"/>
        <v>116.39551161419392</v>
      </c>
      <c r="V116" s="67">
        <f t="shared" si="47"/>
        <v>120.67292872717621</v>
      </c>
      <c r="W116" s="68">
        <f t="shared" si="47"/>
        <v>119.29711265608444</v>
      </c>
      <c r="X116" s="66">
        <f t="shared" si="47"/>
        <v>120.91444021703823</v>
      </c>
      <c r="Y116" s="67">
        <f t="shared" si="47"/>
        <v>121.35502625510428</v>
      </c>
      <c r="Z116" s="67">
        <f t="shared" si="47"/>
        <v>121.65446115412682</v>
      </c>
      <c r="AA116" s="67">
        <f t="shared" si="47"/>
        <v>122.01797211602037</v>
      </c>
      <c r="AB116" s="68">
        <f t="shared" si="47"/>
        <v>122.31828967673989</v>
      </c>
    </row>
    <row r="117" spans="1:28" ht="12.3" x14ac:dyDescent="0.35">
      <c r="D117" s="15" t="str">
        <f t="shared" si="40"/>
        <v>Underground network assets 33kV and above</v>
      </c>
      <c r="E117" s="52" t="s">
        <v>111</v>
      </c>
      <c r="F117" s="52" t="str">
        <f t="shared" si="41"/>
        <v>Dollars</v>
      </c>
      <c r="G117" s="52" t="str">
        <f t="shared" si="42"/>
        <v>Nominal</v>
      </c>
      <c r="H117" s="52" t="str">
        <f t="shared" si="43"/>
        <v>End_year</v>
      </c>
      <c r="J117" s="66">
        <f t="shared" ref="J117:AB117" si="48">J22+J41+J60+J79+J98</f>
        <v>35.397401764715589</v>
      </c>
      <c r="K117" s="67">
        <f t="shared" si="48"/>
        <v>37.835504949410108</v>
      </c>
      <c r="L117" s="67">
        <f t="shared" si="48"/>
        <v>38.478486843816412</v>
      </c>
      <c r="M117" s="67">
        <f t="shared" si="48"/>
        <v>38.150443004398092</v>
      </c>
      <c r="N117" s="67">
        <f t="shared" si="48"/>
        <v>43.528125116457396</v>
      </c>
      <c r="O117" s="67">
        <f t="shared" si="48"/>
        <v>48.814785320997913</v>
      </c>
      <c r="P117" s="67">
        <f t="shared" si="48"/>
        <v>51.014124878872899</v>
      </c>
      <c r="Q117" s="67">
        <f t="shared" si="48"/>
        <v>55.703942650588139</v>
      </c>
      <c r="R117" s="68">
        <f t="shared" si="48"/>
        <v>56.389065420837447</v>
      </c>
      <c r="S117" s="66">
        <f t="shared" si="48"/>
        <v>56.365444673161299</v>
      </c>
      <c r="T117" s="67">
        <f t="shared" si="48"/>
        <v>57.11208401040745</v>
      </c>
      <c r="U117" s="67">
        <f t="shared" si="48"/>
        <v>58.242678253819385</v>
      </c>
      <c r="V117" s="67">
        <f t="shared" si="48"/>
        <v>60.383037664709491</v>
      </c>
      <c r="W117" s="68">
        <f t="shared" si="48"/>
        <v>59.694598637690689</v>
      </c>
      <c r="X117" s="66">
        <f t="shared" si="48"/>
        <v>60.503886620168004</v>
      </c>
      <c r="Y117" s="67">
        <f t="shared" si="48"/>
        <v>60.724349681864581</v>
      </c>
      <c r="Z117" s="67">
        <f t="shared" si="48"/>
        <v>60.874182697243562</v>
      </c>
      <c r="AA117" s="67">
        <f t="shared" si="48"/>
        <v>61.056078473993779</v>
      </c>
      <c r="AB117" s="68">
        <f t="shared" si="48"/>
        <v>61.206353160881484</v>
      </c>
    </row>
    <row r="118" spans="1:28" ht="12.3" x14ac:dyDescent="0.35">
      <c r="D118" s="15" t="str">
        <f t="shared" si="40"/>
        <v>Zone substations and transformers</v>
      </c>
      <c r="E118" s="52" t="s">
        <v>111</v>
      </c>
      <c r="F118" s="52" t="str">
        <f t="shared" si="41"/>
        <v>Dollars</v>
      </c>
      <c r="G118" s="52" t="str">
        <f t="shared" si="42"/>
        <v>Nominal</v>
      </c>
      <c r="H118" s="52" t="str">
        <f t="shared" si="43"/>
        <v>End_year</v>
      </c>
      <c r="J118" s="66">
        <f t="shared" ref="J118:AB118" si="49">J23+J42+J61+J80+J99</f>
        <v>49.257548154962308</v>
      </c>
      <c r="K118" s="67">
        <f t="shared" si="49"/>
        <v>51.93307559593201</v>
      </c>
      <c r="L118" s="67">
        <f t="shared" si="49"/>
        <v>73.566519243986875</v>
      </c>
      <c r="M118" s="67">
        <f t="shared" si="49"/>
        <v>105.48723246211824</v>
      </c>
      <c r="N118" s="67">
        <f t="shared" si="49"/>
        <v>134.25745022204163</v>
      </c>
      <c r="O118" s="67">
        <f t="shared" si="49"/>
        <v>175.9477180867863</v>
      </c>
      <c r="P118" s="67">
        <f t="shared" si="49"/>
        <v>211.49979112014324</v>
      </c>
      <c r="Q118" s="67">
        <f t="shared" si="49"/>
        <v>264.91040389827987</v>
      </c>
      <c r="R118" s="68">
        <f t="shared" si="49"/>
        <v>314.98760845090567</v>
      </c>
      <c r="S118" s="66">
        <f t="shared" si="49"/>
        <v>334.30781602676626</v>
      </c>
      <c r="T118" s="67">
        <f t="shared" si="49"/>
        <v>344.20334039390258</v>
      </c>
      <c r="U118" s="67">
        <f t="shared" si="49"/>
        <v>344.93919547332405</v>
      </c>
      <c r="V118" s="67">
        <f t="shared" si="49"/>
        <v>341.65083978271218</v>
      </c>
      <c r="W118" s="68">
        <f t="shared" si="49"/>
        <v>341.39149615967801</v>
      </c>
      <c r="X118" s="66">
        <f t="shared" si="49"/>
        <v>332.5534485892818</v>
      </c>
      <c r="Y118" s="67">
        <f t="shared" si="49"/>
        <v>338.83170779216249</v>
      </c>
      <c r="Z118" s="67">
        <f t="shared" si="49"/>
        <v>348.38225451899098</v>
      </c>
      <c r="AA118" s="67">
        <f t="shared" si="49"/>
        <v>357.95320913092814</v>
      </c>
      <c r="AB118" s="68">
        <f t="shared" si="49"/>
        <v>359.15366263962591</v>
      </c>
    </row>
    <row r="119" spans="1:28" ht="12.3" x14ac:dyDescent="0.35">
      <c r="D119" s="15" t="str">
        <f t="shared" si="40"/>
        <v>Easements</v>
      </c>
      <c r="E119" s="52" t="s">
        <v>111</v>
      </c>
      <c r="F119" s="52" t="str">
        <f t="shared" si="41"/>
        <v>Dollars</v>
      </c>
      <c r="G119" s="52" t="str">
        <f t="shared" si="42"/>
        <v>Nominal</v>
      </c>
      <c r="H119" s="52" t="str">
        <f t="shared" si="43"/>
        <v>End_year</v>
      </c>
      <c r="J119" s="66">
        <f t="shared" ref="J119:AB119" si="50">J24+J43+J62+J81+J100</f>
        <v>29.444843897374323</v>
      </c>
      <c r="K119" s="67">
        <f t="shared" si="50"/>
        <v>30.922463155114897</v>
      </c>
      <c r="L119" s="67">
        <f t="shared" si="50"/>
        <v>32.243630749502024</v>
      </c>
      <c r="M119" s="67">
        <f t="shared" si="50"/>
        <v>33.029189859678155</v>
      </c>
      <c r="N119" s="67">
        <f t="shared" si="50"/>
        <v>33.993285131257949</v>
      </c>
      <c r="O119" s="67">
        <f t="shared" si="50"/>
        <v>35.10020933196067</v>
      </c>
      <c r="P119" s="67">
        <f t="shared" si="50"/>
        <v>35.671525048452402</v>
      </c>
      <c r="Q119" s="67">
        <f t="shared" si="50"/>
        <v>33.024999999999999</v>
      </c>
      <c r="R119" s="68">
        <f t="shared" si="50"/>
        <v>34.47125290902666</v>
      </c>
      <c r="S119" s="66">
        <f t="shared" si="50"/>
        <v>34.929125338558322</v>
      </c>
      <c r="T119" s="67">
        <f t="shared" si="50"/>
        <v>35.386997768089991</v>
      </c>
      <c r="U119" s="67">
        <f t="shared" si="50"/>
        <v>36.128882714951189</v>
      </c>
      <c r="V119" s="67">
        <f t="shared" si="50"/>
        <v>37.004962835958267</v>
      </c>
      <c r="W119" s="68">
        <f t="shared" si="50"/>
        <v>47.356059964048079</v>
      </c>
      <c r="X119" s="66">
        <f t="shared" si="50"/>
        <v>47.478966373746196</v>
      </c>
      <c r="Y119" s="67">
        <f t="shared" si="50"/>
        <v>48.630271797004951</v>
      </c>
      <c r="Z119" s="67">
        <f t="shared" si="50"/>
        <v>49.809494933703185</v>
      </c>
      <c r="AA119" s="67">
        <f t="shared" si="50"/>
        <v>51.017312753399054</v>
      </c>
      <c r="AB119" s="68">
        <f t="shared" si="50"/>
        <v>52.254418641313983</v>
      </c>
    </row>
    <row r="120" spans="1:28" ht="12.3" x14ac:dyDescent="0.35">
      <c r="D120" s="15" t="str">
        <f t="shared" si="40"/>
        <v>Meters</v>
      </c>
      <c r="E120" s="52" t="s">
        <v>111</v>
      </c>
      <c r="F120" s="52" t="str">
        <f t="shared" si="41"/>
        <v>Dollars</v>
      </c>
      <c r="G120" s="52" t="str">
        <f t="shared" si="42"/>
        <v>Nominal</v>
      </c>
      <c r="H120" s="52" t="str">
        <f t="shared" si="43"/>
        <v>End_year</v>
      </c>
      <c r="J120" s="66">
        <f t="shared" ref="J120:AB120" si="51">J25+J44+J63+J82+J101</f>
        <v>0</v>
      </c>
      <c r="K120" s="67">
        <f t="shared" si="51"/>
        <v>0</v>
      </c>
      <c r="L120" s="67">
        <f t="shared" si="51"/>
        <v>0</v>
      </c>
      <c r="M120" s="67">
        <f t="shared" si="51"/>
        <v>0</v>
      </c>
      <c r="N120" s="67">
        <f t="shared" si="51"/>
        <v>0</v>
      </c>
      <c r="O120" s="67">
        <f t="shared" si="51"/>
        <v>0</v>
      </c>
      <c r="P120" s="67">
        <f t="shared" si="51"/>
        <v>0</v>
      </c>
      <c r="Q120" s="67">
        <f t="shared" si="51"/>
        <v>0</v>
      </c>
      <c r="R120" s="68">
        <f t="shared" si="51"/>
        <v>0</v>
      </c>
      <c r="S120" s="66">
        <f t="shared" si="51"/>
        <v>0</v>
      </c>
      <c r="T120" s="67">
        <f t="shared" si="51"/>
        <v>0</v>
      </c>
      <c r="U120" s="67">
        <f t="shared" si="51"/>
        <v>0</v>
      </c>
      <c r="V120" s="67">
        <f t="shared" si="51"/>
        <v>0</v>
      </c>
      <c r="W120" s="68">
        <f t="shared" si="51"/>
        <v>0</v>
      </c>
      <c r="X120" s="66">
        <f t="shared" si="51"/>
        <v>0</v>
      </c>
      <c r="Y120" s="67">
        <f t="shared" si="51"/>
        <v>0</v>
      </c>
      <c r="Z120" s="67">
        <f t="shared" si="51"/>
        <v>0</v>
      </c>
      <c r="AA120" s="67">
        <f t="shared" si="51"/>
        <v>0</v>
      </c>
      <c r="AB120" s="68">
        <f t="shared" si="51"/>
        <v>0</v>
      </c>
    </row>
    <row r="121" spans="1:28" ht="12.3" x14ac:dyDescent="0.35">
      <c r="D121" s="15" t="str">
        <f t="shared" si="40"/>
        <v>“Other” asset items with long lives</v>
      </c>
      <c r="E121" s="52" t="s">
        <v>111</v>
      </c>
      <c r="F121" s="52" t="str">
        <f t="shared" si="41"/>
        <v>Dollars</v>
      </c>
      <c r="G121" s="52" t="str">
        <f t="shared" si="42"/>
        <v>Nominal</v>
      </c>
      <c r="H121" s="52" t="str">
        <f t="shared" si="43"/>
        <v>End_year</v>
      </c>
      <c r="J121" s="66">
        <f t="shared" ref="J121:AB121" si="52">J26+J45+J64+J83+J102</f>
        <v>0.58076591627221685</v>
      </c>
      <c r="K121" s="67">
        <f t="shared" si="52"/>
        <v>0.59519915206123042</v>
      </c>
      <c r="L121" s="67">
        <f t="shared" si="52"/>
        <v>1.1576579982008739</v>
      </c>
      <c r="M121" s="67">
        <f t="shared" si="52"/>
        <v>1.4515497160196358</v>
      </c>
      <c r="N121" s="67">
        <f t="shared" si="52"/>
        <v>1.4939192752980466</v>
      </c>
      <c r="O121" s="67">
        <f t="shared" si="52"/>
        <v>1.5425658063214072</v>
      </c>
      <c r="P121" s="67">
        <f t="shared" si="52"/>
        <v>1.5676736933012065</v>
      </c>
      <c r="Q121" s="67">
        <f t="shared" si="52"/>
        <v>1.6069047667071426</v>
      </c>
      <c r="R121" s="68">
        <f t="shared" si="52"/>
        <v>1.736675383044163</v>
      </c>
      <c r="S121" s="66">
        <f t="shared" si="52"/>
        <v>1.9050662301253951</v>
      </c>
      <c r="T121" s="67">
        <f t="shared" si="52"/>
        <v>2.4524778089326911</v>
      </c>
      <c r="U121" s="67">
        <f t="shared" si="52"/>
        <v>4.8751079789943796</v>
      </c>
      <c r="V121" s="67">
        <f t="shared" si="52"/>
        <v>9.1333197251311944</v>
      </c>
      <c r="W121" s="68">
        <f t="shared" si="52"/>
        <v>24.525709004550599</v>
      </c>
      <c r="X121" s="66">
        <f t="shared" si="52"/>
        <v>43.239454071347161</v>
      </c>
      <c r="Y121" s="67">
        <f t="shared" si="52"/>
        <v>52.905082065824587</v>
      </c>
      <c r="Z121" s="67">
        <f t="shared" si="52"/>
        <v>66.233970334572021</v>
      </c>
      <c r="AA121" s="67">
        <f t="shared" si="52"/>
        <v>69.043729499132567</v>
      </c>
      <c r="AB121" s="68">
        <f t="shared" si="52"/>
        <v>70.379904669759995</v>
      </c>
    </row>
    <row r="122" spans="1:28" ht="12.3" x14ac:dyDescent="0.35">
      <c r="D122" s="15" t="str">
        <f t="shared" si="40"/>
        <v>“Other” asset items with short lives</v>
      </c>
      <c r="E122" s="52" t="s">
        <v>111</v>
      </c>
      <c r="F122" s="52" t="str">
        <f t="shared" si="41"/>
        <v>Dollars</v>
      </c>
      <c r="G122" s="52" t="str">
        <f t="shared" si="42"/>
        <v>Nominal</v>
      </c>
      <c r="H122" s="52" t="str">
        <f t="shared" si="43"/>
        <v>End_year</v>
      </c>
      <c r="J122" s="66">
        <f t="shared" ref="J122:AB122" si="53">J27+J46+J65+J84+J103</f>
        <v>0.82091709057313911</v>
      </c>
      <c r="K122" s="67">
        <f t="shared" si="53"/>
        <v>0.60044477799461515</v>
      </c>
      <c r="L122" s="67">
        <f t="shared" si="53"/>
        <v>0.29246182684719696</v>
      </c>
      <c r="M122" s="67">
        <f t="shared" si="53"/>
        <v>3.9470165527343323E-2</v>
      </c>
      <c r="N122" s="67">
        <f t="shared" si="53"/>
        <v>4.0622267656249544E-2</v>
      </c>
      <c r="O122" s="67">
        <f t="shared" si="53"/>
        <v>0.31592684001872451</v>
      </c>
      <c r="P122" s="67">
        <f t="shared" si="53"/>
        <v>2.8181106960225857</v>
      </c>
      <c r="Q122" s="67">
        <f t="shared" si="53"/>
        <v>7.2490899399153559</v>
      </c>
      <c r="R122" s="68">
        <f t="shared" si="53"/>
        <v>8.1706924591252257</v>
      </c>
      <c r="S122" s="66">
        <f t="shared" si="53"/>
        <v>7.5405950108274276</v>
      </c>
      <c r="T122" s="67">
        <f t="shared" si="53"/>
        <v>6.0591650950727729</v>
      </c>
      <c r="U122" s="67">
        <f t="shared" si="53"/>
        <v>4.4831236140217596</v>
      </c>
      <c r="V122" s="67">
        <f t="shared" si="53"/>
        <v>3.1603810910413817</v>
      </c>
      <c r="W122" s="68">
        <f t="shared" si="53"/>
        <v>1.6681769129029336</v>
      </c>
      <c r="X122" s="66">
        <f t="shared" si="53"/>
        <v>26.318022251292152</v>
      </c>
      <c r="Y122" s="67">
        <f t="shared" si="53"/>
        <v>29.12275370556188</v>
      </c>
      <c r="Z122" s="67">
        <f t="shared" si="53"/>
        <v>55.125597468258384</v>
      </c>
      <c r="AA122" s="67">
        <f t="shared" si="53"/>
        <v>55.583814809038977</v>
      </c>
      <c r="AB122" s="68">
        <f t="shared" si="53"/>
        <v>54.671282008480127</v>
      </c>
    </row>
    <row r="123" spans="1:28" x14ac:dyDescent="0.35">
      <c r="J123" s="56"/>
      <c r="K123" s="57"/>
      <c r="L123" s="57"/>
      <c r="M123" s="57"/>
      <c r="N123" s="57"/>
      <c r="O123" s="57"/>
      <c r="P123" s="57"/>
      <c r="Q123" s="57"/>
      <c r="R123" s="58"/>
      <c r="S123" s="56"/>
      <c r="T123" s="57"/>
      <c r="U123" s="57"/>
      <c r="V123" s="57"/>
      <c r="W123" s="58"/>
      <c r="X123" s="56"/>
      <c r="Y123" s="57"/>
      <c r="Z123" s="57"/>
      <c r="AA123" s="57"/>
      <c r="AB123" s="58"/>
    </row>
    <row r="124" spans="1:28" ht="12.3" x14ac:dyDescent="0.35">
      <c r="D124" s="51" t="str">
        <f>"Total "&amp;D111</f>
        <v>Total EB RIN Categories</v>
      </c>
      <c r="E124" s="47" t="s">
        <v>111</v>
      </c>
      <c r="F124" s="47" t="str">
        <f>F113</f>
        <v>Dollars</v>
      </c>
      <c r="G124" s="47" t="str">
        <f>G113</f>
        <v>Nominal</v>
      </c>
      <c r="H124" s="47" t="str">
        <f>H113</f>
        <v>End_year</v>
      </c>
      <c r="J124" s="62">
        <f t="shared" ref="J124:AB124" si="54">SUM(J113:J122)</f>
        <v>361.29910007209708</v>
      </c>
      <c r="K124" s="46">
        <f t="shared" si="54"/>
        <v>381.26717653788955</v>
      </c>
      <c r="L124" s="46">
        <f t="shared" si="54"/>
        <v>426.23191748430435</v>
      </c>
      <c r="M124" s="46">
        <f t="shared" si="54"/>
        <v>476.54653007073171</v>
      </c>
      <c r="N124" s="46">
        <f t="shared" si="54"/>
        <v>545.18108755768151</v>
      </c>
      <c r="O124" s="46">
        <f t="shared" si="54"/>
        <v>627.0405387842261</v>
      </c>
      <c r="P124" s="46">
        <f t="shared" si="54"/>
        <v>685.44809762150362</v>
      </c>
      <c r="Q124" s="46">
        <f t="shared" si="54"/>
        <v>780.34731061589059</v>
      </c>
      <c r="R124" s="63">
        <f t="shared" si="54"/>
        <v>853.14139286484385</v>
      </c>
      <c r="S124" s="62">
        <f t="shared" si="54"/>
        <v>893.02269564344124</v>
      </c>
      <c r="T124" s="46">
        <f t="shared" si="54"/>
        <v>918.52746292279005</v>
      </c>
      <c r="U124" s="46">
        <f t="shared" si="54"/>
        <v>937.04991301476161</v>
      </c>
      <c r="V124" s="46">
        <f t="shared" si="54"/>
        <v>950.29432108004471</v>
      </c>
      <c r="W124" s="63">
        <f t="shared" si="54"/>
        <v>982.235205492717</v>
      </c>
      <c r="X124" s="62">
        <f t="shared" si="54"/>
        <v>1048.3937643590532</v>
      </c>
      <c r="Y124" s="46">
        <f t="shared" si="54"/>
        <v>1096.5249850968946</v>
      </c>
      <c r="Z124" s="46">
        <f t="shared" si="54"/>
        <v>1168.7634131433192</v>
      </c>
      <c r="AA124" s="46">
        <f t="shared" si="54"/>
        <v>1204.488747149552</v>
      </c>
      <c r="AB124" s="63">
        <f t="shared" si="54"/>
        <v>1231.7638891913091</v>
      </c>
    </row>
    <row r="125" spans="1:28" s="6" customFormat="1" ht="11.25" customHeight="1" x14ac:dyDescent="0.35"/>
    <row r="126" spans="1:28" s="6" customFormat="1" ht="11.25" customHeight="1" x14ac:dyDescent="0.35">
      <c r="A126" s="49">
        <f>IF(SUM($J126:$AB126)&lt;&gt;0,1,0)</f>
        <v>0</v>
      </c>
      <c r="D126" s="15" t="s">
        <v>114</v>
      </c>
      <c r="J126" s="70">
        <f>IF(ROUND(J124-Input_RAB_SCS!J$170,3)=0,0,1)</f>
        <v>0</v>
      </c>
      <c r="K126" s="70">
        <f>IF(ROUND(K124-Input_RAB_SCS!K$170,3)=0,0,1)</f>
        <v>0</v>
      </c>
      <c r="L126" s="70">
        <f>IF(ROUND(L124-Input_RAB_SCS!L$170,3)=0,0,1)</f>
        <v>0</v>
      </c>
      <c r="M126" s="70">
        <f>IF(ROUND(M124-Input_RAB_SCS!M$170,3)=0,0,1)</f>
        <v>0</v>
      </c>
      <c r="N126" s="70">
        <f>IF(ROUND(N124-Input_RAB_SCS!N$170,3)=0,0,1)</f>
        <v>0</v>
      </c>
      <c r="O126" s="70">
        <f>IF(ROUND(O124-Input_RAB_SCS!O$170,3)=0,0,1)</f>
        <v>0</v>
      </c>
      <c r="P126" s="70">
        <f>IF(ROUND(P124-Input_RAB_SCS!P$170,3)=0,0,1)</f>
        <v>0</v>
      </c>
      <c r="Q126" s="70">
        <f>IF(ROUND(Q124-Input_RAB_SCS!Q$170,3)=0,0,1)</f>
        <v>0</v>
      </c>
      <c r="R126" s="70">
        <f>IF(ROUND(R124-Input_RAB_SCS!R$170,3)=0,0,1)</f>
        <v>0</v>
      </c>
      <c r="S126" s="70">
        <f>IF(ROUND(S124-Input_RAB_SCS!S$170,3)=0,0,1)</f>
        <v>0</v>
      </c>
      <c r="T126" s="70">
        <f>IF(ROUND(T124-Input_RAB_SCS!T$170,3)=0,0,1)</f>
        <v>0</v>
      </c>
      <c r="U126" s="70">
        <f>IF(ROUND(U124-Input_RAB_SCS!U$170,3)=0,0,1)</f>
        <v>0</v>
      </c>
      <c r="V126" s="70">
        <f>IF(ROUND(V124-Input_RAB_SCS!V$170,3)=0,0,1)</f>
        <v>0</v>
      </c>
      <c r="W126" s="70">
        <f>IF(ROUND(W124-Input_RAB_SCS!W$170,3)=0,0,1)</f>
        <v>0</v>
      </c>
      <c r="X126" s="70">
        <f>IF(ROUND(X124-Input_RAB_SCS!X$170,3)=0,0,1)</f>
        <v>0</v>
      </c>
      <c r="Y126" s="70">
        <f>IF(ROUND(Y124-Input_RAB_SCS!Y$170,3)=0,0,1)</f>
        <v>0</v>
      </c>
      <c r="Z126" s="70">
        <f>IF(ROUND(Z124-Input_RAB_SCS!Z$170,3)=0,0,1)</f>
        <v>0</v>
      </c>
      <c r="AA126" s="70">
        <f>IF(ROUND(AA124-Input_RAB_SCS!AA$170,3)=0,0,1)</f>
        <v>0</v>
      </c>
      <c r="AB126" s="70">
        <f>IF(ROUND(AB124-Input_RAB_SCS!AB$170,3)=0,0,1)</f>
        <v>0</v>
      </c>
    </row>
    <row r="128" spans="1:28" s="13" customFormat="1" ht="14.1" x14ac:dyDescent="0.35">
      <c r="C128" s="13" t="s">
        <v>177</v>
      </c>
    </row>
    <row r="129" spans="4:28" s="6" customFormat="1" ht="11.25" customHeight="1" x14ac:dyDescent="0.35"/>
    <row r="130" spans="4:28" ht="12.3" x14ac:dyDescent="0.35">
      <c r="D130" s="50" t="str">
        <f>D$16</f>
        <v>EB RIN Categories</v>
      </c>
      <c r="E130" s="45" t="str">
        <f>Lookup!E$20</f>
        <v>Source</v>
      </c>
      <c r="F130" s="45" t="str">
        <f>Lookup!F$20</f>
        <v>Unit</v>
      </c>
      <c r="G130" s="45" t="str">
        <f>Lookup!G$20</f>
        <v>Basis</v>
      </c>
      <c r="H130" s="45" t="str">
        <f>Lookup!H$20</f>
        <v>Timing</v>
      </c>
      <c r="J130" s="54" t="str">
        <f t="shared" ref="J130:AB130" si="55">J$10</f>
        <v>RY06</v>
      </c>
      <c r="K130" s="45" t="str">
        <f t="shared" si="55"/>
        <v>RY07</v>
      </c>
      <c r="L130" s="45" t="str">
        <f t="shared" si="55"/>
        <v>RY08</v>
      </c>
      <c r="M130" s="45" t="str">
        <f t="shared" si="55"/>
        <v>RY09</v>
      </c>
      <c r="N130" s="45" t="str">
        <f t="shared" si="55"/>
        <v>RY10</v>
      </c>
      <c r="O130" s="45" t="str">
        <f t="shared" si="55"/>
        <v>RY11</v>
      </c>
      <c r="P130" s="45" t="str">
        <f t="shared" si="55"/>
        <v>RY12</v>
      </c>
      <c r="Q130" s="45" t="str">
        <f t="shared" si="55"/>
        <v>RY13</v>
      </c>
      <c r="R130" s="55" t="str">
        <f t="shared" si="55"/>
        <v>RY14</v>
      </c>
      <c r="S130" s="54" t="str">
        <f t="shared" si="55"/>
        <v>RY15</v>
      </c>
      <c r="T130" s="45" t="str">
        <f t="shared" si="55"/>
        <v>RY16</v>
      </c>
      <c r="U130" s="45" t="str">
        <f t="shared" si="55"/>
        <v>RY17</v>
      </c>
      <c r="V130" s="45" t="str">
        <f t="shared" si="55"/>
        <v>RY18</v>
      </c>
      <c r="W130" s="55" t="str">
        <f t="shared" si="55"/>
        <v>RY19</v>
      </c>
      <c r="X130" s="54" t="str">
        <f t="shared" si="55"/>
        <v>RY20</v>
      </c>
      <c r="Y130" s="45" t="str">
        <f t="shared" si="55"/>
        <v>RY21</v>
      </c>
      <c r="Z130" s="45" t="str">
        <f t="shared" si="55"/>
        <v>RY22</v>
      </c>
      <c r="AA130" s="45" t="str">
        <f t="shared" si="55"/>
        <v>RY23</v>
      </c>
      <c r="AB130" s="55" t="str">
        <f t="shared" si="55"/>
        <v>RY24</v>
      </c>
    </row>
    <row r="131" spans="4:28" x14ac:dyDescent="0.35">
      <c r="J131" s="56"/>
      <c r="K131" s="57"/>
      <c r="L131" s="57"/>
      <c r="M131" s="57"/>
      <c r="N131" s="57"/>
      <c r="O131" s="57"/>
      <c r="P131" s="57"/>
      <c r="Q131" s="57"/>
      <c r="R131" s="58"/>
      <c r="S131" s="56"/>
      <c r="T131" s="57"/>
      <c r="U131" s="57"/>
      <c r="V131" s="57"/>
      <c r="W131" s="58"/>
      <c r="X131" s="56"/>
      <c r="Y131" s="57"/>
      <c r="Z131" s="57"/>
      <c r="AA131" s="57"/>
      <c r="AB131" s="58"/>
    </row>
    <row r="132" spans="4:28" ht="12.3" x14ac:dyDescent="0.35">
      <c r="D132" s="15" t="str">
        <f t="shared" ref="D132:E141" si="56">D18</f>
        <v>Overhead network assets less than 33kV</v>
      </c>
      <c r="E132" s="52" t="str">
        <f t="shared" si="56"/>
        <v>Calc_Alloc</v>
      </c>
      <c r="F132" s="52" t="str">
        <f t="shared" ref="F132:F141" si="57">Dollars</f>
        <v>Dollars</v>
      </c>
      <c r="G132" s="52" t="str">
        <f t="shared" ref="G132:G141" si="58">Nominal</f>
        <v>Nominal</v>
      </c>
      <c r="H132" s="52" t="str">
        <f t="shared" ref="H132:H141" si="59">End_year</f>
        <v>End_year</v>
      </c>
      <c r="J132" s="66">
        <f>SUMPRODUCT((Calc_Alloc!$E$11:$E$27)*(Input_RAB_SCS!J$178:J$194))</f>
        <v>0</v>
      </c>
      <c r="K132" s="67">
        <f>SUMPRODUCT((Calc_Alloc!$E$11:$E$27)*(Input_RAB_SCS!K$178:K$194))</f>
        <v>0</v>
      </c>
      <c r="L132" s="67">
        <f>SUMPRODUCT((Calc_Alloc!$E$11:$E$27)*(Input_RAB_SCS!L$178:L$194))</f>
        <v>0</v>
      </c>
      <c r="M132" s="67">
        <f>SUMPRODUCT((Calc_Alloc!$E$11:$E$27)*(Input_RAB_SCS!M$178:M$194))</f>
        <v>0</v>
      </c>
      <c r="N132" s="67">
        <f>SUMPRODUCT((Calc_Alloc!$E$11:$E$27)*(Input_RAB_SCS!N$178:N$194))</f>
        <v>0</v>
      </c>
      <c r="O132" s="67">
        <f>SUMPRODUCT((Calc_Alloc!$E$11:$E$27)*(Input_RAB_SCS!O$178:O$194))</f>
        <v>0</v>
      </c>
      <c r="P132" s="67">
        <f>SUMPRODUCT((Calc_Alloc!$E$11:$E$27)*(Input_RAB_SCS!P$178:P$194))</f>
        <v>0</v>
      </c>
      <c r="Q132" s="67">
        <f>SUMPRODUCT((Calc_Alloc!$E$11:$E$27)*(Input_RAB_SCS!Q$178:Q$194))</f>
        <v>0</v>
      </c>
      <c r="R132" s="68">
        <f>SUMPRODUCT((Calc_Alloc!$E$11:$E$27)*(Input_RAB_SCS!R$178:R$194))</f>
        <v>0</v>
      </c>
      <c r="S132" s="66">
        <f>SUMPRODUCT((Calc_Alloc!$E$11:$E$27)*(Input_RAB_SCS!S$178:S$194))</f>
        <v>0</v>
      </c>
      <c r="T132" s="67">
        <f>SUMPRODUCT((Calc_Alloc!$E$11:$E$27)*(Input_RAB_SCS!T$178:T$194))</f>
        <v>0</v>
      </c>
      <c r="U132" s="67">
        <f>SUMPRODUCT((Calc_Alloc!$E$11:$E$27)*(Input_RAB_SCS!U$178:U$194))</f>
        <v>0</v>
      </c>
      <c r="V132" s="67">
        <f>SUMPRODUCT((Calc_Alloc!$E$11:$E$27)*(Input_RAB_SCS!V$178:V$194))</f>
        <v>0</v>
      </c>
      <c r="W132" s="68">
        <f>SUMPRODUCT((Calc_Alloc!$E$11:$E$27)*(Input_RAB_SCS!W$178:W$194))</f>
        <v>-0.87232431190650073</v>
      </c>
      <c r="X132" s="66">
        <f>SUMPRODUCT((Calc_Alloc!$E$11:$E$27)*(Input_RAB_SCS!X$178:X$194))</f>
        <v>0</v>
      </c>
      <c r="Y132" s="67">
        <f>SUMPRODUCT((Calc_Alloc!$E$11:$E$27)*(Input_RAB_SCS!Y$178:Y$194))</f>
        <v>0</v>
      </c>
      <c r="Z132" s="67">
        <f>SUMPRODUCT((Calc_Alloc!$E$11:$E$27)*(Input_RAB_SCS!Z$178:Z$194))</f>
        <v>0</v>
      </c>
      <c r="AA132" s="67">
        <f>SUMPRODUCT((Calc_Alloc!$E$11:$E$27)*(Input_RAB_SCS!AA$178:AA$194))</f>
        <v>0</v>
      </c>
      <c r="AB132" s="68">
        <f>SUMPRODUCT((Calc_Alloc!$E$11:$E$27)*(Input_RAB_SCS!AB$178:AB$194))</f>
        <v>0</v>
      </c>
    </row>
    <row r="133" spans="4:28" ht="12.3" x14ac:dyDescent="0.35">
      <c r="D133" s="15" t="str">
        <f t="shared" si="56"/>
        <v>Underground network assets less than 33kV</v>
      </c>
      <c r="E133" s="52" t="str">
        <f t="shared" si="56"/>
        <v>Calc_Alloc</v>
      </c>
      <c r="F133" s="52" t="str">
        <f t="shared" si="57"/>
        <v>Dollars</v>
      </c>
      <c r="G133" s="52" t="str">
        <f t="shared" si="58"/>
        <v>Nominal</v>
      </c>
      <c r="H133" s="52" t="str">
        <f t="shared" si="59"/>
        <v>End_year</v>
      </c>
      <c r="J133" s="66">
        <f>SUMPRODUCT((Calc_Alloc!$F$11:$F$27)*(Input_RAB_SCS!J$178:J$194))</f>
        <v>0</v>
      </c>
      <c r="K133" s="67">
        <f>SUMPRODUCT((Calc_Alloc!$F$11:$F$27)*(Input_RAB_SCS!K$178:K$194))</f>
        <v>0</v>
      </c>
      <c r="L133" s="67">
        <f>SUMPRODUCT((Calc_Alloc!$F$11:$F$27)*(Input_RAB_SCS!L$178:L$194))</f>
        <v>0</v>
      </c>
      <c r="M133" s="67">
        <f>SUMPRODUCT((Calc_Alloc!$F$11:$F$27)*(Input_RAB_SCS!M$178:M$194))</f>
        <v>0</v>
      </c>
      <c r="N133" s="67">
        <f>SUMPRODUCT((Calc_Alloc!$F$11:$F$27)*(Input_RAB_SCS!N$178:N$194))</f>
        <v>0</v>
      </c>
      <c r="O133" s="67">
        <f>SUMPRODUCT((Calc_Alloc!$F$11:$F$27)*(Input_RAB_SCS!O$178:O$194))</f>
        <v>0</v>
      </c>
      <c r="P133" s="67">
        <f>SUMPRODUCT((Calc_Alloc!$F$11:$F$27)*(Input_RAB_SCS!P$178:P$194))</f>
        <v>0</v>
      </c>
      <c r="Q133" s="67">
        <f>SUMPRODUCT((Calc_Alloc!$F$11:$F$27)*(Input_RAB_SCS!Q$178:Q$194))</f>
        <v>0</v>
      </c>
      <c r="R133" s="68">
        <f>SUMPRODUCT((Calc_Alloc!$F$11:$F$27)*(Input_RAB_SCS!R$178:R$194))</f>
        <v>0</v>
      </c>
      <c r="S133" s="66">
        <f>SUMPRODUCT((Calc_Alloc!$F$11:$F$27)*(Input_RAB_SCS!S$178:S$194))</f>
        <v>0</v>
      </c>
      <c r="T133" s="67">
        <f>SUMPRODUCT((Calc_Alloc!$F$11:$F$27)*(Input_RAB_SCS!T$178:T$194))</f>
        <v>0</v>
      </c>
      <c r="U133" s="67">
        <f>SUMPRODUCT((Calc_Alloc!$F$11:$F$27)*(Input_RAB_SCS!U$178:U$194))</f>
        <v>0</v>
      </c>
      <c r="V133" s="67">
        <f>SUMPRODUCT((Calc_Alloc!$F$11:$F$27)*(Input_RAB_SCS!V$178:V$194))</f>
        <v>0</v>
      </c>
      <c r="W133" s="68">
        <f>SUMPRODUCT((Calc_Alloc!$F$11:$F$27)*(Input_RAB_SCS!W$178:W$194))</f>
        <v>-1.8071054598796081</v>
      </c>
      <c r="X133" s="66">
        <f>SUMPRODUCT((Calc_Alloc!$F$11:$F$27)*(Input_RAB_SCS!X$178:X$194))</f>
        <v>0</v>
      </c>
      <c r="Y133" s="67">
        <f>SUMPRODUCT((Calc_Alloc!$F$11:$F$27)*(Input_RAB_SCS!Y$178:Y$194))</f>
        <v>0</v>
      </c>
      <c r="Z133" s="67">
        <f>SUMPRODUCT((Calc_Alloc!$F$11:$F$27)*(Input_RAB_SCS!Z$178:Z$194))</f>
        <v>0</v>
      </c>
      <c r="AA133" s="67">
        <f>SUMPRODUCT((Calc_Alloc!$F$11:$F$27)*(Input_RAB_SCS!AA$178:AA$194))</f>
        <v>0</v>
      </c>
      <c r="AB133" s="68">
        <f>SUMPRODUCT((Calc_Alloc!$F$11:$F$27)*(Input_RAB_SCS!AB$178:AB$194))</f>
        <v>0</v>
      </c>
    </row>
    <row r="134" spans="4:28" ht="12.3" x14ac:dyDescent="0.35">
      <c r="D134" s="15" t="str">
        <f t="shared" si="56"/>
        <v>Distribution substations and transformers</v>
      </c>
      <c r="E134" s="52" t="str">
        <f t="shared" si="56"/>
        <v>Calc_Alloc</v>
      </c>
      <c r="F134" s="52" t="str">
        <f t="shared" si="57"/>
        <v>Dollars</v>
      </c>
      <c r="G134" s="52" t="str">
        <f t="shared" si="58"/>
        <v>Nominal</v>
      </c>
      <c r="H134" s="52" t="str">
        <f t="shared" si="59"/>
        <v>End_year</v>
      </c>
      <c r="J134" s="66">
        <f>SUMPRODUCT((Calc_Alloc!$G$11:$G$27)*(Input_RAB_SCS!J$178:J$194))</f>
        <v>0</v>
      </c>
      <c r="K134" s="67">
        <f>SUMPRODUCT((Calc_Alloc!$G$11:$G$27)*(Input_RAB_SCS!K$178:K$194))</f>
        <v>0</v>
      </c>
      <c r="L134" s="67">
        <f>SUMPRODUCT((Calc_Alloc!$G$11:$G$27)*(Input_RAB_SCS!L$178:L$194))</f>
        <v>0</v>
      </c>
      <c r="M134" s="67">
        <f>SUMPRODUCT((Calc_Alloc!$G$11:$G$27)*(Input_RAB_SCS!M$178:M$194))</f>
        <v>0</v>
      </c>
      <c r="N134" s="67">
        <f>SUMPRODUCT((Calc_Alloc!$G$11:$G$27)*(Input_RAB_SCS!N$178:N$194))</f>
        <v>0</v>
      </c>
      <c r="O134" s="67">
        <f>SUMPRODUCT((Calc_Alloc!$G$11:$G$27)*(Input_RAB_SCS!O$178:O$194))</f>
        <v>0</v>
      </c>
      <c r="P134" s="67">
        <f>SUMPRODUCT((Calc_Alloc!$G$11:$G$27)*(Input_RAB_SCS!P$178:P$194))</f>
        <v>0</v>
      </c>
      <c r="Q134" s="67">
        <f>SUMPRODUCT((Calc_Alloc!$G$11:$G$27)*(Input_RAB_SCS!Q$178:Q$194))</f>
        <v>0</v>
      </c>
      <c r="R134" s="68">
        <f>SUMPRODUCT((Calc_Alloc!$G$11:$G$27)*(Input_RAB_SCS!R$178:R$194))</f>
        <v>0</v>
      </c>
      <c r="S134" s="66">
        <f>SUMPRODUCT((Calc_Alloc!$G$11:$G$27)*(Input_RAB_SCS!S$178:S$194))</f>
        <v>0</v>
      </c>
      <c r="T134" s="67">
        <f>SUMPRODUCT((Calc_Alloc!$G$11:$G$27)*(Input_RAB_SCS!T$178:T$194))</f>
        <v>0</v>
      </c>
      <c r="U134" s="67">
        <f>SUMPRODUCT((Calc_Alloc!$G$11:$G$27)*(Input_RAB_SCS!U$178:U$194))</f>
        <v>0</v>
      </c>
      <c r="V134" s="67">
        <f>SUMPRODUCT((Calc_Alloc!$G$11:$G$27)*(Input_RAB_SCS!V$178:V$194))</f>
        <v>0</v>
      </c>
      <c r="W134" s="68">
        <f>SUMPRODUCT((Calc_Alloc!$G$11:$G$27)*(Input_RAB_SCS!W$178:W$194))</f>
        <v>9.2501321172879933</v>
      </c>
      <c r="X134" s="66">
        <f>SUMPRODUCT((Calc_Alloc!$G$11:$G$27)*(Input_RAB_SCS!X$178:X$194))</f>
        <v>0</v>
      </c>
      <c r="Y134" s="67">
        <f>SUMPRODUCT((Calc_Alloc!$G$11:$G$27)*(Input_RAB_SCS!Y$178:Y$194))</f>
        <v>0</v>
      </c>
      <c r="Z134" s="67">
        <f>SUMPRODUCT((Calc_Alloc!$G$11:$G$27)*(Input_RAB_SCS!Z$178:Z$194))</f>
        <v>0</v>
      </c>
      <c r="AA134" s="67">
        <f>SUMPRODUCT((Calc_Alloc!$G$11:$G$27)*(Input_RAB_SCS!AA$178:AA$194))</f>
        <v>0</v>
      </c>
      <c r="AB134" s="68">
        <f>SUMPRODUCT((Calc_Alloc!$G$11:$G$27)*(Input_RAB_SCS!AB$178:AB$194))</f>
        <v>0</v>
      </c>
    </row>
    <row r="135" spans="4:28" ht="12.3" x14ac:dyDescent="0.35">
      <c r="D135" s="15" t="str">
        <f t="shared" si="56"/>
        <v>Overhead network assets 33kV and above</v>
      </c>
      <c r="E135" s="52" t="str">
        <f t="shared" si="56"/>
        <v>Calc_Alloc</v>
      </c>
      <c r="F135" s="52" t="str">
        <f t="shared" si="57"/>
        <v>Dollars</v>
      </c>
      <c r="G135" s="52" t="str">
        <f t="shared" si="58"/>
        <v>Nominal</v>
      </c>
      <c r="H135" s="52" t="str">
        <f t="shared" si="59"/>
        <v>End_year</v>
      </c>
      <c r="J135" s="66">
        <f>SUMPRODUCT((Calc_Alloc!$H$11:$H$27)*(Input_RAB_SCS!J$178:J$194))</f>
        <v>0</v>
      </c>
      <c r="K135" s="67">
        <f>SUMPRODUCT((Calc_Alloc!$H$11:$H$27)*(Input_RAB_SCS!K$178:K$194))</f>
        <v>0</v>
      </c>
      <c r="L135" s="67">
        <f>SUMPRODUCT((Calc_Alloc!$H$11:$H$27)*(Input_RAB_SCS!L$178:L$194))</f>
        <v>0</v>
      </c>
      <c r="M135" s="67">
        <f>SUMPRODUCT((Calc_Alloc!$H$11:$H$27)*(Input_RAB_SCS!M$178:M$194))</f>
        <v>0</v>
      </c>
      <c r="N135" s="67">
        <f>SUMPRODUCT((Calc_Alloc!$H$11:$H$27)*(Input_RAB_SCS!N$178:N$194))</f>
        <v>0</v>
      </c>
      <c r="O135" s="67">
        <f>SUMPRODUCT((Calc_Alloc!$H$11:$H$27)*(Input_RAB_SCS!O$178:O$194))</f>
        <v>0</v>
      </c>
      <c r="P135" s="67">
        <f>SUMPRODUCT((Calc_Alloc!$H$11:$H$27)*(Input_RAB_SCS!P$178:P$194))</f>
        <v>0</v>
      </c>
      <c r="Q135" s="67">
        <f>SUMPRODUCT((Calc_Alloc!$H$11:$H$27)*(Input_RAB_SCS!Q$178:Q$194))</f>
        <v>0</v>
      </c>
      <c r="R135" s="68">
        <f>SUMPRODUCT((Calc_Alloc!$H$11:$H$27)*(Input_RAB_SCS!R$178:R$194))</f>
        <v>0</v>
      </c>
      <c r="S135" s="66">
        <f>SUMPRODUCT((Calc_Alloc!$H$11:$H$27)*(Input_RAB_SCS!S$178:S$194))</f>
        <v>0</v>
      </c>
      <c r="T135" s="67">
        <f>SUMPRODUCT((Calc_Alloc!$H$11:$H$27)*(Input_RAB_SCS!T$178:T$194))</f>
        <v>0</v>
      </c>
      <c r="U135" s="67">
        <f>SUMPRODUCT((Calc_Alloc!$H$11:$H$27)*(Input_RAB_SCS!U$178:U$194))</f>
        <v>0</v>
      </c>
      <c r="V135" s="67">
        <f>SUMPRODUCT((Calc_Alloc!$H$11:$H$27)*(Input_RAB_SCS!V$178:V$194))</f>
        <v>0</v>
      </c>
      <c r="W135" s="68">
        <f>SUMPRODUCT((Calc_Alloc!$H$11:$H$27)*(Input_RAB_SCS!W$178:W$194))</f>
        <v>1.0281999135360687</v>
      </c>
      <c r="X135" s="66">
        <f>SUMPRODUCT((Calc_Alloc!$H$11:$H$27)*(Input_RAB_SCS!X$178:X$194))</f>
        <v>0</v>
      </c>
      <c r="Y135" s="67">
        <f>SUMPRODUCT((Calc_Alloc!$H$11:$H$27)*(Input_RAB_SCS!Y$178:Y$194))</f>
        <v>0</v>
      </c>
      <c r="Z135" s="67">
        <f>SUMPRODUCT((Calc_Alloc!$H$11:$H$27)*(Input_RAB_SCS!Z$178:Z$194))</f>
        <v>0</v>
      </c>
      <c r="AA135" s="67">
        <f>SUMPRODUCT((Calc_Alloc!$H$11:$H$27)*(Input_RAB_SCS!AA$178:AA$194))</f>
        <v>0</v>
      </c>
      <c r="AB135" s="68">
        <f>SUMPRODUCT((Calc_Alloc!$H$11:$H$27)*(Input_RAB_SCS!AB$178:AB$194))</f>
        <v>0</v>
      </c>
    </row>
    <row r="136" spans="4:28" ht="12.3" x14ac:dyDescent="0.35">
      <c r="D136" s="15" t="str">
        <f t="shared" si="56"/>
        <v>Underground network assets 33kV and above</v>
      </c>
      <c r="E136" s="52" t="str">
        <f t="shared" si="56"/>
        <v>Calc_Alloc</v>
      </c>
      <c r="F136" s="52" t="str">
        <f t="shared" si="57"/>
        <v>Dollars</v>
      </c>
      <c r="G136" s="52" t="str">
        <f t="shared" si="58"/>
        <v>Nominal</v>
      </c>
      <c r="H136" s="52" t="str">
        <f t="shared" si="59"/>
        <v>End_year</v>
      </c>
      <c r="J136" s="66">
        <f>SUMPRODUCT((Calc_Alloc!$I$11:$I$27)*(Input_RAB_SCS!J$178:J$194))</f>
        <v>0</v>
      </c>
      <c r="K136" s="67">
        <f>SUMPRODUCT((Calc_Alloc!$I$11:$I$27)*(Input_RAB_SCS!K$178:K$194))</f>
        <v>0</v>
      </c>
      <c r="L136" s="67">
        <f>SUMPRODUCT((Calc_Alloc!$I$11:$I$27)*(Input_RAB_SCS!L$178:L$194))</f>
        <v>0</v>
      </c>
      <c r="M136" s="67">
        <f>SUMPRODUCT((Calc_Alloc!$I$11:$I$27)*(Input_RAB_SCS!M$178:M$194))</f>
        <v>0</v>
      </c>
      <c r="N136" s="67">
        <f>SUMPRODUCT((Calc_Alloc!$I$11:$I$27)*(Input_RAB_SCS!N$178:N$194))</f>
        <v>0</v>
      </c>
      <c r="O136" s="67">
        <f>SUMPRODUCT((Calc_Alloc!$I$11:$I$27)*(Input_RAB_SCS!O$178:O$194))</f>
        <v>0</v>
      </c>
      <c r="P136" s="67">
        <f>SUMPRODUCT((Calc_Alloc!$I$11:$I$27)*(Input_RAB_SCS!P$178:P$194))</f>
        <v>0</v>
      </c>
      <c r="Q136" s="67">
        <f>SUMPRODUCT((Calc_Alloc!$I$11:$I$27)*(Input_RAB_SCS!Q$178:Q$194))</f>
        <v>0</v>
      </c>
      <c r="R136" s="68">
        <f>SUMPRODUCT((Calc_Alloc!$I$11:$I$27)*(Input_RAB_SCS!R$178:R$194))</f>
        <v>0</v>
      </c>
      <c r="S136" s="66">
        <f>SUMPRODUCT((Calc_Alloc!$I$11:$I$27)*(Input_RAB_SCS!S$178:S$194))</f>
        <v>0</v>
      </c>
      <c r="T136" s="67">
        <f>SUMPRODUCT((Calc_Alloc!$I$11:$I$27)*(Input_RAB_SCS!T$178:T$194))</f>
        <v>0</v>
      </c>
      <c r="U136" s="67">
        <f>SUMPRODUCT((Calc_Alloc!$I$11:$I$27)*(Input_RAB_SCS!U$178:U$194))</f>
        <v>0</v>
      </c>
      <c r="V136" s="67">
        <f>SUMPRODUCT((Calc_Alloc!$I$11:$I$27)*(Input_RAB_SCS!V$178:V$194))</f>
        <v>0</v>
      </c>
      <c r="W136" s="68">
        <f>SUMPRODUCT((Calc_Alloc!$I$11:$I$27)*(Input_RAB_SCS!W$178:W$194))</f>
        <v>0.51449678698249268</v>
      </c>
      <c r="X136" s="66">
        <f>SUMPRODUCT((Calc_Alloc!$I$11:$I$27)*(Input_RAB_SCS!X$178:X$194))</f>
        <v>0</v>
      </c>
      <c r="Y136" s="67">
        <f>SUMPRODUCT((Calc_Alloc!$I$11:$I$27)*(Input_RAB_SCS!Y$178:Y$194))</f>
        <v>0</v>
      </c>
      <c r="Z136" s="67">
        <f>SUMPRODUCT((Calc_Alloc!$I$11:$I$27)*(Input_RAB_SCS!Z$178:Z$194))</f>
        <v>0</v>
      </c>
      <c r="AA136" s="67">
        <f>SUMPRODUCT((Calc_Alloc!$I$11:$I$27)*(Input_RAB_SCS!AA$178:AA$194))</f>
        <v>0</v>
      </c>
      <c r="AB136" s="68">
        <f>SUMPRODUCT((Calc_Alloc!$I$11:$I$27)*(Input_RAB_SCS!AB$178:AB$194))</f>
        <v>0</v>
      </c>
    </row>
    <row r="137" spans="4:28" ht="12.3" x14ac:dyDescent="0.35">
      <c r="D137" s="15" t="str">
        <f t="shared" si="56"/>
        <v>Zone substations and transformers</v>
      </c>
      <c r="E137" s="52" t="str">
        <f t="shared" si="56"/>
        <v>Calc_Alloc</v>
      </c>
      <c r="F137" s="52" t="str">
        <f t="shared" si="57"/>
        <v>Dollars</v>
      </c>
      <c r="G137" s="52" t="str">
        <f t="shared" si="58"/>
        <v>Nominal</v>
      </c>
      <c r="H137" s="52" t="str">
        <f t="shared" si="59"/>
        <v>End_year</v>
      </c>
      <c r="J137" s="66">
        <f>SUMPRODUCT((Calc_Alloc!$J$11:$J$27)*(Input_RAB_SCS!J$178:J$194))</f>
        <v>0</v>
      </c>
      <c r="K137" s="67">
        <f>SUMPRODUCT((Calc_Alloc!$J$11:$J$27)*(Input_RAB_SCS!K$178:K$194))</f>
        <v>0</v>
      </c>
      <c r="L137" s="67">
        <f>SUMPRODUCT((Calc_Alloc!$J$11:$J$27)*(Input_RAB_SCS!L$178:L$194))</f>
        <v>0</v>
      </c>
      <c r="M137" s="67">
        <f>SUMPRODUCT((Calc_Alloc!$J$11:$J$27)*(Input_RAB_SCS!M$178:M$194))</f>
        <v>0</v>
      </c>
      <c r="N137" s="67">
        <f>SUMPRODUCT((Calc_Alloc!$J$11:$J$27)*(Input_RAB_SCS!N$178:N$194))</f>
        <v>0</v>
      </c>
      <c r="O137" s="67">
        <f>SUMPRODUCT((Calc_Alloc!$J$11:$J$27)*(Input_RAB_SCS!O$178:O$194))</f>
        <v>0</v>
      </c>
      <c r="P137" s="67">
        <f>SUMPRODUCT((Calc_Alloc!$J$11:$J$27)*(Input_RAB_SCS!P$178:P$194))</f>
        <v>0</v>
      </c>
      <c r="Q137" s="67">
        <f>SUMPRODUCT((Calc_Alloc!$J$11:$J$27)*(Input_RAB_SCS!Q$178:Q$194))</f>
        <v>0</v>
      </c>
      <c r="R137" s="68">
        <f>SUMPRODUCT((Calc_Alloc!$J$11:$J$27)*(Input_RAB_SCS!R$178:R$194))</f>
        <v>0</v>
      </c>
      <c r="S137" s="66">
        <f>SUMPRODUCT((Calc_Alloc!$J$11:$J$27)*(Input_RAB_SCS!S$178:S$194))</f>
        <v>0</v>
      </c>
      <c r="T137" s="67">
        <f>SUMPRODUCT((Calc_Alloc!$J$11:$J$27)*(Input_RAB_SCS!T$178:T$194))</f>
        <v>0</v>
      </c>
      <c r="U137" s="67">
        <f>SUMPRODUCT((Calc_Alloc!$J$11:$J$27)*(Input_RAB_SCS!U$178:U$194))</f>
        <v>0</v>
      </c>
      <c r="V137" s="67">
        <f>SUMPRODUCT((Calc_Alloc!$J$11:$J$27)*(Input_RAB_SCS!V$178:V$194))</f>
        <v>0</v>
      </c>
      <c r="W137" s="68">
        <f>SUMPRODUCT((Calc_Alloc!$J$11:$J$27)*(Input_RAB_SCS!W$178:W$194))</f>
        <v>-15.490688097430906</v>
      </c>
      <c r="X137" s="66">
        <f>SUMPRODUCT((Calc_Alloc!$J$11:$J$27)*(Input_RAB_SCS!X$178:X$194))</f>
        <v>0</v>
      </c>
      <c r="Y137" s="67">
        <f>SUMPRODUCT((Calc_Alloc!$J$11:$J$27)*(Input_RAB_SCS!Y$178:Y$194))</f>
        <v>0</v>
      </c>
      <c r="Z137" s="67">
        <f>SUMPRODUCT((Calc_Alloc!$J$11:$J$27)*(Input_RAB_SCS!Z$178:Z$194))</f>
        <v>0</v>
      </c>
      <c r="AA137" s="67">
        <f>SUMPRODUCT((Calc_Alloc!$J$11:$J$27)*(Input_RAB_SCS!AA$178:AA$194))</f>
        <v>0</v>
      </c>
      <c r="AB137" s="68">
        <f>SUMPRODUCT((Calc_Alloc!$J$11:$J$27)*(Input_RAB_SCS!AB$178:AB$194))</f>
        <v>0</v>
      </c>
    </row>
    <row r="138" spans="4:28" ht="12.3" x14ac:dyDescent="0.35">
      <c r="D138" s="15" t="str">
        <f t="shared" si="56"/>
        <v>Easements</v>
      </c>
      <c r="E138" s="52" t="str">
        <f t="shared" si="56"/>
        <v>Calc_Alloc</v>
      </c>
      <c r="F138" s="52" t="str">
        <f t="shared" si="57"/>
        <v>Dollars</v>
      </c>
      <c r="G138" s="52" t="str">
        <f t="shared" si="58"/>
        <v>Nominal</v>
      </c>
      <c r="H138" s="52" t="str">
        <f t="shared" si="59"/>
        <v>End_year</v>
      </c>
      <c r="J138" s="66">
        <f>SUMPRODUCT((Calc_Alloc!$K$11:$K$27)*(Input_RAB_SCS!J$178:J$194))</f>
        <v>0</v>
      </c>
      <c r="K138" s="67">
        <f>SUMPRODUCT((Calc_Alloc!$K$11:$K$27)*(Input_RAB_SCS!K$178:K$194))</f>
        <v>0</v>
      </c>
      <c r="L138" s="67">
        <f>SUMPRODUCT((Calc_Alloc!$K$11:$K$27)*(Input_RAB_SCS!L$178:L$194))</f>
        <v>0</v>
      </c>
      <c r="M138" s="67">
        <f>SUMPRODUCT((Calc_Alloc!$K$11:$K$27)*(Input_RAB_SCS!M$178:M$194))</f>
        <v>0</v>
      </c>
      <c r="N138" s="67">
        <f>SUMPRODUCT((Calc_Alloc!$K$11:$K$27)*(Input_RAB_SCS!N$178:N$194))</f>
        <v>0</v>
      </c>
      <c r="O138" s="67">
        <f>SUMPRODUCT((Calc_Alloc!$K$11:$K$27)*(Input_RAB_SCS!O$178:O$194))</f>
        <v>0</v>
      </c>
      <c r="P138" s="67">
        <f>SUMPRODUCT((Calc_Alloc!$K$11:$K$27)*(Input_RAB_SCS!P$178:P$194))</f>
        <v>0</v>
      </c>
      <c r="Q138" s="67">
        <f>SUMPRODUCT((Calc_Alloc!$K$11:$K$27)*(Input_RAB_SCS!Q$178:Q$194))</f>
        <v>0</v>
      </c>
      <c r="R138" s="68">
        <f>SUMPRODUCT((Calc_Alloc!$K$11:$K$27)*(Input_RAB_SCS!R$178:R$194))</f>
        <v>0</v>
      </c>
      <c r="S138" s="66">
        <f>SUMPRODUCT((Calc_Alloc!$K$11:$K$27)*(Input_RAB_SCS!S$178:S$194))</f>
        <v>0</v>
      </c>
      <c r="T138" s="67">
        <f>SUMPRODUCT((Calc_Alloc!$K$11:$K$27)*(Input_RAB_SCS!T$178:T$194))</f>
        <v>0</v>
      </c>
      <c r="U138" s="67">
        <f>SUMPRODUCT((Calc_Alloc!$K$11:$K$27)*(Input_RAB_SCS!U$178:U$194))</f>
        <v>0</v>
      </c>
      <c r="V138" s="67">
        <f>SUMPRODUCT((Calc_Alloc!$K$11:$K$27)*(Input_RAB_SCS!V$178:V$194))</f>
        <v>0</v>
      </c>
      <c r="W138" s="68">
        <f>SUMPRODUCT((Calc_Alloc!$K$11:$K$27)*(Input_RAB_SCS!W$178:W$194))</f>
        <v>-1.0011422426514007</v>
      </c>
      <c r="X138" s="66">
        <f>SUMPRODUCT((Calc_Alloc!$K$11:$K$27)*(Input_RAB_SCS!X$178:X$194))</f>
        <v>0</v>
      </c>
      <c r="Y138" s="67">
        <f>SUMPRODUCT((Calc_Alloc!$K$11:$K$27)*(Input_RAB_SCS!Y$178:Y$194))</f>
        <v>0</v>
      </c>
      <c r="Z138" s="67">
        <f>SUMPRODUCT((Calc_Alloc!$K$11:$K$27)*(Input_RAB_SCS!Z$178:Z$194))</f>
        <v>0</v>
      </c>
      <c r="AA138" s="67">
        <f>SUMPRODUCT((Calc_Alloc!$K$11:$K$27)*(Input_RAB_SCS!AA$178:AA$194))</f>
        <v>0</v>
      </c>
      <c r="AB138" s="68">
        <f>SUMPRODUCT((Calc_Alloc!$K$11:$K$27)*(Input_RAB_SCS!AB$178:AB$194))</f>
        <v>0</v>
      </c>
    </row>
    <row r="139" spans="4:28" ht="12.3" x14ac:dyDescent="0.35">
      <c r="D139" s="15" t="str">
        <f t="shared" si="56"/>
        <v>Meters</v>
      </c>
      <c r="E139" s="52" t="str">
        <f t="shared" si="56"/>
        <v>Calc_Alloc</v>
      </c>
      <c r="F139" s="52" t="str">
        <f t="shared" si="57"/>
        <v>Dollars</v>
      </c>
      <c r="G139" s="52" t="str">
        <f t="shared" si="58"/>
        <v>Nominal</v>
      </c>
      <c r="H139" s="52" t="str">
        <f t="shared" si="59"/>
        <v>End_year</v>
      </c>
      <c r="J139" s="66">
        <f>SUMPRODUCT((Calc_Alloc!$L$11:$L$27)*(Input_RAB_SCS!J$178:J$194))</f>
        <v>0</v>
      </c>
      <c r="K139" s="67">
        <f>SUMPRODUCT((Calc_Alloc!$L$11:$L$27)*(Input_RAB_SCS!K$178:K$194))</f>
        <v>0</v>
      </c>
      <c r="L139" s="67">
        <f>SUMPRODUCT((Calc_Alloc!$L$11:$L$27)*(Input_RAB_SCS!L$178:L$194))</f>
        <v>0</v>
      </c>
      <c r="M139" s="67">
        <f>SUMPRODUCT((Calc_Alloc!$L$11:$L$27)*(Input_RAB_SCS!M$178:M$194))</f>
        <v>0</v>
      </c>
      <c r="N139" s="67">
        <f>SUMPRODUCT((Calc_Alloc!$L$11:$L$27)*(Input_RAB_SCS!N$178:N$194))</f>
        <v>0</v>
      </c>
      <c r="O139" s="67">
        <f>SUMPRODUCT((Calc_Alloc!$L$11:$L$27)*(Input_RAB_SCS!O$178:O$194))</f>
        <v>0</v>
      </c>
      <c r="P139" s="67">
        <f>SUMPRODUCT((Calc_Alloc!$L$11:$L$27)*(Input_RAB_SCS!P$178:P$194))</f>
        <v>0</v>
      </c>
      <c r="Q139" s="67">
        <f>SUMPRODUCT((Calc_Alloc!$L$11:$L$27)*(Input_RAB_SCS!Q$178:Q$194))</f>
        <v>0</v>
      </c>
      <c r="R139" s="68">
        <f>SUMPRODUCT((Calc_Alloc!$L$11:$L$27)*(Input_RAB_SCS!R$178:R$194))</f>
        <v>0</v>
      </c>
      <c r="S139" s="66">
        <f>SUMPRODUCT((Calc_Alloc!$L$11:$L$27)*(Input_RAB_SCS!S$178:S$194))</f>
        <v>0</v>
      </c>
      <c r="T139" s="67">
        <f>SUMPRODUCT((Calc_Alloc!$L$11:$L$27)*(Input_RAB_SCS!T$178:T$194))</f>
        <v>0</v>
      </c>
      <c r="U139" s="67">
        <f>SUMPRODUCT((Calc_Alloc!$L$11:$L$27)*(Input_RAB_SCS!U$178:U$194))</f>
        <v>0</v>
      </c>
      <c r="V139" s="67">
        <f>SUMPRODUCT((Calc_Alloc!$L$11:$L$27)*(Input_RAB_SCS!V$178:V$194))</f>
        <v>0</v>
      </c>
      <c r="W139" s="68">
        <f>SUMPRODUCT((Calc_Alloc!$L$11:$L$27)*(Input_RAB_SCS!W$178:W$194))</f>
        <v>0</v>
      </c>
      <c r="X139" s="66">
        <f>SUMPRODUCT((Calc_Alloc!$L$11:$L$27)*(Input_RAB_SCS!X$178:X$194))</f>
        <v>0</v>
      </c>
      <c r="Y139" s="67">
        <f>SUMPRODUCT((Calc_Alloc!$L$11:$L$27)*(Input_RAB_SCS!Y$178:Y$194))</f>
        <v>0</v>
      </c>
      <c r="Z139" s="67">
        <f>SUMPRODUCT((Calc_Alloc!$L$11:$L$27)*(Input_RAB_SCS!Z$178:Z$194))</f>
        <v>0</v>
      </c>
      <c r="AA139" s="67">
        <f>SUMPRODUCT((Calc_Alloc!$L$11:$L$27)*(Input_RAB_SCS!AA$178:AA$194))</f>
        <v>0</v>
      </c>
      <c r="AB139" s="68">
        <f>SUMPRODUCT((Calc_Alloc!$L$11:$L$27)*(Input_RAB_SCS!AB$178:AB$194))</f>
        <v>0</v>
      </c>
    </row>
    <row r="140" spans="4:28" ht="12.3" x14ac:dyDescent="0.35">
      <c r="D140" s="15" t="str">
        <f t="shared" si="56"/>
        <v>“Other” asset items with long lives</v>
      </c>
      <c r="E140" s="52" t="str">
        <f t="shared" si="56"/>
        <v>Calc_Alloc</v>
      </c>
      <c r="F140" s="52" t="str">
        <f t="shared" si="57"/>
        <v>Dollars</v>
      </c>
      <c r="G140" s="52" t="str">
        <f t="shared" si="58"/>
        <v>Nominal</v>
      </c>
      <c r="H140" s="52" t="str">
        <f t="shared" si="59"/>
        <v>End_year</v>
      </c>
      <c r="J140" s="66">
        <f>SUMPRODUCT((Calc_Alloc!$M$11:$M$27)*(Input_RAB_SCS!J$178:J$194))</f>
        <v>0</v>
      </c>
      <c r="K140" s="67">
        <f>SUMPRODUCT((Calc_Alloc!$M$11:$M$27)*(Input_RAB_SCS!K$178:K$194))</f>
        <v>0</v>
      </c>
      <c r="L140" s="67">
        <f>SUMPRODUCT((Calc_Alloc!$M$11:$M$27)*(Input_RAB_SCS!L$178:L$194))</f>
        <v>0</v>
      </c>
      <c r="M140" s="67">
        <f>SUMPRODUCT((Calc_Alloc!$M$11:$M$27)*(Input_RAB_SCS!M$178:M$194))</f>
        <v>0</v>
      </c>
      <c r="N140" s="67">
        <f>SUMPRODUCT((Calc_Alloc!$M$11:$M$27)*(Input_RAB_SCS!N$178:N$194))</f>
        <v>0</v>
      </c>
      <c r="O140" s="67">
        <f>SUMPRODUCT((Calc_Alloc!$M$11:$M$27)*(Input_RAB_SCS!O$178:O$194))</f>
        <v>0</v>
      </c>
      <c r="P140" s="67">
        <f>SUMPRODUCT((Calc_Alloc!$M$11:$M$27)*(Input_RAB_SCS!P$178:P$194))</f>
        <v>0</v>
      </c>
      <c r="Q140" s="67">
        <f>SUMPRODUCT((Calc_Alloc!$M$11:$M$27)*(Input_RAB_SCS!Q$178:Q$194))</f>
        <v>0</v>
      </c>
      <c r="R140" s="68">
        <f>SUMPRODUCT((Calc_Alloc!$M$11:$M$27)*(Input_RAB_SCS!R$178:R$194))</f>
        <v>0</v>
      </c>
      <c r="S140" s="66">
        <f>SUMPRODUCT((Calc_Alloc!$M$11:$M$27)*(Input_RAB_SCS!S$178:S$194))</f>
        <v>0</v>
      </c>
      <c r="T140" s="67">
        <f>SUMPRODUCT((Calc_Alloc!$M$11:$M$27)*(Input_RAB_SCS!T$178:T$194))</f>
        <v>0</v>
      </c>
      <c r="U140" s="67">
        <f>SUMPRODUCT((Calc_Alloc!$M$11:$M$27)*(Input_RAB_SCS!U$178:U$194))</f>
        <v>0</v>
      </c>
      <c r="V140" s="67">
        <f>SUMPRODUCT((Calc_Alloc!$M$11:$M$27)*(Input_RAB_SCS!V$178:V$194))</f>
        <v>0</v>
      </c>
      <c r="W140" s="68">
        <f>SUMPRODUCT((Calc_Alloc!$M$11:$M$27)*(Input_RAB_SCS!W$178:W$194))</f>
        <v>0.55570773408622298</v>
      </c>
      <c r="X140" s="66">
        <f>SUMPRODUCT((Calc_Alloc!$M$11:$M$27)*(Input_RAB_SCS!X$178:X$194))</f>
        <v>0</v>
      </c>
      <c r="Y140" s="67">
        <f>SUMPRODUCT((Calc_Alloc!$M$11:$M$27)*(Input_RAB_SCS!Y$178:Y$194))</f>
        <v>0</v>
      </c>
      <c r="Z140" s="67">
        <f>SUMPRODUCT((Calc_Alloc!$M$11:$M$27)*(Input_RAB_SCS!Z$178:Z$194))</f>
        <v>0</v>
      </c>
      <c r="AA140" s="67">
        <f>SUMPRODUCT((Calc_Alloc!$M$11:$M$27)*(Input_RAB_SCS!AA$178:AA$194))</f>
        <v>0</v>
      </c>
      <c r="AB140" s="68">
        <f>SUMPRODUCT((Calc_Alloc!$M$11:$M$27)*(Input_RAB_SCS!AB$178:AB$194))</f>
        <v>0</v>
      </c>
    </row>
    <row r="141" spans="4:28" ht="12.3" x14ac:dyDescent="0.35">
      <c r="D141" s="15" t="str">
        <f t="shared" si="56"/>
        <v>“Other” asset items with short lives</v>
      </c>
      <c r="E141" s="52" t="str">
        <f t="shared" si="56"/>
        <v>Calc_Alloc</v>
      </c>
      <c r="F141" s="52" t="str">
        <f t="shared" si="57"/>
        <v>Dollars</v>
      </c>
      <c r="G141" s="52" t="str">
        <f t="shared" si="58"/>
        <v>Nominal</v>
      </c>
      <c r="H141" s="52" t="str">
        <f t="shared" si="59"/>
        <v>End_year</v>
      </c>
      <c r="J141" s="66">
        <f>SUMPRODUCT((Calc_Alloc!$N$11:$N$27)*(Input_RAB_SCS!J$178:J$194))</f>
        <v>0</v>
      </c>
      <c r="K141" s="67">
        <f>SUMPRODUCT((Calc_Alloc!$N$11:$N$27)*(Input_RAB_SCS!K$178:K$194))</f>
        <v>0</v>
      </c>
      <c r="L141" s="67">
        <f>SUMPRODUCT((Calc_Alloc!$N$11:$N$27)*(Input_RAB_SCS!L$178:L$194))</f>
        <v>0</v>
      </c>
      <c r="M141" s="67">
        <f>SUMPRODUCT((Calc_Alloc!$N$11:$N$27)*(Input_RAB_SCS!M$178:M$194))</f>
        <v>0</v>
      </c>
      <c r="N141" s="67">
        <f>SUMPRODUCT((Calc_Alloc!$N$11:$N$27)*(Input_RAB_SCS!N$178:N$194))</f>
        <v>0</v>
      </c>
      <c r="O141" s="67">
        <f>SUMPRODUCT((Calc_Alloc!$N$11:$N$27)*(Input_RAB_SCS!O$178:O$194))</f>
        <v>0</v>
      </c>
      <c r="P141" s="67">
        <f>SUMPRODUCT((Calc_Alloc!$N$11:$N$27)*(Input_RAB_SCS!P$178:P$194))</f>
        <v>0</v>
      </c>
      <c r="Q141" s="67">
        <f>SUMPRODUCT((Calc_Alloc!$N$11:$N$27)*(Input_RAB_SCS!Q$178:Q$194))</f>
        <v>0</v>
      </c>
      <c r="R141" s="68">
        <f>SUMPRODUCT((Calc_Alloc!$N$11:$N$27)*(Input_RAB_SCS!R$178:R$194))</f>
        <v>0</v>
      </c>
      <c r="S141" s="66">
        <f>SUMPRODUCT((Calc_Alloc!$N$11:$N$27)*(Input_RAB_SCS!S$178:S$194))</f>
        <v>0</v>
      </c>
      <c r="T141" s="67">
        <f>SUMPRODUCT((Calc_Alloc!$N$11:$N$27)*(Input_RAB_SCS!T$178:T$194))</f>
        <v>0</v>
      </c>
      <c r="U141" s="67">
        <f>SUMPRODUCT((Calc_Alloc!$N$11:$N$27)*(Input_RAB_SCS!U$178:U$194))</f>
        <v>0</v>
      </c>
      <c r="V141" s="67">
        <f>SUMPRODUCT((Calc_Alloc!$N$11:$N$27)*(Input_RAB_SCS!V$178:V$194))</f>
        <v>0</v>
      </c>
      <c r="W141" s="68">
        <f>SUMPRODUCT((Calc_Alloc!$N$11:$N$27)*(Input_RAB_SCS!W$178:W$194))</f>
        <v>-0.90928451702367419</v>
      </c>
      <c r="X141" s="66">
        <f>SUMPRODUCT((Calc_Alloc!$N$11:$N$27)*(Input_RAB_SCS!X$178:X$194))</f>
        <v>0</v>
      </c>
      <c r="Y141" s="67">
        <f>SUMPRODUCT((Calc_Alloc!$N$11:$N$27)*(Input_RAB_SCS!Y$178:Y$194))</f>
        <v>0</v>
      </c>
      <c r="Z141" s="67">
        <f>SUMPRODUCT((Calc_Alloc!$N$11:$N$27)*(Input_RAB_SCS!Z$178:Z$194))</f>
        <v>0</v>
      </c>
      <c r="AA141" s="67">
        <f>SUMPRODUCT((Calc_Alloc!$N$11:$N$27)*(Input_RAB_SCS!AA$178:AA$194))</f>
        <v>0</v>
      </c>
      <c r="AB141" s="68">
        <f>SUMPRODUCT((Calc_Alloc!$N$11:$N$27)*(Input_RAB_SCS!AB$178:AB$194))</f>
        <v>0</v>
      </c>
    </row>
    <row r="142" spans="4:28" x14ac:dyDescent="0.35">
      <c r="J142" s="56"/>
      <c r="K142" s="57"/>
      <c r="L142" s="57"/>
      <c r="M142" s="57"/>
      <c r="N142" s="57"/>
      <c r="O142" s="57"/>
      <c r="P142" s="57"/>
      <c r="Q142" s="57"/>
      <c r="R142" s="58"/>
      <c r="S142" s="56"/>
      <c r="T142" s="57"/>
      <c r="U142" s="57"/>
      <c r="V142" s="57"/>
      <c r="W142" s="58"/>
      <c r="X142" s="56"/>
      <c r="Y142" s="57"/>
      <c r="Z142" s="57"/>
      <c r="AA142" s="57"/>
      <c r="AB142" s="58"/>
    </row>
    <row r="143" spans="4:28" ht="12.3" x14ac:dyDescent="0.35">
      <c r="D143" s="51" t="str">
        <f>"Total "&amp;D130</f>
        <v>Total EB RIN Categories</v>
      </c>
      <c r="E143" s="47" t="s">
        <v>111</v>
      </c>
      <c r="F143" s="47" t="str">
        <f>F132</f>
        <v>Dollars</v>
      </c>
      <c r="G143" s="47" t="str">
        <f>G132</f>
        <v>Nominal</v>
      </c>
      <c r="H143" s="47" t="str">
        <f>H132</f>
        <v>End_year</v>
      </c>
      <c r="J143" s="62">
        <f t="shared" ref="J143:AB143" si="60">SUM(J132:J141)</f>
        <v>0</v>
      </c>
      <c r="K143" s="46">
        <f t="shared" si="60"/>
        <v>0</v>
      </c>
      <c r="L143" s="46">
        <f t="shared" si="60"/>
        <v>0</v>
      </c>
      <c r="M143" s="46">
        <f t="shared" si="60"/>
        <v>0</v>
      </c>
      <c r="N143" s="46">
        <f t="shared" si="60"/>
        <v>0</v>
      </c>
      <c r="O143" s="46">
        <f t="shared" si="60"/>
        <v>0</v>
      </c>
      <c r="P143" s="46">
        <f t="shared" si="60"/>
        <v>0</v>
      </c>
      <c r="Q143" s="46">
        <f t="shared" si="60"/>
        <v>0</v>
      </c>
      <c r="R143" s="63">
        <f t="shared" si="60"/>
        <v>0</v>
      </c>
      <c r="S143" s="62">
        <f t="shared" si="60"/>
        <v>0</v>
      </c>
      <c r="T143" s="46">
        <f t="shared" si="60"/>
        <v>0</v>
      </c>
      <c r="U143" s="46">
        <f t="shared" si="60"/>
        <v>0</v>
      </c>
      <c r="V143" s="46">
        <f t="shared" si="60"/>
        <v>0</v>
      </c>
      <c r="W143" s="63">
        <f t="shared" si="60"/>
        <v>-8.732008076999314</v>
      </c>
      <c r="X143" s="62">
        <f t="shared" si="60"/>
        <v>0</v>
      </c>
      <c r="Y143" s="46">
        <f t="shared" si="60"/>
        <v>0</v>
      </c>
      <c r="Z143" s="46">
        <f t="shared" si="60"/>
        <v>0</v>
      </c>
      <c r="AA143" s="46">
        <f t="shared" si="60"/>
        <v>0</v>
      </c>
      <c r="AB143" s="63">
        <f t="shared" si="60"/>
        <v>0</v>
      </c>
    </row>
    <row r="144" spans="4:28" s="6" customFormat="1" ht="11.25" customHeight="1" x14ac:dyDescent="0.35"/>
    <row r="145" spans="1:28" s="6" customFormat="1" ht="11.25" customHeight="1" x14ac:dyDescent="0.35">
      <c r="A145" s="49">
        <f>IF(SUM($J145:$AB145)&lt;&gt;0,1,0)</f>
        <v>0</v>
      </c>
      <c r="D145" s="15" t="s">
        <v>114</v>
      </c>
      <c r="J145" s="70">
        <f>IF(ROUND(J143-Input_RAB_SCS!J$196,3)=0,0,1)</f>
        <v>0</v>
      </c>
      <c r="K145" s="70">
        <f>IF(ROUND(K143-Input_RAB_SCS!K$196,3)=0,0,1)</f>
        <v>0</v>
      </c>
      <c r="L145" s="70">
        <f>IF(ROUND(L143-Input_RAB_SCS!L$196,3)=0,0,1)</f>
        <v>0</v>
      </c>
      <c r="M145" s="70">
        <f>IF(ROUND(M143-Input_RAB_SCS!M$196,3)=0,0,1)</f>
        <v>0</v>
      </c>
      <c r="N145" s="70">
        <f>IF(ROUND(N143-Input_RAB_SCS!N$196,3)=0,0,1)</f>
        <v>0</v>
      </c>
      <c r="O145" s="70">
        <f>IF(ROUND(O143-Input_RAB_SCS!O$196,3)=0,0,1)</f>
        <v>0</v>
      </c>
      <c r="P145" s="70">
        <f>IF(ROUND(P143-Input_RAB_SCS!P$196,3)=0,0,1)</f>
        <v>0</v>
      </c>
      <c r="Q145" s="70">
        <f>IF(ROUND(Q143-Input_RAB_SCS!Q$196,3)=0,0,1)</f>
        <v>0</v>
      </c>
      <c r="R145" s="70">
        <f>IF(ROUND(R143-Input_RAB_SCS!R$196,3)=0,0,1)</f>
        <v>0</v>
      </c>
      <c r="S145" s="70">
        <f>IF(ROUND(S143-Input_RAB_SCS!S$196,3)=0,0,1)</f>
        <v>0</v>
      </c>
      <c r="T145" s="70">
        <f>IF(ROUND(T143-Input_RAB_SCS!T$196,3)=0,0,1)</f>
        <v>0</v>
      </c>
      <c r="U145" s="70">
        <f>IF(ROUND(U143-Input_RAB_SCS!U$196,3)=0,0,1)</f>
        <v>0</v>
      </c>
      <c r="V145" s="70">
        <f>IF(ROUND(V143-Input_RAB_SCS!V$196,3)=0,0,1)</f>
        <v>0</v>
      </c>
      <c r="W145" s="70">
        <f>IF(ROUND(W143-Input_RAB_SCS!W$196,3)=0,0,1)</f>
        <v>0</v>
      </c>
      <c r="X145" s="70">
        <f>IF(ROUND(X143-Input_RAB_SCS!X$196,3)=0,0,1)</f>
        <v>0</v>
      </c>
      <c r="Y145" s="70">
        <f>IF(ROUND(Y143-Input_RAB_SCS!Y$196,3)=0,0,1)</f>
        <v>0</v>
      </c>
      <c r="Z145" s="70">
        <f>IF(ROUND(Z143-Input_RAB_SCS!Z$196,3)=0,0,1)</f>
        <v>0</v>
      </c>
      <c r="AA145" s="70">
        <f>IF(ROUND(AA143-Input_RAB_SCS!AA$196,3)=0,0,1)</f>
        <v>0</v>
      </c>
      <c r="AB145" s="70">
        <f>IF(ROUND(AB143-Input_RAB_SCS!AB$196,3)=0,0,1)</f>
        <v>0</v>
      </c>
    </row>
    <row r="147" spans="1:28" s="13" customFormat="1" ht="14.1" x14ac:dyDescent="0.35">
      <c r="C147" s="13" t="s">
        <v>152</v>
      </c>
    </row>
    <row r="148" spans="1:28" s="6" customFormat="1" ht="11.25" customHeight="1" x14ac:dyDescent="0.35"/>
    <row r="149" spans="1:28" ht="12.3" x14ac:dyDescent="0.35">
      <c r="D149" s="50" t="str">
        <f>D$16</f>
        <v>EB RIN Categories</v>
      </c>
      <c r="E149" s="45" t="str">
        <f>Lookup!E$20</f>
        <v>Source</v>
      </c>
      <c r="F149" s="45" t="str">
        <f>Lookup!F$20</f>
        <v>Unit</v>
      </c>
      <c r="G149" s="45" t="str">
        <f>Lookup!G$20</f>
        <v>Basis</v>
      </c>
      <c r="H149" s="45" t="str">
        <f>Lookup!H$20</f>
        <v>Timing</v>
      </c>
      <c r="J149" s="54" t="str">
        <f t="shared" ref="J149:AB149" si="61">J$10</f>
        <v>RY06</v>
      </c>
      <c r="K149" s="45" t="str">
        <f t="shared" si="61"/>
        <v>RY07</v>
      </c>
      <c r="L149" s="45" t="str">
        <f t="shared" si="61"/>
        <v>RY08</v>
      </c>
      <c r="M149" s="45" t="str">
        <f t="shared" si="61"/>
        <v>RY09</v>
      </c>
      <c r="N149" s="45" t="str">
        <f t="shared" si="61"/>
        <v>RY10</v>
      </c>
      <c r="O149" s="45" t="str">
        <f t="shared" si="61"/>
        <v>RY11</v>
      </c>
      <c r="P149" s="45" t="str">
        <f t="shared" si="61"/>
        <v>RY12</v>
      </c>
      <c r="Q149" s="45" t="str">
        <f t="shared" si="61"/>
        <v>RY13</v>
      </c>
      <c r="R149" s="55" t="str">
        <f t="shared" si="61"/>
        <v>RY14</v>
      </c>
      <c r="S149" s="54" t="str">
        <f t="shared" si="61"/>
        <v>RY15</v>
      </c>
      <c r="T149" s="45" t="str">
        <f t="shared" si="61"/>
        <v>RY16</v>
      </c>
      <c r="U149" s="45" t="str">
        <f t="shared" si="61"/>
        <v>RY17</v>
      </c>
      <c r="V149" s="45" t="str">
        <f t="shared" si="61"/>
        <v>RY18</v>
      </c>
      <c r="W149" s="55" t="str">
        <f t="shared" si="61"/>
        <v>RY19</v>
      </c>
      <c r="X149" s="54" t="str">
        <f t="shared" si="61"/>
        <v>RY20</v>
      </c>
      <c r="Y149" s="45" t="str">
        <f t="shared" si="61"/>
        <v>RY21</v>
      </c>
      <c r="Z149" s="45" t="str">
        <f t="shared" si="61"/>
        <v>RY22</v>
      </c>
      <c r="AA149" s="45" t="str">
        <f t="shared" si="61"/>
        <v>RY23</v>
      </c>
      <c r="AB149" s="55" t="str">
        <f t="shared" si="61"/>
        <v>RY24</v>
      </c>
    </row>
    <row r="150" spans="1:28" x14ac:dyDescent="0.35">
      <c r="J150" s="56"/>
      <c r="K150" s="57"/>
      <c r="L150" s="57"/>
      <c r="M150" s="57"/>
      <c r="N150" s="57"/>
      <c r="O150" s="57"/>
      <c r="P150" s="57"/>
      <c r="Q150" s="57"/>
      <c r="R150" s="58"/>
      <c r="S150" s="56"/>
      <c r="T150" s="57"/>
      <c r="U150" s="57"/>
      <c r="V150" s="57"/>
      <c r="W150" s="58"/>
      <c r="X150" s="56"/>
      <c r="Y150" s="57"/>
      <c r="Z150" s="57"/>
      <c r="AA150" s="57"/>
      <c r="AB150" s="58"/>
    </row>
    <row r="151" spans="1:28" ht="12.3" x14ac:dyDescent="0.35">
      <c r="D151" s="15" t="str">
        <f t="shared" ref="D151:D160" si="62">D18</f>
        <v>Overhead network assets less than 33kV</v>
      </c>
      <c r="E151" s="52" t="s">
        <v>111</v>
      </c>
      <c r="F151" s="52" t="str">
        <f t="shared" ref="F151:F160" si="63">Dollars</f>
        <v>Dollars</v>
      </c>
      <c r="G151" s="52" t="str">
        <f t="shared" ref="G151:G160" si="64">Nominal</f>
        <v>Nominal</v>
      </c>
      <c r="H151" s="52" t="str">
        <f t="shared" ref="H151:H160" si="65">End_year</f>
        <v>End_year</v>
      </c>
      <c r="J151" s="66">
        <f t="shared" ref="J151:AB151" si="66">J113+J132</f>
        <v>39.530378195940614</v>
      </c>
      <c r="K151" s="67">
        <f t="shared" si="66"/>
        <v>42.859401197492588</v>
      </c>
      <c r="L151" s="67">
        <f t="shared" si="66"/>
        <v>47.321570244019213</v>
      </c>
      <c r="M151" s="67">
        <f t="shared" si="66"/>
        <v>50.670476566610887</v>
      </c>
      <c r="N151" s="67">
        <f t="shared" si="66"/>
        <v>54.233171117951258</v>
      </c>
      <c r="O151" s="67">
        <f t="shared" si="66"/>
        <v>58.023453706653321</v>
      </c>
      <c r="P151" s="67">
        <f t="shared" si="66"/>
        <v>61.534804740488809</v>
      </c>
      <c r="Q151" s="67">
        <f t="shared" si="66"/>
        <v>68.950202217090307</v>
      </c>
      <c r="R151" s="68">
        <f t="shared" si="66"/>
        <v>73.847985614290039</v>
      </c>
      <c r="S151" s="66">
        <f t="shared" si="66"/>
        <v>77.13450057099179</v>
      </c>
      <c r="T151" s="67">
        <f t="shared" si="66"/>
        <v>78.803421770456936</v>
      </c>
      <c r="U151" s="67">
        <f t="shared" si="66"/>
        <v>80.810394707005656</v>
      </c>
      <c r="V151" s="67">
        <f t="shared" si="66"/>
        <v>81.312375627561508</v>
      </c>
      <c r="W151" s="68">
        <f t="shared" si="66"/>
        <v>81.867018243478739</v>
      </c>
      <c r="X151" s="66">
        <f t="shared" si="66"/>
        <v>87.258942114446597</v>
      </c>
      <c r="Y151" s="67">
        <f t="shared" si="66"/>
        <v>93.993061593803645</v>
      </c>
      <c r="Z151" s="67">
        <f t="shared" si="66"/>
        <v>98.902910423450351</v>
      </c>
      <c r="AA151" s="67">
        <f t="shared" si="66"/>
        <v>103.17149675663056</v>
      </c>
      <c r="AB151" s="68">
        <f t="shared" si="66"/>
        <v>108.1593934928427</v>
      </c>
    </row>
    <row r="152" spans="1:28" ht="12.3" x14ac:dyDescent="0.35">
      <c r="D152" s="15" t="str">
        <f t="shared" si="62"/>
        <v>Underground network assets less than 33kV</v>
      </c>
      <c r="E152" s="52" t="s">
        <v>111</v>
      </c>
      <c r="F152" s="52" t="str">
        <f t="shared" si="63"/>
        <v>Dollars</v>
      </c>
      <c r="G152" s="52" t="str">
        <f t="shared" si="64"/>
        <v>Nominal</v>
      </c>
      <c r="H152" s="52" t="str">
        <f t="shared" si="65"/>
        <v>End_year</v>
      </c>
      <c r="J152" s="66">
        <f t="shared" ref="J152:AB152" si="67">J114+J133</f>
        <v>81.885727290221723</v>
      </c>
      <c r="K152" s="67">
        <f t="shared" si="67"/>
        <v>88.781676931826823</v>
      </c>
      <c r="L152" s="67">
        <f t="shared" si="67"/>
        <v>98.024897123186577</v>
      </c>
      <c r="M152" s="67">
        <f t="shared" si="67"/>
        <v>104.96203432638399</v>
      </c>
      <c r="N152" s="67">
        <f t="shared" si="67"/>
        <v>112.34202599135423</v>
      </c>
      <c r="O152" s="67">
        <f t="shared" si="67"/>
        <v>120.19345793314777</v>
      </c>
      <c r="P152" s="67">
        <f t="shared" si="67"/>
        <v>127.46709352476172</v>
      </c>
      <c r="Q152" s="67">
        <f t="shared" si="67"/>
        <v>142.82781904700283</v>
      </c>
      <c r="R152" s="68">
        <f t="shared" si="67"/>
        <v>152.97339838789335</v>
      </c>
      <c r="S152" s="66">
        <f t="shared" si="67"/>
        <v>159.78115642336564</v>
      </c>
      <c r="T152" s="67">
        <f t="shared" si="67"/>
        <v>163.23812353288056</v>
      </c>
      <c r="U152" s="67">
        <f t="shared" si="67"/>
        <v>167.39536014863893</v>
      </c>
      <c r="V152" s="67">
        <f t="shared" si="67"/>
        <v>168.43518376723807</v>
      </c>
      <c r="W152" s="68">
        <f t="shared" si="67"/>
        <v>169.58397346568381</v>
      </c>
      <c r="X152" s="66">
        <f t="shared" si="67"/>
        <v>180.75313316218052</v>
      </c>
      <c r="Y152" s="67">
        <f t="shared" si="67"/>
        <v>194.70259382863824</v>
      </c>
      <c r="Z152" s="67">
        <f t="shared" si="67"/>
        <v>204.87314883887046</v>
      </c>
      <c r="AA152" s="67">
        <f t="shared" si="67"/>
        <v>213.7153557138825</v>
      </c>
      <c r="AB152" s="68">
        <f t="shared" si="67"/>
        <v>224.04758585131071</v>
      </c>
    </row>
    <row r="153" spans="1:28" ht="12.3" x14ac:dyDescent="0.35">
      <c r="D153" s="15" t="str">
        <f t="shared" si="62"/>
        <v>Distribution substations and transformers</v>
      </c>
      <c r="E153" s="52" t="s">
        <v>111</v>
      </c>
      <c r="F153" s="52" t="str">
        <f t="shared" si="63"/>
        <v>Dollars</v>
      </c>
      <c r="G153" s="52" t="str">
        <f t="shared" si="64"/>
        <v>Nominal</v>
      </c>
      <c r="H153" s="52" t="str">
        <f t="shared" si="65"/>
        <v>End_year</v>
      </c>
      <c r="J153" s="66">
        <f t="shared" ref="J153:AB153" si="68">J115+J134</f>
        <v>53.641318105318</v>
      </c>
      <c r="K153" s="67">
        <f t="shared" si="68"/>
        <v>52.126765758952928</v>
      </c>
      <c r="L153" s="67">
        <f t="shared" si="68"/>
        <v>58.249076507805782</v>
      </c>
      <c r="M153" s="67">
        <f t="shared" si="68"/>
        <v>66.514098662941777</v>
      </c>
      <c r="N153" s="67">
        <f t="shared" si="68"/>
        <v>78.303384492724888</v>
      </c>
      <c r="O153" s="67">
        <f t="shared" si="68"/>
        <v>89.548152584566452</v>
      </c>
      <c r="P153" s="67">
        <f t="shared" si="68"/>
        <v>91.925418321244251</v>
      </c>
      <c r="Q153" s="67">
        <f t="shared" si="68"/>
        <v>94.751991446455591</v>
      </c>
      <c r="R153" s="68">
        <f t="shared" si="68"/>
        <v>97.873568916674429</v>
      </c>
      <c r="S153" s="66">
        <f t="shared" si="68"/>
        <v>108.4150511046913</v>
      </c>
      <c r="T153" s="67">
        <f t="shared" si="68"/>
        <v>117.1357853660836</v>
      </c>
      <c r="U153" s="67">
        <f t="shared" si="68"/>
        <v>123.77965850981232</v>
      </c>
      <c r="V153" s="67">
        <f t="shared" si="68"/>
        <v>128.54129185851647</v>
      </c>
      <c r="W153" s="68">
        <f t="shared" si="68"/>
        <v>143.42176279410162</v>
      </c>
      <c r="X153" s="66">
        <f t="shared" si="68"/>
        <v>149.37347095955261</v>
      </c>
      <c r="Y153" s="67">
        <f t="shared" si="68"/>
        <v>156.26013837692975</v>
      </c>
      <c r="Z153" s="67">
        <f t="shared" si="68"/>
        <v>162.9073927741035</v>
      </c>
      <c r="AA153" s="67">
        <f t="shared" si="68"/>
        <v>170.92977789652599</v>
      </c>
      <c r="AB153" s="68">
        <f t="shared" si="68"/>
        <v>179.57299905035427</v>
      </c>
    </row>
    <row r="154" spans="1:28" ht="12.3" x14ac:dyDescent="0.35">
      <c r="D154" s="15" t="str">
        <f t="shared" si="62"/>
        <v>Overhead network assets 33kV and above</v>
      </c>
      <c r="E154" s="52" t="s">
        <v>111</v>
      </c>
      <c r="F154" s="52" t="str">
        <f t="shared" si="63"/>
        <v>Dollars</v>
      </c>
      <c r="G154" s="52" t="str">
        <f t="shared" si="64"/>
        <v>Nominal</v>
      </c>
      <c r="H154" s="52" t="str">
        <f t="shared" si="65"/>
        <v>End_year</v>
      </c>
      <c r="J154" s="66">
        <f t="shared" ref="J154:AB154" si="69">J116+J135</f>
        <v>70.740199656719199</v>
      </c>
      <c r="K154" s="67">
        <f t="shared" si="69"/>
        <v>75.612645019104377</v>
      </c>
      <c r="L154" s="67">
        <f t="shared" si="69"/>
        <v>76.897616946939394</v>
      </c>
      <c r="M154" s="67">
        <f t="shared" si="69"/>
        <v>76.242035307053598</v>
      </c>
      <c r="N154" s="67">
        <f t="shared" si="69"/>
        <v>86.989103942939948</v>
      </c>
      <c r="O154" s="67">
        <f t="shared" si="69"/>
        <v>97.554269173773747</v>
      </c>
      <c r="P154" s="67">
        <f t="shared" si="69"/>
        <v>101.94955559821641</v>
      </c>
      <c r="Q154" s="67">
        <f t="shared" si="69"/>
        <v>111.32195664985137</v>
      </c>
      <c r="R154" s="68">
        <f t="shared" si="69"/>
        <v>112.69114532304692</v>
      </c>
      <c r="S154" s="66">
        <f t="shared" si="69"/>
        <v>112.64394026495373</v>
      </c>
      <c r="T154" s="67">
        <f t="shared" si="69"/>
        <v>114.13606717696348</v>
      </c>
      <c r="U154" s="67">
        <f t="shared" si="69"/>
        <v>116.39551161419392</v>
      </c>
      <c r="V154" s="67">
        <f t="shared" si="69"/>
        <v>120.67292872717621</v>
      </c>
      <c r="W154" s="68">
        <f t="shared" si="69"/>
        <v>120.32531256962051</v>
      </c>
      <c r="X154" s="66">
        <f t="shared" si="69"/>
        <v>120.91444021703823</v>
      </c>
      <c r="Y154" s="67">
        <f t="shared" si="69"/>
        <v>121.35502625510428</v>
      </c>
      <c r="Z154" s="67">
        <f t="shared" si="69"/>
        <v>121.65446115412682</v>
      </c>
      <c r="AA154" s="67">
        <f t="shared" si="69"/>
        <v>122.01797211602037</v>
      </c>
      <c r="AB154" s="68">
        <f t="shared" si="69"/>
        <v>122.31828967673989</v>
      </c>
    </row>
    <row r="155" spans="1:28" ht="12.3" x14ac:dyDescent="0.35">
      <c r="D155" s="15" t="str">
        <f t="shared" si="62"/>
        <v>Underground network assets 33kV and above</v>
      </c>
      <c r="E155" s="52" t="s">
        <v>111</v>
      </c>
      <c r="F155" s="52" t="str">
        <f t="shared" si="63"/>
        <v>Dollars</v>
      </c>
      <c r="G155" s="52" t="str">
        <f t="shared" si="64"/>
        <v>Nominal</v>
      </c>
      <c r="H155" s="52" t="str">
        <f t="shared" si="65"/>
        <v>End_year</v>
      </c>
      <c r="J155" s="66">
        <f t="shared" ref="J155:AB155" si="70">J117+J136</f>
        <v>35.397401764715589</v>
      </c>
      <c r="K155" s="67">
        <f t="shared" si="70"/>
        <v>37.835504949410108</v>
      </c>
      <c r="L155" s="67">
        <f t="shared" si="70"/>
        <v>38.478486843816412</v>
      </c>
      <c r="M155" s="67">
        <f t="shared" si="70"/>
        <v>38.150443004398092</v>
      </c>
      <c r="N155" s="67">
        <f t="shared" si="70"/>
        <v>43.528125116457396</v>
      </c>
      <c r="O155" s="67">
        <f t="shared" si="70"/>
        <v>48.814785320997913</v>
      </c>
      <c r="P155" s="67">
        <f t="shared" si="70"/>
        <v>51.014124878872899</v>
      </c>
      <c r="Q155" s="67">
        <f t="shared" si="70"/>
        <v>55.703942650588139</v>
      </c>
      <c r="R155" s="68">
        <f t="shared" si="70"/>
        <v>56.389065420837447</v>
      </c>
      <c r="S155" s="66">
        <f t="shared" si="70"/>
        <v>56.365444673161299</v>
      </c>
      <c r="T155" s="67">
        <f t="shared" si="70"/>
        <v>57.11208401040745</v>
      </c>
      <c r="U155" s="67">
        <f t="shared" si="70"/>
        <v>58.242678253819385</v>
      </c>
      <c r="V155" s="67">
        <f t="shared" si="70"/>
        <v>60.383037664709491</v>
      </c>
      <c r="W155" s="68">
        <f t="shared" si="70"/>
        <v>60.20909542467318</v>
      </c>
      <c r="X155" s="66">
        <f t="shared" si="70"/>
        <v>60.503886620168004</v>
      </c>
      <c r="Y155" s="67">
        <f t="shared" si="70"/>
        <v>60.724349681864581</v>
      </c>
      <c r="Z155" s="67">
        <f t="shared" si="70"/>
        <v>60.874182697243562</v>
      </c>
      <c r="AA155" s="67">
        <f t="shared" si="70"/>
        <v>61.056078473993779</v>
      </c>
      <c r="AB155" s="68">
        <f t="shared" si="70"/>
        <v>61.206353160881484</v>
      </c>
    </row>
    <row r="156" spans="1:28" ht="12.3" x14ac:dyDescent="0.35">
      <c r="D156" s="15" t="str">
        <f t="shared" si="62"/>
        <v>Zone substations and transformers</v>
      </c>
      <c r="E156" s="52" t="s">
        <v>111</v>
      </c>
      <c r="F156" s="52" t="str">
        <f t="shared" si="63"/>
        <v>Dollars</v>
      </c>
      <c r="G156" s="52" t="str">
        <f t="shared" si="64"/>
        <v>Nominal</v>
      </c>
      <c r="H156" s="52" t="str">
        <f t="shared" si="65"/>
        <v>End_year</v>
      </c>
      <c r="J156" s="66">
        <f t="shared" ref="J156:AB156" si="71">J118+J137</f>
        <v>49.257548154962308</v>
      </c>
      <c r="K156" s="67">
        <f t="shared" si="71"/>
        <v>51.93307559593201</v>
      </c>
      <c r="L156" s="67">
        <f t="shared" si="71"/>
        <v>73.566519243986875</v>
      </c>
      <c r="M156" s="67">
        <f t="shared" si="71"/>
        <v>105.48723246211824</v>
      </c>
      <c r="N156" s="67">
        <f t="shared" si="71"/>
        <v>134.25745022204163</v>
      </c>
      <c r="O156" s="67">
        <f t="shared" si="71"/>
        <v>175.9477180867863</v>
      </c>
      <c r="P156" s="67">
        <f t="shared" si="71"/>
        <v>211.49979112014324</v>
      </c>
      <c r="Q156" s="67">
        <f t="shared" si="71"/>
        <v>264.91040389827987</v>
      </c>
      <c r="R156" s="68">
        <f t="shared" si="71"/>
        <v>314.98760845090567</v>
      </c>
      <c r="S156" s="66">
        <f t="shared" si="71"/>
        <v>334.30781602676626</v>
      </c>
      <c r="T156" s="67">
        <f t="shared" si="71"/>
        <v>344.20334039390258</v>
      </c>
      <c r="U156" s="67">
        <f t="shared" si="71"/>
        <v>344.93919547332405</v>
      </c>
      <c r="V156" s="67">
        <f t="shared" si="71"/>
        <v>341.65083978271218</v>
      </c>
      <c r="W156" s="68">
        <f t="shared" si="71"/>
        <v>325.90080806224711</v>
      </c>
      <c r="X156" s="66">
        <f t="shared" si="71"/>
        <v>332.5534485892818</v>
      </c>
      <c r="Y156" s="67">
        <f t="shared" si="71"/>
        <v>338.83170779216249</v>
      </c>
      <c r="Z156" s="67">
        <f t="shared" si="71"/>
        <v>348.38225451899098</v>
      </c>
      <c r="AA156" s="67">
        <f t="shared" si="71"/>
        <v>357.95320913092814</v>
      </c>
      <c r="AB156" s="68">
        <f t="shared" si="71"/>
        <v>359.15366263962591</v>
      </c>
    </row>
    <row r="157" spans="1:28" ht="12.3" x14ac:dyDescent="0.35">
      <c r="D157" s="15" t="str">
        <f t="shared" si="62"/>
        <v>Easements</v>
      </c>
      <c r="E157" s="52" t="s">
        <v>111</v>
      </c>
      <c r="F157" s="52" t="str">
        <f t="shared" si="63"/>
        <v>Dollars</v>
      </c>
      <c r="G157" s="52" t="str">
        <f t="shared" si="64"/>
        <v>Nominal</v>
      </c>
      <c r="H157" s="52" t="str">
        <f t="shared" si="65"/>
        <v>End_year</v>
      </c>
      <c r="J157" s="66">
        <f t="shared" ref="J157:AB157" si="72">J119+J138</f>
        <v>29.444843897374323</v>
      </c>
      <c r="K157" s="67">
        <f t="shared" si="72"/>
        <v>30.922463155114897</v>
      </c>
      <c r="L157" s="67">
        <f t="shared" si="72"/>
        <v>32.243630749502024</v>
      </c>
      <c r="M157" s="67">
        <f t="shared" si="72"/>
        <v>33.029189859678155</v>
      </c>
      <c r="N157" s="67">
        <f t="shared" si="72"/>
        <v>33.993285131257949</v>
      </c>
      <c r="O157" s="67">
        <f t="shared" si="72"/>
        <v>35.10020933196067</v>
      </c>
      <c r="P157" s="67">
        <f t="shared" si="72"/>
        <v>35.671525048452402</v>
      </c>
      <c r="Q157" s="67">
        <f t="shared" si="72"/>
        <v>33.024999999999999</v>
      </c>
      <c r="R157" s="68">
        <f t="shared" si="72"/>
        <v>34.47125290902666</v>
      </c>
      <c r="S157" s="66">
        <f t="shared" si="72"/>
        <v>34.929125338558322</v>
      </c>
      <c r="T157" s="67">
        <f t="shared" si="72"/>
        <v>35.386997768089991</v>
      </c>
      <c r="U157" s="67">
        <f t="shared" si="72"/>
        <v>36.128882714951189</v>
      </c>
      <c r="V157" s="67">
        <f t="shared" si="72"/>
        <v>37.004962835958267</v>
      </c>
      <c r="W157" s="68">
        <f t="shared" si="72"/>
        <v>46.354917721396681</v>
      </c>
      <c r="X157" s="66">
        <f t="shared" si="72"/>
        <v>47.478966373746196</v>
      </c>
      <c r="Y157" s="67">
        <f t="shared" si="72"/>
        <v>48.630271797004951</v>
      </c>
      <c r="Z157" s="67">
        <f t="shared" si="72"/>
        <v>49.809494933703185</v>
      </c>
      <c r="AA157" s="67">
        <f t="shared" si="72"/>
        <v>51.017312753399054</v>
      </c>
      <c r="AB157" s="68">
        <f t="shared" si="72"/>
        <v>52.254418641313983</v>
      </c>
    </row>
    <row r="158" spans="1:28" ht="12.3" x14ac:dyDescent="0.35">
      <c r="D158" s="15" t="str">
        <f t="shared" si="62"/>
        <v>Meters</v>
      </c>
      <c r="E158" s="52" t="s">
        <v>111</v>
      </c>
      <c r="F158" s="52" t="str">
        <f t="shared" si="63"/>
        <v>Dollars</v>
      </c>
      <c r="G158" s="52" t="str">
        <f t="shared" si="64"/>
        <v>Nominal</v>
      </c>
      <c r="H158" s="52" t="str">
        <f t="shared" si="65"/>
        <v>End_year</v>
      </c>
      <c r="J158" s="66">
        <f t="shared" ref="J158:AB158" si="73">J120+J139</f>
        <v>0</v>
      </c>
      <c r="K158" s="67">
        <f t="shared" si="73"/>
        <v>0</v>
      </c>
      <c r="L158" s="67">
        <f t="shared" si="73"/>
        <v>0</v>
      </c>
      <c r="M158" s="67">
        <f t="shared" si="73"/>
        <v>0</v>
      </c>
      <c r="N158" s="67">
        <f t="shared" si="73"/>
        <v>0</v>
      </c>
      <c r="O158" s="67">
        <f t="shared" si="73"/>
        <v>0</v>
      </c>
      <c r="P158" s="67">
        <f t="shared" si="73"/>
        <v>0</v>
      </c>
      <c r="Q158" s="67">
        <f t="shared" si="73"/>
        <v>0</v>
      </c>
      <c r="R158" s="68">
        <f t="shared" si="73"/>
        <v>0</v>
      </c>
      <c r="S158" s="66">
        <f t="shared" si="73"/>
        <v>0</v>
      </c>
      <c r="T158" s="67">
        <f t="shared" si="73"/>
        <v>0</v>
      </c>
      <c r="U158" s="67">
        <f t="shared" si="73"/>
        <v>0</v>
      </c>
      <c r="V158" s="67">
        <f t="shared" si="73"/>
        <v>0</v>
      </c>
      <c r="W158" s="68">
        <f t="shared" si="73"/>
        <v>0</v>
      </c>
      <c r="X158" s="66">
        <f t="shared" si="73"/>
        <v>0</v>
      </c>
      <c r="Y158" s="67">
        <f t="shared" si="73"/>
        <v>0</v>
      </c>
      <c r="Z158" s="67">
        <f t="shared" si="73"/>
        <v>0</v>
      </c>
      <c r="AA158" s="67">
        <f t="shared" si="73"/>
        <v>0</v>
      </c>
      <c r="AB158" s="68">
        <f t="shared" si="73"/>
        <v>0</v>
      </c>
    </row>
    <row r="159" spans="1:28" ht="12.3" x14ac:dyDescent="0.35">
      <c r="D159" s="15" t="str">
        <f t="shared" si="62"/>
        <v>“Other” asset items with long lives</v>
      </c>
      <c r="E159" s="52" t="s">
        <v>111</v>
      </c>
      <c r="F159" s="52" t="str">
        <f t="shared" si="63"/>
        <v>Dollars</v>
      </c>
      <c r="G159" s="52" t="str">
        <f t="shared" si="64"/>
        <v>Nominal</v>
      </c>
      <c r="H159" s="52" t="str">
        <f t="shared" si="65"/>
        <v>End_year</v>
      </c>
      <c r="J159" s="66">
        <f t="shared" ref="J159:AB159" si="74">J121+J140</f>
        <v>0.58076591627221685</v>
      </c>
      <c r="K159" s="67">
        <f t="shared" si="74"/>
        <v>0.59519915206123042</v>
      </c>
      <c r="L159" s="67">
        <f t="shared" si="74"/>
        <v>1.1576579982008739</v>
      </c>
      <c r="M159" s="67">
        <f t="shared" si="74"/>
        <v>1.4515497160196358</v>
      </c>
      <c r="N159" s="67">
        <f t="shared" si="74"/>
        <v>1.4939192752980466</v>
      </c>
      <c r="O159" s="67">
        <f t="shared" si="74"/>
        <v>1.5425658063214072</v>
      </c>
      <c r="P159" s="67">
        <f t="shared" si="74"/>
        <v>1.5676736933012065</v>
      </c>
      <c r="Q159" s="67">
        <f t="shared" si="74"/>
        <v>1.6069047667071426</v>
      </c>
      <c r="R159" s="68">
        <f t="shared" si="74"/>
        <v>1.736675383044163</v>
      </c>
      <c r="S159" s="66">
        <f t="shared" si="74"/>
        <v>1.9050662301253951</v>
      </c>
      <c r="T159" s="67">
        <f t="shared" si="74"/>
        <v>2.4524778089326911</v>
      </c>
      <c r="U159" s="67">
        <f t="shared" si="74"/>
        <v>4.8751079789943796</v>
      </c>
      <c r="V159" s="67">
        <f t="shared" si="74"/>
        <v>9.1333197251311944</v>
      </c>
      <c r="W159" s="68">
        <f t="shared" si="74"/>
        <v>25.081416738636822</v>
      </c>
      <c r="X159" s="66">
        <f t="shared" si="74"/>
        <v>43.239454071347161</v>
      </c>
      <c r="Y159" s="67">
        <f t="shared" si="74"/>
        <v>52.905082065824587</v>
      </c>
      <c r="Z159" s="67">
        <f t="shared" si="74"/>
        <v>66.233970334572021</v>
      </c>
      <c r="AA159" s="67">
        <f t="shared" si="74"/>
        <v>69.043729499132567</v>
      </c>
      <c r="AB159" s="68">
        <f t="shared" si="74"/>
        <v>70.379904669759995</v>
      </c>
    </row>
    <row r="160" spans="1:28" ht="12.3" x14ac:dyDescent="0.35">
      <c r="D160" s="15" t="str">
        <f t="shared" si="62"/>
        <v>“Other” asset items with short lives</v>
      </c>
      <c r="E160" s="52" t="s">
        <v>111</v>
      </c>
      <c r="F160" s="52" t="str">
        <f t="shared" si="63"/>
        <v>Dollars</v>
      </c>
      <c r="G160" s="52" t="str">
        <f t="shared" si="64"/>
        <v>Nominal</v>
      </c>
      <c r="H160" s="52" t="str">
        <f t="shared" si="65"/>
        <v>End_year</v>
      </c>
      <c r="J160" s="66">
        <f t="shared" ref="J160:AB160" si="75">J122+J141</f>
        <v>0.82091709057313911</v>
      </c>
      <c r="K160" s="67">
        <f t="shared" si="75"/>
        <v>0.60044477799461515</v>
      </c>
      <c r="L160" s="67">
        <f t="shared" si="75"/>
        <v>0.29246182684719696</v>
      </c>
      <c r="M160" s="67">
        <f t="shared" si="75"/>
        <v>3.9470165527343323E-2</v>
      </c>
      <c r="N160" s="67">
        <f t="shared" si="75"/>
        <v>4.0622267656249544E-2</v>
      </c>
      <c r="O160" s="67">
        <f t="shared" si="75"/>
        <v>0.31592684001872451</v>
      </c>
      <c r="P160" s="67">
        <f t="shared" si="75"/>
        <v>2.8181106960225857</v>
      </c>
      <c r="Q160" s="67">
        <f t="shared" si="75"/>
        <v>7.2490899399153559</v>
      </c>
      <c r="R160" s="68">
        <f t="shared" si="75"/>
        <v>8.1706924591252257</v>
      </c>
      <c r="S160" s="66">
        <f t="shared" si="75"/>
        <v>7.5405950108274276</v>
      </c>
      <c r="T160" s="67">
        <f t="shared" si="75"/>
        <v>6.0591650950727729</v>
      </c>
      <c r="U160" s="67">
        <f t="shared" si="75"/>
        <v>4.4831236140217596</v>
      </c>
      <c r="V160" s="67">
        <f t="shared" si="75"/>
        <v>3.1603810910413817</v>
      </c>
      <c r="W160" s="68">
        <f t="shared" si="75"/>
        <v>0.75889239587925938</v>
      </c>
      <c r="X160" s="66">
        <f t="shared" si="75"/>
        <v>26.318022251292152</v>
      </c>
      <c r="Y160" s="67">
        <f t="shared" si="75"/>
        <v>29.12275370556188</v>
      </c>
      <c r="Z160" s="67">
        <f t="shared" si="75"/>
        <v>55.125597468258384</v>
      </c>
      <c r="AA160" s="67">
        <f t="shared" si="75"/>
        <v>55.583814809038977</v>
      </c>
      <c r="AB160" s="68">
        <f t="shared" si="75"/>
        <v>54.671282008480127</v>
      </c>
    </row>
    <row r="161" spans="1:28" x14ac:dyDescent="0.35">
      <c r="J161" s="56"/>
      <c r="K161" s="57"/>
      <c r="L161" s="57"/>
      <c r="M161" s="57"/>
      <c r="N161" s="57"/>
      <c r="O161" s="57"/>
      <c r="P161" s="57"/>
      <c r="Q161" s="57"/>
      <c r="R161" s="58"/>
      <c r="S161" s="56"/>
      <c r="T161" s="57"/>
      <c r="U161" s="57"/>
      <c r="V161" s="57"/>
      <c r="W161" s="58"/>
      <c r="X161" s="56"/>
      <c r="Y161" s="57"/>
      <c r="Z161" s="57"/>
      <c r="AA161" s="57"/>
      <c r="AB161" s="58"/>
    </row>
    <row r="162" spans="1:28" ht="12.3" x14ac:dyDescent="0.35">
      <c r="D162" s="51" t="str">
        <f>"Total "&amp;D149</f>
        <v>Total EB RIN Categories</v>
      </c>
      <c r="E162" s="47" t="s">
        <v>111</v>
      </c>
      <c r="F162" s="47" t="str">
        <f>F151</f>
        <v>Dollars</v>
      </c>
      <c r="G162" s="47" t="str">
        <f>G151</f>
        <v>Nominal</v>
      </c>
      <c r="H162" s="47" t="str">
        <f>H151</f>
        <v>End_year</v>
      </c>
      <c r="J162" s="62">
        <f t="shared" ref="J162:AB162" si="76">SUM(J151:J160)</f>
        <v>361.29910007209708</v>
      </c>
      <c r="K162" s="46">
        <f t="shared" si="76"/>
        <v>381.26717653788955</v>
      </c>
      <c r="L162" s="46">
        <f t="shared" si="76"/>
        <v>426.23191748430435</v>
      </c>
      <c r="M162" s="46">
        <f t="shared" si="76"/>
        <v>476.54653007073171</v>
      </c>
      <c r="N162" s="46">
        <f t="shared" si="76"/>
        <v>545.18108755768151</v>
      </c>
      <c r="O162" s="46">
        <f t="shared" si="76"/>
        <v>627.0405387842261</v>
      </c>
      <c r="P162" s="46">
        <f t="shared" si="76"/>
        <v>685.44809762150362</v>
      </c>
      <c r="Q162" s="46">
        <f t="shared" si="76"/>
        <v>780.34731061589059</v>
      </c>
      <c r="R162" s="63">
        <f t="shared" si="76"/>
        <v>853.14139286484385</v>
      </c>
      <c r="S162" s="62">
        <f t="shared" si="76"/>
        <v>893.02269564344124</v>
      </c>
      <c r="T162" s="46">
        <f t="shared" si="76"/>
        <v>918.52746292279005</v>
      </c>
      <c r="U162" s="46">
        <f t="shared" si="76"/>
        <v>937.04991301476161</v>
      </c>
      <c r="V162" s="46">
        <f t="shared" si="76"/>
        <v>950.29432108004471</v>
      </c>
      <c r="W162" s="63">
        <f t="shared" si="76"/>
        <v>973.50319741571764</v>
      </c>
      <c r="X162" s="62">
        <f t="shared" si="76"/>
        <v>1048.3937643590532</v>
      </c>
      <c r="Y162" s="46">
        <f t="shared" si="76"/>
        <v>1096.5249850968946</v>
      </c>
      <c r="Z162" s="46">
        <f t="shared" si="76"/>
        <v>1168.7634131433192</v>
      </c>
      <c r="AA162" s="46">
        <f t="shared" si="76"/>
        <v>1204.488747149552</v>
      </c>
      <c r="AB162" s="63">
        <f t="shared" si="76"/>
        <v>1231.7638891913091</v>
      </c>
    </row>
    <row r="163" spans="1:28" s="6" customFormat="1" ht="11.25" customHeight="1" x14ac:dyDescent="0.35"/>
    <row r="164" spans="1:28" s="6" customFormat="1" ht="11.25" customHeight="1" x14ac:dyDescent="0.35">
      <c r="A164" s="49">
        <f>IF(SUM($J164:$AB164)&lt;&gt;0,1,0)</f>
        <v>0</v>
      </c>
      <c r="D164" s="15" t="s">
        <v>114</v>
      </c>
      <c r="J164" s="70">
        <f>IF(ROUND(J162-Input_RAB_SCS!J$223,3)=0,0,1)</f>
        <v>0</v>
      </c>
      <c r="K164" s="70">
        <f>IF(ROUND(K162-Input_RAB_SCS!K$223,3)=0,0,1)</f>
        <v>0</v>
      </c>
      <c r="L164" s="70">
        <f>IF(ROUND(L162-Input_RAB_SCS!L$223,3)=0,0,1)</f>
        <v>0</v>
      </c>
      <c r="M164" s="70">
        <f>IF(ROUND(M162-Input_RAB_SCS!M$223,3)=0,0,1)</f>
        <v>0</v>
      </c>
      <c r="N164" s="70">
        <f>IF(ROUND(N162-Input_RAB_SCS!N$223,3)=0,0,1)</f>
        <v>0</v>
      </c>
      <c r="O164" s="70">
        <f>IF(ROUND(O162-Input_RAB_SCS!O$223,3)=0,0,1)</f>
        <v>0</v>
      </c>
      <c r="P164" s="70">
        <f>IF(ROUND(P162-Input_RAB_SCS!P$223,3)=0,0,1)</f>
        <v>0</v>
      </c>
      <c r="Q164" s="70">
        <f>IF(ROUND(Q162-Input_RAB_SCS!Q$223,3)=0,0,1)</f>
        <v>0</v>
      </c>
      <c r="R164" s="70">
        <f>IF(ROUND(R162-Input_RAB_SCS!R$223,3)=0,0,1)</f>
        <v>0</v>
      </c>
      <c r="S164" s="70">
        <f>IF(ROUND(S162-Input_RAB_SCS!S$223,3)=0,0,1)</f>
        <v>0</v>
      </c>
      <c r="T164" s="70">
        <f>IF(ROUND(T162-Input_RAB_SCS!T$223,3)=0,0,1)</f>
        <v>0</v>
      </c>
      <c r="U164" s="70">
        <f>IF(ROUND(U162-Input_RAB_SCS!U$223,3)=0,0,1)</f>
        <v>0</v>
      </c>
      <c r="V164" s="70">
        <f>IF(ROUND(V162-Input_RAB_SCS!V$223,3)=0,0,1)</f>
        <v>0</v>
      </c>
      <c r="W164" s="70">
        <f>IF(ROUND(W162-Input_RAB_SCS!W$223,3)=0,0,1)</f>
        <v>0</v>
      </c>
      <c r="X164" s="70">
        <f>IF(ROUND(X162-Input_RAB_SCS!X$223,3)=0,0,1)</f>
        <v>0</v>
      </c>
      <c r="Y164" s="70">
        <f>IF(ROUND(Y162-Input_RAB_SCS!Y$223,3)=0,0,1)</f>
        <v>0</v>
      </c>
      <c r="Z164" s="70">
        <f>IF(ROUND(Z162-Input_RAB_SCS!Z$223,3)=0,0,1)</f>
        <v>0</v>
      </c>
      <c r="AA164" s="70">
        <f>IF(ROUND(AA162-Input_RAB_SCS!AA$223,3)=0,0,1)</f>
        <v>0</v>
      </c>
      <c r="AB164" s="70">
        <f>IF(ROUND(AB162-Input_RAB_SCS!AB$223,3)=0,0,1)</f>
        <v>0</v>
      </c>
    </row>
    <row r="166" spans="1:28" s="4" customFormat="1" ht="15" x14ac:dyDescent="0.35">
      <c r="B166" s="4" t="s">
        <v>33</v>
      </c>
    </row>
  </sheetData>
  <conditionalFormatting sqref="B2">
    <cfRule type="cellIs" dxfId="10" priority="1" operator="notEqual">
      <formula>"No Errors Found"</formula>
    </cfRule>
  </conditionalFormatting>
  <hyperlinks>
    <hyperlink ref="B3:E3" location="TOC!A1" display="TOC!A1"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sheetPr>
  <dimension ref="A1:AB166"/>
  <sheetViews>
    <sheetView showGridLines="0" zoomScaleNormal="100" workbookViewId="0">
      <pane xSplit="1" ySplit="10" topLeftCell="B11" activePane="bottomRight" state="frozen"/>
      <selection activeCell="B5" sqref="B5"/>
      <selection pane="topRight" activeCell="B5" sqref="B5"/>
      <selection pane="bottomLeft" activeCell="B5" sqref="B5"/>
      <selection pane="bottomRight" activeCell="B11" sqref="B11"/>
    </sheetView>
  </sheetViews>
  <sheetFormatPr defaultColWidth="9.33203125" defaultRowHeight="10.199999999999999" outlineLevelRow="1" x14ac:dyDescent="0.35"/>
  <cols>
    <col min="1" max="1" width="3.33203125" style="7" customWidth="1"/>
    <col min="2" max="3" width="2.796875" style="7" customWidth="1"/>
    <col min="4" max="4" width="47.46484375" style="7" customWidth="1"/>
    <col min="5" max="5" width="11.796875" style="7" customWidth="1"/>
    <col min="6" max="6" width="9.1328125" style="7" customWidth="1"/>
    <col min="7" max="7" width="12" style="7" customWidth="1"/>
    <col min="8" max="8" width="10" style="7" customWidth="1"/>
    <col min="9" max="9" width="4.46484375" style="7" customWidth="1"/>
    <col min="10" max="28" width="12.796875" style="7" customWidth="1"/>
    <col min="29" max="29" width="4.33203125" style="7" customWidth="1"/>
    <col min="30" max="31" width="10.796875" style="7" customWidth="1"/>
    <col min="32" max="16384" width="9.33203125" style="7"/>
  </cols>
  <sheetData>
    <row r="1" spans="1:28" ht="18.899999999999999" x14ac:dyDescent="0.35">
      <c r="A1" s="49">
        <f>IF(SUM($A11:$A166)&gt;0,1,0)</f>
        <v>0</v>
      </c>
      <c r="B1" s="5" t="s">
        <v>162</v>
      </c>
    </row>
    <row r="2" spans="1:28" x14ac:dyDescent="0.35">
      <c r="B2" s="18" t="str">
        <f>Title_Msg</f>
        <v>No Errors Found</v>
      </c>
    </row>
    <row r="3" spans="1:28" x14ac:dyDescent="0.35">
      <c r="B3" s="37" t="str">
        <f>TOC!B1</f>
        <v>Table of Contents</v>
      </c>
      <c r="C3" s="35"/>
      <c r="D3" s="35"/>
      <c r="E3" s="35"/>
    </row>
    <row r="4" spans="1:28" ht="12.3" x14ac:dyDescent="0.35">
      <c r="B4" s="34" t="str">
        <f>Model_Name</f>
        <v>Power and Water Corporation (PWC) - RAB Allocation - EB RIN - DRAFT</v>
      </c>
    </row>
    <row r="5" spans="1:28" ht="12.3" hidden="1" outlineLevel="1" x14ac:dyDescent="0.35">
      <c r="B5" s="15" t="str">
        <f>Lookup!B15</f>
        <v>Period Start Date</v>
      </c>
      <c r="J5" s="42">
        <f>Lookup!J15</f>
        <v>38534</v>
      </c>
      <c r="K5" s="42">
        <f>Lookup!K15</f>
        <v>38899</v>
      </c>
      <c r="L5" s="42">
        <f>Lookup!L15</f>
        <v>39264</v>
      </c>
      <c r="M5" s="42">
        <f>Lookup!M15</f>
        <v>39630</v>
      </c>
      <c r="N5" s="42">
        <f>Lookup!N15</f>
        <v>39995</v>
      </c>
      <c r="O5" s="42">
        <f>Lookup!O15</f>
        <v>40360</v>
      </c>
      <c r="P5" s="42">
        <f>Lookup!P15</f>
        <v>40725</v>
      </c>
      <c r="Q5" s="42">
        <f>Lookup!Q15</f>
        <v>41091</v>
      </c>
      <c r="R5" s="42">
        <f>Lookup!R15</f>
        <v>41456</v>
      </c>
      <c r="S5" s="42">
        <f>Lookup!S15</f>
        <v>41821</v>
      </c>
      <c r="T5" s="42">
        <f>Lookup!T15</f>
        <v>42186</v>
      </c>
      <c r="U5" s="42">
        <f>Lookup!U15</f>
        <v>42552</v>
      </c>
      <c r="V5" s="42">
        <f>Lookup!V15</f>
        <v>42917</v>
      </c>
      <c r="W5" s="42">
        <f>Lookup!W15</f>
        <v>43282</v>
      </c>
      <c r="X5" s="42">
        <f>Lookup!X15</f>
        <v>43647</v>
      </c>
      <c r="Y5" s="42">
        <f>Lookup!Y15</f>
        <v>44013</v>
      </c>
      <c r="Z5" s="42">
        <f>Lookup!Z15</f>
        <v>44378</v>
      </c>
      <c r="AA5" s="42">
        <f>Lookup!AA15</f>
        <v>44743</v>
      </c>
      <c r="AB5" s="42">
        <f>Lookup!AB15</f>
        <v>45108</v>
      </c>
    </row>
    <row r="6" spans="1:28" ht="12.3" hidden="1" outlineLevel="1" x14ac:dyDescent="0.35">
      <c r="B6" s="15" t="str">
        <f>Lookup!B16</f>
        <v>Period End Date</v>
      </c>
      <c r="J6" s="42">
        <f>Lookup!J16</f>
        <v>38898</v>
      </c>
      <c r="K6" s="42">
        <f>Lookup!K16</f>
        <v>39263</v>
      </c>
      <c r="L6" s="42">
        <f>Lookup!L16</f>
        <v>39629</v>
      </c>
      <c r="M6" s="42">
        <f>Lookup!M16</f>
        <v>39994</v>
      </c>
      <c r="N6" s="42">
        <f>Lookup!N16</f>
        <v>40359</v>
      </c>
      <c r="O6" s="42">
        <f>Lookup!O16</f>
        <v>40724</v>
      </c>
      <c r="P6" s="42">
        <f>Lookup!P16</f>
        <v>41090</v>
      </c>
      <c r="Q6" s="42">
        <f>Lookup!Q16</f>
        <v>41455</v>
      </c>
      <c r="R6" s="42">
        <f>Lookup!R16</f>
        <v>41820</v>
      </c>
      <c r="S6" s="42">
        <f>Lookup!S16</f>
        <v>42185</v>
      </c>
      <c r="T6" s="42">
        <f>Lookup!T16</f>
        <v>42551</v>
      </c>
      <c r="U6" s="42">
        <f>Lookup!U16</f>
        <v>42916</v>
      </c>
      <c r="V6" s="42">
        <f>Lookup!V16</f>
        <v>43281</v>
      </c>
      <c r="W6" s="42">
        <f>Lookup!W16</f>
        <v>43646</v>
      </c>
      <c r="X6" s="42">
        <f>Lookup!X16</f>
        <v>44012</v>
      </c>
      <c r="Y6" s="42">
        <f>Lookup!Y16</f>
        <v>44377</v>
      </c>
      <c r="Z6" s="42">
        <f>Lookup!Z16</f>
        <v>44742</v>
      </c>
      <c r="AA6" s="42">
        <f>Lookup!AA16</f>
        <v>45107</v>
      </c>
      <c r="AB6" s="42">
        <f>Lookup!AB16</f>
        <v>45473</v>
      </c>
    </row>
    <row r="7" spans="1:28" ht="12.3" hidden="1" outlineLevel="1" x14ac:dyDescent="0.35">
      <c r="B7" s="15" t="str">
        <f>Lookup!B17</f>
        <v>Period Counter</v>
      </c>
      <c r="J7" s="43">
        <f>Lookup!J17</f>
        <v>1</v>
      </c>
      <c r="K7" s="43">
        <f>Lookup!K17</f>
        <v>2</v>
      </c>
      <c r="L7" s="43">
        <f>Lookup!L17</f>
        <v>3</v>
      </c>
      <c r="M7" s="43">
        <f>Lookup!M17</f>
        <v>4</v>
      </c>
      <c r="N7" s="43">
        <f>Lookup!N17</f>
        <v>5</v>
      </c>
      <c r="O7" s="43">
        <f>Lookup!O17</f>
        <v>6</v>
      </c>
      <c r="P7" s="43">
        <f>Lookup!P17</f>
        <v>7</v>
      </c>
      <c r="Q7" s="43">
        <f>Lookup!Q17</f>
        <v>8</v>
      </c>
      <c r="R7" s="43">
        <f>Lookup!R17</f>
        <v>9</v>
      </c>
      <c r="S7" s="43">
        <f>Lookup!S17</f>
        <v>10</v>
      </c>
      <c r="T7" s="43">
        <f>Lookup!T17</f>
        <v>11</v>
      </c>
      <c r="U7" s="43">
        <f>Lookup!U17</f>
        <v>12</v>
      </c>
      <c r="V7" s="43">
        <f>Lookup!V17</f>
        <v>13</v>
      </c>
      <c r="W7" s="43">
        <f>Lookup!W17</f>
        <v>14</v>
      </c>
      <c r="X7" s="43">
        <f>Lookup!X17</f>
        <v>15</v>
      </c>
      <c r="Y7" s="43">
        <f>Lookup!Y17</f>
        <v>16</v>
      </c>
      <c r="Z7" s="43">
        <f>Lookup!Z17</f>
        <v>17</v>
      </c>
      <c r="AA7" s="43">
        <f>Lookup!AA17</f>
        <v>18</v>
      </c>
      <c r="AB7" s="43">
        <f>Lookup!AB17</f>
        <v>19</v>
      </c>
    </row>
    <row r="8" spans="1:28" ht="12.3" hidden="1" outlineLevel="1" x14ac:dyDescent="0.35">
      <c r="B8" s="15" t="str">
        <f>Lookup!B18</f>
        <v>Year</v>
      </c>
      <c r="J8" s="44">
        <f>Lookup!J18</f>
        <v>2006</v>
      </c>
      <c r="K8" s="44">
        <f>Lookup!K18</f>
        <v>2007</v>
      </c>
      <c r="L8" s="44">
        <f>Lookup!L18</f>
        <v>2008</v>
      </c>
      <c r="M8" s="44">
        <f>Lookup!M18</f>
        <v>2009</v>
      </c>
      <c r="N8" s="44">
        <f>Lookup!N18</f>
        <v>2010</v>
      </c>
      <c r="O8" s="44">
        <f>Lookup!O18</f>
        <v>2011</v>
      </c>
      <c r="P8" s="44">
        <f>Lookup!P18</f>
        <v>2012</v>
      </c>
      <c r="Q8" s="44">
        <f>Lookup!Q18</f>
        <v>2013</v>
      </c>
      <c r="R8" s="44">
        <f>Lookup!R18</f>
        <v>2014</v>
      </c>
      <c r="S8" s="44">
        <f>Lookup!S18</f>
        <v>2015</v>
      </c>
      <c r="T8" s="44">
        <f>Lookup!T18</f>
        <v>2016</v>
      </c>
      <c r="U8" s="44">
        <f>Lookup!U18</f>
        <v>2017</v>
      </c>
      <c r="V8" s="44">
        <f>Lookup!V18</f>
        <v>2018</v>
      </c>
      <c r="W8" s="44">
        <f>Lookup!W18</f>
        <v>2019</v>
      </c>
      <c r="X8" s="44">
        <f>Lookup!X18</f>
        <v>2020</v>
      </c>
      <c r="Y8" s="44">
        <f>Lookup!Y18</f>
        <v>2021</v>
      </c>
      <c r="Z8" s="44">
        <f>Lookup!Z18</f>
        <v>2022</v>
      </c>
      <c r="AA8" s="44">
        <f>Lookup!AA18</f>
        <v>2023</v>
      </c>
      <c r="AB8" s="44">
        <f>Lookup!AB18</f>
        <v>2024</v>
      </c>
    </row>
    <row r="9" spans="1:28" ht="12.3" hidden="1" outlineLevel="1" x14ac:dyDescent="0.35">
      <c r="B9" s="15" t="str">
        <f>Lookup!B19</f>
        <v>Period Type</v>
      </c>
      <c r="J9" s="44" t="str">
        <f>Lookup!J19</f>
        <v>Actual</v>
      </c>
      <c r="K9" s="44" t="str">
        <f>Lookup!K19</f>
        <v>Actual</v>
      </c>
      <c r="L9" s="44" t="str">
        <f>Lookup!L19</f>
        <v>Actual</v>
      </c>
      <c r="M9" s="44" t="str">
        <f>Lookup!M19</f>
        <v>Base Year</v>
      </c>
      <c r="N9" s="44" t="str">
        <f>Lookup!N19</f>
        <v>Forecast</v>
      </c>
      <c r="O9" s="44" t="str">
        <f>Lookup!O19</f>
        <v>Forecast</v>
      </c>
      <c r="P9" s="44" t="str">
        <f>Lookup!P19</f>
        <v>Forecast</v>
      </c>
      <c r="Q9" s="44" t="str">
        <f>Lookup!Q19</f>
        <v>Forecast</v>
      </c>
      <c r="R9" s="44" t="str">
        <f>Lookup!R19</f>
        <v>Forecast</v>
      </c>
      <c r="S9" s="44" t="str">
        <f>Lookup!S19</f>
        <v>Forecast</v>
      </c>
      <c r="T9" s="44" t="str">
        <f>Lookup!T19</f>
        <v>Forecast</v>
      </c>
      <c r="U9" s="44" t="str">
        <f>Lookup!U19</f>
        <v>Forecast</v>
      </c>
      <c r="V9" s="44" t="str">
        <f>Lookup!V19</f>
        <v>Forecast</v>
      </c>
      <c r="W9" s="44" t="str">
        <f>Lookup!W19</f>
        <v>Forecast</v>
      </c>
      <c r="X9" s="44" t="str">
        <f>Lookup!X19</f>
        <v>Forecast</v>
      </c>
      <c r="Y9" s="44" t="str">
        <f>Lookup!Y19</f>
        <v>Forecast</v>
      </c>
      <c r="Z9" s="44" t="str">
        <f>Lookup!Z19</f>
        <v>Forecast</v>
      </c>
      <c r="AA9" s="44" t="str">
        <f>Lookup!AA19</f>
        <v>Forecast</v>
      </c>
      <c r="AB9" s="44" t="str">
        <f>Lookup!AB19</f>
        <v>Forecast</v>
      </c>
    </row>
    <row r="10" spans="1:28" ht="12.3" collapsed="1" x14ac:dyDescent="0.35">
      <c r="B10" s="10" t="str">
        <f>Lookup!B20</f>
        <v>Regulatory Year</v>
      </c>
      <c r="E10" s="41" t="str">
        <f>Lookup!E20</f>
        <v>Source</v>
      </c>
      <c r="F10" s="41" t="str">
        <f>Lookup!F20</f>
        <v>Unit</v>
      </c>
      <c r="G10" s="41" t="str">
        <f>Lookup!G20</f>
        <v>Basis</v>
      </c>
      <c r="H10" s="41" t="str">
        <f>Lookup!H20</f>
        <v>Timing</v>
      </c>
      <c r="I10" s="41"/>
      <c r="J10" s="41" t="str">
        <f>Lookup!J20</f>
        <v>RY06</v>
      </c>
      <c r="K10" s="41" t="str">
        <f>Lookup!K20</f>
        <v>RY07</v>
      </c>
      <c r="L10" s="41" t="str">
        <f>Lookup!L20</f>
        <v>RY08</v>
      </c>
      <c r="M10" s="41" t="str">
        <f>Lookup!M20</f>
        <v>RY09</v>
      </c>
      <c r="N10" s="41" t="str">
        <f>Lookup!N20</f>
        <v>RY10</v>
      </c>
      <c r="O10" s="41" t="str">
        <f>Lookup!O20</f>
        <v>RY11</v>
      </c>
      <c r="P10" s="41" t="str">
        <f>Lookup!P20</f>
        <v>RY12</v>
      </c>
      <c r="Q10" s="41" t="str">
        <f>Lookup!Q20</f>
        <v>RY13</v>
      </c>
      <c r="R10" s="41" t="str">
        <f>Lookup!R20</f>
        <v>RY14</v>
      </c>
      <c r="S10" s="41" t="str">
        <f>Lookup!S20</f>
        <v>RY15</v>
      </c>
      <c r="T10" s="41" t="str">
        <f>Lookup!T20</f>
        <v>RY16</v>
      </c>
      <c r="U10" s="41" t="str">
        <f>Lookup!U20</f>
        <v>RY17</v>
      </c>
      <c r="V10" s="41" t="str">
        <f>Lookup!V20</f>
        <v>RY18</v>
      </c>
      <c r="W10" s="41" t="str">
        <f>Lookup!W20</f>
        <v>RY19</v>
      </c>
      <c r="X10" s="41" t="str">
        <f>Lookup!X20</f>
        <v>RY20</v>
      </c>
      <c r="Y10" s="41" t="str">
        <f>Lookup!Y20</f>
        <v>RY21</v>
      </c>
      <c r="Z10" s="41" t="str">
        <f>Lookup!Z20</f>
        <v>RY22</v>
      </c>
      <c r="AA10" s="41" t="str">
        <f>Lookup!AA20</f>
        <v>RY23</v>
      </c>
      <c r="AB10" s="41" t="str">
        <f>Lookup!AB20</f>
        <v>RY24</v>
      </c>
    </row>
    <row r="12" spans="1:28" s="4" customFormat="1" ht="15" x14ac:dyDescent="0.35">
      <c r="B12" s="4" t="s">
        <v>155</v>
      </c>
    </row>
    <row r="13" spans="1:28" s="6" customFormat="1" ht="4.5" customHeight="1" x14ac:dyDescent="0.35"/>
    <row r="14" spans="1:28" s="13" customFormat="1" ht="14.1" x14ac:dyDescent="0.35">
      <c r="C14" s="13" t="s">
        <v>147</v>
      </c>
    </row>
    <row r="15" spans="1:28" s="6" customFormat="1" ht="11.25" customHeight="1" x14ac:dyDescent="0.35"/>
    <row r="16" spans="1:28" ht="12.3" x14ac:dyDescent="0.35">
      <c r="D16" s="50" t="s">
        <v>201</v>
      </c>
      <c r="E16" s="45" t="str">
        <f>Lookup!E$20</f>
        <v>Source</v>
      </c>
      <c r="F16" s="45" t="str">
        <f>Lookup!F$20</f>
        <v>Unit</v>
      </c>
      <c r="G16" s="45" t="str">
        <f>Lookup!G$20</f>
        <v>Basis</v>
      </c>
      <c r="H16" s="45" t="str">
        <f>Lookup!H$20</f>
        <v>Timing</v>
      </c>
      <c r="J16" s="54" t="str">
        <f>J$10</f>
        <v>RY06</v>
      </c>
      <c r="K16" s="45" t="str">
        <f t="shared" ref="K16:AB16" si="0">K$10</f>
        <v>RY07</v>
      </c>
      <c r="L16" s="45" t="str">
        <f t="shared" si="0"/>
        <v>RY08</v>
      </c>
      <c r="M16" s="45" t="str">
        <f t="shared" si="0"/>
        <v>RY09</v>
      </c>
      <c r="N16" s="45" t="str">
        <f t="shared" si="0"/>
        <v>RY10</v>
      </c>
      <c r="O16" s="45" t="str">
        <f>O$10</f>
        <v>RY11</v>
      </c>
      <c r="P16" s="45" t="str">
        <f t="shared" si="0"/>
        <v>RY12</v>
      </c>
      <c r="Q16" s="45" t="str">
        <f t="shared" si="0"/>
        <v>RY13</v>
      </c>
      <c r="R16" s="55" t="str">
        <f t="shared" si="0"/>
        <v>RY14</v>
      </c>
      <c r="S16" s="54" t="str">
        <f t="shared" si="0"/>
        <v>RY15</v>
      </c>
      <c r="T16" s="45" t="str">
        <f>T$10</f>
        <v>RY16</v>
      </c>
      <c r="U16" s="45" t="str">
        <f t="shared" si="0"/>
        <v>RY17</v>
      </c>
      <c r="V16" s="45" t="str">
        <f t="shared" si="0"/>
        <v>RY18</v>
      </c>
      <c r="W16" s="55" t="str">
        <f t="shared" si="0"/>
        <v>RY19</v>
      </c>
      <c r="X16" s="54" t="str">
        <f t="shared" si="0"/>
        <v>RY20</v>
      </c>
      <c r="Y16" s="45" t="str">
        <f>Y$10</f>
        <v>RY21</v>
      </c>
      <c r="Z16" s="45" t="str">
        <f t="shared" si="0"/>
        <v>RY22</v>
      </c>
      <c r="AA16" s="45" t="str">
        <f t="shared" si="0"/>
        <v>RY23</v>
      </c>
      <c r="AB16" s="55" t="str">
        <f t="shared" si="0"/>
        <v>RY24</v>
      </c>
    </row>
    <row r="17" spans="1:28" x14ac:dyDescent="0.35">
      <c r="J17" s="56"/>
      <c r="K17" s="57"/>
      <c r="L17" s="57"/>
      <c r="M17" s="57"/>
      <c r="N17" s="57"/>
      <c r="O17" s="57"/>
      <c r="P17" s="57"/>
      <c r="Q17" s="57"/>
      <c r="R17" s="58"/>
      <c r="S17" s="56"/>
      <c r="T17" s="57"/>
      <c r="U17" s="57"/>
      <c r="V17" s="57"/>
      <c r="W17" s="58"/>
      <c r="X17" s="56"/>
      <c r="Y17" s="57"/>
      <c r="Z17" s="57"/>
      <c r="AA17" s="57"/>
      <c r="AB17" s="58"/>
    </row>
    <row r="18" spans="1:28" ht="12.3" hidden="1" outlineLevel="1" x14ac:dyDescent="0.35">
      <c r="D18" s="15" t="str">
        <f>Lookup!D103</f>
        <v>Overhead network assets less than 33kV</v>
      </c>
      <c r="E18" s="52" t="s">
        <v>158</v>
      </c>
      <c r="F18" s="52" t="str">
        <f t="shared" ref="F18:F27" si="1">Dollars</f>
        <v>Dollars</v>
      </c>
      <c r="G18" s="52" t="str">
        <f t="shared" ref="G18:G27" si="2">Nominal</f>
        <v>Nominal</v>
      </c>
      <c r="H18" s="52" t="str">
        <f t="shared" ref="H18:H27" si="3">Start_year</f>
        <v>Start year</v>
      </c>
      <c r="J18" s="71" t="str">
        <f t="shared" ref="J18:S24" si="4">NA</f>
        <v>N/A</v>
      </c>
      <c r="K18" s="67" t="str">
        <f t="shared" si="4"/>
        <v>N/A</v>
      </c>
      <c r="L18" s="67" t="str">
        <f t="shared" si="4"/>
        <v>N/A</v>
      </c>
      <c r="M18" s="67" t="str">
        <f t="shared" si="4"/>
        <v>N/A</v>
      </c>
      <c r="N18" s="67" t="str">
        <f t="shared" si="4"/>
        <v>N/A</v>
      </c>
      <c r="O18" s="67" t="str">
        <f t="shared" si="4"/>
        <v>N/A</v>
      </c>
      <c r="P18" s="67" t="str">
        <f t="shared" si="4"/>
        <v>N/A</v>
      </c>
      <c r="Q18" s="67" t="str">
        <f t="shared" si="4"/>
        <v>N/A</v>
      </c>
      <c r="R18" s="68" t="str">
        <f t="shared" si="4"/>
        <v>N/A</v>
      </c>
      <c r="S18" s="66" t="str">
        <f t="shared" si="4"/>
        <v>N/A</v>
      </c>
      <c r="T18" s="67" t="str">
        <f t="shared" ref="T18:AB24" si="5">NA</f>
        <v>N/A</v>
      </c>
      <c r="U18" s="67" t="str">
        <f t="shared" si="5"/>
        <v>N/A</v>
      </c>
      <c r="V18" s="67" t="str">
        <f t="shared" si="5"/>
        <v>N/A</v>
      </c>
      <c r="W18" s="68" t="str">
        <f t="shared" si="5"/>
        <v>N/A</v>
      </c>
      <c r="X18" s="66" t="str">
        <f t="shared" si="5"/>
        <v>N/A</v>
      </c>
      <c r="Y18" s="67" t="str">
        <f t="shared" si="5"/>
        <v>N/A</v>
      </c>
      <c r="Z18" s="67" t="str">
        <f t="shared" si="5"/>
        <v>N/A</v>
      </c>
      <c r="AA18" s="67" t="str">
        <f t="shared" si="5"/>
        <v>N/A</v>
      </c>
      <c r="AB18" s="68" t="str">
        <f t="shared" si="5"/>
        <v>N/A</v>
      </c>
    </row>
    <row r="19" spans="1:28" ht="12.3" hidden="1" outlineLevel="1" x14ac:dyDescent="0.35">
      <c r="D19" s="15" t="str">
        <f>Lookup!D104</f>
        <v>Underground network assets less than 33kV</v>
      </c>
      <c r="E19" s="52" t="s">
        <v>158</v>
      </c>
      <c r="F19" s="52" t="str">
        <f t="shared" si="1"/>
        <v>Dollars</v>
      </c>
      <c r="G19" s="52" t="str">
        <f t="shared" si="2"/>
        <v>Nominal</v>
      </c>
      <c r="H19" s="52" t="str">
        <f t="shared" si="3"/>
        <v>Start year</v>
      </c>
      <c r="J19" s="72" t="str">
        <f t="shared" si="4"/>
        <v>N/A</v>
      </c>
      <c r="K19" s="67" t="str">
        <f t="shared" si="4"/>
        <v>N/A</v>
      </c>
      <c r="L19" s="67" t="str">
        <f t="shared" si="4"/>
        <v>N/A</v>
      </c>
      <c r="M19" s="67" t="str">
        <f t="shared" si="4"/>
        <v>N/A</v>
      </c>
      <c r="N19" s="67" t="str">
        <f t="shared" si="4"/>
        <v>N/A</v>
      </c>
      <c r="O19" s="67" t="str">
        <f t="shared" si="4"/>
        <v>N/A</v>
      </c>
      <c r="P19" s="67" t="str">
        <f t="shared" si="4"/>
        <v>N/A</v>
      </c>
      <c r="Q19" s="67" t="str">
        <f t="shared" si="4"/>
        <v>N/A</v>
      </c>
      <c r="R19" s="68" t="str">
        <f t="shared" si="4"/>
        <v>N/A</v>
      </c>
      <c r="S19" s="66" t="str">
        <f t="shared" si="4"/>
        <v>N/A</v>
      </c>
      <c r="T19" s="67" t="str">
        <f t="shared" si="5"/>
        <v>N/A</v>
      </c>
      <c r="U19" s="67" t="str">
        <f t="shared" si="5"/>
        <v>N/A</v>
      </c>
      <c r="V19" s="67" t="str">
        <f t="shared" si="5"/>
        <v>N/A</v>
      </c>
      <c r="W19" s="68" t="str">
        <f t="shared" si="5"/>
        <v>N/A</v>
      </c>
      <c r="X19" s="66" t="str">
        <f t="shared" si="5"/>
        <v>N/A</v>
      </c>
      <c r="Y19" s="67" t="str">
        <f t="shared" si="5"/>
        <v>N/A</v>
      </c>
      <c r="Z19" s="67" t="str">
        <f t="shared" si="5"/>
        <v>N/A</v>
      </c>
      <c r="AA19" s="67" t="str">
        <f t="shared" si="5"/>
        <v>N/A</v>
      </c>
      <c r="AB19" s="68" t="str">
        <f t="shared" si="5"/>
        <v>N/A</v>
      </c>
    </row>
    <row r="20" spans="1:28" ht="12.3" hidden="1" outlineLevel="1" x14ac:dyDescent="0.35">
      <c r="D20" s="15" t="str">
        <f>Lookup!D105</f>
        <v>Distribution substations and transformers</v>
      </c>
      <c r="E20" s="52" t="s">
        <v>158</v>
      </c>
      <c r="F20" s="52" t="str">
        <f t="shared" si="1"/>
        <v>Dollars</v>
      </c>
      <c r="G20" s="52" t="str">
        <f t="shared" si="2"/>
        <v>Nominal</v>
      </c>
      <c r="H20" s="52" t="str">
        <f t="shared" si="3"/>
        <v>Start year</v>
      </c>
      <c r="J20" s="72" t="str">
        <f t="shared" si="4"/>
        <v>N/A</v>
      </c>
      <c r="K20" s="67" t="str">
        <f t="shared" si="4"/>
        <v>N/A</v>
      </c>
      <c r="L20" s="67" t="str">
        <f t="shared" si="4"/>
        <v>N/A</v>
      </c>
      <c r="M20" s="67" t="str">
        <f t="shared" si="4"/>
        <v>N/A</v>
      </c>
      <c r="N20" s="67" t="str">
        <f t="shared" si="4"/>
        <v>N/A</v>
      </c>
      <c r="O20" s="67" t="str">
        <f t="shared" si="4"/>
        <v>N/A</v>
      </c>
      <c r="P20" s="67" t="str">
        <f t="shared" si="4"/>
        <v>N/A</v>
      </c>
      <c r="Q20" s="67" t="str">
        <f t="shared" si="4"/>
        <v>N/A</v>
      </c>
      <c r="R20" s="68" t="str">
        <f t="shared" si="4"/>
        <v>N/A</v>
      </c>
      <c r="S20" s="66" t="str">
        <f t="shared" si="4"/>
        <v>N/A</v>
      </c>
      <c r="T20" s="67" t="str">
        <f t="shared" si="5"/>
        <v>N/A</v>
      </c>
      <c r="U20" s="67" t="str">
        <f t="shared" si="5"/>
        <v>N/A</v>
      </c>
      <c r="V20" s="67" t="str">
        <f t="shared" si="5"/>
        <v>N/A</v>
      </c>
      <c r="W20" s="68" t="str">
        <f t="shared" si="5"/>
        <v>N/A</v>
      </c>
      <c r="X20" s="66" t="str">
        <f t="shared" si="5"/>
        <v>N/A</v>
      </c>
      <c r="Y20" s="67" t="str">
        <f t="shared" si="5"/>
        <v>N/A</v>
      </c>
      <c r="Z20" s="67" t="str">
        <f t="shared" si="5"/>
        <v>N/A</v>
      </c>
      <c r="AA20" s="67" t="str">
        <f t="shared" si="5"/>
        <v>N/A</v>
      </c>
      <c r="AB20" s="68" t="str">
        <f t="shared" si="5"/>
        <v>N/A</v>
      </c>
    </row>
    <row r="21" spans="1:28" ht="12.3" hidden="1" outlineLevel="1" x14ac:dyDescent="0.35">
      <c r="D21" s="15" t="str">
        <f>Lookup!D106</f>
        <v>Overhead network assets 33kV and above</v>
      </c>
      <c r="E21" s="52" t="s">
        <v>158</v>
      </c>
      <c r="F21" s="52" t="str">
        <f t="shared" si="1"/>
        <v>Dollars</v>
      </c>
      <c r="G21" s="52" t="str">
        <f t="shared" si="2"/>
        <v>Nominal</v>
      </c>
      <c r="H21" s="52" t="str">
        <f t="shared" si="3"/>
        <v>Start year</v>
      </c>
      <c r="J21" s="72" t="str">
        <f t="shared" si="4"/>
        <v>N/A</v>
      </c>
      <c r="K21" s="67" t="str">
        <f t="shared" si="4"/>
        <v>N/A</v>
      </c>
      <c r="L21" s="67" t="str">
        <f t="shared" si="4"/>
        <v>N/A</v>
      </c>
      <c r="M21" s="67" t="str">
        <f t="shared" si="4"/>
        <v>N/A</v>
      </c>
      <c r="N21" s="67" t="str">
        <f t="shared" si="4"/>
        <v>N/A</v>
      </c>
      <c r="O21" s="67" t="str">
        <f t="shared" si="4"/>
        <v>N/A</v>
      </c>
      <c r="P21" s="67" t="str">
        <f t="shared" si="4"/>
        <v>N/A</v>
      </c>
      <c r="Q21" s="67" t="str">
        <f t="shared" si="4"/>
        <v>N/A</v>
      </c>
      <c r="R21" s="68" t="str">
        <f t="shared" si="4"/>
        <v>N/A</v>
      </c>
      <c r="S21" s="66" t="str">
        <f t="shared" si="4"/>
        <v>N/A</v>
      </c>
      <c r="T21" s="67" t="str">
        <f t="shared" si="5"/>
        <v>N/A</v>
      </c>
      <c r="U21" s="67" t="str">
        <f t="shared" si="5"/>
        <v>N/A</v>
      </c>
      <c r="V21" s="67" t="str">
        <f t="shared" si="5"/>
        <v>N/A</v>
      </c>
      <c r="W21" s="68" t="str">
        <f t="shared" si="5"/>
        <v>N/A</v>
      </c>
      <c r="X21" s="66" t="str">
        <f t="shared" si="5"/>
        <v>N/A</v>
      </c>
      <c r="Y21" s="67" t="str">
        <f t="shared" si="5"/>
        <v>N/A</v>
      </c>
      <c r="Z21" s="67" t="str">
        <f t="shared" si="5"/>
        <v>N/A</v>
      </c>
      <c r="AA21" s="67" t="str">
        <f t="shared" si="5"/>
        <v>N/A</v>
      </c>
      <c r="AB21" s="68" t="str">
        <f t="shared" si="5"/>
        <v>N/A</v>
      </c>
    </row>
    <row r="22" spans="1:28" ht="12.3" hidden="1" outlineLevel="1" x14ac:dyDescent="0.35">
      <c r="D22" s="15" t="str">
        <f>Lookup!D107</f>
        <v>Underground network assets 33kV and above</v>
      </c>
      <c r="E22" s="52" t="s">
        <v>158</v>
      </c>
      <c r="F22" s="52" t="str">
        <f t="shared" si="1"/>
        <v>Dollars</v>
      </c>
      <c r="G22" s="52" t="str">
        <f t="shared" si="2"/>
        <v>Nominal</v>
      </c>
      <c r="H22" s="52" t="str">
        <f t="shared" si="3"/>
        <v>Start year</v>
      </c>
      <c r="J22" s="72" t="str">
        <f t="shared" si="4"/>
        <v>N/A</v>
      </c>
      <c r="K22" s="67" t="str">
        <f t="shared" si="4"/>
        <v>N/A</v>
      </c>
      <c r="L22" s="67" t="str">
        <f t="shared" si="4"/>
        <v>N/A</v>
      </c>
      <c r="M22" s="67" t="str">
        <f t="shared" si="4"/>
        <v>N/A</v>
      </c>
      <c r="N22" s="67" t="str">
        <f t="shared" si="4"/>
        <v>N/A</v>
      </c>
      <c r="O22" s="67" t="str">
        <f t="shared" si="4"/>
        <v>N/A</v>
      </c>
      <c r="P22" s="67" t="str">
        <f t="shared" si="4"/>
        <v>N/A</v>
      </c>
      <c r="Q22" s="67" t="str">
        <f t="shared" si="4"/>
        <v>N/A</v>
      </c>
      <c r="R22" s="68" t="str">
        <f t="shared" si="4"/>
        <v>N/A</v>
      </c>
      <c r="S22" s="66" t="str">
        <f t="shared" si="4"/>
        <v>N/A</v>
      </c>
      <c r="T22" s="67" t="str">
        <f t="shared" si="5"/>
        <v>N/A</v>
      </c>
      <c r="U22" s="67" t="str">
        <f t="shared" si="5"/>
        <v>N/A</v>
      </c>
      <c r="V22" s="67" t="str">
        <f t="shared" si="5"/>
        <v>N/A</v>
      </c>
      <c r="W22" s="68" t="str">
        <f t="shared" si="5"/>
        <v>N/A</v>
      </c>
      <c r="X22" s="66" t="str">
        <f t="shared" si="5"/>
        <v>N/A</v>
      </c>
      <c r="Y22" s="67" t="str">
        <f t="shared" si="5"/>
        <v>N/A</v>
      </c>
      <c r="Z22" s="67" t="str">
        <f t="shared" si="5"/>
        <v>N/A</v>
      </c>
      <c r="AA22" s="67" t="str">
        <f t="shared" si="5"/>
        <v>N/A</v>
      </c>
      <c r="AB22" s="68" t="str">
        <f t="shared" si="5"/>
        <v>N/A</v>
      </c>
    </row>
    <row r="23" spans="1:28" ht="12.3" hidden="1" outlineLevel="1" x14ac:dyDescent="0.35">
      <c r="D23" s="15" t="str">
        <f>Lookup!D108</f>
        <v>Zone substations and transformers</v>
      </c>
      <c r="E23" s="52" t="s">
        <v>158</v>
      </c>
      <c r="F23" s="52" t="str">
        <f t="shared" si="1"/>
        <v>Dollars</v>
      </c>
      <c r="G23" s="52" t="str">
        <f t="shared" si="2"/>
        <v>Nominal</v>
      </c>
      <c r="H23" s="52" t="str">
        <f t="shared" si="3"/>
        <v>Start year</v>
      </c>
      <c r="J23" s="72" t="str">
        <f t="shared" si="4"/>
        <v>N/A</v>
      </c>
      <c r="K23" s="67" t="str">
        <f t="shared" si="4"/>
        <v>N/A</v>
      </c>
      <c r="L23" s="67" t="str">
        <f t="shared" si="4"/>
        <v>N/A</v>
      </c>
      <c r="M23" s="67" t="str">
        <f t="shared" si="4"/>
        <v>N/A</v>
      </c>
      <c r="N23" s="67" t="str">
        <f t="shared" si="4"/>
        <v>N/A</v>
      </c>
      <c r="O23" s="67" t="str">
        <f t="shared" si="4"/>
        <v>N/A</v>
      </c>
      <c r="P23" s="67" t="str">
        <f t="shared" si="4"/>
        <v>N/A</v>
      </c>
      <c r="Q23" s="67" t="str">
        <f t="shared" si="4"/>
        <v>N/A</v>
      </c>
      <c r="R23" s="68" t="str">
        <f t="shared" si="4"/>
        <v>N/A</v>
      </c>
      <c r="S23" s="66" t="str">
        <f t="shared" si="4"/>
        <v>N/A</v>
      </c>
      <c r="T23" s="67" t="str">
        <f t="shared" si="5"/>
        <v>N/A</v>
      </c>
      <c r="U23" s="67" t="str">
        <f t="shared" si="5"/>
        <v>N/A</v>
      </c>
      <c r="V23" s="67" t="str">
        <f t="shared" si="5"/>
        <v>N/A</v>
      </c>
      <c r="W23" s="68" t="str">
        <f t="shared" si="5"/>
        <v>N/A</v>
      </c>
      <c r="X23" s="66" t="str">
        <f t="shared" si="5"/>
        <v>N/A</v>
      </c>
      <c r="Y23" s="67" t="str">
        <f t="shared" si="5"/>
        <v>N/A</v>
      </c>
      <c r="Z23" s="67" t="str">
        <f t="shared" si="5"/>
        <v>N/A</v>
      </c>
      <c r="AA23" s="67" t="str">
        <f t="shared" si="5"/>
        <v>N/A</v>
      </c>
      <c r="AB23" s="68" t="str">
        <f t="shared" si="5"/>
        <v>N/A</v>
      </c>
    </row>
    <row r="24" spans="1:28" ht="12.3" hidden="1" outlineLevel="1" x14ac:dyDescent="0.35">
      <c r="D24" s="15" t="str">
        <f>Lookup!D109</f>
        <v>Easements</v>
      </c>
      <c r="E24" s="52" t="s">
        <v>158</v>
      </c>
      <c r="F24" s="52" t="str">
        <f t="shared" si="1"/>
        <v>Dollars</v>
      </c>
      <c r="G24" s="52" t="str">
        <f t="shared" si="2"/>
        <v>Nominal</v>
      </c>
      <c r="H24" s="52" t="str">
        <f t="shared" si="3"/>
        <v>Start year</v>
      </c>
      <c r="J24" s="72" t="str">
        <f t="shared" si="4"/>
        <v>N/A</v>
      </c>
      <c r="K24" s="67" t="str">
        <f t="shared" si="4"/>
        <v>N/A</v>
      </c>
      <c r="L24" s="67" t="str">
        <f t="shared" si="4"/>
        <v>N/A</v>
      </c>
      <c r="M24" s="67" t="str">
        <f t="shared" si="4"/>
        <v>N/A</v>
      </c>
      <c r="N24" s="67" t="str">
        <f t="shared" si="4"/>
        <v>N/A</v>
      </c>
      <c r="O24" s="67" t="str">
        <f t="shared" si="4"/>
        <v>N/A</v>
      </c>
      <c r="P24" s="67" t="str">
        <f t="shared" si="4"/>
        <v>N/A</v>
      </c>
      <c r="Q24" s="67" t="str">
        <f t="shared" si="4"/>
        <v>N/A</v>
      </c>
      <c r="R24" s="68" t="str">
        <f t="shared" si="4"/>
        <v>N/A</v>
      </c>
      <c r="S24" s="66" t="str">
        <f t="shared" si="4"/>
        <v>N/A</v>
      </c>
      <c r="T24" s="67" t="str">
        <f t="shared" si="5"/>
        <v>N/A</v>
      </c>
      <c r="U24" s="67" t="str">
        <f t="shared" si="5"/>
        <v>N/A</v>
      </c>
      <c r="V24" s="67" t="str">
        <f t="shared" si="5"/>
        <v>N/A</v>
      </c>
      <c r="W24" s="68" t="str">
        <f t="shared" si="5"/>
        <v>N/A</v>
      </c>
      <c r="X24" s="66" t="str">
        <f t="shared" si="5"/>
        <v>N/A</v>
      </c>
      <c r="Y24" s="67" t="str">
        <f t="shared" si="5"/>
        <v>N/A</v>
      </c>
      <c r="Z24" s="67" t="str">
        <f t="shared" si="5"/>
        <v>N/A</v>
      </c>
      <c r="AA24" s="67" t="str">
        <f t="shared" si="5"/>
        <v>N/A</v>
      </c>
      <c r="AB24" s="68" t="str">
        <f t="shared" si="5"/>
        <v>N/A</v>
      </c>
    </row>
    <row r="25" spans="1:28" ht="12.3" collapsed="1" x14ac:dyDescent="0.35">
      <c r="D25" s="15" t="str">
        <f>Lookup!D110</f>
        <v>Meters</v>
      </c>
      <c r="E25" s="52" t="s">
        <v>158</v>
      </c>
      <c r="F25" s="52" t="str">
        <f t="shared" si="1"/>
        <v>Dollars</v>
      </c>
      <c r="G25" s="52" t="str">
        <f t="shared" si="2"/>
        <v>Nominal</v>
      </c>
      <c r="H25" s="52" t="str">
        <f t="shared" si="3"/>
        <v>Start year</v>
      </c>
      <c r="J25" s="72">
        <f>SUM(Input_RAB_ACS!J$18:J$26)*Calc_Alloc!$L$32</f>
        <v>3.6071292897898957</v>
      </c>
      <c r="K25" s="67">
        <f t="shared" ref="K25:AB27" si="6">J158</f>
        <v>3.7417767788194758</v>
      </c>
      <c r="L25" s="67">
        <f t="shared" si="6"/>
        <v>3.8742162665417763</v>
      </c>
      <c r="M25" s="67">
        <f t="shared" si="6"/>
        <v>4.4936278567248813</v>
      </c>
      <c r="N25" s="67">
        <f t="shared" si="6"/>
        <v>5.1209982106660901</v>
      </c>
      <c r="O25" s="67">
        <f t="shared" si="6"/>
        <v>5.7874333599239662</v>
      </c>
      <c r="P25" s="67">
        <f t="shared" si="6"/>
        <v>6.2525389109370515</v>
      </c>
      <c r="Q25" s="67">
        <f t="shared" si="6"/>
        <v>6.7078255713431885</v>
      </c>
      <c r="R25" s="68">
        <f t="shared" si="6"/>
        <v>7.4395419472342965</v>
      </c>
      <c r="S25" s="66">
        <f t="shared" si="6"/>
        <v>7.3371063938218031</v>
      </c>
      <c r="T25" s="67">
        <f t="shared" si="6"/>
        <v>8.2640279517129933</v>
      </c>
      <c r="U25" s="67">
        <f t="shared" si="6"/>
        <v>10.191258788110531</v>
      </c>
      <c r="V25" s="67">
        <f t="shared" si="6"/>
        <v>12.056969644633231</v>
      </c>
      <c r="W25" s="68">
        <f t="shared" si="6"/>
        <v>12.673417881085166</v>
      </c>
      <c r="X25" s="66">
        <f t="shared" si="6"/>
        <v>16.139741751973368</v>
      </c>
      <c r="Y25" s="67">
        <f t="shared" si="6"/>
        <v>22.368441128585708</v>
      </c>
      <c r="Z25" s="67">
        <f t="shared" si="6"/>
        <v>25.142529874376422</v>
      </c>
      <c r="AA25" s="67">
        <f t="shared" si="6"/>
        <v>27.808325683968587</v>
      </c>
      <c r="AB25" s="68">
        <f t="shared" si="6"/>
        <v>34.345698429505077</v>
      </c>
    </row>
    <row r="26" spans="1:28" ht="12.3" x14ac:dyDescent="0.35">
      <c r="D26" s="15" t="str">
        <f>Lookup!D111</f>
        <v>“Other” asset items with long lives</v>
      </c>
      <c r="E26" s="52" t="s">
        <v>158</v>
      </c>
      <c r="F26" s="52" t="str">
        <f t="shared" si="1"/>
        <v>Dollars</v>
      </c>
      <c r="G26" s="52" t="str">
        <f t="shared" si="2"/>
        <v>Nominal</v>
      </c>
      <c r="H26" s="52" t="str">
        <f t="shared" si="3"/>
        <v>Start year</v>
      </c>
      <c r="J26" s="72">
        <f>SUM(Input_RAB_ACS!J$18:J$26)*Calc_Alloc!$M$32</f>
        <v>8.3019154080943819E-2</v>
      </c>
      <c r="K26" s="67">
        <f t="shared" si="6"/>
        <v>8.6118106111856468E-2</v>
      </c>
      <c r="L26" s="67">
        <f t="shared" si="6"/>
        <v>8.9166240335584096E-2</v>
      </c>
      <c r="M26" s="67">
        <f t="shared" si="6"/>
        <v>0.10342218241963645</v>
      </c>
      <c r="N26" s="67">
        <f t="shared" si="6"/>
        <v>0.11786129782009809</v>
      </c>
      <c r="O26" s="67">
        <f t="shared" si="6"/>
        <v>0.13319950111039908</v>
      </c>
      <c r="P26" s="67">
        <f t="shared" si="6"/>
        <v>0.14390404378170063</v>
      </c>
      <c r="Q26" s="67">
        <f t="shared" si="6"/>
        <v>0.15438260176359567</v>
      </c>
      <c r="R26" s="68">
        <f t="shared" si="6"/>
        <v>0.17122327191245856</v>
      </c>
      <c r="S26" s="66">
        <f t="shared" si="6"/>
        <v>0.16886568716599831</v>
      </c>
      <c r="T26" s="67">
        <f t="shared" si="6"/>
        <v>0.19019906267137129</v>
      </c>
      <c r="U26" s="67">
        <f t="shared" si="6"/>
        <v>0.23455485391215403</v>
      </c>
      <c r="V26" s="67">
        <f t="shared" si="6"/>
        <v>0.27749474450786082</v>
      </c>
      <c r="W26" s="68">
        <f t="shared" si="6"/>
        <v>0.29168248412390052</v>
      </c>
      <c r="X26" s="66">
        <f t="shared" si="6"/>
        <v>0.37146095958533404</v>
      </c>
      <c r="Y26" s="67">
        <f t="shared" si="6"/>
        <v>0.51481632938994071</v>
      </c>
      <c r="Z26" s="67">
        <f t="shared" si="6"/>
        <v>0.57866280743908927</v>
      </c>
      <c r="AA26" s="67">
        <f t="shared" si="6"/>
        <v>0.64001689133380801</v>
      </c>
      <c r="AB26" s="68">
        <f t="shared" si="6"/>
        <v>0.79047647058494952</v>
      </c>
    </row>
    <row r="27" spans="1:28" ht="12.3" x14ac:dyDescent="0.35">
      <c r="D27" s="15" t="str">
        <f>Lookup!D112</f>
        <v>“Other” asset items with short lives</v>
      </c>
      <c r="E27" s="52" t="s">
        <v>158</v>
      </c>
      <c r="F27" s="52" t="str">
        <f t="shared" si="1"/>
        <v>Dollars</v>
      </c>
      <c r="G27" s="52" t="str">
        <f t="shared" si="2"/>
        <v>Nominal</v>
      </c>
      <c r="H27" s="52" t="str">
        <f t="shared" si="3"/>
        <v>Start year</v>
      </c>
      <c r="J27" s="73">
        <f>SUM(Input_RAB_ACS!J$18:J$26)*Calc_Alloc!$N$32</f>
        <v>0</v>
      </c>
      <c r="K27" s="67">
        <f t="shared" si="6"/>
        <v>0</v>
      </c>
      <c r="L27" s="67">
        <f t="shared" si="6"/>
        <v>0</v>
      </c>
      <c r="M27" s="67">
        <f t="shared" si="6"/>
        <v>0</v>
      </c>
      <c r="N27" s="67">
        <f t="shared" si="6"/>
        <v>0</v>
      </c>
      <c r="O27" s="67">
        <f t="shared" si="6"/>
        <v>0</v>
      </c>
      <c r="P27" s="67">
        <f t="shared" si="6"/>
        <v>0</v>
      </c>
      <c r="Q27" s="67">
        <f t="shared" si="6"/>
        <v>0</v>
      </c>
      <c r="R27" s="68">
        <f t="shared" si="6"/>
        <v>0</v>
      </c>
      <c r="S27" s="66">
        <f t="shared" si="6"/>
        <v>0</v>
      </c>
      <c r="T27" s="67">
        <f t="shared" si="6"/>
        <v>0</v>
      </c>
      <c r="U27" s="67">
        <f t="shared" si="6"/>
        <v>0</v>
      </c>
      <c r="V27" s="67">
        <f t="shared" si="6"/>
        <v>0</v>
      </c>
      <c r="W27" s="68">
        <f t="shared" si="6"/>
        <v>0</v>
      </c>
      <c r="X27" s="66">
        <f t="shared" si="6"/>
        <v>0</v>
      </c>
      <c r="Y27" s="67">
        <f t="shared" si="6"/>
        <v>0</v>
      </c>
      <c r="Z27" s="67">
        <f t="shared" si="6"/>
        <v>0</v>
      </c>
      <c r="AA27" s="67">
        <f t="shared" si="6"/>
        <v>0</v>
      </c>
      <c r="AB27" s="68">
        <f t="shared" si="6"/>
        <v>0</v>
      </c>
    </row>
    <row r="28" spans="1:28" x14ac:dyDescent="0.35">
      <c r="J28" s="56"/>
      <c r="K28" s="57"/>
      <c r="L28" s="57"/>
      <c r="M28" s="57"/>
      <c r="N28" s="57"/>
      <c r="O28" s="57"/>
      <c r="P28" s="57"/>
      <c r="Q28" s="57"/>
      <c r="R28" s="58"/>
      <c r="S28" s="56"/>
      <c r="T28" s="57"/>
      <c r="U28" s="57"/>
      <c r="V28" s="57"/>
      <c r="W28" s="58"/>
      <c r="X28" s="56"/>
      <c r="Y28" s="57"/>
      <c r="Z28" s="57"/>
      <c r="AA28" s="57"/>
      <c r="AB28" s="58"/>
    </row>
    <row r="29" spans="1:28" ht="12.3" x14ac:dyDescent="0.35">
      <c r="D29" s="51" t="str">
        <f>"Total "&amp;D16</f>
        <v>Total EB RIN Categories</v>
      </c>
      <c r="E29" s="47" t="s">
        <v>111</v>
      </c>
      <c r="F29" s="47" t="str">
        <f>F18</f>
        <v>Dollars</v>
      </c>
      <c r="G29" s="47" t="str">
        <f>G18</f>
        <v>Nominal</v>
      </c>
      <c r="H29" s="47" t="str">
        <f>H18</f>
        <v>Start year</v>
      </c>
      <c r="J29" s="62">
        <f t="shared" ref="J29:AB29" si="7">SUM(J18:J27)</f>
        <v>3.6901484438708394</v>
      </c>
      <c r="K29" s="46">
        <f t="shared" si="7"/>
        <v>3.8278948849313323</v>
      </c>
      <c r="L29" s="46">
        <f t="shared" si="7"/>
        <v>3.9633825068773603</v>
      </c>
      <c r="M29" s="46">
        <f t="shared" si="7"/>
        <v>4.5970500391445182</v>
      </c>
      <c r="N29" s="46">
        <f t="shared" si="7"/>
        <v>5.238859508486188</v>
      </c>
      <c r="O29" s="46">
        <f t="shared" si="7"/>
        <v>5.920632861034365</v>
      </c>
      <c r="P29" s="46">
        <f t="shared" si="7"/>
        <v>6.3964429547187525</v>
      </c>
      <c r="Q29" s="46">
        <f t="shared" si="7"/>
        <v>6.8622081731067839</v>
      </c>
      <c r="R29" s="63">
        <f t="shared" si="7"/>
        <v>7.6107652191467547</v>
      </c>
      <c r="S29" s="62">
        <f t="shared" si="7"/>
        <v>7.5059720809878012</v>
      </c>
      <c r="T29" s="46">
        <f t="shared" si="7"/>
        <v>8.4542270143843652</v>
      </c>
      <c r="U29" s="46">
        <f t="shared" si="7"/>
        <v>10.425813642022685</v>
      </c>
      <c r="V29" s="46">
        <f t="shared" si="7"/>
        <v>12.334464389141091</v>
      </c>
      <c r="W29" s="63">
        <f t="shared" si="7"/>
        <v>12.965100365209066</v>
      </c>
      <c r="X29" s="62">
        <f t="shared" si="7"/>
        <v>16.511202711558703</v>
      </c>
      <c r="Y29" s="46">
        <f t="shared" si="7"/>
        <v>22.883257457975649</v>
      </c>
      <c r="Z29" s="46">
        <f t="shared" si="7"/>
        <v>25.721192681815509</v>
      </c>
      <c r="AA29" s="46">
        <f t="shared" si="7"/>
        <v>28.448342575302394</v>
      </c>
      <c r="AB29" s="63">
        <f t="shared" si="7"/>
        <v>35.136174900090026</v>
      </c>
    </row>
    <row r="30" spans="1:28" s="6" customFormat="1" ht="11.25" customHeight="1" x14ac:dyDescent="0.35"/>
    <row r="31" spans="1:28" s="6" customFormat="1" ht="11.25" customHeight="1" x14ac:dyDescent="0.35">
      <c r="A31" s="49">
        <f>IF(SUM($J31:$AB31)&lt;&gt;0,1,0)</f>
        <v>0</v>
      </c>
      <c r="D31" s="15" t="s">
        <v>114</v>
      </c>
      <c r="J31" s="70">
        <f>IF(ROUND(J29-Input_RAB_ACS!J$28,5)&lt;&gt;0,1,0)</f>
        <v>0</v>
      </c>
      <c r="K31" s="70">
        <f>IF(ROUND(K29-Input_RAB_ACS!K$28,5)&lt;&gt;0,1,0)</f>
        <v>0</v>
      </c>
      <c r="L31" s="70">
        <f>IF(ROUND(L29-Input_RAB_ACS!L$28,5)&lt;&gt;0,1,0)</f>
        <v>0</v>
      </c>
      <c r="M31" s="70">
        <f>IF(ROUND(M29-Input_RAB_ACS!M$28,5)&lt;&gt;0,1,0)</f>
        <v>0</v>
      </c>
      <c r="N31" s="70">
        <f>IF(ROUND(N29-Input_RAB_ACS!N$28,5)&lt;&gt;0,1,0)</f>
        <v>0</v>
      </c>
      <c r="O31" s="70">
        <f>IF(ROUND(O29-Input_RAB_ACS!O$28,5)&lt;&gt;0,1,0)</f>
        <v>0</v>
      </c>
      <c r="P31" s="70">
        <f>IF(ROUND(P29-Input_RAB_ACS!P$28,5)&lt;&gt;0,1,0)</f>
        <v>0</v>
      </c>
      <c r="Q31" s="70">
        <f>IF(ROUND(Q29-Input_RAB_ACS!Q$28,5)&lt;&gt;0,1,0)</f>
        <v>0</v>
      </c>
      <c r="R31" s="70">
        <f>IF(ROUND(R29-Input_RAB_ACS!R$28,5)&lt;&gt;0,1,0)</f>
        <v>0</v>
      </c>
      <c r="S31" s="70">
        <f>IF(ROUND(S29-Input_RAB_ACS!S$28,5)&lt;&gt;0,1,0)</f>
        <v>0</v>
      </c>
      <c r="T31" s="70">
        <f>IF(ROUND(T29-Input_RAB_ACS!T$28,5)&lt;&gt;0,1,0)</f>
        <v>0</v>
      </c>
      <c r="U31" s="70">
        <f>IF(ROUND(U29-Input_RAB_ACS!U$28,5)&lt;&gt;0,1,0)</f>
        <v>0</v>
      </c>
      <c r="V31" s="70">
        <f>IF(ROUND(V29-Input_RAB_ACS!V$28,5)&lt;&gt;0,1,0)</f>
        <v>0</v>
      </c>
      <c r="W31" s="70">
        <f>IF(ROUND(W29-Input_RAB_ACS!W$28,5)&lt;&gt;0,1,0)</f>
        <v>0</v>
      </c>
      <c r="X31" s="70">
        <f>IF(ROUND(X29-Input_RAB_ACS!X$28,5)&lt;&gt;0,1,0)</f>
        <v>0</v>
      </c>
      <c r="Y31" s="70">
        <f>IF(ROUND(Y29-Input_RAB_ACS!Y$28,5)&lt;&gt;0,1,0)</f>
        <v>0</v>
      </c>
      <c r="Z31" s="70">
        <f>IF(ROUND(Z29-Input_RAB_ACS!Z$28,5)&lt;&gt;0,1,0)</f>
        <v>0</v>
      </c>
      <c r="AA31" s="70">
        <f>IF(ROUND(AA29-Input_RAB_ACS!AA$28,5)&lt;&gt;0,1,0)</f>
        <v>0</v>
      </c>
      <c r="AB31" s="70">
        <f>IF(ROUND(AB29-Input_RAB_ACS!AB$28,5)&lt;&gt;0,1,0)</f>
        <v>0</v>
      </c>
    </row>
    <row r="32" spans="1:28" s="6" customFormat="1" ht="11.25" customHeight="1" x14ac:dyDescent="0.35">
      <c r="L32" s="10"/>
      <c r="Q32" s="10"/>
      <c r="V32" s="10"/>
      <c r="AA32" s="10"/>
    </row>
    <row r="33" spans="3:28" s="13" customFormat="1" ht="14.1" x14ac:dyDescent="0.35">
      <c r="C33" s="13" t="s">
        <v>148</v>
      </c>
    </row>
    <row r="34" spans="3:28" s="6" customFormat="1" ht="11.25" customHeight="1" x14ac:dyDescent="0.35"/>
    <row r="35" spans="3:28" ht="12.3" x14ac:dyDescent="0.35">
      <c r="D35" s="50" t="str">
        <f>D$16</f>
        <v>EB RIN Categories</v>
      </c>
      <c r="E35" s="45" t="str">
        <f>Lookup!E$20</f>
        <v>Source</v>
      </c>
      <c r="F35" s="45" t="str">
        <f>Lookup!F$20</f>
        <v>Unit</v>
      </c>
      <c r="G35" s="45" t="str">
        <f>Lookup!G$20</f>
        <v>Basis</v>
      </c>
      <c r="H35" s="45" t="str">
        <f>Lookup!H$20</f>
        <v>Timing</v>
      </c>
      <c r="J35" s="54" t="str">
        <f>J$10</f>
        <v>RY06</v>
      </c>
      <c r="K35" s="45" t="str">
        <f t="shared" ref="K35:AB35" si="8">K$10</f>
        <v>RY07</v>
      </c>
      <c r="L35" s="45" t="str">
        <f t="shared" si="8"/>
        <v>RY08</v>
      </c>
      <c r="M35" s="45" t="str">
        <f t="shared" si="8"/>
        <v>RY09</v>
      </c>
      <c r="N35" s="45" t="str">
        <f t="shared" si="8"/>
        <v>RY10</v>
      </c>
      <c r="O35" s="45" t="str">
        <f>O$10</f>
        <v>RY11</v>
      </c>
      <c r="P35" s="45" t="str">
        <f t="shared" si="8"/>
        <v>RY12</v>
      </c>
      <c r="Q35" s="45" t="str">
        <f t="shared" si="8"/>
        <v>RY13</v>
      </c>
      <c r="R35" s="55" t="str">
        <f t="shared" si="8"/>
        <v>RY14</v>
      </c>
      <c r="S35" s="54" t="str">
        <f t="shared" si="8"/>
        <v>RY15</v>
      </c>
      <c r="T35" s="45" t="str">
        <f>T$10</f>
        <v>RY16</v>
      </c>
      <c r="U35" s="45" t="str">
        <f t="shared" si="8"/>
        <v>RY17</v>
      </c>
      <c r="V35" s="45" t="str">
        <f t="shared" si="8"/>
        <v>RY18</v>
      </c>
      <c r="W35" s="55" t="str">
        <f t="shared" si="8"/>
        <v>RY19</v>
      </c>
      <c r="X35" s="54" t="str">
        <f t="shared" si="8"/>
        <v>RY20</v>
      </c>
      <c r="Y35" s="45" t="str">
        <f>Y$10</f>
        <v>RY21</v>
      </c>
      <c r="Z35" s="45" t="str">
        <f t="shared" si="8"/>
        <v>RY22</v>
      </c>
      <c r="AA35" s="45" t="str">
        <f t="shared" si="8"/>
        <v>RY23</v>
      </c>
      <c r="AB35" s="55" t="str">
        <f t="shared" si="8"/>
        <v>RY24</v>
      </c>
    </row>
    <row r="36" spans="3:28" x14ac:dyDescent="0.35">
      <c r="J36" s="56"/>
      <c r="K36" s="57"/>
      <c r="L36" s="57"/>
      <c r="M36" s="57"/>
      <c r="N36" s="57"/>
      <c r="O36" s="57"/>
      <c r="P36" s="57"/>
      <c r="Q36" s="57"/>
      <c r="R36" s="58"/>
      <c r="S36" s="56"/>
      <c r="T36" s="57"/>
      <c r="U36" s="57"/>
      <c r="V36" s="57"/>
      <c r="W36" s="58"/>
      <c r="X36" s="56"/>
      <c r="Y36" s="57"/>
      <c r="Z36" s="57"/>
      <c r="AA36" s="57"/>
      <c r="AB36" s="58"/>
    </row>
    <row r="37" spans="3:28" ht="12.3" hidden="1" outlineLevel="1" x14ac:dyDescent="0.35">
      <c r="D37" s="15" t="str">
        <f t="shared" ref="D37:E46" si="9">D18</f>
        <v>Overhead network assets less than 33kV</v>
      </c>
      <c r="E37" s="52" t="str">
        <f t="shared" si="9"/>
        <v>Calc_Alloc</v>
      </c>
      <c r="F37" s="52" t="str">
        <f t="shared" ref="F37:F46" si="10">Dollars</f>
        <v>Dollars</v>
      </c>
      <c r="G37" s="52" t="str">
        <f t="shared" ref="G37:G46" si="11">Nominal</f>
        <v>Nominal</v>
      </c>
      <c r="H37" s="52" t="str">
        <f t="shared" ref="H37:H46" si="12">End_year</f>
        <v>End_year</v>
      </c>
      <c r="J37" s="66" t="str">
        <f t="shared" ref="J37:S43" si="13">NA</f>
        <v>N/A</v>
      </c>
      <c r="K37" s="67" t="str">
        <f t="shared" si="13"/>
        <v>N/A</v>
      </c>
      <c r="L37" s="67" t="str">
        <f t="shared" si="13"/>
        <v>N/A</v>
      </c>
      <c r="M37" s="67" t="str">
        <f t="shared" si="13"/>
        <v>N/A</v>
      </c>
      <c r="N37" s="67" t="str">
        <f t="shared" si="13"/>
        <v>N/A</v>
      </c>
      <c r="O37" s="67" t="str">
        <f t="shared" si="13"/>
        <v>N/A</v>
      </c>
      <c r="P37" s="67" t="str">
        <f t="shared" si="13"/>
        <v>N/A</v>
      </c>
      <c r="Q37" s="67" t="str">
        <f t="shared" si="13"/>
        <v>N/A</v>
      </c>
      <c r="R37" s="68" t="str">
        <f t="shared" si="13"/>
        <v>N/A</v>
      </c>
      <c r="S37" s="66" t="str">
        <f t="shared" si="13"/>
        <v>N/A</v>
      </c>
      <c r="T37" s="67" t="str">
        <f t="shared" ref="T37:AB43" si="14">NA</f>
        <v>N/A</v>
      </c>
      <c r="U37" s="67" t="str">
        <f t="shared" si="14"/>
        <v>N/A</v>
      </c>
      <c r="V37" s="67" t="str">
        <f t="shared" si="14"/>
        <v>N/A</v>
      </c>
      <c r="W37" s="68" t="str">
        <f t="shared" si="14"/>
        <v>N/A</v>
      </c>
      <c r="X37" s="66" t="str">
        <f t="shared" si="14"/>
        <v>N/A</v>
      </c>
      <c r="Y37" s="67" t="str">
        <f t="shared" si="14"/>
        <v>N/A</v>
      </c>
      <c r="Z37" s="67" t="str">
        <f t="shared" si="14"/>
        <v>N/A</v>
      </c>
      <c r="AA37" s="67" t="str">
        <f t="shared" si="14"/>
        <v>N/A</v>
      </c>
      <c r="AB37" s="68" t="str">
        <f t="shared" si="14"/>
        <v>N/A</v>
      </c>
    </row>
    <row r="38" spans="3:28" ht="12.3" hidden="1" outlineLevel="1" x14ac:dyDescent="0.35">
      <c r="D38" s="15" t="str">
        <f t="shared" si="9"/>
        <v>Underground network assets less than 33kV</v>
      </c>
      <c r="E38" s="52" t="str">
        <f t="shared" si="9"/>
        <v>Calc_Alloc</v>
      </c>
      <c r="F38" s="52" t="str">
        <f t="shared" si="10"/>
        <v>Dollars</v>
      </c>
      <c r="G38" s="52" t="str">
        <f t="shared" si="11"/>
        <v>Nominal</v>
      </c>
      <c r="H38" s="52" t="str">
        <f t="shared" si="12"/>
        <v>End_year</v>
      </c>
      <c r="J38" s="66" t="str">
        <f t="shared" si="13"/>
        <v>N/A</v>
      </c>
      <c r="K38" s="67" t="str">
        <f t="shared" si="13"/>
        <v>N/A</v>
      </c>
      <c r="L38" s="67" t="str">
        <f t="shared" si="13"/>
        <v>N/A</v>
      </c>
      <c r="M38" s="67" t="str">
        <f t="shared" si="13"/>
        <v>N/A</v>
      </c>
      <c r="N38" s="67" t="str">
        <f t="shared" si="13"/>
        <v>N/A</v>
      </c>
      <c r="O38" s="67" t="str">
        <f t="shared" si="13"/>
        <v>N/A</v>
      </c>
      <c r="P38" s="67" t="str">
        <f t="shared" si="13"/>
        <v>N/A</v>
      </c>
      <c r="Q38" s="67" t="str">
        <f t="shared" si="13"/>
        <v>N/A</v>
      </c>
      <c r="R38" s="68" t="str">
        <f t="shared" si="13"/>
        <v>N/A</v>
      </c>
      <c r="S38" s="66" t="str">
        <f t="shared" si="13"/>
        <v>N/A</v>
      </c>
      <c r="T38" s="67" t="str">
        <f t="shared" si="14"/>
        <v>N/A</v>
      </c>
      <c r="U38" s="67" t="str">
        <f t="shared" si="14"/>
        <v>N/A</v>
      </c>
      <c r="V38" s="67" t="str">
        <f t="shared" si="14"/>
        <v>N/A</v>
      </c>
      <c r="W38" s="68" t="str">
        <f t="shared" si="14"/>
        <v>N/A</v>
      </c>
      <c r="X38" s="66" t="str">
        <f t="shared" si="14"/>
        <v>N/A</v>
      </c>
      <c r="Y38" s="67" t="str">
        <f t="shared" si="14"/>
        <v>N/A</v>
      </c>
      <c r="Z38" s="67" t="str">
        <f t="shared" si="14"/>
        <v>N/A</v>
      </c>
      <c r="AA38" s="67" t="str">
        <f t="shared" si="14"/>
        <v>N/A</v>
      </c>
      <c r="AB38" s="68" t="str">
        <f t="shared" si="14"/>
        <v>N/A</v>
      </c>
    </row>
    <row r="39" spans="3:28" ht="12.3" hidden="1" outlineLevel="1" x14ac:dyDescent="0.35">
      <c r="D39" s="15" t="str">
        <f t="shared" si="9"/>
        <v>Distribution substations and transformers</v>
      </c>
      <c r="E39" s="52" t="str">
        <f t="shared" si="9"/>
        <v>Calc_Alloc</v>
      </c>
      <c r="F39" s="52" t="str">
        <f t="shared" si="10"/>
        <v>Dollars</v>
      </c>
      <c r="G39" s="52" t="str">
        <f t="shared" si="11"/>
        <v>Nominal</v>
      </c>
      <c r="H39" s="52" t="str">
        <f t="shared" si="12"/>
        <v>End_year</v>
      </c>
      <c r="J39" s="66" t="str">
        <f t="shared" si="13"/>
        <v>N/A</v>
      </c>
      <c r="K39" s="67" t="str">
        <f t="shared" si="13"/>
        <v>N/A</v>
      </c>
      <c r="L39" s="67" t="str">
        <f t="shared" si="13"/>
        <v>N/A</v>
      </c>
      <c r="M39" s="67" t="str">
        <f t="shared" si="13"/>
        <v>N/A</v>
      </c>
      <c r="N39" s="67" t="str">
        <f t="shared" si="13"/>
        <v>N/A</v>
      </c>
      <c r="O39" s="67" t="str">
        <f t="shared" si="13"/>
        <v>N/A</v>
      </c>
      <c r="P39" s="67" t="str">
        <f t="shared" si="13"/>
        <v>N/A</v>
      </c>
      <c r="Q39" s="67" t="str">
        <f t="shared" si="13"/>
        <v>N/A</v>
      </c>
      <c r="R39" s="68" t="str">
        <f t="shared" si="13"/>
        <v>N/A</v>
      </c>
      <c r="S39" s="66" t="str">
        <f t="shared" si="13"/>
        <v>N/A</v>
      </c>
      <c r="T39" s="67" t="str">
        <f t="shared" si="14"/>
        <v>N/A</v>
      </c>
      <c r="U39" s="67" t="str">
        <f t="shared" si="14"/>
        <v>N/A</v>
      </c>
      <c r="V39" s="67" t="str">
        <f t="shared" si="14"/>
        <v>N/A</v>
      </c>
      <c r="W39" s="68" t="str">
        <f t="shared" si="14"/>
        <v>N/A</v>
      </c>
      <c r="X39" s="66" t="str">
        <f t="shared" si="14"/>
        <v>N/A</v>
      </c>
      <c r="Y39" s="67" t="str">
        <f t="shared" si="14"/>
        <v>N/A</v>
      </c>
      <c r="Z39" s="67" t="str">
        <f t="shared" si="14"/>
        <v>N/A</v>
      </c>
      <c r="AA39" s="67" t="str">
        <f t="shared" si="14"/>
        <v>N/A</v>
      </c>
      <c r="AB39" s="68" t="str">
        <f t="shared" si="14"/>
        <v>N/A</v>
      </c>
    </row>
    <row r="40" spans="3:28" ht="12.3" hidden="1" outlineLevel="1" x14ac:dyDescent="0.35">
      <c r="D40" s="15" t="str">
        <f t="shared" si="9"/>
        <v>Overhead network assets 33kV and above</v>
      </c>
      <c r="E40" s="52" t="str">
        <f t="shared" si="9"/>
        <v>Calc_Alloc</v>
      </c>
      <c r="F40" s="52" t="str">
        <f t="shared" si="10"/>
        <v>Dollars</v>
      </c>
      <c r="G40" s="52" t="str">
        <f t="shared" si="11"/>
        <v>Nominal</v>
      </c>
      <c r="H40" s="52" t="str">
        <f t="shared" si="12"/>
        <v>End_year</v>
      </c>
      <c r="J40" s="66" t="str">
        <f t="shared" si="13"/>
        <v>N/A</v>
      </c>
      <c r="K40" s="67" t="str">
        <f t="shared" si="13"/>
        <v>N/A</v>
      </c>
      <c r="L40" s="67" t="str">
        <f t="shared" si="13"/>
        <v>N/A</v>
      </c>
      <c r="M40" s="67" t="str">
        <f t="shared" si="13"/>
        <v>N/A</v>
      </c>
      <c r="N40" s="67" t="str">
        <f t="shared" si="13"/>
        <v>N/A</v>
      </c>
      <c r="O40" s="67" t="str">
        <f t="shared" si="13"/>
        <v>N/A</v>
      </c>
      <c r="P40" s="67" t="str">
        <f t="shared" si="13"/>
        <v>N/A</v>
      </c>
      <c r="Q40" s="67" t="str">
        <f t="shared" si="13"/>
        <v>N/A</v>
      </c>
      <c r="R40" s="68" t="str">
        <f t="shared" si="13"/>
        <v>N/A</v>
      </c>
      <c r="S40" s="66" t="str">
        <f t="shared" si="13"/>
        <v>N/A</v>
      </c>
      <c r="T40" s="67" t="str">
        <f t="shared" si="14"/>
        <v>N/A</v>
      </c>
      <c r="U40" s="67" t="str">
        <f t="shared" si="14"/>
        <v>N/A</v>
      </c>
      <c r="V40" s="67" t="str">
        <f t="shared" si="14"/>
        <v>N/A</v>
      </c>
      <c r="W40" s="68" t="str">
        <f t="shared" si="14"/>
        <v>N/A</v>
      </c>
      <c r="X40" s="66" t="str">
        <f t="shared" si="14"/>
        <v>N/A</v>
      </c>
      <c r="Y40" s="67" t="str">
        <f t="shared" si="14"/>
        <v>N/A</v>
      </c>
      <c r="Z40" s="67" t="str">
        <f t="shared" si="14"/>
        <v>N/A</v>
      </c>
      <c r="AA40" s="67" t="str">
        <f t="shared" si="14"/>
        <v>N/A</v>
      </c>
      <c r="AB40" s="68" t="str">
        <f t="shared" si="14"/>
        <v>N/A</v>
      </c>
    </row>
    <row r="41" spans="3:28" ht="12.3" hidden="1" outlineLevel="1" x14ac:dyDescent="0.35">
      <c r="D41" s="15" t="str">
        <f t="shared" si="9"/>
        <v>Underground network assets 33kV and above</v>
      </c>
      <c r="E41" s="52" t="str">
        <f t="shared" si="9"/>
        <v>Calc_Alloc</v>
      </c>
      <c r="F41" s="52" t="str">
        <f t="shared" si="10"/>
        <v>Dollars</v>
      </c>
      <c r="G41" s="52" t="str">
        <f t="shared" si="11"/>
        <v>Nominal</v>
      </c>
      <c r="H41" s="52" t="str">
        <f t="shared" si="12"/>
        <v>End_year</v>
      </c>
      <c r="J41" s="66" t="str">
        <f t="shared" si="13"/>
        <v>N/A</v>
      </c>
      <c r="K41" s="67" t="str">
        <f t="shared" si="13"/>
        <v>N/A</v>
      </c>
      <c r="L41" s="67" t="str">
        <f t="shared" si="13"/>
        <v>N/A</v>
      </c>
      <c r="M41" s="67" t="str">
        <f t="shared" si="13"/>
        <v>N/A</v>
      </c>
      <c r="N41" s="67" t="str">
        <f t="shared" si="13"/>
        <v>N/A</v>
      </c>
      <c r="O41" s="67" t="str">
        <f t="shared" si="13"/>
        <v>N/A</v>
      </c>
      <c r="P41" s="67" t="str">
        <f t="shared" si="13"/>
        <v>N/A</v>
      </c>
      <c r="Q41" s="67" t="str">
        <f t="shared" si="13"/>
        <v>N/A</v>
      </c>
      <c r="R41" s="68" t="str">
        <f t="shared" si="13"/>
        <v>N/A</v>
      </c>
      <c r="S41" s="66" t="str">
        <f t="shared" si="13"/>
        <v>N/A</v>
      </c>
      <c r="T41" s="67" t="str">
        <f t="shared" si="14"/>
        <v>N/A</v>
      </c>
      <c r="U41" s="67" t="str">
        <f t="shared" si="14"/>
        <v>N/A</v>
      </c>
      <c r="V41" s="67" t="str">
        <f t="shared" si="14"/>
        <v>N/A</v>
      </c>
      <c r="W41" s="68" t="str">
        <f t="shared" si="14"/>
        <v>N/A</v>
      </c>
      <c r="X41" s="66" t="str">
        <f t="shared" si="14"/>
        <v>N/A</v>
      </c>
      <c r="Y41" s="67" t="str">
        <f t="shared" si="14"/>
        <v>N/A</v>
      </c>
      <c r="Z41" s="67" t="str">
        <f t="shared" si="14"/>
        <v>N/A</v>
      </c>
      <c r="AA41" s="67" t="str">
        <f t="shared" si="14"/>
        <v>N/A</v>
      </c>
      <c r="AB41" s="68" t="str">
        <f t="shared" si="14"/>
        <v>N/A</v>
      </c>
    </row>
    <row r="42" spans="3:28" ht="12.3" hidden="1" outlineLevel="1" x14ac:dyDescent="0.35">
      <c r="D42" s="15" t="str">
        <f t="shared" si="9"/>
        <v>Zone substations and transformers</v>
      </c>
      <c r="E42" s="52" t="str">
        <f t="shared" si="9"/>
        <v>Calc_Alloc</v>
      </c>
      <c r="F42" s="52" t="str">
        <f t="shared" si="10"/>
        <v>Dollars</v>
      </c>
      <c r="G42" s="52" t="str">
        <f t="shared" si="11"/>
        <v>Nominal</v>
      </c>
      <c r="H42" s="52" t="str">
        <f t="shared" si="12"/>
        <v>End_year</v>
      </c>
      <c r="J42" s="66" t="str">
        <f t="shared" si="13"/>
        <v>N/A</v>
      </c>
      <c r="K42" s="67" t="str">
        <f t="shared" si="13"/>
        <v>N/A</v>
      </c>
      <c r="L42" s="67" t="str">
        <f t="shared" si="13"/>
        <v>N/A</v>
      </c>
      <c r="M42" s="67" t="str">
        <f t="shared" si="13"/>
        <v>N/A</v>
      </c>
      <c r="N42" s="67" t="str">
        <f t="shared" si="13"/>
        <v>N/A</v>
      </c>
      <c r="O42" s="67" t="str">
        <f t="shared" si="13"/>
        <v>N/A</v>
      </c>
      <c r="P42" s="67" t="str">
        <f t="shared" si="13"/>
        <v>N/A</v>
      </c>
      <c r="Q42" s="67" t="str">
        <f t="shared" si="13"/>
        <v>N/A</v>
      </c>
      <c r="R42" s="68" t="str">
        <f t="shared" si="13"/>
        <v>N/A</v>
      </c>
      <c r="S42" s="66" t="str">
        <f t="shared" si="13"/>
        <v>N/A</v>
      </c>
      <c r="T42" s="67" t="str">
        <f t="shared" si="14"/>
        <v>N/A</v>
      </c>
      <c r="U42" s="67" t="str">
        <f t="shared" si="14"/>
        <v>N/A</v>
      </c>
      <c r="V42" s="67" t="str">
        <f t="shared" si="14"/>
        <v>N/A</v>
      </c>
      <c r="W42" s="68" t="str">
        <f t="shared" si="14"/>
        <v>N/A</v>
      </c>
      <c r="X42" s="66" t="str">
        <f t="shared" si="14"/>
        <v>N/A</v>
      </c>
      <c r="Y42" s="67" t="str">
        <f t="shared" si="14"/>
        <v>N/A</v>
      </c>
      <c r="Z42" s="67" t="str">
        <f t="shared" si="14"/>
        <v>N/A</v>
      </c>
      <c r="AA42" s="67" t="str">
        <f t="shared" si="14"/>
        <v>N/A</v>
      </c>
      <c r="AB42" s="68" t="str">
        <f t="shared" si="14"/>
        <v>N/A</v>
      </c>
    </row>
    <row r="43" spans="3:28" ht="12.3" hidden="1" outlineLevel="1" x14ac:dyDescent="0.35">
      <c r="D43" s="15" t="str">
        <f t="shared" si="9"/>
        <v>Easements</v>
      </c>
      <c r="E43" s="52" t="str">
        <f t="shared" si="9"/>
        <v>Calc_Alloc</v>
      </c>
      <c r="F43" s="52" t="str">
        <f t="shared" si="10"/>
        <v>Dollars</v>
      </c>
      <c r="G43" s="52" t="str">
        <f t="shared" si="11"/>
        <v>Nominal</v>
      </c>
      <c r="H43" s="52" t="str">
        <f t="shared" si="12"/>
        <v>End_year</v>
      </c>
      <c r="J43" s="66" t="str">
        <f t="shared" si="13"/>
        <v>N/A</v>
      </c>
      <c r="K43" s="67" t="str">
        <f t="shared" si="13"/>
        <v>N/A</v>
      </c>
      <c r="L43" s="67" t="str">
        <f t="shared" si="13"/>
        <v>N/A</v>
      </c>
      <c r="M43" s="67" t="str">
        <f t="shared" si="13"/>
        <v>N/A</v>
      </c>
      <c r="N43" s="67" t="str">
        <f t="shared" si="13"/>
        <v>N/A</v>
      </c>
      <c r="O43" s="67" t="str">
        <f t="shared" si="13"/>
        <v>N/A</v>
      </c>
      <c r="P43" s="67" t="str">
        <f t="shared" si="13"/>
        <v>N/A</v>
      </c>
      <c r="Q43" s="67" t="str">
        <f t="shared" si="13"/>
        <v>N/A</v>
      </c>
      <c r="R43" s="68" t="str">
        <f t="shared" si="13"/>
        <v>N/A</v>
      </c>
      <c r="S43" s="66" t="str">
        <f t="shared" si="13"/>
        <v>N/A</v>
      </c>
      <c r="T43" s="67" t="str">
        <f t="shared" si="14"/>
        <v>N/A</v>
      </c>
      <c r="U43" s="67" t="str">
        <f t="shared" si="14"/>
        <v>N/A</v>
      </c>
      <c r="V43" s="67" t="str">
        <f t="shared" si="14"/>
        <v>N/A</v>
      </c>
      <c r="W43" s="68" t="str">
        <f t="shared" si="14"/>
        <v>N/A</v>
      </c>
      <c r="X43" s="66" t="str">
        <f t="shared" si="14"/>
        <v>N/A</v>
      </c>
      <c r="Y43" s="67" t="str">
        <f t="shared" si="14"/>
        <v>N/A</v>
      </c>
      <c r="Z43" s="67" t="str">
        <f t="shared" si="14"/>
        <v>N/A</v>
      </c>
      <c r="AA43" s="67" t="str">
        <f t="shared" si="14"/>
        <v>N/A</v>
      </c>
      <c r="AB43" s="68" t="str">
        <f t="shared" si="14"/>
        <v>N/A</v>
      </c>
    </row>
    <row r="44" spans="3:28" ht="12.3" collapsed="1" x14ac:dyDescent="0.35">
      <c r="D44" s="15" t="str">
        <f t="shared" si="9"/>
        <v>Meters</v>
      </c>
      <c r="E44" s="52" t="str">
        <f t="shared" si="9"/>
        <v>Calc_Alloc</v>
      </c>
      <c r="F44" s="52" t="str">
        <f t="shared" si="10"/>
        <v>Dollars</v>
      </c>
      <c r="G44" s="52" t="str">
        <f t="shared" si="11"/>
        <v>Nominal</v>
      </c>
      <c r="H44" s="52" t="str">
        <f t="shared" si="12"/>
        <v>End_year</v>
      </c>
      <c r="J44" s="66">
        <f>SUM(Input_RAB_ACS!J$36:J$44)*Calc_Alloc!$L$32</f>
        <v>0.10544592320944905</v>
      </c>
      <c r="K44" s="67">
        <f>SUM(Input_RAB_ACS!K$36:K$44)*Calc_Alloc!$L$32</f>
        <v>9.2990902195513078E-2</v>
      </c>
      <c r="L44" s="67">
        <f>SUM(Input_RAB_ACS!L$36:L$44)*Calc_Alloc!$L$32</f>
        <v>0.16552656104162328</v>
      </c>
      <c r="M44" s="67">
        <f>SUM(Input_RAB_ACS!M$36:M$44)*Calc_Alloc!$L$32</f>
        <v>0.10947930547945453</v>
      </c>
      <c r="N44" s="67">
        <f>SUM(Input_RAB_ACS!N$36:N$44)*Calc_Alloc!$L$32</f>
        <v>0.14947778560863145</v>
      </c>
      <c r="O44" s="67">
        <f>SUM(Input_RAB_ACS!O$36:O$44)*Calc_Alloc!$L$32</f>
        <v>0.18845633840088483</v>
      </c>
      <c r="P44" s="67">
        <f>SUM(Input_RAB_ACS!P$36:P$44)*Calc_Alloc!$L$32</f>
        <v>0.10177072489826423</v>
      </c>
      <c r="Q44" s="67">
        <f>SUM(Input_RAB_ACS!Q$36:Q$44)*Calc_Alloc!$L$32</f>
        <v>0.16786350278636603</v>
      </c>
      <c r="R44" s="68">
        <f>SUM(Input_RAB_ACS!R$36:R$44)*Calc_Alloc!$L$32</f>
        <v>0.18226049313937037</v>
      </c>
      <c r="S44" s="66">
        <f>SUM(Input_RAB_ACS!S$36:S$44)*Calc_Alloc!$L$32</f>
        <v>9.7456821170307906E-2</v>
      </c>
      <c r="T44" s="67">
        <f>SUM(Input_RAB_ACS!T$36:T$44)*Calc_Alloc!$L$32</f>
        <v>0.10832995442320521</v>
      </c>
      <c r="U44" s="67">
        <f>SUM(Input_RAB_ACS!U$36:U$44)*Calc_Alloc!$L$32</f>
        <v>0.21663489105965023</v>
      </c>
      <c r="V44" s="67">
        <f>SUM(Input_RAB_ACS!V$36:V$44)*Calc_Alloc!$L$32</f>
        <v>0.29236640137996162</v>
      </c>
      <c r="W44" s="68">
        <f>SUM(Input_RAB_ACS!W$36:W$44)*Calc_Alloc!$L$32</f>
        <v>0.30731449844253483</v>
      </c>
      <c r="X44" s="66">
        <f>SUM(Input_RAB_ACS!X$36:X$44)*Calc_Alloc!$L$32</f>
        <v>0.39136850753595082</v>
      </c>
      <c r="Y44" s="67">
        <f>SUM(Input_RAB_ACS!Y$36:Y$44)*Calc_Alloc!$L$32</f>
        <v>0.54240666021375483</v>
      </c>
      <c r="Z44" s="67">
        <f>SUM(Input_RAB_ACS!Z$36:Z$44)*Calc_Alloc!$L$32</f>
        <v>0.60967483518809362</v>
      </c>
      <c r="AA44" s="67">
        <f>SUM(Input_RAB_ACS!AA$36:AA$44)*Calc_Alloc!$L$32</f>
        <v>0.67431704219664845</v>
      </c>
      <c r="AB44" s="68">
        <f>SUM(Input_RAB_ACS!AB$36:AB$44)*Calc_Alloc!$L$32</f>
        <v>0.83284013717206784</v>
      </c>
    </row>
    <row r="45" spans="3:28" ht="12.3" x14ac:dyDescent="0.35">
      <c r="D45" s="15" t="str">
        <f t="shared" si="9"/>
        <v>“Other” asset items with long lives</v>
      </c>
      <c r="E45" s="52" t="str">
        <f t="shared" si="9"/>
        <v>Calc_Alloc</v>
      </c>
      <c r="F45" s="52" t="str">
        <f t="shared" si="10"/>
        <v>Dollars</v>
      </c>
      <c r="G45" s="52" t="str">
        <f t="shared" si="11"/>
        <v>Nominal</v>
      </c>
      <c r="H45" s="52" t="str">
        <f t="shared" si="12"/>
        <v>End_year</v>
      </c>
      <c r="J45" s="66">
        <f>SUM(Input_RAB_ACS!J$36:J$44)*Calc_Alloc!$M$32</f>
        <v>2.4268693032188254E-3</v>
      </c>
      <c r="K45" s="67">
        <f>SUM(Input_RAB_ACS!K$36:K$44)*Calc_Alloc!$M$32</f>
        <v>2.1402132879869535E-3</v>
      </c>
      <c r="L45" s="67">
        <f>SUM(Input_RAB_ACS!L$36:L$44)*Calc_Alloc!$M$32</f>
        <v>3.8096430628367355E-3</v>
      </c>
      <c r="M45" s="67">
        <f>SUM(Input_RAB_ACS!M$36:M$44)*Calc_Alloc!$M$32</f>
        <v>2.5196987964916976E-3</v>
      </c>
      <c r="N45" s="67">
        <f>SUM(Input_RAB_ACS!N$36:N$44)*Calc_Alloc!$M$32</f>
        <v>3.4402757201542058E-3</v>
      </c>
      <c r="O45" s="67">
        <f>SUM(Input_RAB_ACS!O$36:O$44)*Calc_Alloc!$M$32</f>
        <v>4.3373787126285259E-3</v>
      </c>
      <c r="P45" s="67">
        <f>SUM(Input_RAB_ACS!P$36:P$44)*Calc_Alloc!$M$32</f>
        <v>2.3422835203532359E-3</v>
      </c>
      <c r="Q45" s="67">
        <f>SUM(Input_RAB_ACS!Q$36:Q$44)*Calc_Alloc!$M$32</f>
        <v>3.8634284725624535E-3</v>
      </c>
      <c r="R45" s="68">
        <f>SUM(Input_RAB_ACS!R$36:R$44)*Calc_Alloc!$M$32</f>
        <v>4.1947794900602338E-3</v>
      </c>
      <c r="S45" s="66">
        <f>SUM(Input_RAB_ACS!S$36:S$44)*Calc_Alloc!$M$32</f>
        <v>2.2429977422428471E-3</v>
      </c>
      <c r="T45" s="67">
        <f>SUM(Input_RAB_ACS!T$36:T$44)*Calc_Alloc!$M$32</f>
        <v>2.4932461398869173E-3</v>
      </c>
      <c r="U45" s="67">
        <f>SUM(Input_RAB_ACS!U$36:U$44)*Calc_Alloc!$M$32</f>
        <v>4.9859164879662915E-3</v>
      </c>
      <c r="V45" s="67">
        <f>SUM(Input_RAB_ACS!V$36:V$44)*Calc_Alloc!$M$32</f>
        <v>6.728899735575564E-3</v>
      </c>
      <c r="W45" s="68">
        <f>SUM(Input_RAB_ACS!W$36:W$44)*Calc_Alloc!$M$32</f>
        <v>7.0729346380026276E-3</v>
      </c>
      <c r="X45" s="66">
        <f>SUM(Input_RAB_ACS!X$36:X$44)*Calc_Alloc!$M$32</f>
        <v>9.0074626716384297E-3</v>
      </c>
      <c r="Y45" s="67">
        <f>SUM(Input_RAB_ACS!Y$36:Y$44)*Calc_Alloc!$M$32</f>
        <v>1.2483650704252612E-2</v>
      </c>
      <c r="Z45" s="67">
        <f>SUM(Input_RAB_ACS!Z$36:Z$44)*Calc_Alloc!$M$32</f>
        <v>1.4031847770198037E-2</v>
      </c>
      <c r="AA45" s="67">
        <f>SUM(Input_RAB_ACS!AA$36:AA$44)*Calc_Alloc!$M$32</f>
        <v>1.5519607401926698E-2</v>
      </c>
      <c r="AB45" s="68">
        <f>SUM(Input_RAB_ACS!AB$36:AB$44)*Calc_Alloc!$M$32</f>
        <v>1.9168063609028438E-2</v>
      </c>
    </row>
    <row r="46" spans="3:28" ht="12.3" x14ac:dyDescent="0.35">
      <c r="D46" s="15" t="str">
        <f t="shared" si="9"/>
        <v>“Other” asset items with short lives</v>
      </c>
      <c r="E46" s="52" t="str">
        <f t="shared" si="9"/>
        <v>Calc_Alloc</v>
      </c>
      <c r="F46" s="52" t="str">
        <f t="shared" si="10"/>
        <v>Dollars</v>
      </c>
      <c r="G46" s="52" t="str">
        <f t="shared" si="11"/>
        <v>Nominal</v>
      </c>
      <c r="H46" s="52" t="str">
        <f t="shared" si="12"/>
        <v>End_year</v>
      </c>
      <c r="J46" s="66">
        <f>SUM(Input_RAB_ACS!J$36:J$44)*Calc_Alloc!$N$32</f>
        <v>0</v>
      </c>
      <c r="K46" s="67">
        <f>SUM(Input_RAB_ACS!K$36:K$44)*Calc_Alloc!$N$32</f>
        <v>0</v>
      </c>
      <c r="L46" s="67">
        <f>SUM(Input_RAB_ACS!L$36:L$44)*Calc_Alloc!$N$32</f>
        <v>0</v>
      </c>
      <c r="M46" s="67">
        <f>SUM(Input_RAB_ACS!M$36:M$44)*Calc_Alloc!$N$32</f>
        <v>0</v>
      </c>
      <c r="N46" s="67">
        <f>SUM(Input_RAB_ACS!N$36:N$44)*Calc_Alloc!$N$32</f>
        <v>0</v>
      </c>
      <c r="O46" s="67">
        <f>SUM(Input_RAB_ACS!O$36:O$44)*Calc_Alloc!$N$32</f>
        <v>0</v>
      </c>
      <c r="P46" s="67">
        <f>SUM(Input_RAB_ACS!P$36:P$44)*Calc_Alloc!$N$32</f>
        <v>0</v>
      </c>
      <c r="Q46" s="67">
        <f>SUM(Input_RAB_ACS!Q$36:Q$44)*Calc_Alloc!$N$32</f>
        <v>0</v>
      </c>
      <c r="R46" s="68">
        <f>SUM(Input_RAB_ACS!R$36:R$44)*Calc_Alloc!$N$32</f>
        <v>0</v>
      </c>
      <c r="S46" s="66">
        <f>SUM(Input_RAB_ACS!S$36:S$44)*Calc_Alloc!$N$32</f>
        <v>0</v>
      </c>
      <c r="T46" s="67">
        <f>SUM(Input_RAB_ACS!T$36:T$44)*Calc_Alloc!$N$32</f>
        <v>0</v>
      </c>
      <c r="U46" s="67">
        <f>SUM(Input_RAB_ACS!U$36:U$44)*Calc_Alloc!$N$32</f>
        <v>0</v>
      </c>
      <c r="V46" s="67">
        <f>SUM(Input_RAB_ACS!V$36:V$44)*Calc_Alloc!$N$32</f>
        <v>0</v>
      </c>
      <c r="W46" s="68">
        <f>SUM(Input_RAB_ACS!W$36:W$44)*Calc_Alloc!$N$32</f>
        <v>0</v>
      </c>
      <c r="X46" s="66">
        <f>SUM(Input_RAB_ACS!X$36:X$44)*Calc_Alloc!$N$32</f>
        <v>0</v>
      </c>
      <c r="Y46" s="67">
        <f>SUM(Input_RAB_ACS!Y$36:Y$44)*Calc_Alloc!$N$32</f>
        <v>0</v>
      </c>
      <c r="Z46" s="67">
        <f>SUM(Input_RAB_ACS!Z$36:Z$44)*Calc_Alloc!$N$32</f>
        <v>0</v>
      </c>
      <c r="AA46" s="67">
        <f>SUM(Input_RAB_ACS!AA$36:AA$44)*Calc_Alloc!$N$32</f>
        <v>0</v>
      </c>
      <c r="AB46" s="68">
        <f>SUM(Input_RAB_ACS!AB$36:AB$44)*Calc_Alloc!$N$32</f>
        <v>0</v>
      </c>
    </row>
    <row r="47" spans="3:28" x14ac:dyDescent="0.35">
      <c r="J47" s="56"/>
      <c r="K47" s="57"/>
      <c r="L47" s="57"/>
      <c r="M47" s="57"/>
      <c r="N47" s="57"/>
      <c r="O47" s="57"/>
      <c r="P47" s="57"/>
      <c r="Q47" s="57"/>
      <c r="R47" s="58"/>
      <c r="S47" s="56"/>
      <c r="T47" s="57"/>
      <c r="U47" s="57"/>
      <c r="V47" s="57"/>
      <c r="W47" s="58"/>
      <c r="X47" s="56"/>
      <c r="Y47" s="57"/>
      <c r="Z47" s="57"/>
      <c r="AA47" s="57"/>
      <c r="AB47" s="58"/>
    </row>
    <row r="48" spans="3:28" ht="12.3" x14ac:dyDescent="0.35">
      <c r="D48" s="51" t="str">
        <f>"Total "&amp;D35</f>
        <v>Total EB RIN Categories</v>
      </c>
      <c r="E48" s="47" t="s">
        <v>111</v>
      </c>
      <c r="F48" s="47" t="str">
        <f>F37</f>
        <v>Dollars</v>
      </c>
      <c r="G48" s="47" t="str">
        <f>G37</f>
        <v>Nominal</v>
      </c>
      <c r="H48" s="47" t="str">
        <f>H37</f>
        <v>End_year</v>
      </c>
      <c r="J48" s="62">
        <f t="shared" ref="J48:AB48" si="15">SUM(J37:J46)</f>
        <v>0.10787279251266788</v>
      </c>
      <c r="K48" s="46">
        <f t="shared" si="15"/>
        <v>9.5131115483500034E-2</v>
      </c>
      <c r="L48" s="46">
        <f t="shared" si="15"/>
        <v>0.16933620410446001</v>
      </c>
      <c r="M48" s="46">
        <f t="shared" si="15"/>
        <v>0.11199900427594622</v>
      </c>
      <c r="N48" s="46">
        <f t="shared" si="15"/>
        <v>0.15291806132878566</v>
      </c>
      <c r="O48" s="46">
        <f t="shared" si="15"/>
        <v>0.19279371711351334</v>
      </c>
      <c r="P48" s="46">
        <f t="shared" si="15"/>
        <v>0.10411300841861747</v>
      </c>
      <c r="Q48" s="46">
        <f t="shared" si="15"/>
        <v>0.17172693125892849</v>
      </c>
      <c r="R48" s="63">
        <f t="shared" si="15"/>
        <v>0.1864552726294306</v>
      </c>
      <c r="S48" s="62">
        <f t="shared" si="15"/>
        <v>9.9699818912550753E-2</v>
      </c>
      <c r="T48" s="46">
        <f t="shared" si="15"/>
        <v>0.11082320056309213</v>
      </c>
      <c r="U48" s="46">
        <f t="shared" si="15"/>
        <v>0.22162080754761651</v>
      </c>
      <c r="V48" s="46">
        <f t="shared" si="15"/>
        <v>0.29909530111553717</v>
      </c>
      <c r="W48" s="63">
        <f t="shared" si="15"/>
        <v>0.31438743308053746</v>
      </c>
      <c r="X48" s="62">
        <f t="shared" si="15"/>
        <v>0.40037597020758925</v>
      </c>
      <c r="Y48" s="46">
        <f t="shared" si="15"/>
        <v>0.55489031091800745</v>
      </c>
      <c r="Z48" s="46">
        <f t="shared" si="15"/>
        <v>0.62370668295829168</v>
      </c>
      <c r="AA48" s="46">
        <f t="shared" si="15"/>
        <v>0.68983664959857516</v>
      </c>
      <c r="AB48" s="63">
        <f t="shared" si="15"/>
        <v>0.85200820078109629</v>
      </c>
    </row>
    <row r="49" spans="1:28" s="6" customFormat="1" ht="11.25" customHeight="1" x14ac:dyDescent="0.35"/>
    <row r="50" spans="1:28" s="6" customFormat="1" ht="11.25" customHeight="1" x14ac:dyDescent="0.35">
      <c r="A50" s="49">
        <f>IF(SUM($J50:$AB50)&lt;&gt;0,1,0)</f>
        <v>0</v>
      </c>
      <c r="D50" s="15" t="s">
        <v>114</v>
      </c>
      <c r="J50" s="70">
        <f>IF(ROUND(J48-Input_RAB_ACS!J$46,5)&lt;&gt;0,1,0)</f>
        <v>0</v>
      </c>
      <c r="K50" s="70">
        <f>IF(ROUND(K48-Input_RAB_ACS!K$46,5)&lt;&gt;0,1,0)</f>
        <v>0</v>
      </c>
      <c r="L50" s="70">
        <f>IF(ROUND(L48-Input_RAB_ACS!L$46,5)&lt;&gt;0,1,0)</f>
        <v>0</v>
      </c>
      <c r="M50" s="70">
        <f>IF(ROUND(M48-Input_RAB_ACS!M$46,5)&lt;&gt;0,1,0)</f>
        <v>0</v>
      </c>
      <c r="N50" s="70">
        <f>IF(ROUND(N48-Input_RAB_ACS!N$46,5)&lt;&gt;0,1,0)</f>
        <v>0</v>
      </c>
      <c r="O50" s="70">
        <f>IF(ROUND(O48-Input_RAB_ACS!O$46,5)&lt;&gt;0,1,0)</f>
        <v>0</v>
      </c>
      <c r="P50" s="70">
        <f>IF(ROUND(P48-Input_RAB_ACS!P$46,5)&lt;&gt;0,1,0)</f>
        <v>0</v>
      </c>
      <c r="Q50" s="70">
        <f>IF(ROUND(Q48-Input_RAB_ACS!Q$46,5)&lt;&gt;0,1,0)</f>
        <v>0</v>
      </c>
      <c r="R50" s="70">
        <f>IF(ROUND(R48-Input_RAB_ACS!R$46,5)&lt;&gt;0,1,0)</f>
        <v>0</v>
      </c>
      <c r="S50" s="70">
        <f>IF(ROUND(S48-Input_RAB_ACS!S$46,5)&lt;&gt;0,1,0)</f>
        <v>0</v>
      </c>
      <c r="T50" s="70">
        <f>IF(ROUND(T48-Input_RAB_ACS!T$46,5)&lt;&gt;0,1,0)</f>
        <v>0</v>
      </c>
      <c r="U50" s="70">
        <f>IF(ROUND(U48-Input_RAB_ACS!U$46,5)&lt;&gt;0,1,0)</f>
        <v>0</v>
      </c>
      <c r="V50" s="70">
        <f>IF(ROUND(V48-Input_RAB_ACS!V$46,5)&lt;&gt;0,1,0)</f>
        <v>0</v>
      </c>
      <c r="W50" s="70">
        <f>IF(ROUND(W48-Input_RAB_ACS!W$46,5)&lt;&gt;0,1,0)</f>
        <v>0</v>
      </c>
      <c r="X50" s="70">
        <f>IF(ROUND(X48-Input_RAB_ACS!X$46,5)&lt;&gt;0,1,0)</f>
        <v>0</v>
      </c>
      <c r="Y50" s="70">
        <f>IF(ROUND(Y48-Input_RAB_ACS!Y$46,5)&lt;&gt;0,1,0)</f>
        <v>0</v>
      </c>
      <c r="Z50" s="70">
        <f>IF(ROUND(Z48-Input_RAB_ACS!Z$46,5)&lt;&gt;0,1,0)</f>
        <v>0</v>
      </c>
      <c r="AA50" s="70">
        <f>IF(ROUND(AA48-Input_RAB_ACS!AA$46,5)&lt;&gt;0,1,0)</f>
        <v>0</v>
      </c>
      <c r="AB50" s="70">
        <f>IF(ROUND(AB48-Input_RAB_ACS!AB$46,5)&lt;&gt;0,1,0)</f>
        <v>0</v>
      </c>
    </row>
    <row r="51" spans="1:28" s="6" customFormat="1" ht="11.25" customHeight="1" x14ac:dyDescent="0.35">
      <c r="L51" s="10"/>
      <c r="Q51" s="10"/>
      <c r="V51" s="10"/>
      <c r="AA51" s="10"/>
    </row>
    <row r="52" spans="1:28" s="13" customFormat="1" ht="14.1" x14ac:dyDescent="0.35">
      <c r="C52" s="13" t="s">
        <v>149</v>
      </c>
    </row>
    <row r="53" spans="1:28" s="6" customFormat="1" ht="11.25" customHeight="1" x14ac:dyDescent="0.35"/>
    <row r="54" spans="1:28" ht="12.3" x14ac:dyDescent="0.35">
      <c r="D54" s="50" t="str">
        <f>D$16</f>
        <v>EB RIN Categories</v>
      </c>
      <c r="E54" s="45" t="str">
        <f>Lookup!E$20</f>
        <v>Source</v>
      </c>
      <c r="F54" s="45" t="str">
        <f>Lookup!F$20</f>
        <v>Unit</v>
      </c>
      <c r="G54" s="45" t="str">
        <f>Lookup!G$20</f>
        <v>Basis</v>
      </c>
      <c r="H54" s="45" t="str">
        <f>Lookup!H$20</f>
        <v>Timing</v>
      </c>
      <c r="J54" s="54" t="str">
        <f>J$10</f>
        <v>RY06</v>
      </c>
      <c r="K54" s="45" t="str">
        <f t="shared" ref="K54:AB54" si="16">K$10</f>
        <v>RY07</v>
      </c>
      <c r="L54" s="45" t="str">
        <f t="shared" si="16"/>
        <v>RY08</v>
      </c>
      <c r="M54" s="45" t="str">
        <f t="shared" si="16"/>
        <v>RY09</v>
      </c>
      <c r="N54" s="45" t="str">
        <f t="shared" si="16"/>
        <v>RY10</v>
      </c>
      <c r="O54" s="45" t="str">
        <f>O$10</f>
        <v>RY11</v>
      </c>
      <c r="P54" s="45" t="str">
        <f t="shared" si="16"/>
        <v>RY12</v>
      </c>
      <c r="Q54" s="45" t="str">
        <f t="shared" si="16"/>
        <v>RY13</v>
      </c>
      <c r="R54" s="55" t="str">
        <f t="shared" si="16"/>
        <v>RY14</v>
      </c>
      <c r="S54" s="54" t="str">
        <f t="shared" si="16"/>
        <v>RY15</v>
      </c>
      <c r="T54" s="45" t="str">
        <f>T$10</f>
        <v>RY16</v>
      </c>
      <c r="U54" s="45" t="str">
        <f t="shared" si="16"/>
        <v>RY17</v>
      </c>
      <c r="V54" s="45" t="str">
        <f t="shared" si="16"/>
        <v>RY18</v>
      </c>
      <c r="W54" s="55" t="str">
        <f t="shared" si="16"/>
        <v>RY19</v>
      </c>
      <c r="X54" s="54" t="str">
        <f t="shared" si="16"/>
        <v>RY20</v>
      </c>
      <c r="Y54" s="45" t="str">
        <f>Y$10</f>
        <v>RY21</v>
      </c>
      <c r="Z54" s="45" t="str">
        <f t="shared" si="16"/>
        <v>RY22</v>
      </c>
      <c r="AA54" s="45" t="str">
        <f t="shared" si="16"/>
        <v>RY23</v>
      </c>
      <c r="AB54" s="55" t="str">
        <f t="shared" si="16"/>
        <v>RY24</v>
      </c>
    </row>
    <row r="55" spans="1:28" x14ac:dyDescent="0.35">
      <c r="J55" s="56"/>
      <c r="K55" s="57"/>
      <c r="L55" s="57"/>
      <c r="M55" s="57"/>
      <c r="N55" s="57"/>
      <c r="O55" s="57"/>
      <c r="P55" s="57"/>
      <c r="Q55" s="57"/>
      <c r="R55" s="58"/>
      <c r="S55" s="56"/>
      <c r="T55" s="57"/>
      <c r="U55" s="57"/>
      <c r="V55" s="57"/>
      <c r="W55" s="58"/>
      <c r="X55" s="56"/>
      <c r="Y55" s="57"/>
      <c r="Z55" s="57"/>
      <c r="AA55" s="57"/>
      <c r="AB55" s="58"/>
    </row>
    <row r="56" spans="1:28" ht="12.3" hidden="1" outlineLevel="1" x14ac:dyDescent="0.35">
      <c r="D56" s="15" t="str">
        <f>D18</f>
        <v>Overhead network assets less than 33kV</v>
      </c>
      <c r="E56" s="52" t="str">
        <f>E18</f>
        <v>Calc_Alloc</v>
      </c>
      <c r="F56" s="52" t="str">
        <f t="shared" ref="F56:F65" si="17">Dollars</f>
        <v>Dollars</v>
      </c>
      <c r="G56" s="52" t="str">
        <f t="shared" ref="G56:G65" si="18">Nominal</f>
        <v>Nominal</v>
      </c>
      <c r="H56" s="52" t="str">
        <f t="shared" ref="H56:H65" si="19">End_year</f>
        <v>End_year</v>
      </c>
      <c r="J56" s="66" t="str">
        <f t="shared" ref="J56:S62" si="20">NA</f>
        <v>N/A</v>
      </c>
      <c r="K56" s="67" t="str">
        <f t="shared" si="20"/>
        <v>N/A</v>
      </c>
      <c r="L56" s="67" t="str">
        <f t="shared" si="20"/>
        <v>N/A</v>
      </c>
      <c r="M56" s="67" t="str">
        <f t="shared" si="20"/>
        <v>N/A</v>
      </c>
      <c r="N56" s="67" t="str">
        <f t="shared" si="20"/>
        <v>N/A</v>
      </c>
      <c r="O56" s="67" t="str">
        <f t="shared" si="20"/>
        <v>N/A</v>
      </c>
      <c r="P56" s="67" t="str">
        <f t="shared" si="20"/>
        <v>N/A</v>
      </c>
      <c r="Q56" s="67" t="str">
        <f t="shared" si="20"/>
        <v>N/A</v>
      </c>
      <c r="R56" s="68" t="str">
        <f t="shared" si="20"/>
        <v>N/A</v>
      </c>
      <c r="S56" s="66" t="str">
        <f t="shared" si="20"/>
        <v>N/A</v>
      </c>
      <c r="T56" s="67" t="str">
        <f t="shared" ref="T56:AB62" si="21">NA</f>
        <v>N/A</v>
      </c>
      <c r="U56" s="67" t="str">
        <f t="shared" si="21"/>
        <v>N/A</v>
      </c>
      <c r="V56" s="67" t="str">
        <f t="shared" si="21"/>
        <v>N/A</v>
      </c>
      <c r="W56" s="68" t="str">
        <f t="shared" si="21"/>
        <v>N/A</v>
      </c>
      <c r="X56" s="66" t="str">
        <f t="shared" si="21"/>
        <v>N/A</v>
      </c>
      <c r="Y56" s="67" t="str">
        <f t="shared" si="21"/>
        <v>N/A</v>
      </c>
      <c r="Z56" s="67" t="str">
        <f t="shared" si="21"/>
        <v>N/A</v>
      </c>
      <c r="AA56" s="67" t="str">
        <f t="shared" si="21"/>
        <v>N/A</v>
      </c>
      <c r="AB56" s="68" t="str">
        <f t="shared" si="21"/>
        <v>N/A</v>
      </c>
    </row>
    <row r="57" spans="1:28" ht="12.3" hidden="1" outlineLevel="1" x14ac:dyDescent="0.35">
      <c r="D57" s="15" t="str">
        <f t="shared" ref="D57:D65" si="22">D19</f>
        <v>Underground network assets less than 33kV</v>
      </c>
      <c r="E57" s="52" t="str">
        <f t="shared" ref="E57:E65" si="23">E19</f>
        <v>Calc_Alloc</v>
      </c>
      <c r="F57" s="52" t="str">
        <f t="shared" si="17"/>
        <v>Dollars</v>
      </c>
      <c r="G57" s="52" t="str">
        <f t="shared" si="18"/>
        <v>Nominal</v>
      </c>
      <c r="H57" s="52" t="str">
        <f t="shared" si="19"/>
        <v>End_year</v>
      </c>
      <c r="J57" s="66" t="str">
        <f t="shared" si="20"/>
        <v>N/A</v>
      </c>
      <c r="K57" s="67" t="str">
        <f t="shared" si="20"/>
        <v>N/A</v>
      </c>
      <c r="L57" s="67" t="str">
        <f t="shared" si="20"/>
        <v>N/A</v>
      </c>
      <c r="M57" s="67" t="str">
        <f t="shared" si="20"/>
        <v>N/A</v>
      </c>
      <c r="N57" s="67" t="str">
        <f t="shared" si="20"/>
        <v>N/A</v>
      </c>
      <c r="O57" s="67" t="str">
        <f t="shared" si="20"/>
        <v>N/A</v>
      </c>
      <c r="P57" s="67" t="str">
        <f t="shared" si="20"/>
        <v>N/A</v>
      </c>
      <c r="Q57" s="67" t="str">
        <f t="shared" si="20"/>
        <v>N/A</v>
      </c>
      <c r="R57" s="68" t="str">
        <f t="shared" si="20"/>
        <v>N/A</v>
      </c>
      <c r="S57" s="66" t="str">
        <f t="shared" si="20"/>
        <v>N/A</v>
      </c>
      <c r="T57" s="67" t="str">
        <f t="shared" si="21"/>
        <v>N/A</v>
      </c>
      <c r="U57" s="67" t="str">
        <f t="shared" si="21"/>
        <v>N/A</v>
      </c>
      <c r="V57" s="67" t="str">
        <f t="shared" si="21"/>
        <v>N/A</v>
      </c>
      <c r="W57" s="68" t="str">
        <f t="shared" si="21"/>
        <v>N/A</v>
      </c>
      <c r="X57" s="66" t="str">
        <f t="shared" si="21"/>
        <v>N/A</v>
      </c>
      <c r="Y57" s="67" t="str">
        <f t="shared" si="21"/>
        <v>N/A</v>
      </c>
      <c r="Z57" s="67" t="str">
        <f t="shared" si="21"/>
        <v>N/A</v>
      </c>
      <c r="AA57" s="67" t="str">
        <f t="shared" si="21"/>
        <v>N/A</v>
      </c>
      <c r="AB57" s="68" t="str">
        <f t="shared" si="21"/>
        <v>N/A</v>
      </c>
    </row>
    <row r="58" spans="1:28" ht="12.3" hidden="1" outlineLevel="1" x14ac:dyDescent="0.35">
      <c r="D58" s="15" t="str">
        <f t="shared" si="22"/>
        <v>Distribution substations and transformers</v>
      </c>
      <c r="E58" s="52" t="str">
        <f t="shared" si="23"/>
        <v>Calc_Alloc</v>
      </c>
      <c r="F58" s="52" t="str">
        <f t="shared" si="17"/>
        <v>Dollars</v>
      </c>
      <c r="G58" s="52" t="str">
        <f t="shared" si="18"/>
        <v>Nominal</v>
      </c>
      <c r="H58" s="52" t="str">
        <f t="shared" si="19"/>
        <v>End_year</v>
      </c>
      <c r="J58" s="66" t="str">
        <f t="shared" si="20"/>
        <v>N/A</v>
      </c>
      <c r="K58" s="67" t="str">
        <f t="shared" si="20"/>
        <v>N/A</v>
      </c>
      <c r="L58" s="67" t="str">
        <f t="shared" si="20"/>
        <v>N/A</v>
      </c>
      <c r="M58" s="67" t="str">
        <f t="shared" si="20"/>
        <v>N/A</v>
      </c>
      <c r="N58" s="67" t="str">
        <f t="shared" si="20"/>
        <v>N/A</v>
      </c>
      <c r="O58" s="67" t="str">
        <f t="shared" si="20"/>
        <v>N/A</v>
      </c>
      <c r="P58" s="67" t="str">
        <f t="shared" si="20"/>
        <v>N/A</v>
      </c>
      <c r="Q58" s="67" t="str">
        <f t="shared" si="20"/>
        <v>N/A</v>
      </c>
      <c r="R58" s="68" t="str">
        <f t="shared" si="20"/>
        <v>N/A</v>
      </c>
      <c r="S58" s="66" t="str">
        <f t="shared" si="20"/>
        <v>N/A</v>
      </c>
      <c r="T58" s="67" t="str">
        <f t="shared" si="21"/>
        <v>N/A</v>
      </c>
      <c r="U58" s="67" t="str">
        <f t="shared" si="21"/>
        <v>N/A</v>
      </c>
      <c r="V58" s="67" t="str">
        <f t="shared" si="21"/>
        <v>N/A</v>
      </c>
      <c r="W58" s="68" t="str">
        <f t="shared" si="21"/>
        <v>N/A</v>
      </c>
      <c r="X58" s="66" t="str">
        <f t="shared" si="21"/>
        <v>N/A</v>
      </c>
      <c r="Y58" s="67" t="str">
        <f t="shared" si="21"/>
        <v>N/A</v>
      </c>
      <c r="Z58" s="67" t="str">
        <f t="shared" si="21"/>
        <v>N/A</v>
      </c>
      <c r="AA58" s="67" t="str">
        <f t="shared" si="21"/>
        <v>N/A</v>
      </c>
      <c r="AB58" s="68" t="str">
        <f t="shared" si="21"/>
        <v>N/A</v>
      </c>
    </row>
    <row r="59" spans="1:28" ht="12.3" hidden="1" outlineLevel="1" x14ac:dyDescent="0.35">
      <c r="D59" s="15" t="str">
        <f t="shared" si="22"/>
        <v>Overhead network assets 33kV and above</v>
      </c>
      <c r="E59" s="52" t="str">
        <f t="shared" si="23"/>
        <v>Calc_Alloc</v>
      </c>
      <c r="F59" s="52" t="str">
        <f t="shared" si="17"/>
        <v>Dollars</v>
      </c>
      <c r="G59" s="52" t="str">
        <f t="shared" si="18"/>
        <v>Nominal</v>
      </c>
      <c r="H59" s="52" t="str">
        <f t="shared" si="19"/>
        <v>End_year</v>
      </c>
      <c r="J59" s="66" t="str">
        <f t="shared" si="20"/>
        <v>N/A</v>
      </c>
      <c r="K59" s="67" t="str">
        <f t="shared" si="20"/>
        <v>N/A</v>
      </c>
      <c r="L59" s="67" t="str">
        <f t="shared" si="20"/>
        <v>N/A</v>
      </c>
      <c r="M59" s="67" t="str">
        <f t="shared" si="20"/>
        <v>N/A</v>
      </c>
      <c r="N59" s="67" t="str">
        <f t="shared" si="20"/>
        <v>N/A</v>
      </c>
      <c r="O59" s="67" t="str">
        <f t="shared" si="20"/>
        <v>N/A</v>
      </c>
      <c r="P59" s="67" t="str">
        <f t="shared" si="20"/>
        <v>N/A</v>
      </c>
      <c r="Q59" s="67" t="str">
        <f t="shared" si="20"/>
        <v>N/A</v>
      </c>
      <c r="R59" s="68" t="str">
        <f t="shared" si="20"/>
        <v>N/A</v>
      </c>
      <c r="S59" s="66" t="str">
        <f t="shared" si="20"/>
        <v>N/A</v>
      </c>
      <c r="T59" s="67" t="str">
        <f t="shared" si="21"/>
        <v>N/A</v>
      </c>
      <c r="U59" s="67" t="str">
        <f t="shared" si="21"/>
        <v>N/A</v>
      </c>
      <c r="V59" s="67" t="str">
        <f t="shared" si="21"/>
        <v>N/A</v>
      </c>
      <c r="W59" s="68" t="str">
        <f t="shared" si="21"/>
        <v>N/A</v>
      </c>
      <c r="X59" s="66" t="str">
        <f t="shared" si="21"/>
        <v>N/A</v>
      </c>
      <c r="Y59" s="67" t="str">
        <f t="shared" si="21"/>
        <v>N/A</v>
      </c>
      <c r="Z59" s="67" t="str">
        <f t="shared" si="21"/>
        <v>N/A</v>
      </c>
      <c r="AA59" s="67" t="str">
        <f t="shared" si="21"/>
        <v>N/A</v>
      </c>
      <c r="AB59" s="68" t="str">
        <f t="shared" si="21"/>
        <v>N/A</v>
      </c>
    </row>
    <row r="60" spans="1:28" ht="12.3" hidden="1" outlineLevel="1" x14ac:dyDescent="0.35">
      <c r="D60" s="15" t="str">
        <f t="shared" si="22"/>
        <v>Underground network assets 33kV and above</v>
      </c>
      <c r="E60" s="52" t="str">
        <f t="shared" si="23"/>
        <v>Calc_Alloc</v>
      </c>
      <c r="F60" s="52" t="str">
        <f t="shared" si="17"/>
        <v>Dollars</v>
      </c>
      <c r="G60" s="52" t="str">
        <f t="shared" si="18"/>
        <v>Nominal</v>
      </c>
      <c r="H60" s="52" t="str">
        <f t="shared" si="19"/>
        <v>End_year</v>
      </c>
      <c r="J60" s="66" t="str">
        <f t="shared" si="20"/>
        <v>N/A</v>
      </c>
      <c r="K60" s="67" t="str">
        <f t="shared" si="20"/>
        <v>N/A</v>
      </c>
      <c r="L60" s="67" t="str">
        <f t="shared" si="20"/>
        <v>N/A</v>
      </c>
      <c r="M60" s="67" t="str">
        <f t="shared" si="20"/>
        <v>N/A</v>
      </c>
      <c r="N60" s="67" t="str">
        <f t="shared" si="20"/>
        <v>N/A</v>
      </c>
      <c r="O60" s="67" t="str">
        <f t="shared" si="20"/>
        <v>N/A</v>
      </c>
      <c r="P60" s="67" t="str">
        <f t="shared" si="20"/>
        <v>N/A</v>
      </c>
      <c r="Q60" s="67" t="str">
        <f t="shared" si="20"/>
        <v>N/A</v>
      </c>
      <c r="R60" s="68" t="str">
        <f t="shared" si="20"/>
        <v>N/A</v>
      </c>
      <c r="S60" s="66" t="str">
        <f t="shared" si="20"/>
        <v>N/A</v>
      </c>
      <c r="T60" s="67" t="str">
        <f t="shared" si="21"/>
        <v>N/A</v>
      </c>
      <c r="U60" s="67" t="str">
        <f t="shared" si="21"/>
        <v>N/A</v>
      </c>
      <c r="V60" s="67" t="str">
        <f t="shared" si="21"/>
        <v>N/A</v>
      </c>
      <c r="W60" s="68" t="str">
        <f t="shared" si="21"/>
        <v>N/A</v>
      </c>
      <c r="X60" s="66" t="str">
        <f t="shared" si="21"/>
        <v>N/A</v>
      </c>
      <c r="Y60" s="67" t="str">
        <f t="shared" si="21"/>
        <v>N/A</v>
      </c>
      <c r="Z60" s="67" t="str">
        <f t="shared" si="21"/>
        <v>N/A</v>
      </c>
      <c r="AA60" s="67" t="str">
        <f t="shared" si="21"/>
        <v>N/A</v>
      </c>
      <c r="AB60" s="68" t="str">
        <f t="shared" si="21"/>
        <v>N/A</v>
      </c>
    </row>
    <row r="61" spans="1:28" ht="12.3" hidden="1" outlineLevel="1" x14ac:dyDescent="0.35">
      <c r="D61" s="15" t="str">
        <f t="shared" si="22"/>
        <v>Zone substations and transformers</v>
      </c>
      <c r="E61" s="52" t="str">
        <f t="shared" si="23"/>
        <v>Calc_Alloc</v>
      </c>
      <c r="F61" s="52" t="str">
        <f t="shared" si="17"/>
        <v>Dollars</v>
      </c>
      <c r="G61" s="52" t="str">
        <f t="shared" si="18"/>
        <v>Nominal</v>
      </c>
      <c r="H61" s="52" t="str">
        <f t="shared" si="19"/>
        <v>End_year</v>
      </c>
      <c r="J61" s="66" t="str">
        <f t="shared" si="20"/>
        <v>N/A</v>
      </c>
      <c r="K61" s="67" t="str">
        <f t="shared" si="20"/>
        <v>N/A</v>
      </c>
      <c r="L61" s="67" t="str">
        <f t="shared" si="20"/>
        <v>N/A</v>
      </c>
      <c r="M61" s="67" t="str">
        <f t="shared" si="20"/>
        <v>N/A</v>
      </c>
      <c r="N61" s="67" t="str">
        <f t="shared" si="20"/>
        <v>N/A</v>
      </c>
      <c r="O61" s="67" t="str">
        <f t="shared" si="20"/>
        <v>N/A</v>
      </c>
      <c r="P61" s="67" t="str">
        <f t="shared" si="20"/>
        <v>N/A</v>
      </c>
      <c r="Q61" s="67" t="str">
        <f t="shared" si="20"/>
        <v>N/A</v>
      </c>
      <c r="R61" s="68" t="str">
        <f t="shared" si="20"/>
        <v>N/A</v>
      </c>
      <c r="S61" s="66" t="str">
        <f t="shared" si="20"/>
        <v>N/A</v>
      </c>
      <c r="T61" s="67" t="str">
        <f t="shared" si="21"/>
        <v>N/A</v>
      </c>
      <c r="U61" s="67" t="str">
        <f t="shared" si="21"/>
        <v>N/A</v>
      </c>
      <c r="V61" s="67" t="str">
        <f t="shared" si="21"/>
        <v>N/A</v>
      </c>
      <c r="W61" s="68" t="str">
        <f t="shared" si="21"/>
        <v>N/A</v>
      </c>
      <c r="X61" s="66" t="str">
        <f t="shared" si="21"/>
        <v>N/A</v>
      </c>
      <c r="Y61" s="67" t="str">
        <f t="shared" si="21"/>
        <v>N/A</v>
      </c>
      <c r="Z61" s="67" t="str">
        <f t="shared" si="21"/>
        <v>N/A</v>
      </c>
      <c r="AA61" s="67" t="str">
        <f t="shared" si="21"/>
        <v>N/A</v>
      </c>
      <c r="AB61" s="68" t="str">
        <f t="shared" si="21"/>
        <v>N/A</v>
      </c>
    </row>
    <row r="62" spans="1:28" ht="12.3" hidden="1" outlineLevel="1" x14ac:dyDescent="0.35">
      <c r="D62" s="15" t="str">
        <f t="shared" si="22"/>
        <v>Easements</v>
      </c>
      <c r="E62" s="52" t="str">
        <f t="shared" si="23"/>
        <v>Calc_Alloc</v>
      </c>
      <c r="F62" s="52" t="str">
        <f t="shared" si="17"/>
        <v>Dollars</v>
      </c>
      <c r="G62" s="52" t="str">
        <f t="shared" si="18"/>
        <v>Nominal</v>
      </c>
      <c r="H62" s="52" t="str">
        <f t="shared" si="19"/>
        <v>End_year</v>
      </c>
      <c r="J62" s="66" t="str">
        <f t="shared" si="20"/>
        <v>N/A</v>
      </c>
      <c r="K62" s="67" t="str">
        <f t="shared" si="20"/>
        <v>N/A</v>
      </c>
      <c r="L62" s="67" t="str">
        <f t="shared" si="20"/>
        <v>N/A</v>
      </c>
      <c r="M62" s="67" t="str">
        <f t="shared" si="20"/>
        <v>N/A</v>
      </c>
      <c r="N62" s="67" t="str">
        <f t="shared" si="20"/>
        <v>N/A</v>
      </c>
      <c r="O62" s="67" t="str">
        <f t="shared" si="20"/>
        <v>N/A</v>
      </c>
      <c r="P62" s="67" t="str">
        <f t="shared" si="20"/>
        <v>N/A</v>
      </c>
      <c r="Q62" s="67" t="str">
        <f t="shared" si="20"/>
        <v>N/A</v>
      </c>
      <c r="R62" s="68" t="str">
        <f t="shared" si="20"/>
        <v>N/A</v>
      </c>
      <c r="S62" s="66" t="str">
        <f t="shared" si="20"/>
        <v>N/A</v>
      </c>
      <c r="T62" s="67" t="str">
        <f t="shared" si="21"/>
        <v>N/A</v>
      </c>
      <c r="U62" s="67" t="str">
        <f t="shared" si="21"/>
        <v>N/A</v>
      </c>
      <c r="V62" s="67" t="str">
        <f t="shared" si="21"/>
        <v>N/A</v>
      </c>
      <c r="W62" s="68" t="str">
        <f t="shared" si="21"/>
        <v>N/A</v>
      </c>
      <c r="X62" s="66" t="str">
        <f t="shared" si="21"/>
        <v>N/A</v>
      </c>
      <c r="Y62" s="67" t="str">
        <f t="shared" si="21"/>
        <v>N/A</v>
      </c>
      <c r="Z62" s="67" t="str">
        <f t="shared" si="21"/>
        <v>N/A</v>
      </c>
      <c r="AA62" s="67" t="str">
        <f t="shared" si="21"/>
        <v>N/A</v>
      </c>
      <c r="AB62" s="68" t="str">
        <f t="shared" si="21"/>
        <v>N/A</v>
      </c>
    </row>
    <row r="63" spans="1:28" ht="12.3" collapsed="1" x14ac:dyDescent="0.35">
      <c r="D63" s="15" t="str">
        <f t="shared" si="22"/>
        <v>Meters</v>
      </c>
      <c r="E63" s="52" t="str">
        <f t="shared" si="23"/>
        <v>Calc_Alloc</v>
      </c>
      <c r="F63" s="52" t="str">
        <f t="shared" si="17"/>
        <v>Dollars</v>
      </c>
      <c r="G63" s="52" t="str">
        <f t="shared" si="18"/>
        <v>Nominal</v>
      </c>
      <c r="H63" s="52" t="str">
        <f t="shared" si="19"/>
        <v>End_year</v>
      </c>
      <c r="J63" s="66">
        <f>SUM(Input_RAB_ACS!J$55:J$63)*Calc_Alloc!$L$32</f>
        <v>-1.4617969755665827E-2</v>
      </c>
      <c r="K63" s="67">
        <f>SUM(Input_RAB_ACS!K$55:K$63)*Calc_Alloc!$L$32</f>
        <v>-1.5816032913207382E-2</v>
      </c>
      <c r="L63" s="67">
        <f>SUM(Input_RAB_ACS!L$55:L$63)*Calc_Alloc!$L$32</f>
        <v>-2.0928772412162462E-2</v>
      </c>
      <c r="M63" s="67">
        <f>SUM(Input_RAB_ACS!M$55:M$63)*Calc_Alloc!$L$32</f>
        <v>-3.005808947716871E-2</v>
      </c>
      <c r="N63" s="67">
        <f>SUM(Input_RAB_ACS!N$55:N$63)*Calc_Alloc!$L$32</f>
        <v>-3.6489825288680604E-2</v>
      </c>
      <c r="O63" s="67">
        <f>SUM(Input_RAB_ACS!O$55:O$63)*Calc_Alloc!$L$32</f>
        <v>-3.7678044389467473E-2</v>
      </c>
      <c r="P63" s="67">
        <f>SUM(Input_RAB_ACS!P$55:P$63)*Calc_Alloc!$L$32</f>
        <v>-3.8291318764067148E-2</v>
      </c>
      <c r="Q63" s="67">
        <f>SUM(Input_RAB_ACS!Q$55:Q$63)*Calc_Alloc!$L$32</f>
        <v>-3.9249559974379136E-2</v>
      </c>
      <c r="R63" s="68">
        <f>SUM(Input_RAB_ACS!R$55:R$63)*Calc_Alloc!$L$32</f>
        <v>-0.96715103314228468</v>
      </c>
      <c r="S63" s="66">
        <f>SUM(Input_RAB_ACS!S$55:S$63)*Calc_Alloc!$L$32</f>
        <v>-1.2113984690515542</v>
      </c>
      <c r="T63" s="67">
        <f>SUM(Input_RAB_ACS!T$55:T$63)*Calc_Alloc!$L$32</f>
        <v>-1.3234542362008557</v>
      </c>
      <c r="U63" s="67">
        <f>SUM(Input_RAB_ACS!U$55:U$63)*Calc_Alloc!$L$32</f>
        <v>-1.4564221249611613</v>
      </c>
      <c r="V63" s="67">
        <f>SUM(Input_RAB_ACS!V$55:V$63)*Calc_Alloc!$L$32</f>
        <v>-1.6724055547019285</v>
      </c>
      <c r="W63" s="68">
        <f>SUM(Input_RAB_ACS!W$55:W$63)*Calc_Alloc!$L$32</f>
        <v>-1.8877137562340685</v>
      </c>
      <c r="X63" s="66">
        <f>SUM(Input_RAB_ACS!X$55:X$63)*Calc_Alloc!$L$32</f>
        <v>-1.1180787667441376</v>
      </c>
      <c r="Y63" s="67">
        <f>SUM(Input_RAB_ACS!Y$55:Y$63)*Calc_Alloc!$L$32</f>
        <v>-1.6944148201706755</v>
      </c>
      <c r="Z63" s="67">
        <f>SUM(Input_RAB_ACS!Z$55:Z$63)*Calc_Alloc!$L$32</f>
        <v>-2.0139023796582558</v>
      </c>
      <c r="AA63" s="67">
        <f>SUM(Input_RAB_ACS!AA$55:AA$63)*Calc_Alloc!$L$32</f>
        <v>-2.3450557441361037</v>
      </c>
      <c r="AB63" s="68">
        <f>SUM(Input_RAB_ACS!AB$55:AB$63)*Calc_Alloc!$L$32</f>
        <v>-2.9835471576561945</v>
      </c>
    </row>
    <row r="64" spans="1:28" ht="12.3" x14ac:dyDescent="0.35">
      <c r="D64" s="15" t="str">
        <f t="shared" si="22"/>
        <v>“Other” asset items with long lives</v>
      </c>
      <c r="E64" s="52" t="str">
        <f t="shared" si="23"/>
        <v>Calc_Alloc</v>
      </c>
      <c r="F64" s="52" t="str">
        <f t="shared" si="17"/>
        <v>Dollars</v>
      </c>
      <c r="G64" s="52" t="str">
        <f t="shared" si="18"/>
        <v>Nominal</v>
      </c>
      <c r="H64" s="52" t="str">
        <f t="shared" si="19"/>
        <v>End_year</v>
      </c>
      <c r="J64" s="66">
        <f>SUM(Input_RAB_ACS!J$55:J$63)*Calc_Alloc!$M$32</f>
        <v>-3.3643692421318365E-4</v>
      </c>
      <c r="K64" s="67">
        <f>SUM(Input_RAB_ACS!K$55:K$63)*Calc_Alloc!$M$32</f>
        <v>-3.640107043258554E-4</v>
      </c>
      <c r="L64" s="67">
        <f>SUM(Input_RAB_ACS!L$55:L$63)*Calc_Alloc!$M$32</f>
        <v>-4.81681925438144E-4</v>
      </c>
      <c r="M64" s="67">
        <f>SUM(Input_RAB_ACS!M$55:M$63)*Calc_Alloc!$M$32</f>
        <v>-6.9179587456074103E-4</v>
      </c>
      <c r="N64" s="67">
        <f>SUM(Input_RAB_ACS!N$55:N$63)*Calc_Alloc!$M$32</f>
        <v>-8.398241883379085E-4</v>
      </c>
      <c r="O64" s="67">
        <f>SUM(Input_RAB_ACS!O$55:O$63)*Calc_Alloc!$M$32</f>
        <v>-8.671714045547942E-4</v>
      </c>
      <c r="P64" s="67">
        <f>SUM(Input_RAB_ACS!P$55:P$63)*Calc_Alloc!$M$32</f>
        <v>-8.8128609679576748E-4</v>
      </c>
      <c r="Q64" s="67">
        <f>SUM(Input_RAB_ACS!Q$55:Q$63)*Calc_Alloc!$M$32</f>
        <v>-9.0334030342228814E-4</v>
      </c>
      <c r="R64" s="68">
        <f>SUM(Input_RAB_ACS!R$55:R$63)*Calc_Alloc!$M$32</f>
        <v>-2.2259268850510237E-2</v>
      </c>
      <c r="S64" s="66">
        <f>SUM(Input_RAB_ACS!S$55:S$63)*Calc_Alloc!$M$32</f>
        <v>-2.7880696275643699E-2</v>
      </c>
      <c r="T64" s="67">
        <f>SUM(Input_RAB_ACS!T$55:T$63)*Calc_Alloc!$M$32</f>
        <v>-3.0459693104218165E-2</v>
      </c>
      <c r="U64" s="67">
        <f>SUM(Input_RAB_ACS!U$55:U$63)*Calc_Alloc!$M$32</f>
        <v>-3.3519988635086866E-2</v>
      </c>
      <c r="V64" s="67">
        <f>SUM(Input_RAB_ACS!V$55:V$63)*Calc_Alloc!$M$32</f>
        <v>-3.8490911546925126E-2</v>
      </c>
      <c r="W64" s="68">
        <f>SUM(Input_RAB_ACS!W$55:W$63)*Calc_Alloc!$M$32</f>
        <v>-4.3446293880594893E-2</v>
      </c>
      <c r="X64" s="66">
        <f>SUM(Input_RAB_ACS!X$55:X$63)*Calc_Alloc!$M$32</f>
        <v>-2.5732915555230849E-2</v>
      </c>
      <c r="Y64" s="67">
        <f>SUM(Input_RAB_ACS!Y$55:Y$63)*Calc_Alloc!$M$32</f>
        <v>-3.8997461341613728E-2</v>
      </c>
      <c r="Z64" s="67">
        <f>SUM(Input_RAB_ACS!Z$55:Z$63)*Calc_Alloc!$M$32</f>
        <v>-4.6350562602253328E-2</v>
      </c>
      <c r="AA64" s="67">
        <f>SUM(Input_RAB_ACS!AA$55:AA$63)*Calc_Alloc!$M$32</f>
        <v>-5.3972155836470539E-2</v>
      </c>
      <c r="AB64" s="68">
        <f>SUM(Input_RAB_ACS!AB$55:AB$63)*Calc_Alloc!$M$32</f>
        <v>-6.8667225732751289E-2</v>
      </c>
    </row>
    <row r="65" spans="1:28" ht="12.3" x14ac:dyDescent="0.35">
      <c r="D65" s="15" t="str">
        <f t="shared" si="22"/>
        <v>“Other” asset items with short lives</v>
      </c>
      <c r="E65" s="52" t="str">
        <f t="shared" si="23"/>
        <v>Calc_Alloc</v>
      </c>
      <c r="F65" s="52" t="str">
        <f t="shared" si="17"/>
        <v>Dollars</v>
      </c>
      <c r="G65" s="52" t="str">
        <f t="shared" si="18"/>
        <v>Nominal</v>
      </c>
      <c r="H65" s="52" t="str">
        <f t="shared" si="19"/>
        <v>End_year</v>
      </c>
      <c r="J65" s="66">
        <f>SUM(Input_RAB_ACS!J$55:J$63)*Calc_Alloc!$N$32</f>
        <v>0</v>
      </c>
      <c r="K65" s="67">
        <f>SUM(Input_RAB_ACS!K$55:K$63)*Calc_Alloc!$N$32</f>
        <v>0</v>
      </c>
      <c r="L65" s="67">
        <f>SUM(Input_RAB_ACS!L$55:L$63)*Calc_Alloc!$N$32</f>
        <v>0</v>
      </c>
      <c r="M65" s="67">
        <f>SUM(Input_RAB_ACS!M$55:M$63)*Calc_Alloc!$N$32</f>
        <v>0</v>
      </c>
      <c r="N65" s="67">
        <f>SUM(Input_RAB_ACS!N$55:N$63)*Calc_Alloc!$N$32</f>
        <v>0</v>
      </c>
      <c r="O65" s="67">
        <f>SUM(Input_RAB_ACS!O$55:O$63)*Calc_Alloc!$N$32</f>
        <v>0</v>
      </c>
      <c r="P65" s="67">
        <f>SUM(Input_RAB_ACS!P$55:P$63)*Calc_Alloc!$N$32</f>
        <v>0</v>
      </c>
      <c r="Q65" s="67">
        <f>SUM(Input_RAB_ACS!Q$55:Q$63)*Calc_Alloc!$N$32</f>
        <v>0</v>
      </c>
      <c r="R65" s="68">
        <f>SUM(Input_RAB_ACS!R$55:R$63)*Calc_Alloc!$N$32</f>
        <v>0</v>
      </c>
      <c r="S65" s="66">
        <f>SUM(Input_RAB_ACS!S$55:S$63)*Calc_Alloc!$N$32</f>
        <v>0</v>
      </c>
      <c r="T65" s="67">
        <f>SUM(Input_RAB_ACS!T$55:T$63)*Calc_Alloc!$N$32</f>
        <v>0</v>
      </c>
      <c r="U65" s="67">
        <f>SUM(Input_RAB_ACS!U$55:U$63)*Calc_Alloc!$N$32</f>
        <v>0</v>
      </c>
      <c r="V65" s="67">
        <f>SUM(Input_RAB_ACS!V$55:V$63)*Calc_Alloc!$N$32</f>
        <v>0</v>
      </c>
      <c r="W65" s="68">
        <f>SUM(Input_RAB_ACS!W$55:W$63)*Calc_Alloc!$N$32</f>
        <v>0</v>
      </c>
      <c r="X65" s="66">
        <f>SUM(Input_RAB_ACS!X$55:X$63)*Calc_Alloc!$N$32</f>
        <v>0</v>
      </c>
      <c r="Y65" s="67">
        <f>SUM(Input_RAB_ACS!Y$55:Y$63)*Calc_Alloc!$N$32</f>
        <v>0</v>
      </c>
      <c r="Z65" s="67">
        <f>SUM(Input_RAB_ACS!Z$55:Z$63)*Calc_Alloc!$N$32</f>
        <v>0</v>
      </c>
      <c r="AA65" s="67">
        <f>SUM(Input_RAB_ACS!AA$55:AA$63)*Calc_Alloc!$N$32</f>
        <v>0</v>
      </c>
      <c r="AB65" s="68">
        <f>SUM(Input_RAB_ACS!AB$55:AB$63)*Calc_Alloc!$N$32</f>
        <v>0</v>
      </c>
    </row>
    <row r="66" spans="1:28" x14ac:dyDescent="0.35">
      <c r="J66" s="56"/>
      <c r="K66" s="57"/>
      <c r="L66" s="57"/>
      <c r="M66" s="57"/>
      <c r="N66" s="57"/>
      <c r="O66" s="57"/>
      <c r="P66" s="57"/>
      <c r="Q66" s="57"/>
      <c r="R66" s="58"/>
      <c r="S66" s="56"/>
      <c r="T66" s="57"/>
      <c r="U66" s="57"/>
      <c r="V66" s="57"/>
      <c r="W66" s="58"/>
      <c r="X66" s="56"/>
      <c r="Y66" s="57"/>
      <c r="Z66" s="57"/>
      <c r="AA66" s="57"/>
      <c r="AB66" s="58"/>
    </row>
    <row r="67" spans="1:28" ht="12.3" x14ac:dyDescent="0.35">
      <c r="D67" s="51" t="str">
        <f>"Total "&amp;D54</f>
        <v>Total EB RIN Categories</v>
      </c>
      <c r="E67" s="47" t="s">
        <v>111</v>
      </c>
      <c r="F67" s="47" t="str">
        <f>F56</f>
        <v>Dollars</v>
      </c>
      <c r="G67" s="47" t="str">
        <f>G56</f>
        <v>Nominal</v>
      </c>
      <c r="H67" s="47" t="str">
        <f>H56</f>
        <v>End_year</v>
      </c>
      <c r="J67" s="62">
        <f t="shared" ref="J67:AB67" si="24">SUM(J56:J65)</f>
        <v>-1.4954406679879011E-2</v>
      </c>
      <c r="K67" s="46">
        <f t="shared" si="24"/>
        <v>-1.6180043617533238E-2</v>
      </c>
      <c r="L67" s="46">
        <f t="shared" si="24"/>
        <v>-2.1410454337600606E-2</v>
      </c>
      <c r="M67" s="46">
        <f t="shared" si="24"/>
        <v>-3.0749885351729452E-2</v>
      </c>
      <c r="N67" s="46">
        <f t="shared" si="24"/>
        <v>-3.7329649477018514E-2</v>
      </c>
      <c r="O67" s="46">
        <f t="shared" si="24"/>
        <v>-3.8545215794022265E-2</v>
      </c>
      <c r="P67" s="46">
        <f t="shared" si="24"/>
        <v>-3.9172604860862915E-2</v>
      </c>
      <c r="Q67" s="46">
        <f t="shared" si="24"/>
        <v>-4.0152900277801426E-2</v>
      </c>
      <c r="R67" s="63">
        <f t="shared" si="24"/>
        <v>-0.98941030199279489</v>
      </c>
      <c r="S67" s="62">
        <f t="shared" si="24"/>
        <v>-1.239279165327198</v>
      </c>
      <c r="T67" s="46">
        <f t="shared" si="24"/>
        <v>-1.3539139293050739</v>
      </c>
      <c r="U67" s="46">
        <f t="shared" si="24"/>
        <v>-1.4899421135962481</v>
      </c>
      <c r="V67" s="46">
        <f t="shared" si="24"/>
        <v>-1.7108964662488537</v>
      </c>
      <c r="W67" s="63">
        <f t="shared" si="24"/>
        <v>-1.9311600501146633</v>
      </c>
      <c r="X67" s="62">
        <f t="shared" si="24"/>
        <v>-1.1438116822993685</v>
      </c>
      <c r="Y67" s="46">
        <f t="shared" si="24"/>
        <v>-1.7334122815122892</v>
      </c>
      <c r="Z67" s="46">
        <f t="shared" si="24"/>
        <v>-2.0602529422605089</v>
      </c>
      <c r="AA67" s="46">
        <f t="shared" si="24"/>
        <v>-2.3990278999725745</v>
      </c>
      <c r="AB67" s="63">
        <f t="shared" si="24"/>
        <v>-3.0522143833889457</v>
      </c>
    </row>
    <row r="68" spans="1:28" s="6" customFormat="1" ht="11.25" customHeight="1" x14ac:dyDescent="0.35"/>
    <row r="69" spans="1:28" s="6" customFormat="1" ht="11.25" customHeight="1" x14ac:dyDescent="0.35">
      <c r="A69" s="49">
        <f>IF(SUM($J69:$AB69)&lt;&gt;0,1,0)</f>
        <v>0</v>
      </c>
      <c r="D69" s="15" t="s">
        <v>114</v>
      </c>
      <c r="J69" s="70">
        <f>IF(ROUND(J67-Input_RAB_ACS!J$65,5)&lt;&gt;0,1,0)</f>
        <v>0</v>
      </c>
      <c r="K69" s="70">
        <f>IF(ROUND(K67-Input_RAB_ACS!K$65,5)&lt;&gt;0,1,0)</f>
        <v>0</v>
      </c>
      <c r="L69" s="70">
        <f>IF(ROUND(L67-Input_RAB_ACS!L$65,5)&lt;&gt;0,1,0)</f>
        <v>0</v>
      </c>
      <c r="M69" s="70">
        <f>IF(ROUND(M67-Input_RAB_ACS!M$65,5)&lt;&gt;0,1,0)</f>
        <v>0</v>
      </c>
      <c r="N69" s="70">
        <f>IF(ROUND(N67-Input_RAB_ACS!N$65,5)&lt;&gt;0,1,0)</f>
        <v>0</v>
      </c>
      <c r="O69" s="70">
        <f>IF(ROUND(O67-Input_RAB_ACS!O$65,5)&lt;&gt;0,1,0)</f>
        <v>0</v>
      </c>
      <c r="P69" s="70">
        <f>IF(ROUND(P67-Input_RAB_ACS!P$65,5)&lt;&gt;0,1,0)</f>
        <v>0</v>
      </c>
      <c r="Q69" s="70">
        <f>IF(ROUND(Q67-Input_RAB_ACS!Q$65,5)&lt;&gt;0,1,0)</f>
        <v>0</v>
      </c>
      <c r="R69" s="70">
        <f>IF(ROUND(R67-Input_RAB_ACS!R$65,5)&lt;&gt;0,1,0)</f>
        <v>0</v>
      </c>
      <c r="S69" s="70">
        <f>IF(ROUND(S67-Input_RAB_ACS!S$65,5)&lt;&gt;0,1,0)</f>
        <v>0</v>
      </c>
      <c r="T69" s="70">
        <f>IF(ROUND(T67-Input_RAB_ACS!T$65,5)&lt;&gt;0,1,0)</f>
        <v>0</v>
      </c>
      <c r="U69" s="70">
        <f>IF(ROUND(U67-Input_RAB_ACS!U$65,5)&lt;&gt;0,1,0)</f>
        <v>0</v>
      </c>
      <c r="V69" s="70">
        <f>IF(ROUND(V67-Input_RAB_ACS!V$65,5)&lt;&gt;0,1,0)</f>
        <v>0</v>
      </c>
      <c r="W69" s="70">
        <f>IF(ROUND(W67-Input_RAB_ACS!W$65,5)&lt;&gt;0,1,0)</f>
        <v>0</v>
      </c>
      <c r="X69" s="70">
        <f>IF(ROUND(X67-Input_RAB_ACS!X$65,5)&lt;&gt;0,1,0)</f>
        <v>0</v>
      </c>
      <c r="Y69" s="70">
        <f>IF(ROUND(Y67-Input_RAB_ACS!Y$65,5)&lt;&gt;0,1,0)</f>
        <v>0</v>
      </c>
      <c r="Z69" s="70">
        <f>IF(ROUND(Z67-Input_RAB_ACS!Z$65,5)&lt;&gt;0,1,0)</f>
        <v>0</v>
      </c>
      <c r="AA69" s="70">
        <f>IF(ROUND(AA67-Input_RAB_ACS!AA$65,5)&lt;&gt;0,1,0)</f>
        <v>0</v>
      </c>
      <c r="AB69" s="70">
        <f>IF(ROUND(AB67-Input_RAB_ACS!AB$65,5)&lt;&gt;0,1,0)</f>
        <v>0</v>
      </c>
    </row>
    <row r="70" spans="1:28" s="6" customFormat="1" ht="11.25" customHeight="1" x14ac:dyDescent="0.35">
      <c r="L70" s="10"/>
      <c r="Q70" s="10"/>
      <c r="V70" s="10"/>
      <c r="AA70" s="10"/>
    </row>
    <row r="71" spans="1:28" s="13" customFormat="1" ht="14.1" x14ac:dyDescent="0.35">
      <c r="C71" s="13" t="s">
        <v>150</v>
      </c>
    </row>
    <row r="72" spans="1:28" s="6" customFormat="1" ht="11.25" customHeight="1" x14ac:dyDescent="0.35"/>
    <row r="73" spans="1:28" ht="12.3" x14ac:dyDescent="0.35">
      <c r="D73" s="50" t="str">
        <f>D$16</f>
        <v>EB RIN Categories</v>
      </c>
      <c r="E73" s="45" t="str">
        <f>Lookup!E$20</f>
        <v>Source</v>
      </c>
      <c r="F73" s="45" t="str">
        <f>Lookup!F$20</f>
        <v>Unit</v>
      </c>
      <c r="G73" s="45" t="str">
        <f>Lookup!G$20</f>
        <v>Basis</v>
      </c>
      <c r="H73" s="45" t="str">
        <f>Lookup!H$20</f>
        <v>Timing</v>
      </c>
      <c r="J73" s="54" t="str">
        <f>J$10</f>
        <v>RY06</v>
      </c>
      <c r="K73" s="45" t="str">
        <f t="shared" ref="K73:AB73" si="25">K$10</f>
        <v>RY07</v>
      </c>
      <c r="L73" s="45" t="str">
        <f t="shared" si="25"/>
        <v>RY08</v>
      </c>
      <c r="M73" s="45" t="str">
        <f t="shared" si="25"/>
        <v>RY09</v>
      </c>
      <c r="N73" s="45" t="str">
        <f t="shared" si="25"/>
        <v>RY10</v>
      </c>
      <c r="O73" s="45" t="str">
        <f>O$10</f>
        <v>RY11</v>
      </c>
      <c r="P73" s="45" t="str">
        <f t="shared" si="25"/>
        <v>RY12</v>
      </c>
      <c r="Q73" s="45" t="str">
        <f t="shared" si="25"/>
        <v>RY13</v>
      </c>
      <c r="R73" s="55" t="str">
        <f t="shared" si="25"/>
        <v>RY14</v>
      </c>
      <c r="S73" s="54" t="str">
        <f t="shared" si="25"/>
        <v>RY15</v>
      </c>
      <c r="T73" s="45" t="str">
        <f>T$10</f>
        <v>RY16</v>
      </c>
      <c r="U73" s="45" t="str">
        <f t="shared" si="25"/>
        <v>RY17</v>
      </c>
      <c r="V73" s="45" t="str">
        <f t="shared" si="25"/>
        <v>RY18</v>
      </c>
      <c r="W73" s="55" t="str">
        <f t="shared" si="25"/>
        <v>RY19</v>
      </c>
      <c r="X73" s="54" t="str">
        <f t="shared" si="25"/>
        <v>RY20</v>
      </c>
      <c r="Y73" s="45" t="str">
        <f>Y$10</f>
        <v>RY21</v>
      </c>
      <c r="Z73" s="45" t="str">
        <f t="shared" si="25"/>
        <v>RY22</v>
      </c>
      <c r="AA73" s="45" t="str">
        <f t="shared" si="25"/>
        <v>RY23</v>
      </c>
      <c r="AB73" s="55" t="str">
        <f t="shared" si="25"/>
        <v>RY24</v>
      </c>
    </row>
    <row r="74" spans="1:28" x14ac:dyDescent="0.35">
      <c r="J74" s="56"/>
      <c r="K74" s="57"/>
      <c r="L74" s="57"/>
      <c r="M74" s="57"/>
      <c r="N74" s="57"/>
      <c r="O74" s="57"/>
      <c r="P74" s="57"/>
      <c r="Q74" s="57"/>
      <c r="R74" s="58"/>
      <c r="S74" s="56"/>
      <c r="T74" s="57"/>
      <c r="U74" s="57"/>
      <c r="V74" s="57"/>
      <c r="W74" s="58"/>
      <c r="X74" s="56"/>
      <c r="Y74" s="57"/>
      <c r="Z74" s="57"/>
      <c r="AA74" s="57"/>
      <c r="AB74" s="58"/>
    </row>
    <row r="75" spans="1:28" ht="12.3" hidden="1" outlineLevel="1" x14ac:dyDescent="0.35">
      <c r="D75" s="15" t="str">
        <f>D18</f>
        <v>Overhead network assets less than 33kV</v>
      </c>
      <c r="E75" s="52" t="str">
        <f>E18</f>
        <v>Calc_Alloc</v>
      </c>
      <c r="F75" s="52" t="str">
        <f t="shared" ref="F75:F84" si="26">Dollars</f>
        <v>Dollars</v>
      </c>
      <c r="G75" s="52" t="str">
        <f t="shared" ref="G75:G84" si="27">Nominal</f>
        <v>Nominal</v>
      </c>
      <c r="H75" s="52" t="str">
        <f t="shared" ref="H75:H84" si="28">End_year</f>
        <v>End_year</v>
      </c>
      <c r="J75" s="66" t="str">
        <f t="shared" ref="J75:S81" si="29">NA</f>
        <v>N/A</v>
      </c>
      <c r="K75" s="67" t="str">
        <f t="shared" si="29"/>
        <v>N/A</v>
      </c>
      <c r="L75" s="67" t="str">
        <f t="shared" si="29"/>
        <v>N/A</v>
      </c>
      <c r="M75" s="67" t="str">
        <f t="shared" si="29"/>
        <v>N/A</v>
      </c>
      <c r="N75" s="67" t="str">
        <f t="shared" si="29"/>
        <v>N/A</v>
      </c>
      <c r="O75" s="67" t="str">
        <f t="shared" si="29"/>
        <v>N/A</v>
      </c>
      <c r="P75" s="67" t="str">
        <f t="shared" si="29"/>
        <v>N/A</v>
      </c>
      <c r="Q75" s="67" t="str">
        <f t="shared" si="29"/>
        <v>N/A</v>
      </c>
      <c r="R75" s="68" t="str">
        <f t="shared" si="29"/>
        <v>N/A</v>
      </c>
      <c r="S75" s="66" t="str">
        <f t="shared" si="29"/>
        <v>N/A</v>
      </c>
      <c r="T75" s="67" t="str">
        <f t="shared" ref="T75:AB81" si="30">NA</f>
        <v>N/A</v>
      </c>
      <c r="U75" s="67" t="str">
        <f t="shared" si="30"/>
        <v>N/A</v>
      </c>
      <c r="V75" s="67" t="str">
        <f t="shared" si="30"/>
        <v>N/A</v>
      </c>
      <c r="W75" s="68" t="str">
        <f t="shared" si="30"/>
        <v>N/A</v>
      </c>
      <c r="X75" s="66" t="str">
        <f t="shared" si="30"/>
        <v>N/A</v>
      </c>
      <c r="Y75" s="67" t="str">
        <f t="shared" si="30"/>
        <v>N/A</v>
      </c>
      <c r="Z75" s="67" t="str">
        <f t="shared" si="30"/>
        <v>N/A</v>
      </c>
      <c r="AA75" s="67" t="str">
        <f t="shared" si="30"/>
        <v>N/A</v>
      </c>
      <c r="AB75" s="68" t="str">
        <f t="shared" si="30"/>
        <v>N/A</v>
      </c>
    </row>
    <row r="76" spans="1:28" ht="12.3" hidden="1" outlineLevel="1" x14ac:dyDescent="0.35">
      <c r="D76" s="15" t="str">
        <f t="shared" ref="D76:D84" si="31">D19</f>
        <v>Underground network assets less than 33kV</v>
      </c>
      <c r="E76" s="52" t="str">
        <f t="shared" ref="E76:E84" si="32">E19</f>
        <v>Calc_Alloc</v>
      </c>
      <c r="F76" s="52" t="str">
        <f t="shared" si="26"/>
        <v>Dollars</v>
      </c>
      <c r="G76" s="52" t="str">
        <f t="shared" si="27"/>
        <v>Nominal</v>
      </c>
      <c r="H76" s="52" t="str">
        <f t="shared" si="28"/>
        <v>End_year</v>
      </c>
      <c r="J76" s="66" t="str">
        <f t="shared" si="29"/>
        <v>N/A</v>
      </c>
      <c r="K76" s="67" t="str">
        <f t="shared" si="29"/>
        <v>N/A</v>
      </c>
      <c r="L76" s="67" t="str">
        <f t="shared" si="29"/>
        <v>N/A</v>
      </c>
      <c r="M76" s="67" t="str">
        <f t="shared" si="29"/>
        <v>N/A</v>
      </c>
      <c r="N76" s="67" t="str">
        <f t="shared" si="29"/>
        <v>N/A</v>
      </c>
      <c r="O76" s="67" t="str">
        <f t="shared" si="29"/>
        <v>N/A</v>
      </c>
      <c r="P76" s="67" t="str">
        <f t="shared" si="29"/>
        <v>N/A</v>
      </c>
      <c r="Q76" s="67" t="str">
        <f t="shared" si="29"/>
        <v>N/A</v>
      </c>
      <c r="R76" s="68" t="str">
        <f t="shared" si="29"/>
        <v>N/A</v>
      </c>
      <c r="S76" s="66" t="str">
        <f t="shared" si="29"/>
        <v>N/A</v>
      </c>
      <c r="T76" s="67" t="str">
        <f t="shared" si="30"/>
        <v>N/A</v>
      </c>
      <c r="U76" s="67" t="str">
        <f t="shared" si="30"/>
        <v>N/A</v>
      </c>
      <c r="V76" s="67" t="str">
        <f t="shared" si="30"/>
        <v>N/A</v>
      </c>
      <c r="W76" s="68" t="str">
        <f t="shared" si="30"/>
        <v>N/A</v>
      </c>
      <c r="X76" s="66" t="str">
        <f t="shared" si="30"/>
        <v>N/A</v>
      </c>
      <c r="Y76" s="67" t="str">
        <f t="shared" si="30"/>
        <v>N/A</v>
      </c>
      <c r="Z76" s="67" t="str">
        <f t="shared" si="30"/>
        <v>N/A</v>
      </c>
      <c r="AA76" s="67" t="str">
        <f t="shared" si="30"/>
        <v>N/A</v>
      </c>
      <c r="AB76" s="68" t="str">
        <f t="shared" si="30"/>
        <v>N/A</v>
      </c>
    </row>
    <row r="77" spans="1:28" ht="12.3" hidden="1" outlineLevel="1" x14ac:dyDescent="0.35">
      <c r="D77" s="15" t="str">
        <f t="shared" si="31"/>
        <v>Distribution substations and transformers</v>
      </c>
      <c r="E77" s="52" t="str">
        <f t="shared" si="32"/>
        <v>Calc_Alloc</v>
      </c>
      <c r="F77" s="52" t="str">
        <f t="shared" si="26"/>
        <v>Dollars</v>
      </c>
      <c r="G77" s="52" t="str">
        <f t="shared" si="27"/>
        <v>Nominal</v>
      </c>
      <c r="H77" s="52" t="str">
        <f t="shared" si="28"/>
        <v>End_year</v>
      </c>
      <c r="J77" s="66" t="str">
        <f t="shared" si="29"/>
        <v>N/A</v>
      </c>
      <c r="K77" s="67" t="str">
        <f t="shared" si="29"/>
        <v>N/A</v>
      </c>
      <c r="L77" s="67" t="str">
        <f t="shared" si="29"/>
        <v>N/A</v>
      </c>
      <c r="M77" s="67" t="str">
        <f t="shared" si="29"/>
        <v>N/A</v>
      </c>
      <c r="N77" s="67" t="str">
        <f t="shared" si="29"/>
        <v>N/A</v>
      </c>
      <c r="O77" s="67" t="str">
        <f t="shared" si="29"/>
        <v>N/A</v>
      </c>
      <c r="P77" s="67" t="str">
        <f t="shared" si="29"/>
        <v>N/A</v>
      </c>
      <c r="Q77" s="67" t="str">
        <f t="shared" si="29"/>
        <v>N/A</v>
      </c>
      <c r="R77" s="68" t="str">
        <f t="shared" si="29"/>
        <v>N/A</v>
      </c>
      <c r="S77" s="66" t="str">
        <f t="shared" si="29"/>
        <v>N/A</v>
      </c>
      <c r="T77" s="67" t="str">
        <f t="shared" si="30"/>
        <v>N/A</v>
      </c>
      <c r="U77" s="67" t="str">
        <f t="shared" si="30"/>
        <v>N/A</v>
      </c>
      <c r="V77" s="67" t="str">
        <f t="shared" si="30"/>
        <v>N/A</v>
      </c>
      <c r="W77" s="68" t="str">
        <f t="shared" si="30"/>
        <v>N/A</v>
      </c>
      <c r="X77" s="66" t="str">
        <f t="shared" si="30"/>
        <v>N/A</v>
      </c>
      <c r="Y77" s="67" t="str">
        <f t="shared" si="30"/>
        <v>N/A</v>
      </c>
      <c r="Z77" s="67" t="str">
        <f t="shared" si="30"/>
        <v>N/A</v>
      </c>
      <c r="AA77" s="67" t="str">
        <f t="shared" si="30"/>
        <v>N/A</v>
      </c>
      <c r="AB77" s="68" t="str">
        <f t="shared" si="30"/>
        <v>N/A</v>
      </c>
    </row>
    <row r="78" spans="1:28" ht="12.3" hidden="1" outlineLevel="1" x14ac:dyDescent="0.35">
      <c r="D78" s="15" t="str">
        <f t="shared" si="31"/>
        <v>Overhead network assets 33kV and above</v>
      </c>
      <c r="E78" s="52" t="str">
        <f t="shared" si="32"/>
        <v>Calc_Alloc</v>
      </c>
      <c r="F78" s="52" t="str">
        <f t="shared" si="26"/>
        <v>Dollars</v>
      </c>
      <c r="G78" s="52" t="str">
        <f t="shared" si="27"/>
        <v>Nominal</v>
      </c>
      <c r="H78" s="52" t="str">
        <f t="shared" si="28"/>
        <v>End_year</v>
      </c>
      <c r="J78" s="66" t="str">
        <f t="shared" si="29"/>
        <v>N/A</v>
      </c>
      <c r="K78" s="67" t="str">
        <f t="shared" si="29"/>
        <v>N/A</v>
      </c>
      <c r="L78" s="67" t="str">
        <f t="shared" si="29"/>
        <v>N/A</v>
      </c>
      <c r="M78" s="67" t="str">
        <f t="shared" si="29"/>
        <v>N/A</v>
      </c>
      <c r="N78" s="67" t="str">
        <f t="shared" si="29"/>
        <v>N/A</v>
      </c>
      <c r="O78" s="67" t="str">
        <f t="shared" si="29"/>
        <v>N/A</v>
      </c>
      <c r="P78" s="67" t="str">
        <f t="shared" si="29"/>
        <v>N/A</v>
      </c>
      <c r="Q78" s="67" t="str">
        <f t="shared" si="29"/>
        <v>N/A</v>
      </c>
      <c r="R78" s="68" t="str">
        <f t="shared" si="29"/>
        <v>N/A</v>
      </c>
      <c r="S78" s="66" t="str">
        <f t="shared" si="29"/>
        <v>N/A</v>
      </c>
      <c r="T78" s="67" t="str">
        <f t="shared" si="30"/>
        <v>N/A</v>
      </c>
      <c r="U78" s="67" t="str">
        <f t="shared" si="30"/>
        <v>N/A</v>
      </c>
      <c r="V78" s="67" t="str">
        <f t="shared" si="30"/>
        <v>N/A</v>
      </c>
      <c r="W78" s="68" t="str">
        <f t="shared" si="30"/>
        <v>N/A</v>
      </c>
      <c r="X78" s="66" t="str">
        <f t="shared" si="30"/>
        <v>N/A</v>
      </c>
      <c r="Y78" s="67" t="str">
        <f t="shared" si="30"/>
        <v>N/A</v>
      </c>
      <c r="Z78" s="67" t="str">
        <f t="shared" si="30"/>
        <v>N/A</v>
      </c>
      <c r="AA78" s="67" t="str">
        <f t="shared" si="30"/>
        <v>N/A</v>
      </c>
      <c r="AB78" s="68" t="str">
        <f t="shared" si="30"/>
        <v>N/A</v>
      </c>
    </row>
    <row r="79" spans="1:28" ht="12.3" hidden="1" outlineLevel="1" x14ac:dyDescent="0.35">
      <c r="D79" s="15" t="str">
        <f t="shared" si="31"/>
        <v>Underground network assets 33kV and above</v>
      </c>
      <c r="E79" s="52" t="str">
        <f t="shared" si="32"/>
        <v>Calc_Alloc</v>
      </c>
      <c r="F79" s="52" t="str">
        <f t="shared" si="26"/>
        <v>Dollars</v>
      </c>
      <c r="G79" s="52" t="str">
        <f t="shared" si="27"/>
        <v>Nominal</v>
      </c>
      <c r="H79" s="52" t="str">
        <f t="shared" si="28"/>
        <v>End_year</v>
      </c>
      <c r="J79" s="66" t="str">
        <f t="shared" si="29"/>
        <v>N/A</v>
      </c>
      <c r="K79" s="67" t="str">
        <f t="shared" si="29"/>
        <v>N/A</v>
      </c>
      <c r="L79" s="67" t="str">
        <f t="shared" si="29"/>
        <v>N/A</v>
      </c>
      <c r="M79" s="67" t="str">
        <f t="shared" si="29"/>
        <v>N/A</v>
      </c>
      <c r="N79" s="67" t="str">
        <f t="shared" si="29"/>
        <v>N/A</v>
      </c>
      <c r="O79" s="67" t="str">
        <f t="shared" si="29"/>
        <v>N/A</v>
      </c>
      <c r="P79" s="67" t="str">
        <f t="shared" si="29"/>
        <v>N/A</v>
      </c>
      <c r="Q79" s="67" t="str">
        <f t="shared" si="29"/>
        <v>N/A</v>
      </c>
      <c r="R79" s="68" t="str">
        <f t="shared" si="29"/>
        <v>N/A</v>
      </c>
      <c r="S79" s="66" t="str">
        <f t="shared" si="29"/>
        <v>N/A</v>
      </c>
      <c r="T79" s="67" t="str">
        <f t="shared" si="30"/>
        <v>N/A</v>
      </c>
      <c r="U79" s="67" t="str">
        <f t="shared" si="30"/>
        <v>N/A</v>
      </c>
      <c r="V79" s="67" t="str">
        <f t="shared" si="30"/>
        <v>N/A</v>
      </c>
      <c r="W79" s="68" t="str">
        <f t="shared" si="30"/>
        <v>N/A</v>
      </c>
      <c r="X79" s="66" t="str">
        <f t="shared" si="30"/>
        <v>N/A</v>
      </c>
      <c r="Y79" s="67" t="str">
        <f t="shared" si="30"/>
        <v>N/A</v>
      </c>
      <c r="Z79" s="67" t="str">
        <f t="shared" si="30"/>
        <v>N/A</v>
      </c>
      <c r="AA79" s="67" t="str">
        <f t="shared" si="30"/>
        <v>N/A</v>
      </c>
      <c r="AB79" s="68" t="str">
        <f t="shared" si="30"/>
        <v>N/A</v>
      </c>
    </row>
    <row r="80" spans="1:28" ht="12.3" hidden="1" outlineLevel="1" x14ac:dyDescent="0.35">
      <c r="D80" s="15" t="str">
        <f t="shared" si="31"/>
        <v>Zone substations and transformers</v>
      </c>
      <c r="E80" s="52" t="str">
        <f t="shared" si="32"/>
        <v>Calc_Alloc</v>
      </c>
      <c r="F80" s="52" t="str">
        <f t="shared" si="26"/>
        <v>Dollars</v>
      </c>
      <c r="G80" s="52" t="str">
        <f t="shared" si="27"/>
        <v>Nominal</v>
      </c>
      <c r="H80" s="52" t="str">
        <f t="shared" si="28"/>
        <v>End_year</v>
      </c>
      <c r="J80" s="66" t="str">
        <f t="shared" si="29"/>
        <v>N/A</v>
      </c>
      <c r="K80" s="67" t="str">
        <f t="shared" si="29"/>
        <v>N/A</v>
      </c>
      <c r="L80" s="67" t="str">
        <f t="shared" si="29"/>
        <v>N/A</v>
      </c>
      <c r="M80" s="67" t="str">
        <f t="shared" si="29"/>
        <v>N/A</v>
      </c>
      <c r="N80" s="67" t="str">
        <f t="shared" si="29"/>
        <v>N/A</v>
      </c>
      <c r="O80" s="67" t="str">
        <f t="shared" si="29"/>
        <v>N/A</v>
      </c>
      <c r="P80" s="67" t="str">
        <f t="shared" si="29"/>
        <v>N/A</v>
      </c>
      <c r="Q80" s="67" t="str">
        <f t="shared" si="29"/>
        <v>N/A</v>
      </c>
      <c r="R80" s="68" t="str">
        <f t="shared" si="29"/>
        <v>N/A</v>
      </c>
      <c r="S80" s="66" t="str">
        <f t="shared" si="29"/>
        <v>N/A</v>
      </c>
      <c r="T80" s="67" t="str">
        <f t="shared" si="30"/>
        <v>N/A</v>
      </c>
      <c r="U80" s="67" t="str">
        <f t="shared" si="30"/>
        <v>N/A</v>
      </c>
      <c r="V80" s="67" t="str">
        <f t="shared" si="30"/>
        <v>N/A</v>
      </c>
      <c r="W80" s="68" t="str">
        <f t="shared" si="30"/>
        <v>N/A</v>
      </c>
      <c r="X80" s="66" t="str">
        <f t="shared" si="30"/>
        <v>N/A</v>
      </c>
      <c r="Y80" s="67" t="str">
        <f t="shared" si="30"/>
        <v>N/A</v>
      </c>
      <c r="Z80" s="67" t="str">
        <f t="shared" si="30"/>
        <v>N/A</v>
      </c>
      <c r="AA80" s="67" t="str">
        <f t="shared" si="30"/>
        <v>N/A</v>
      </c>
      <c r="AB80" s="68" t="str">
        <f t="shared" si="30"/>
        <v>N/A</v>
      </c>
    </row>
    <row r="81" spans="1:28" ht="12.3" hidden="1" outlineLevel="1" x14ac:dyDescent="0.35">
      <c r="D81" s="15" t="str">
        <f t="shared" si="31"/>
        <v>Easements</v>
      </c>
      <c r="E81" s="52" t="str">
        <f t="shared" si="32"/>
        <v>Calc_Alloc</v>
      </c>
      <c r="F81" s="52" t="str">
        <f t="shared" si="26"/>
        <v>Dollars</v>
      </c>
      <c r="G81" s="52" t="str">
        <f t="shared" si="27"/>
        <v>Nominal</v>
      </c>
      <c r="H81" s="52" t="str">
        <f t="shared" si="28"/>
        <v>End_year</v>
      </c>
      <c r="J81" s="66" t="str">
        <f t="shared" si="29"/>
        <v>N/A</v>
      </c>
      <c r="K81" s="67" t="str">
        <f t="shared" si="29"/>
        <v>N/A</v>
      </c>
      <c r="L81" s="67" t="str">
        <f t="shared" si="29"/>
        <v>N/A</v>
      </c>
      <c r="M81" s="67" t="str">
        <f t="shared" si="29"/>
        <v>N/A</v>
      </c>
      <c r="N81" s="67" t="str">
        <f t="shared" si="29"/>
        <v>N/A</v>
      </c>
      <c r="O81" s="67" t="str">
        <f t="shared" si="29"/>
        <v>N/A</v>
      </c>
      <c r="P81" s="67" t="str">
        <f t="shared" si="29"/>
        <v>N/A</v>
      </c>
      <c r="Q81" s="67" t="str">
        <f t="shared" si="29"/>
        <v>N/A</v>
      </c>
      <c r="R81" s="68" t="str">
        <f t="shared" si="29"/>
        <v>N/A</v>
      </c>
      <c r="S81" s="66" t="str">
        <f t="shared" si="29"/>
        <v>N/A</v>
      </c>
      <c r="T81" s="67" t="str">
        <f t="shared" si="30"/>
        <v>N/A</v>
      </c>
      <c r="U81" s="67" t="str">
        <f t="shared" si="30"/>
        <v>N/A</v>
      </c>
      <c r="V81" s="67" t="str">
        <f t="shared" si="30"/>
        <v>N/A</v>
      </c>
      <c r="W81" s="68" t="str">
        <f t="shared" si="30"/>
        <v>N/A</v>
      </c>
      <c r="X81" s="66" t="str">
        <f t="shared" si="30"/>
        <v>N/A</v>
      </c>
      <c r="Y81" s="67" t="str">
        <f t="shared" si="30"/>
        <v>N/A</v>
      </c>
      <c r="Z81" s="67" t="str">
        <f t="shared" si="30"/>
        <v>N/A</v>
      </c>
      <c r="AA81" s="67" t="str">
        <f t="shared" si="30"/>
        <v>N/A</v>
      </c>
      <c r="AB81" s="68" t="str">
        <f t="shared" si="30"/>
        <v>N/A</v>
      </c>
    </row>
    <row r="82" spans="1:28" ht="12.3" collapsed="1" x14ac:dyDescent="0.35">
      <c r="D82" s="15" t="str">
        <f t="shared" si="31"/>
        <v>Meters</v>
      </c>
      <c r="E82" s="52" t="str">
        <f t="shared" si="32"/>
        <v>Calc_Alloc</v>
      </c>
      <c r="F82" s="52" t="str">
        <f t="shared" si="26"/>
        <v>Dollars</v>
      </c>
      <c r="G82" s="52" t="str">
        <f t="shared" si="27"/>
        <v>Nominal</v>
      </c>
      <c r="H82" s="52" t="str">
        <f t="shared" si="28"/>
        <v>End_year</v>
      </c>
      <c r="J82" s="66">
        <f>SUM(Input_RAB_ACS!J$74:J$82)*Calc_Alloc!$L$32</f>
        <v>4.3819535575797111E-2</v>
      </c>
      <c r="K82" s="67">
        <f>SUM(Input_RAB_ACS!K$74:K$82)*Calc_Alloc!$L$32</f>
        <v>5.5264618439994785E-2</v>
      </c>
      <c r="L82" s="67">
        <f>SUM(Input_RAB_ACS!L$74:L$82)*Calc_Alloc!$L$32</f>
        <v>0.47481380155364417</v>
      </c>
      <c r="M82" s="67">
        <f>SUM(Input_RAB_ACS!M$74:M$82)*Calc_Alloc!$L$32</f>
        <v>0.54794913793892375</v>
      </c>
      <c r="N82" s="67">
        <f>SUM(Input_RAB_ACS!N$74:N$82)*Calc_Alloc!$L$32</f>
        <v>0.55344718893792533</v>
      </c>
      <c r="O82" s="67">
        <f>SUM(Input_RAB_ACS!O$74:O$82)*Calc_Alloc!$L$32</f>
        <v>0.31432725700166875</v>
      </c>
      <c r="P82" s="67">
        <f>SUM(Input_RAB_ACS!P$74:P$82)*Calc_Alloc!$L$32</f>
        <v>0.3937230955791578</v>
      </c>
      <c r="Q82" s="67">
        <f>SUM(Input_RAB_ACS!Q$74:Q$82)*Calc_Alloc!$L$32</f>
        <v>0.60310243307912059</v>
      </c>
      <c r="R82" s="68">
        <f>SUM(Input_RAB_ACS!R$74:R$82)*Calc_Alloc!$L$32</f>
        <v>0.68296522271655757</v>
      </c>
      <c r="S82" s="66">
        <f>SUM(Input_RAB_ACS!S$74:S$82)*Calc_Alloc!$L$32</f>
        <v>2.0408632057724372</v>
      </c>
      <c r="T82" s="67">
        <f>SUM(Input_RAB_ACS!T$74:T$82)*Calc_Alloc!$L$32</f>
        <v>3.142355118175189</v>
      </c>
      <c r="U82" s="67">
        <f>SUM(Input_RAB_ACS!U$74:U$82)*Calc_Alloc!$L$32</f>
        <v>3.105498090424212</v>
      </c>
      <c r="V82" s="67">
        <f>SUM(Input_RAB_ACS!V$74:V$82)*Calc_Alloc!$L$32</f>
        <v>1.9964873897739024</v>
      </c>
      <c r="W82" s="68">
        <f>SUM(Input_RAB_ACS!W$74:W$82)*Calc_Alloc!$L$32</f>
        <v>4.3131305558501287</v>
      </c>
      <c r="X82" s="66">
        <f>SUM(Input_RAB_ACS!X$74:X$82)*Calc_Alloc!$L$32</f>
        <v>6.9554096358205273</v>
      </c>
      <c r="Y82" s="67">
        <f>SUM(Input_RAB_ACS!Y$74:Y$82)*Calc_Alloc!$L$32</f>
        <v>3.9260969057476327</v>
      </c>
      <c r="Z82" s="67">
        <f>SUM(Input_RAB_ACS!Z$74:Z$82)*Calc_Alloc!$L$32</f>
        <v>4.0700233540623261</v>
      </c>
      <c r="AA82" s="67">
        <f>SUM(Input_RAB_ACS!AA$74:AA$82)*Calc_Alloc!$L$32</f>
        <v>8.2081114474759431</v>
      </c>
      <c r="AB82" s="68">
        <f>SUM(Input_RAB_ACS!AB$74:AB$82)*Calc_Alloc!$L$32</f>
        <v>4.1523645664559732</v>
      </c>
    </row>
    <row r="83" spans="1:28" ht="12.3" x14ac:dyDescent="0.35">
      <c r="D83" s="15" t="str">
        <f t="shared" si="31"/>
        <v>“Other” asset items with long lives</v>
      </c>
      <c r="E83" s="52" t="str">
        <f t="shared" si="32"/>
        <v>Calc_Alloc</v>
      </c>
      <c r="F83" s="52" t="str">
        <f t="shared" si="26"/>
        <v>Dollars</v>
      </c>
      <c r="G83" s="52" t="str">
        <f t="shared" si="27"/>
        <v>Nominal</v>
      </c>
      <c r="H83" s="52" t="str">
        <f t="shared" si="28"/>
        <v>End_year</v>
      </c>
      <c r="J83" s="66">
        <f>SUM(Input_RAB_ACS!J$74:J$82)*Calc_Alloc!$M$32</f>
        <v>1.0085196519070139E-3</v>
      </c>
      <c r="K83" s="67">
        <f>SUM(Input_RAB_ACS!K$74:K$82)*Calc_Alloc!$M$32</f>
        <v>1.2719316400665345E-3</v>
      </c>
      <c r="L83" s="67">
        <f>SUM(Input_RAB_ACS!L$74:L$82)*Calc_Alloc!$M$32</f>
        <v>1.0927980946653754E-2</v>
      </c>
      <c r="M83" s="67">
        <f>SUM(Input_RAB_ACS!M$74:M$82)*Calc_Alloc!$M$32</f>
        <v>1.2611212478530684E-2</v>
      </c>
      <c r="N83" s="67">
        <f>SUM(Input_RAB_ACS!N$74:N$82)*Calc_Alloc!$M$32</f>
        <v>1.2737751758484683E-2</v>
      </c>
      <c r="O83" s="67">
        <f>SUM(Input_RAB_ACS!O$74:O$82)*Calc_Alloc!$M$32</f>
        <v>7.2343353632278399E-3</v>
      </c>
      <c r="P83" s="67">
        <f>SUM(Input_RAB_ACS!P$74:P$82)*Calc_Alloc!$M$32</f>
        <v>9.0616542161748147E-3</v>
      </c>
      <c r="Q83" s="67">
        <f>SUM(Input_RAB_ACS!Q$74:Q$82)*Calc_Alloc!$M$32</f>
        <v>1.3880581979722717E-2</v>
      </c>
      <c r="R83" s="68">
        <f>SUM(Input_RAB_ACS!R$74:R$82)*Calc_Alloc!$M$32</f>
        <v>1.5718647850278347E-2</v>
      </c>
      <c r="S83" s="66">
        <f>SUM(Input_RAB_ACS!S$74:S$82)*Calc_Alloc!$M$32</f>
        <v>4.6971074038773854E-2</v>
      </c>
      <c r="T83" s="67">
        <f>SUM(Input_RAB_ACS!T$74:T$82)*Calc_Alloc!$M$32</f>
        <v>7.2322238205113978E-2</v>
      </c>
      <c r="U83" s="67">
        <f>SUM(Input_RAB_ACS!U$74:U$82)*Calc_Alloc!$M$32</f>
        <v>7.1473962742827399E-2</v>
      </c>
      <c r="V83" s="67">
        <f>SUM(Input_RAB_ACS!V$74:V$82)*Calc_Alloc!$M$32</f>
        <v>4.5949751427389281E-2</v>
      </c>
      <c r="W83" s="68">
        <f>SUM(Input_RAB_ACS!W$74:W$82)*Calc_Alloc!$M$32</f>
        <v>9.9267983324269837E-2</v>
      </c>
      <c r="X83" s="66">
        <f>SUM(Input_RAB_ACS!X$74:X$82)*Calc_Alloc!$M$32</f>
        <v>0.16008082268819906</v>
      </c>
      <c r="Y83" s="67">
        <f>SUM(Input_RAB_ACS!Y$74:Y$82)*Calc_Alloc!$M$32</f>
        <v>9.0360288686509652E-2</v>
      </c>
      <c r="Z83" s="67">
        <f>SUM(Input_RAB_ACS!Z$74:Z$82)*Calc_Alloc!$M$32</f>
        <v>9.3672798726773976E-2</v>
      </c>
      <c r="AA83" s="67">
        <f>SUM(Input_RAB_ACS!AA$74:AA$82)*Calc_Alloc!$M$32</f>
        <v>0.1889121276856853</v>
      </c>
      <c r="AB83" s="68">
        <f>SUM(Input_RAB_ACS!AB$74:AB$82)*Calc_Alloc!$M$32</f>
        <v>9.5567906234638775E-2</v>
      </c>
    </row>
    <row r="84" spans="1:28" ht="12.3" x14ac:dyDescent="0.35">
      <c r="D84" s="15" t="str">
        <f t="shared" si="31"/>
        <v>“Other” asset items with short lives</v>
      </c>
      <c r="E84" s="52" t="str">
        <f t="shared" si="32"/>
        <v>Calc_Alloc</v>
      </c>
      <c r="F84" s="52" t="str">
        <f t="shared" si="26"/>
        <v>Dollars</v>
      </c>
      <c r="G84" s="52" t="str">
        <f t="shared" si="27"/>
        <v>Nominal</v>
      </c>
      <c r="H84" s="52" t="str">
        <f t="shared" si="28"/>
        <v>End_year</v>
      </c>
      <c r="J84" s="66">
        <f>SUM(Input_RAB_ACS!J$74:J$82)*Calc_Alloc!$N$32</f>
        <v>0</v>
      </c>
      <c r="K84" s="67">
        <f>SUM(Input_RAB_ACS!K$74:K$82)*Calc_Alloc!$N$32</f>
        <v>0</v>
      </c>
      <c r="L84" s="67">
        <f>SUM(Input_RAB_ACS!L$74:L$82)*Calc_Alloc!$N$32</f>
        <v>0</v>
      </c>
      <c r="M84" s="67">
        <f>SUM(Input_RAB_ACS!M$74:M$82)*Calc_Alloc!$N$32</f>
        <v>0</v>
      </c>
      <c r="N84" s="67">
        <f>SUM(Input_RAB_ACS!N$74:N$82)*Calc_Alloc!$N$32</f>
        <v>0</v>
      </c>
      <c r="O84" s="67">
        <f>SUM(Input_RAB_ACS!O$74:O$82)*Calc_Alloc!$N$32</f>
        <v>0</v>
      </c>
      <c r="P84" s="67">
        <f>SUM(Input_RAB_ACS!P$74:P$82)*Calc_Alloc!$N$32</f>
        <v>0</v>
      </c>
      <c r="Q84" s="67">
        <f>SUM(Input_RAB_ACS!Q$74:Q$82)*Calc_Alloc!$N$32</f>
        <v>0</v>
      </c>
      <c r="R84" s="68">
        <f>SUM(Input_RAB_ACS!R$74:R$82)*Calc_Alloc!$N$32</f>
        <v>0</v>
      </c>
      <c r="S84" s="66">
        <f>SUM(Input_RAB_ACS!S$74:S$82)*Calc_Alloc!$N$32</f>
        <v>0</v>
      </c>
      <c r="T84" s="67">
        <f>SUM(Input_RAB_ACS!T$74:T$82)*Calc_Alloc!$N$32</f>
        <v>0</v>
      </c>
      <c r="U84" s="67">
        <f>SUM(Input_RAB_ACS!U$74:U$82)*Calc_Alloc!$N$32</f>
        <v>0</v>
      </c>
      <c r="V84" s="67">
        <f>SUM(Input_RAB_ACS!V$74:V$82)*Calc_Alloc!$N$32</f>
        <v>0</v>
      </c>
      <c r="W84" s="68">
        <f>SUM(Input_RAB_ACS!W$74:W$82)*Calc_Alloc!$N$32</f>
        <v>0</v>
      </c>
      <c r="X84" s="66">
        <f>SUM(Input_RAB_ACS!X$74:X$82)*Calc_Alloc!$N$32</f>
        <v>0</v>
      </c>
      <c r="Y84" s="67">
        <f>SUM(Input_RAB_ACS!Y$74:Y$82)*Calc_Alloc!$N$32</f>
        <v>0</v>
      </c>
      <c r="Z84" s="67">
        <f>SUM(Input_RAB_ACS!Z$74:Z$82)*Calc_Alloc!$N$32</f>
        <v>0</v>
      </c>
      <c r="AA84" s="67">
        <f>SUM(Input_RAB_ACS!AA$74:AA$82)*Calc_Alloc!$N$32</f>
        <v>0</v>
      </c>
      <c r="AB84" s="68">
        <f>SUM(Input_RAB_ACS!AB$74:AB$82)*Calc_Alloc!$N$32</f>
        <v>0</v>
      </c>
    </row>
    <row r="85" spans="1:28" x14ac:dyDescent="0.35">
      <c r="J85" s="56"/>
      <c r="K85" s="57"/>
      <c r="L85" s="57"/>
      <c r="M85" s="57"/>
      <c r="N85" s="57"/>
      <c r="O85" s="57"/>
      <c r="P85" s="57"/>
      <c r="Q85" s="57"/>
      <c r="R85" s="58"/>
      <c r="S85" s="56"/>
      <c r="T85" s="57"/>
      <c r="U85" s="57"/>
      <c r="V85" s="57"/>
      <c r="W85" s="58"/>
      <c r="X85" s="56"/>
      <c r="Y85" s="57"/>
      <c r="Z85" s="57"/>
      <c r="AA85" s="57"/>
      <c r="AB85" s="58"/>
    </row>
    <row r="86" spans="1:28" ht="12.3" x14ac:dyDescent="0.35">
      <c r="D86" s="51" t="str">
        <f>"Total "&amp;D73</f>
        <v>Total EB RIN Categories</v>
      </c>
      <c r="E86" s="47" t="s">
        <v>111</v>
      </c>
      <c r="F86" s="47" t="str">
        <f>F75</f>
        <v>Dollars</v>
      </c>
      <c r="G86" s="47" t="str">
        <f>G75</f>
        <v>Nominal</v>
      </c>
      <c r="H86" s="47" t="str">
        <f>H75</f>
        <v>End_year</v>
      </c>
      <c r="J86" s="62">
        <f t="shared" ref="J86:AB86" si="33">SUM(J75:J84)</f>
        <v>4.4828055227704125E-2</v>
      </c>
      <c r="K86" s="46">
        <f t="shared" si="33"/>
        <v>5.6536550080061317E-2</v>
      </c>
      <c r="L86" s="46">
        <f t="shared" si="33"/>
        <v>0.48574178250029793</v>
      </c>
      <c r="M86" s="46">
        <f t="shared" si="33"/>
        <v>0.56056035041745444</v>
      </c>
      <c r="N86" s="46">
        <f t="shared" si="33"/>
        <v>0.56618494069641001</v>
      </c>
      <c r="O86" s="46">
        <f t="shared" si="33"/>
        <v>0.32156159236489656</v>
      </c>
      <c r="P86" s="46">
        <f t="shared" si="33"/>
        <v>0.40278474979533263</v>
      </c>
      <c r="Q86" s="46">
        <f t="shared" si="33"/>
        <v>0.61698301505884334</v>
      </c>
      <c r="R86" s="63">
        <f t="shared" si="33"/>
        <v>0.6986838705668359</v>
      </c>
      <c r="S86" s="62">
        <f t="shared" si="33"/>
        <v>2.0878342798112111</v>
      </c>
      <c r="T86" s="46">
        <f t="shared" si="33"/>
        <v>3.2146773563803031</v>
      </c>
      <c r="U86" s="46">
        <f t="shared" si="33"/>
        <v>3.1769720531670393</v>
      </c>
      <c r="V86" s="46">
        <f t="shared" si="33"/>
        <v>2.0424371412012916</v>
      </c>
      <c r="W86" s="63">
        <f t="shared" si="33"/>
        <v>4.4123985391743989</v>
      </c>
      <c r="X86" s="62">
        <f t="shared" si="33"/>
        <v>7.1154904585087264</v>
      </c>
      <c r="Y86" s="46">
        <f t="shared" si="33"/>
        <v>4.0164571944341425</v>
      </c>
      <c r="Z86" s="46">
        <f t="shared" si="33"/>
        <v>4.1636961527891003</v>
      </c>
      <c r="AA86" s="46">
        <f t="shared" si="33"/>
        <v>8.3970235751616276</v>
      </c>
      <c r="AB86" s="63">
        <f t="shared" si="33"/>
        <v>4.2479324726906116</v>
      </c>
    </row>
    <row r="87" spans="1:28" s="6" customFormat="1" ht="11.25" customHeight="1" x14ac:dyDescent="0.35"/>
    <row r="88" spans="1:28" s="6" customFormat="1" ht="11.25" customHeight="1" x14ac:dyDescent="0.35">
      <c r="A88" s="49">
        <f>IF(SUM($J88:$AB88)&lt;&gt;0,1,0)</f>
        <v>0</v>
      </c>
      <c r="D88" s="15" t="s">
        <v>114</v>
      </c>
      <c r="J88" s="70">
        <f>IF(ROUND(J86-Input_RAB_ACS!J$84,5)&lt;&gt;0,1,0)</f>
        <v>0</v>
      </c>
      <c r="K88" s="70">
        <f>IF(ROUND(K86-Input_RAB_ACS!K$84,5)&lt;&gt;0,1,0)</f>
        <v>0</v>
      </c>
      <c r="L88" s="70">
        <f>IF(ROUND(L86-Input_RAB_ACS!L$84,5)&lt;&gt;0,1,0)</f>
        <v>0</v>
      </c>
      <c r="M88" s="70">
        <f>IF(ROUND(M86-Input_RAB_ACS!M$84,5)&lt;&gt;0,1,0)</f>
        <v>0</v>
      </c>
      <c r="N88" s="70">
        <f>IF(ROUND(N86-Input_RAB_ACS!N$84,5)&lt;&gt;0,1,0)</f>
        <v>0</v>
      </c>
      <c r="O88" s="70">
        <f>IF(ROUND(O86-Input_RAB_ACS!O$84,5)&lt;&gt;0,1,0)</f>
        <v>0</v>
      </c>
      <c r="P88" s="70">
        <f>IF(ROUND(P86-Input_RAB_ACS!P$84,5)&lt;&gt;0,1,0)</f>
        <v>0</v>
      </c>
      <c r="Q88" s="70">
        <f>IF(ROUND(Q86-Input_RAB_ACS!Q$84,5)&lt;&gt;0,1,0)</f>
        <v>0</v>
      </c>
      <c r="R88" s="70">
        <f>IF(ROUND(R86-Input_RAB_ACS!R$84,5)&lt;&gt;0,1,0)</f>
        <v>0</v>
      </c>
      <c r="S88" s="70">
        <f>IF(ROUND(S86-Input_RAB_ACS!S$84,5)&lt;&gt;0,1,0)</f>
        <v>0</v>
      </c>
      <c r="T88" s="70">
        <f>IF(ROUND(T86-Input_RAB_ACS!T$84,5)&lt;&gt;0,1,0)</f>
        <v>0</v>
      </c>
      <c r="U88" s="70">
        <f>IF(ROUND(U86-Input_RAB_ACS!U$84,5)&lt;&gt;0,1,0)</f>
        <v>0</v>
      </c>
      <c r="V88" s="70">
        <f>IF(ROUND(V86-Input_RAB_ACS!V$84,5)&lt;&gt;0,1,0)</f>
        <v>0</v>
      </c>
      <c r="W88" s="70">
        <f>IF(ROUND(W86-Input_RAB_ACS!W$84,5)&lt;&gt;0,1,0)</f>
        <v>0</v>
      </c>
      <c r="X88" s="70">
        <f>IF(ROUND(X86-Input_RAB_ACS!X$84,5)&lt;&gt;0,1,0)</f>
        <v>0</v>
      </c>
      <c r="Y88" s="70">
        <f>IF(ROUND(Y86-Input_RAB_ACS!Y$84,5)&lt;&gt;0,1,0)</f>
        <v>0</v>
      </c>
      <c r="Z88" s="70">
        <f>IF(ROUND(Z86-Input_RAB_ACS!Z$84,5)&lt;&gt;0,1,0)</f>
        <v>0</v>
      </c>
      <c r="AA88" s="70">
        <f>IF(ROUND(AA86-Input_RAB_ACS!AA$84,5)&lt;&gt;0,1,0)</f>
        <v>0</v>
      </c>
      <c r="AB88" s="70">
        <f>IF(ROUND(AB86-Input_RAB_ACS!AB$84,5)&lt;&gt;0,1,0)</f>
        <v>0</v>
      </c>
    </row>
    <row r="90" spans="1:28" s="13" customFormat="1" ht="14.1" x14ac:dyDescent="0.35">
      <c r="C90" s="13" t="s">
        <v>151</v>
      </c>
    </row>
    <row r="91" spans="1:28" s="6" customFormat="1" ht="11.25" customHeight="1" x14ac:dyDescent="0.35"/>
    <row r="92" spans="1:28" ht="12.3" x14ac:dyDescent="0.35">
      <c r="D92" s="50" t="str">
        <f>D$16</f>
        <v>EB RIN Categories</v>
      </c>
      <c r="E92" s="45" t="str">
        <f>Lookup!E$20</f>
        <v>Source</v>
      </c>
      <c r="F92" s="45" t="str">
        <f>Lookup!F$20</f>
        <v>Unit</v>
      </c>
      <c r="G92" s="45" t="str">
        <f>Lookup!G$20</f>
        <v>Basis</v>
      </c>
      <c r="H92" s="45" t="str">
        <f>Lookup!H$20</f>
        <v>Timing</v>
      </c>
      <c r="J92" s="54" t="str">
        <f>J$10</f>
        <v>RY06</v>
      </c>
      <c r="K92" s="45" t="str">
        <f t="shared" ref="K92:AB92" si="34">K$10</f>
        <v>RY07</v>
      </c>
      <c r="L92" s="45" t="str">
        <f t="shared" si="34"/>
        <v>RY08</v>
      </c>
      <c r="M92" s="45" t="str">
        <f t="shared" si="34"/>
        <v>RY09</v>
      </c>
      <c r="N92" s="45" t="str">
        <f t="shared" si="34"/>
        <v>RY10</v>
      </c>
      <c r="O92" s="45" t="str">
        <f>O$10</f>
        <v>RY11</v>
      </c>
      <c r="P92" s="45" t="str">
        <f t="shared" si="34"/>
        <v>RY12</v>
      </c>
      <c r="Q92" s="45" t="str">
        <f t="shared" si="34"/>
        <v>RY13</v>
      </c>
      <c r="R92" s="55" t="str">
        <f t="shared" si="34"/>
        <v>RY14</v>
      </c>
      <c r="S92" s="54" t="str">
        <f t="shared" si="34"/>
        <v>RY15</v>
      </c>
      <c r="T92" s="45" t="str">
        <f>T$10</f>
        <v>RY16</v>
      </c>
      <c r="U92" s="45" t="str">
        <f t="shared" si="34"/>
        <v>RY17</v>
      </c>
      <c r="V92" s="45" t="str">
        <f t="shared" si="34"/>
        <v>RY18</v>
      </c>
      <c r="W92" s="55" t="str">
        <f t="shared" si="34"/>
        <v>RY19</v>
      </c>
      <c r="X92" s="54" t="str">
        <f t="shared" si="34"/>
        <v>RY20</v>
      </c>
      <c r="Y92" s="45" t="str">
        <f>Y$10</f>
        <v>RY21</v>
      </c>
      <c r="Z92" s="45" t="str">
        <f t="shared" si="34"/>
        <v>RY22</v>
      </c>
      <c r="AA92" s="45" t="str">
        <f t="shared" si="34"/>
        <v>RY23</v>
      </c>
      <c r="AB92" s="55" t="str">
        <f t="shared" si="34"/>
        <v>RY24</v>
      </c>
    </row>
    <row r="93" spans="1:28" x14ac:dyDescent="0.35">
      <c r="J93" s="56"/>
      <c r="K93" s="57"/>
      <c r="L93" s="57"/>
      <c r="M93" s="57"/>
      <c r="N93" s="57"/>
      <c r="O93" s="57"/>
      <c r="P93" s="57"/>
      <c r="Q93" s="57"/>
      <c r="R93" s="58"/>
      <c r="S93" s="56"/>
      <c r="T93" s="57"/>
      <c r="U93" s="57"/>
      <c r="V93" s="57"/>
      <c r="W93" s="58"/>
      <c r="X93" s="56"/>
      <c r="Y93" s="57"/>
      <c r="Z93" s="57"/>
      <c r="AA93" s="57"/>
      <c r="AB93" s="58"/>
    </row>
    <row r="94" spans="1:28" ht="12.3" hidden="1" outlineLevel="1" x14ac:dyDescent="0.35">
      <c r="D94" s="15" t="str">
        <f>D18</f>
        <v>Overhead network assets less than 33kV</v>
      </c>
      <c r="E94" s="52" t="str">
        <f>E18</f>
        <v>Calc_Alloc</v>
      </c>
      <c r="F94" s="52" t="str">
        <f t="shared" ref="F94:F103" si="35">Dollars</f>
        <v>Dollars</v>
      </c>
      <c r="G94" s="52" t="str">
        <f t="shared" ref="G94:G103" si="36">Nominal</f>
        <v>Nominal</v>
      </c>
      <c r="H94" s="52" t="str">
        <f t="shared" ref="H94:H103" si="37">End_year</f>
        <v>End_year</v>
      </c>
      <c r="J94" s="66" t="str">
        <f t="shared" ref="J94:S100" si="38">NA</f>
        <v>N/A</v>
      </c>
      <c r="K94" s="67" t="str">
        <f t="shared" si="38"/>
        <v>N/A</v>
      </c>
      <c r="L94" s="67" t="str">
        <f t="shared" si="38"/>
        <v>N/A</v>
      </c>
      <c r="M94" s="67" t="str">
        <f t="shared" si="38"/>
        <v>N/A</v>
      </c>
      <c r="N94" s="67" t="str">
        <f t="shared" si="38"/>
        <v>N/A</v>
      </c>
      <c r="O94" s="67" t="str">
        <f t="shared" si="38"/>
        <v>N/A</v>
      </c>
      <c r="P94" s="67" t="str">
        <f t="shared" si="38"/>
        <v>N/A</v>
      </c>
      <c r="Q94" s="67" t="str">
        <f t="shared" si="38"/>
        <v>N/A</v>
      </c>
      <c r="R94" s="68" t="str">
        <f t="shared" si="38"/>
        <v>N/A</v>
      </c>
      <c r="S94" s="66" t="str">
        <f t="shared" si="38"/>
        <v>N/A</v>
      </c>
      <c r="T94" s="67" t="str">
        <f t="shared" ref="T94:AB100" si="39">NA</f>
        <v>N/A</v>
      </c>
      <c r="U94" s="67" t="str">
        <f t="shared" si="39"/>
        <v>N/A</v>
      </c>
      <c r="V94" s="67" t="str">
        <f t="shared" si="39"/>
        <v>N/A</v>
      </c>
      <c r="W94" s="68" t="str">
        <f t="shared" si="39"/>
        <v>N/A</v>
      </c>
      <c r="X94" s="66" t="str">
        <f t="shared" si="39"/>
        <v>N/A</v>
      </c>
      <c r="Y94" s="67" t="str">
        <f t="shared" si="39"/>
        <v>N/A</v>
      </c>
      <c r="Z94" s="67" t="str">
        <f t="shared" si="39"/>
        <v>N/A</v>
      </c>
      <c r="AA94" s="67" t="str">
        <f t="shared" si="39"/>
        <v>N/A</v>
      </c>
      <c r="AB94" s="68" t="str">
        <f t="shared" si="39"/>
        <v>N/A</v>
      </c>
    </row>
    <row r="95" spans="1:28" ht="12.3" hidden="1" outlineLevel="1" x14ac:dyDescent="0.35">
      <c r="D95" s="15" t="str">
        <f t="shared" ref="D95:D103" si="40">D19</f>
        <v>Underground network assets less than 33kV</v>
      </c>
      <c r="E95" s="52" t="str">
        <f t="shared" ref="E95:E103" si="41">E19</f>
        <v>Calc_Alloc</v>
      </c>
      <c r="F95" s="52" t="str">
        <f t="shared" si="35"/>
        <v>Dollars</v>
      </c>
      <c r="G95" s="52" t="str">
        <f t="shared" si="36"/>
        <v>Nominal</v>
      </c>
      <c r="H95" s="52" t="str">
        <f t="shared" si="37"/>
        <v>End_year</v>
      </c>
      <c r="J95" s="66" t="str">
        <f t="shared" si="38"/>
        <v>N/A</v>
      </c>
      <c r="K95" s="67" t="str">
        <f t="shared" si="38"/>
        <v>N/A</v>
      </c>
      <c r="L95" s="67" t="str">
        <f t="shared" si="38"/>
        <v>N/A</v>
      </c>
      <c r="M95" s="67" t="str">
        <f t="shared" si="38"/>
        <v>N/A</v>
      </c>
      <c r="N95" s="67" t="str">
        <f t="shared" si="38"/>
        <v>N/A</v>
      </c>
      <c r="O95" s="67" t="str">
        <f t="shared" si="38"/>
        <v>N/A</v>
      </c>
      <c r="P95" s="67" t="str">
        <f t="shared" si="38"/>
        <v>N/A</v>
      </c>
      <c r="Q95" s="67" t="str">
        <f t="shared" si="38"/>
        <v>N/A</v>
      </c>
      <c r="R95" s="68" t="str">
        <f t="shared" si="38"/>
        <v>N/A</v>
      </c>
      <c r="S95" s="66" t="str">
        <f t="shared" si="38"/>
        <v>N/A</v>
      </c>
      <c r="T95" s="67" t="str">
        <f t="shared" si="39"/>
        <v>N/A</v>
      </c>
      <c r="U95" s="67" t="str">
        <f t="shared" si="39"/>
        <v>N/A</v>
      </c>
      <c r="V95" s="67" t="str">
        <f t="shared" si="39"/>
        <v>N/A</v>
      </c>
      <c r="W95" s="68" t="str">
        <f t="shared" si="39"/>
        <v>N/A</v>
      </c>
      <c r="X95" s="66" t="str">
        <f t="shared" si="39"/>
        <v>N/A</v>
      </c>
      <c r="Y95" s="67" t="str">
        <f t="shared" si="39"/>
        <v>N/A</v>
      </c>
      <c r="Z95" s="67" t="str">
        <f t="shared" si="39"/>
        <v>N/A</v>
      </c>
      <c r="AA95" s="67" t="str">
        <f t="shared" si="39"/>
        <v>N/A</v>
      </c>
      <c r="AB95" s="68" t="str">
        <f t="shared" si="39"/>
        <v>N/A</v>
      </c>
    </row>
    <row r="96" spans="1:28" ht="12.3" hidden="1" outlineLevel="1" x14ac:dyDescent="0.35">
      <c r="D96" s="15" t="str">
        <f t="shared" si="40"/>
        <v>Distribution substations and transformers</v>
      </c>
      <c r="E96" s="52" t="str">
        <f t="shared" si="41"/>
        <v>Calc_Alloc</v>
      </c>
      <c r="F96" s="52" t="str">
        <f t="shared" si="35"/>
        <v>Dollars</v>
      </c>
      <c r="G96" s="52" t="str">
        <f t="shared" si="36"/>
        <v>Nominal</v>
      </c>
      <c r="H96" s="52" t="str">
        <f t="shared" si="37"/>
        <v>End_year</v>
      </c>
      <c r="J96" s="66" t="str">
        <f t="shared" si="38"/>
        <v>N/A</v>
      </c>
      <c r="K96" s="67" t="str">
        <f t="shared" si="38"/>
        <v>N/A</v>
      </c>
      <c r="L96" s="67" t="str">
        <f t="shared" si="38"/>
        <v>N/A</v>
      </c>
      <c r="M96" s="67" t="str">
        <f t="shared" si="38"/>
        <v>N/A</v>
      </c>
      <c r="N96" s="67" t="str">
        <f t="shared" si="38"/>
        <v>N/A</v>
      </c>
      <c r="O96" s="67" t="str">
        <f t="shared" si="38"/>
        <v>N/A</v>
      </c>
      <c r="P96" s="67" t="str">
        <f t="shared" si="38"/>
        <v>N/A</v>
      </c>
      <c r="Q96" s="67" t="str">
        <f t="shared" si="38"/>
        <v>N/A</v>
      </c>
      <c r="R96" s="68" t="str">
        <f t="shared" si="38"/>
        <v>N/A</v>
      </c>
      <c r="S96" s="66" t="str">
        <f t="shared" si="38"/>
        <v>N/A</v>
      </c>
      <c r="T96" s="67" t="str">
        <f t="shared" si="39"/>
        <v>N/A</v>
      </c>
      <c r="U96" s="67" t="str">
        <f t="shared" si="39"/>
        <v>N/A</v>
      </c>
      <c r="V96" s="67" t="str">
        <f t="shared" si="39"/>
        <v>N/A</v>
      </c>
      <c r="W96" s="68" t="str">
        <f t="shared" si="39"/>
        <v>N/A</v>
      </c>
      <c r="X96" s="66" t="str">
        <f t="shared" si="39"/>
        <v>N/A</v>
      </c>
      <c r="Y96" s="67" t="str">
        <f t="shared" si="39"/>
        <v>N/A</v>
      </c>
      <c r="Z96" s="67" t="str">
        <f t="shared" si="39"/>
        <v>N/A</v>
      </c>
      <c r="AA96" s="67" t="str">
        <f t="shared" si="39"/>
        <v>N/A</v>
      </c>
      <c r="AB96" s="68" t="str">
        <f t="shared" si="39"/>
        <v>N/A</v>
      </c>
    </row>
    <row r="97" spans="1:28" ht="12.3" hidden="1" outlineLevel="1" x14ac:dyDescent="0.35">
      <c r="D97" s="15" t="str">
        <f t="shared" si="40"/>
        <v>Overhead network assets 33kV and above</v>
      </c>
      <c r="E97" s="52" t="str">
        <f t="shared" si="41"/>
        <v>Calc_Alloc</v>
      </c>
      <c r="F97" s="52" t="str">
        <f t="shared" si="35"/>
        <v>Dollars</v>
      </c>
      <c r="G97" s="52" t="str">
        <f t="shared" si="36"/>
        <v>Nominal</v>
      </c>
      <c r="H97" s="52" t="str">
        <f t="shared" si="37"/>
        <v>End_year</v>
      </c>
      <c r="J97" s="66" t="str">
        <f t="shared" si="38"/>
        <v>N/A</v>
      </c>
      <c r="K97" s="67" t="str">
        <f t="shared" si="38"/>
        <v>N/A</v>
      </c>
      <c r="L97" s="67" t="str">
        <f t="shared" si="38"/>
        <v>N/A</v>
      </c>
      <c r="M97" s="67" t="str">
        <f t="shared" si="38"/>
        <v>N/A</v>
      </c>
      <c r="N97" s="67" t="str">
        <f t="shared" si="38"/>
        <v>N/A</v>
      </c>
      <c r="O97" s="67" t="str">
        <f t="shared" si="38"/>
        <v>N/A</v>
      </c>
      <c r="P97" s="67" t="str">
        <f t="shared" si="38"/>
        <v>N/A</v>
      </c>
      <c r="Q97" s="67" t="str">
        <f t="shared" si="38"/>
        <v>N/A</v>
      </c>
      <c r="R97" s="68" t="str">
        <f t="shared" si="38"/>
        <v>N/A</v>
      </c>
      <c r="S97" s="66" t="str">
        <f t="shared" si="38"/>
        <v>N/A</v>
      </c>
      <c r="T97" s="67" t="str">
        <f t="shared" si="39"/>
        <v>N/A</v>
      </c>
      <c r="U97" s="67" t="str">
        <f t="shared" si="39"/>
        <v>N/A</v>
      </c>
      <c r="V97" s="67" t="str">
        <f t="shared" si="39"/>
        <v>N/A</v>
      </c>
      <c r="W97" s="68" t="str">
        <f t="shared" si="39"/>
        <v>N/A</v>
      </c>
      <c r="X97" s="66" t="str">
        <f t="shared" si="39"/>
        <v>N/A</v>
      </c>
      <c r="Y97" s="67" t="str">
        <f t="shared" si="39"/>
        <v>N/A</v>
      </c>
      <c r="Z97" s="67" t="str">
        <f t="shared" si="39"/>
        <v>N/A</v>
      </c>
      <c r="AA97" s="67" t="str">
        <f t="shared" si="39"/>
        <v>N/A</v>
      </c>
      <c r="AB97" s="68" t="str">
        <f t="shared" si="39"/>
        <v>N/A</v>
      </c>
    </row>
    <row r="98" spans="1:28" ht="12.3" hidden="1" outlineLevel="1" x14ac:dyDescent="0.35">
      <c r="D98" s="15" t="str">
        <f t="shared" si="40"/>
        <v>Underground network assets 33kV and above</v>
      </c>
      <c r="E98" s="52" t="str">
        <f t="shared" si="41"/>
        <v>Calc_Alloc</v>
      </c>
      <c r="F98" s="52" t="str">
        <f t="shared" si="35"/>
        <v>Dollars</v>
      </c>
      <c r="G98" s="52" t="str">
        <f t="shared" si="36"/>
        <v>Nominal</v>
      </c>
      <c r="H98" s="52" t="str">
        <f t="shared" si="37"/>
        <v>End_year</v>
      </c>
      <c r="J98" s="66" t="str">
        <f t="shared" si="38"/>
        <v>N/A</v>
      </c>
      <c r="K98" s="67" t="str">
        <f t="shared" si="38"/>
        <v>N/A</v>
      </c>
      <c r="L98" s="67" t="str">
        <f t="shared" si="38"/>
        <v>N/A</v>
      </c>
      <c r="M98" s="67" t="str">
        <f t="shared" si="38"/>
        <v>N/A</v>
      </c>
      <c r="N98" s="67" t="str">
        <f t="shared" si="38"/>
        <v>N/A</v>
      </c>
      <c r="O98" s="67" t="str">
        <f t="shared" si="38"/>
        <v>N/A</v>
      </c>
      <c r="P98" s="67" t="str">
        <f t="shared" si="38"/>
        <v>N/A</v>
      </c>
      <c r="Q98" s="67" t="str">
        <f t="shared" si="38"/>
        <v>N/A</v>
      </c>
      <c r="R98" s="68" t="str">
        <f t="shared" si="38"/>
        <v>N/A</v>
      </c>
      <c r="S98" s="66" t="str">
        <f t="shared" si="38"/>
        <v>N/A</v>
      </c>
      <c r="T98" s="67" t="str">
        <f t="shared" si="39"/>
        <v>N/A</v>
      </c>
      <c r="U98" s="67" t="str">
        <f t="shared" si="39"/>
        <v>N/A</v>
      </c>
      <c r="V98" s="67" t="str">
        <f t="shared" si="39"/>
        <v>N/A</v>
      </c>
      <c r="W98" s="68" t="str">
        <f t="shared" si="39"/>
        <v>N/A</v>
      </c>
      <c r="X98" s="66" t="str">
        <f t="shared" si="39"/>
        <v>N/A</v>
      </c>
      <c r="Y98" s="67" t="str">
        <f t="shared" si="39"/>
        <v>N/A</v>
      </c>
      <c r="Z98" s="67" t="str">
        <f t="shared" si="39"/>
        <v>N/A</v>
      </c>
      <c r="AA98" s="67" t="str">
        <f t="shared" si="39"/>
        <v>N/A</v>
      </c>
      <c r="AB98" s="68" t="str">
        <f t="shared" si="39"/>
        <v>N/A</v>
      </c>
    </row>
    <row r="99" spans="1:28" ht="12.3" hidden="1" outlineLevel="1" x14ac:dyDescent="0.35">
      <c r="D99" s="15" t="str">
        <f t="shared" si="40"/>
        <v>Zone substations and transformers</v>
      </c>
      <c r="E99" s="52" t="str">
        <f t="shared" si="41"/>
        <v>Calc_Alloc</v>
      </c>
      <c r="F99" s="52" t="str">
        <f t="shared" si="35"/>
        <v>Dollars</v>
      </c>
      <c r="G99" s="52" t="str">
        <f t="shared" si="36"/>
        <v>Nominal</v>
      </c>
      <c r="H99" s="52" t="str">
        <f t="shared" si="37"/>
        <v>End_year</v>
      </c>
      <c r="J99" s="66" t="str">
        <f t="shared" si="38"/>
        <v>N/A</v>
      </c>
      <c r="K99" s="67" t="str">
        <f t="shared" si="38"/>
        <v>N/A</v>
      </c>
      <c r="L99" s="67" t="str">
        <f t="shared" si="38"/>
        <v>N/A</v>
      </c>
      <c r="M99" s="67" t="str">
        <f t="shared" si="38"/>
        <v>N/A</v>
      </c>
      <c r="N99" s="67" t="str">
        <f t="shared" si="38"/>
        <v>N/A</v>
      </c>
      <c r="O99" s="67" t="str">
        <f t="shared" si="38"/>
        <v>N/A</v>
      </c>
      <c r="P99" s="67" t="str">
        <f t="shared" si="38"/>
        <v>N/A</v>
      </c>
      <c r="Q99" s="67" t="str">
        <f t="shared" si="38"/>
        <v>N/A</v>
      </c>
      <c r="R99" s="68" t="str">
        <f t="shared" si="38"/>
        <v>N/A</v>
      </c>
      <c r="S99" s="66" t="str">
        <f t="shared" si="38"/>
        <v>N/A</v>
      </c>
      <c r="T99" s="67" t="str">
        <f t="shared" si="39"/>
        <v>N/A</v>
      </c>
      <c r="U99" s="67" t="str">
        <f t="shared" si="39"/>
        <v>N/A</v>
      </c>
      <c r="V99" s="67" t="str">
        <f t="shared" si="39"/>
        <v>N/A</v>
      </c>
      <c r="W99" s="68" t="str">
        <f t="shared" si="39"/>
        <v>N/A</v>
      </c>
      <c r="X99" s="66" t="str">
        <f t="shared" si="39"/>
        <v>N/A</v>
      </c>
      <c r="Y99" s="67" t="str">
        <f t="shared" si="39"/>
        <v>N/A</v>
      </c>
      <c r="Z99" s="67" t="str">
        <f t="shared" si="39"/>
        <v>N/A</v>
      </c>
      <c r="AA99" s="67" t="str">
        <f t="shared" si="39"/>
        <v>N/A</v>
      </c>
      <c r="AB99" s="68" t="str">
        <f t="shared" si="39"/>
        <v>N/A</v>
      </c>
    </row>
    <row r="100" spans="1:28" ht="12.3" hidden="1" outlineLevel="1" x14ac:dyDescent="0.35">
      <c r="D100" s="15" t="str">
        <f t="shared" si="40"/>
        <v>Easements</v>
      </c>
      <c r="E100" s="52" t="str">
        <f t="shared" si="41"/>
        <v>Calc_Alloc</v>
      </c>
      <c r="F100" s="52" t="str">
        <f t="shared" si="35"/>
        <v>Dollars</v>
      </c>
      <c r="G100" s="52" t="str">
        <f t="shared" si="36"/>
        <v>Nominal</v>
      </c>
      <c r="H100" s="52" t="str">
        <f t="shared" si="37"/>
        <v>End_year</v>
      </c>
      <c r="J100" s="66" t="str">
        <f t="shared" si="38"/>
        <v>N/A</v>
      </c>
      <c r="K100" s="67" t="str">
        <f t="shared" si="38"/>
        <v>N/A</v>
      </c>
      <c r="L100" s="67" t="str">
        <f t="shared" si="38"/>
        <v>N/A</v>
      </c>
      <c r="M100" s="67" t="str">
        <f t="shared" si="38"/>
        <v>N/A</v>
      </c>
      <c r="N100" s="67" t="str">
        <f t="shared" si="38"/>
        <v>N/A</v>
      </c>
      <c r="O100" s="67" t="str">
        <f t="shared" si="38"/>
        <v>N/A</v>
      </c>
      <c r="P100" s="67" t="str">
        <f t="shared" si="38"/>
        <v>N/A</v>
      </c>
      <c r="Q100" s="67" t="str">
        <f t="shared" si="38"/>
        <v>N/A</v>
      </c>
      <c r="R100" s="68" t="str">
        <f t="shared" si="38"/>
        <v>N/A</v>
      </c>
      <c r="S100" s="66" t="str">
        <f t="shared" si="38"/>
        <v>N/A</v>
      </c>
      <c r="T100" s="67" t="str">
        <f t="shared" si="39"/>
        <v>N/A</v>
      </c>
      <c r="U100" s="67" t="str">
        <f t="shared" si="39"/>
        <v>N/A</v>
      </c>
      <c r="V100" s="67" t="str">
        <f t="shared" si="39"/>
        <v>N/A</v>
      </c>
      <c r="W100" s="68" t="str">
        <f t="shared" si="39"/>
        <v>N/A</v>
      </c>
      <c r="X100" s="66" t="str">
        <f t="shared" si="39"/>
        <v>N/A</v>
      </c>
      <c r="Y100" s="67" t="str">
        <f t="shared" si="39"/>
        <v>N/A</v>
      </c>
      <c r="Z100" s="67" t="str">
        <f t="shared" si="39"/>
        <v>N/A</v>
      </c>
      <c r="AA100" s="67" t="str">
        <f t="shared" si="39"/>
        <v>N/A</v>
      </c>
      <c r="AB100" s="68" t="str">
        <f t="shared" si="39"/>
        <v>N/A</v>
      </c>
    </row>
    <row r="101" spans="1:28" ht="12.3" collapsed="1" x14ac:dyDescent="0.35">
      <c r="D101" s="15" t="str">
        <f t="shared" si="40"/>
        <v>Meters</v>
      </c>
      <c r="E101" s="52" t="str">
        <f t="shared" si="41"/>
        <v>Calc_Alloc</v>
      </c>
      <c r="F101" s="52" t="str">
        <f t="shared" si="35"/>
        <v>Dollars</v>
      </c>
      <c r="G101" s="52" t="str">
        <f t="shared" si="36"/>
        <v>Nominal</v>
      </c>
      <c r="H101" s="52" t="str">
        <f t="shared" si="37"/>
        <v>End_year</v>
      </c>
      <c r="J101" s="66">
        <f>SUM(Input_RAB_ACS!J$93:J$101)*Calc_Alloc!$L$32</f>
        <v>0</v>
      </c>
      <c r="K101" s="67">
        <f>SUM(Input_RAB_ACS!K$93:K$101)*Calc_Alloc!$L$32</f>
        <v>0</v>
      </c>
      <c r="L101" s="67">
        <f>SUM(Input_RAB_ACS!L$93:L$101)*Calc_Alloc!$L$32</f>
        <v>0</v>
      </c>
      <c r="M101" s="67">
        <f>SUM(Input_RAB_ACS!M$93:M$101)*Calc_Alloc!$L$32</f>
        <v>0</v>
      </c>
      <c r="N101" s="67">
        <f>SUM(Input_RAB_ACS!N$93:N$101)*Calc_Alloc!$L$32</f>
        <v>0</v>
      </c>
      <c r="O101" s="67">
        <f>SUM(Input_RAB_ACS!O$93:O$101)*Calc_Alloc!$L$32</f>
        <v>0</v>
      </c>
      <c r="P101" s="67">
        <f>SUM(Input_RAB_ACS!P$93:P$101)*Calc_Alloc!$L$32</f>
        <v>-1.9158413072182991E-3</v>
      </c>
      <c r="Q101" s="67">
        <f>SUM(Input_RAB_ACS!Q$93:Q$101)*Calc_Alloc!$L$32</f>
        <v>0</v>
      </c>
      <c r="R101" s="68">
        <f>SUM(Input_RAB_ACS!R$93:R$101)*Calc_Alloc!$L$32</f>
        <v>-5.1023612613707448E-4</v>
      </c>
      <c r="S101" s="66">
        <f>SUM(Input_RAB_ACS!S$93:S$101)*Calc_Alloc!$L$32</f>
        <v>0</v>
      </c>
      <c r="T101" s="67">
        <f>SUM(Input_RAB_ACS!T$93:T$101)*Calc_Alloc!$L$32</f>
        <v>0</v>
      </c>
      <c r="U101" s="67">
        <f>SUM(Input_RAB_ACS!U$93:U$101)*Calc_Alloc!$L$32</f>
        <v>0</v>
      </c>
      <c r="V101" s="67">
        <f>SUM(Input_RAB_ACS!V$93:V$101)*Calc_Alloc!$L$32</f>
        <v>0</v>
      </c>
      <c r="W101" s="68">
        <f>SUM(Input_RAB_ACS!W$93:W$101)*Calc_Alloc!$L$32</f>
        <v>0</v>
      </c>
      <c r="X101" s="66">
        <f>SUM(Input_RAB_ACS!X$93:X$101)*Calc_Alloc!$L$32</f>
        <v>0</v>
      </c>
      <c r="Y101" s="67">
        <f>SUM(Input_RAB_ACS!Y$93:Y$101)*Calc_Alloc!$L$32</f>
        <v>0</v>
      </c>
      <c r="Z101" s="67">
        <f>SUM(Input_RAB_ACS!Z$93:Z$101)*Calc_Alloc!$L$32</f>
        <v>0</v>
      </c>
      <c r="AA101" s="67">
        <f>SUM(Input_RAB_ACS!AA$93:AA$101)*Calc_Alloc!$L$32</f>
        <v>0</v>
      </c>
      <c r="AB101" s="68">
        <f>SUM(Input_RAB_ACS!AB$93:AB$101)*Calc_Alloc!$L$32</f>
        <v>0</v>
      </c>
    </row>
    <row r="102" spans="1:28" ht="12.3" x14ac:dyDescent="0.35">
      <c r="D102" s="15" t="str">
        <f t="shared" si="40"/>
        <v>“Other” asset items with long lives</v>
      </c>
      <c r="E102" s="52" t="str">
        <f t="shared" si="41"/>
        <v>Calc_Alloc</v>
      </c>
      <c r="F102" s="52" t="str">
        <f t="shared" si="35"/>
        <v>Dollars</v>
      </c>
      <c r="G102" s="52" t="str">
        <f t="shared" si="36"/>
        <v>Nominal</v>
      </c>
      <c r="H102" s="52" t="str">
        <f t="shared" si="37"/>
        <v>End_year</v>
      </c>
      <c r="J102" s="66">
        <f>SUM(Input_RAB_ACS!J$93:J$101)*Calc_Alloc!$M$32</f>
        <v>0</v>
      </c>
      <c r="K102" s="67">
        <f>SUM(Input_RAB_ACS!K$93:K$101)*Calc_Alloc!$M$32</f>
        <v>0</v>
      </c>
      <c r="L102" s="67">
        <f>SUM(Input_RAB_ACS!L$93:L$101)*Calc_Alloc!$M$32</f>
        <v>0</v>
      </c>
      <c r="M102" s="67">
        <f>SUM(Input_RAB_ACS!M$93:M$101)*Calc_Alloc!$M$32</f>
        <v>0</v>
      </c>
      <c r="N102" s="67">
        <f>SUM(Input_RAB_ACS!N$93:N$101)*Calc_Alloc!$M$32</f>
        <v>0</v>
      </c>
      <c r="O102" s="67">
        <f>SUM(Input_RAB_ACS!O$93:O$101)*Calc_Alloc!$M$32</f>
        <v>0</v>
      </c>
      <c r="P102" s="67">
        <f>SUM(Input_RAB_ACS!P$93:P$101)*Calc_Alloc!$M$32</f>
        <v>-4.4093657837215215E-5</v>
      </c>
      <c r="Q102" s="67">
        <f>SUM(Input_RAB_ACS!Q$93:Q$101)*Calc_Alloc!$M$32</f>
        <v>0</v>
      </c>
      <c r="R102" s="68">
        <f>SUM(Input_RAB_ACS!R$93:R$101)*Calc_Alloc!$M$32</f>
        <v>-1.1743236288573671E-5</v>
      </c>
      <c r="S102" s="66">
        <f>SUM(Input_RAB_ACS!S$93:S$101)*Calc_Alloc!$M$32</f>
        <v>0</v>
      </c>
      <c r="T102" s="67">
        <f>SUM(Input_RAB_ACS!T$93:T$101)*Calc_Alloc!$M$32</f>
        <v>0</v>
      </c>
      <c r="U102" s="67">
        <f>SUM(Input_RAB_ACS!U$93:U$101)*Calc_Alloc!$M$32</f>
        <v>0</v>
      </c>
      <c r="V102" s="67">
        <f>SUM(Input_RAB_ACS!V$93:V$101)*Calc_Alloc!$M$32</f>
        <v>0</v>
      </c>
      <c r="W102" s="68">
        <f>SUM(Input_RAB_ACS!W$93:W$101)*Calc_Alloc!$M$32</f>
        <v>0</v>
      </c>
      <c r="X102" s="66">
        <f>SUM(Input_RAB_ACS!X$93:X$101)*Calc_Alloc!$M$32</f>
        <v>0</v>
      </c>
      <c r="Y102" s="67">
        <f>SUM(Input_RAB_ACS!Y$93:Y$101)*Calc_Alloc!$M$32</f>
        <v>0</v>
      </c>
      <c r="Z102" s="67">
        <f>SUM(Input_RAB_ACS!Z$93:Z$101)*Calc_Alloc!$M$32</f>
        <v>0</v>
      </c>
      <c r="AA102" s="67">
        <f>SUM(Input_RAB_ACS!AA$93:AA$101)*Calc_Alloc!$M$32</f>
        <v>0</v>
      </c>
      <c r="AB102" s="68">
        <f>SUM(Input_RAB_ACS!AB$93:AB$101)*Calc_Alloc!$M$32</f>
        <v>0</v>
      </c>
    </row>
    <row r="103" spans="1:28" ht="12.3" x14ac:dyDescent="0.35">
      <c r="D103" s="15" t="str">
        <f t="shared" si="40"/>
        <v>“Other” asset items with short lives</v>
      </c>
      <c r="E103" s="52" t="str">
        <f t="shared" si="41"/>
        <v>Calc_Alloc</v>
      </c>
      <c r="F103" s="52" t="str">
        <f t="shared" si="35"/>
        <v>Dollars</v>
      </c>
      <c r="G103" s="52" t="str">
        <f t="shared" si="36"/>
        <v>Nominal</v>
      </c>
      <c r="H103" s="52" t="str">
        <f t="shared" si="37"/>
        <v>End_year</v>
      </c>
      <c r="J103" s="66">
        <f>SUM(Input_RAB_ACS!J$93:J$101)*Calc_Alloc!$N$32</f>
        <v>0</v>
      </c>
      <c r="K103" s="67">
        <f>SUM(Input_RAB_ACS!K$93:K$101)*Calc_Alloc!$N$32</f>
        <v>0</v>
      </c>
      <c r="L103" s="67">
        <f>SUM(Input_RAB_ACS!L$93:L$101)*Calc_Alloc!$N$32</f>
        <v>0</v>
      </c>
      <c r="M103" s="67">
        <f>SUM(Input_RAB_ACS!M$93:M$101)*Calc_Alloc!$N$32</f>
        <v>0</v>
      </c>
      <c r="N103" s="67">
        <f>SUM(Input_RAB_ACS!N$93:N$101)*Calc_Alloc!$N$32</f>
        <v>0</v>
      </c>
      <c r="O103" s="67">
        <f>SUM(Input_RAB_ACS!O$93:O$101)*Calc_Alloc!$N$32</f>
        <v>0</v>
      </c>
      <c r="P103" s="67">
        <f>SUM(Input_RAB_ACS!P$93:P$101)*Calc_Alloc!$N$32</f>
        <v>0</v>
      </c>
      <c r="Q103" s="67">
        <f>SUM(Input_RAB_ACS!Q$93:Q$101)*Calc_Alloc!$N$32</f>
        <v>0</v>
      </c>
      <c r="R103" s="68">
        <f>SUM(Input_RAB_ACS!R$93:R$101)*Calc_Alloc!$N$32</f>
        <v>0</v>
      </c>
      <c r="S103" s="66">
        <f>SUM(Input_RAB_ACS!S$93:S$101)*Calc_Alloc!$N$32</f>
        <v>0</v>
      </c>
      <c r="T103" s="67">
        <f>SUM(Input_RAB_ACS!T$93:T$101)*Calc_Alloc!$N$32</f>
        <v>0</v>
      </c>
      <c r="U103" s="67">
        <f>SUM(Input_RAB_ACS!U$93:U$101)*Calc_Alloc!$N$32</f>
        <v>0</v>
      </c>
      <c r="V103" s="67">
        <f>SUM(Input_RAB_ACS!V$93:V$101)*Calc_Alloc!$N$32</f>
        <v>0</v>
      </c>
      <c r="W103" s="68">
        <f>SUM(Input_RAB_ACS!W$93:W$101)*Calc_Alloc!$N$32</f>
        <v>0</v>
      </c>
      <c r="X103" s="66">
        <f>SUM(Input_RAB_ACS!X$93:X$101)*Calc_Alloc!$N$32</f>
        <v>0</v>
      </c>
      <c r="Y103" s="67">
        <f>SUM(Input_RAB_ACS!Y$93:Y$101)*Calc_Alloc!$N$32</f>
        <v>0</v>
      </c>
      <c r="Z103" s="67">
        <f>SUM(Input_RAB_ACS!Z$93:Z$101)*Calc_Alloc!$N$32</f>
        <v>0</v>
      </c>
      <c r="AA103" s="67">
        <f>SUM(Input_RAB_ACS!AA$93:AA$101)*Calc_Alloc!$N$32</f>
        <v>0</v>
      </c>
      <c r="AB103" s="68">
        <f>SUM(Input_RAB_ACS!AB$93:AB$101)*Calc_Alloc!$N$32</f>
        <v>0</v>
      </c>
    </row>
    <row r="104" spans="1:28" x14ac:dyDescent="0.35">
      <c r="J104" s="56"/>
      <c r="K104" s="57"/>
      <c r="L104" s="57"/>
      <c r="M104" s="57"/>
      <c r="N104" s="57"/>
      <c r="O104" s="57"/>
      <c r="P104" s="57"/>
      <c r="Q104" s="57"/>
      <c r="R104" s="58"/>
      <c r="S104" s="56"/>
      <c r="T104" s="57"/>
      <c r="U104" s="57"/>
      <c r="V104" s="57"/>
      <c r="W104" s="58"/>
      <c r="X104" s="56"/>
      <c r="Y104" s="57"/>
      <c r="Z104" s="57"/>
      <c r="AA104" s="57"/>
      <c r="AB104" s="58"/>
    </row>
    <row r="105" spans="1:28" ht="12.3" x14ac:dyDescent="0.35">
      <c r="D105" s="51" t="str">
        <f>"Total "&amp;D92</f>
        <v>Total EB RIN Categories</v>
      </c>
      <c r="E105" s="47" t="s">
        <v>111</v>
      </c>
      <c r="F105" s="47" t="str">
        <f>F94</f>
        <v>Dollars</v>
      </c>
      <c r="G105" s="47" t="str">
        <f>G94</f>
        <v>Nominal</v>
      </c>
      <c r="H105" s="47" t="str">
        <f>H94</f>
        <v>End_year</v>
      </c>
      <c r="J105" s="62">
        <f t="shared" ref="J105:AB105" si="42">SUM(J94:J103)</f>
        <v>0</v>
      </c>
      <c r="K105" s="46">
        <f t="shared" si="42"/>
        <v>0</v>
      </c>
      <c r="L105" s="46">
        <f t="shared" si="42"/>
        <v>0</v>
      </c>
      <c r="M105" s="46">
        <f t="shared" si="42"/>
        <v>0</v>
      </c>
      <c r="N105" s="46">
        <f t="shared" si="42"/>
        <v>0</v>
      </c>
      <c r="O105" s="46">
        <f t="shared" si="42"/>
        <v>0</v>
      </c>
      <c r="P105" s="46">
        <f t="shared" si="42"/>
        <v>-1.9599349650555142E-3</v>
      </c>
      <c r="Q105" s="46">
        <f t="shared" si="42"/>
        <v>0</v>
      </c>
      <c r="R105" s="63">
        <f t="shared" si="42"/>
        <v>-5.2197936242564819E-4</v>
      </c>
      <c r="S105" s="62">
        <f t="shared" si="42"/>
        <v>0</v>
      </c>
      <c r="T105" s="46">
        <f t="shared" si="42"/>
        <v>0</v>
      </c>
      <c r="U105" s="46">
        <f t="shared" si="42"/>
        <v>0</v>
      </c>
      <c r="V105" s="46">
        <f t="shared" si="42"/>
        <v>0</v>
      </c>
      <c r="W105" s="63">
        <f t="shared" si="42"/>
        <v>0</v>
      </c>
      <c r="X105" s="62">
        <f t="shared" si="42"/>
        <v>0</v>
      </c>
      <c r="Y105" s="46">
        <f t="shared" si="42"/>
        <v>0</v>
      </c>
      <c r="Z105" s="46">
        <f t="shared" si="42"/>
        <v>0</v>
      </c>
      <c r="AA105" s="46">
        <f t="shared" si="42"/>
        <v>0</v>
      </c>
      <c r="AB105" s="63">
        <f t="shared" si="42"/>
        <v>0</v>
      </c>
    </row>
    <row r="106" spans="1:28" s="6" customFormat="1" ht="11.25" customHeight="1" x14ac:dyDescent="0.35"/>
    <row r="107" spans="1:28" s="6" customFormat="1" ht="11.25" customHeight="1" x14ac:dyDescent="0.35">
      <c r="A107" s="49">
        <f>IF(SUM($J107:$AB107)&lt;&gt;0,1,0)</f>
        <v>0</v>
      </c>
      <c r="D107" s="15" t="s">
        <v>114</v>
      </c>
      <c r="J107" s="70">
        <f>IF(ROUND(J105-Input_RAB_ACS!J$103,5)&lt;&gt;0,1,0)</f>
        <v>0</v>
      </c>
      <c r="K107" s="70">
        <f>IF(ROUND(K105-Input_RAB_ACS!K$103,5)&lt;&gt;0,1,0)</f>
        <v>0</v>
      </c>
      <c r="L107" s="70">
        <f>IF(ROUND(L105-Input_RAB_ACS!L$103,5)&lt;&gt;0,1,0)</f>
        <v>0</v>
      </c>
      <c r="M107" s="70">
        <f>IF(ROUND(M105-Input_RAB_ACS!M$103,5)&lt;&gt;0,1,0)</f>
        <v>0</v>
      </c>
      <c r="N107" s="70">
        <f>IF(ROUND(N105-Input_RAB_ACS!N$103,5)&lt;&gt;0,1,0)</f>
        <v>0</v>
      </c>
      <c r="O107" s="70">
        <f>IF(ROUND(O105-Input_RAB_ACS!O$103,5)&lt;&gt;0,1,0)</f>
        <v>0</v>
      </c>
      <c r="P107" s="70">
        <f>IF(ROUND(P105-Input_RAB_ACS!P$103,5)&lt;&gt;0,1,0)</f>
        <v>0</v>
      </c>
      <c r="Q107" s="70">
        <f>IF(ROUND(Q105-Input_RAB_ACS!Q$103,5)&lt;&gt;0,1,0)</f>
        <v>0</v>
      </c>
      <c r="R107" s="70">
        <f>IF(ROUND(R105-Input_RAB_ACS!R$103,5)&lt;&gt;0,1,0)</f>
        <v>0</v>
      </c>
      <c r="S107" s="70">
        <f>IF(ROUND(S105-Input_RAB_ACS!S$103,5)&lt;&gt;0,1,0)</f>
        <v>0</v>
      </c>
      <c r="T107" s="70">
        <f>IF(ROUND(T105-Input_RAB_ACS!T$103,5)&lt;&gt;0,1,0)</f>
        <v>0</v>
      </c>
      <c r="U107" s="70">
        <f>IF(ROUND(U105-Input_RAB_ACS!U$103,5)&lt;&gt;0,1,0)</f>
        <v>0</v>
      </c>
      <c r="V107" s="70">
        <f>IF(ROUND(V105-Input_RAB_ACS!V$103,5)&lt;&gt;0,1,0)</f>
        <v>0</v>
      </c>
      <c r="W107" s="70">
        <f>IF(ROUND(W105-Input_RAB_ACS!W$103,5)&lt;&gt;0,1,0)</f>
        <v>0</v>
      </c>
      <c r="X107" s="70">
        <f>IF(ROUND(X105-Input_RAB_ACS!X$103,5)&lt;&gt;0,1,0)</f>
        <v>0</v>
      </c>
      <c r="Y107" s="70">
        <f>IF(ROUND(Y105-Input_RAB_ACS!Y$103,5)&lt;&gt;0,1,0)</f>
        <v>0</v>
      </c>
      <c r="Z107" s="70">
        <f>IF(ROUND(Z105-Input_RAB_ACS!Z$103,5)&lt;&gt;0,1,0)</f>
        <v>0</v>
      </c>
      <c r="AA107" s="70">
        <f>IF(ROUND(AA105-Input_RAB_ACS!AA$103,5)&lt;&gt;0,1,0)</f>
        <v>0</v>
      </c>
      <c r="AB107" s="70">
        <f>IF(ROUND(AB105-Input_RAB_ACS!AB$103,5)&lt;&gt;0,1,0)</f>
        <v>0</v>
      </c>
    </row>
    <row r="109" spans="1:28" s="13" customFormat="1" ht="14.1" x14ac:dyDescent="0.35">
      <c r="C109" s="13" t="s">
        <v>176</v>
      </c>
    </row>
    <row r="110" spans="1:28" s="6" customFormat="1" ht="11.25" customHeight="1" x14ac:dyDescent="0.35"/>
    <row r="111" spans="1:28" ht="12.3" x14ac:dyDescent="0.35">
      <c r="D111" s="50" t="str">
        <f>D$16</f>
        <v>EB RIN Categories</v>
      </c>
      <c r="E111" s="45" t="str">
        <f>Lookup!E$20</f>
        <v>Source</v>
      </c>
      <c r="F111" s="45" t="str">
        <f>Lookup!F$20</f>
        <v>Unit</v>
      </c>
      <c r="G111" s="45" t="str">
        <f>Lookup!G$20</f>
        <v>Basis</v>
      </c>
      <c r="H111" s="45" t="str">
        <f>Lookup!H$20</f>
        <v>Timing</v>
      </c>
      <c r="J111" s="54" t="str">
        <f>J$10</f>
        <v>RY06</v>
      </c>
      <c r="K111" s="45" t="str">
        <f t="shared" ref="K111:AB111" si="43">K$10</f>
        <v>RY07</v>
      </c>
      <c r="L111" s="45" t="str">
        <f t="shared" si="43"/>
        <v>RY08</v>
      </c>
      <c r="M111" s="45" t="str">
        <f t="shared" si="43"/>
        <v>RY09</v>
      </c>
      <c r="N111" s="45" t="str">
        <f t="shared" si="43"/>
        <v>RY10</v>
      </c>
      <c r="O111" s="45" t="str">
        <f>O$10</f>
        <v>RY11</v>
      </c>
      <c r="P111" s="45" t="str">
        <f t="shared" si="43"/>
        <v>RY12</v>
      </c>
      <c r="Q111" s="45" t="str">
        <f t="shared" si="43"/>
        <v>RY13</v>
      </c>
      <c r="R111" s="55" t="str">
        <f t="shared" si="43"/>
        <v>RY14</v>
      </c>
      <c r="S111" s="54" t="str">
        <f t="shared" si="43"/>
        <v>RY15</v>
      </c>
      <c r="T111" s="45" t="str">
        <f>T$10</f>
        <v>RY16</v>
      </c>
      <c r="U111" s="45" t="str">
        <f t="shared" si="43"/>
        <v>RY17</v>
      </c>
      <c r="V111" s="45" t="str">
        <f t="shared" si="43"/>
        <v>RY18</v>
      </c>
      <c r="W111" s="55" t="str">
        <f t="shared" si="43"/>
        <v>RY19</v>
      </c>
      <c r="X111" s="54" t="str">
        <f t="shared" si="43"/>
        <v>RY20</v>
      </c>
      <c r="Y111" s="45" t="str">
        <f>Y$10</f>
        <v>RY21</v>
      </c>
      <c r="Z111" s="45" t="str">
        <f t="shared" si="43"/>
        <v>RY22</v>
      </c>
      <c r="AA111" s="45" t="str">
        <f t="shared" si="43"/>
        <v>RY23</v>
      </c>
      <c r="AB111" s="55" t="str">
        <f t="shared" si="43"/>
        <v>RY24</v>
      </c>
    </row>
    <row r="112" spans="1:28" x14ac:dyDescent="0.35">
      <c r="J112" s="56"/>
      <c r="K112" s="57"/>
      <c r="L112" s="57"/>
      <c r="M112" s="57"/>
      <c r="N112" s="57"/>
      <c r="O112" s="57"/>
      <c r="P112" s="57"/>
      <c r="Q112" s="57"/>
      <c r="R112" s="58"/>
      <c r="S112" s="56"/>
      <c r="T112" s="57"/>
      <c r="U112" s="57"/>
      <c r="V112" s="57"/>
      <c r="W112" s="58"/>
      <c r="X112" s="56"/>
      <c r="Y112" s="57"/>
      <c r="Z112" s="57"/>
      <c r="AA112" s="57"/>
      <c r="AB112" s="58"/>
    </row>
    <row r="113" spans="1:28" ht="12.3" hidden="1" outlineLevel="1" x14ac:dyDescent="0.35">
      <c r="D113" s="15" t="str">
        <f>D18</f>
        <v>Overhead network assets less than 33kV</v>
      </c>
      <c r="E113" s="52" t="s">
        <v>111</v>
      </c>
      <c r="F113" s="52" t="str">
        <f t="shared" ref="F113:F122" si="44">Dollars</f>
        <v>Dollars</v>
      </c>
      <c r="G113" s="52" t="str">
        <f t="shared" ref="G113:G122" si="45">Nominal</f>
        <v>Nominal</v>
      </c>
      <c r="H113" s="52" t="str">
        <f t="shared" ref="H113:H122" si="46">End_year</f>
        <v>End_year</v>
      </c>
      <c r="J113" s="66" t="str">
        <f t="shared" ref="J113:Y119" si="47">NA</f>
        <v>N/A</v>
      </c>
      <c r="K113" s="67" t="str">
        <f t="shared" si="47"/>
        <v>N/A</v>
      </c>
      <c r="L113" s="67" t="str">
        <f t="shared" si="47"/>
        <v>N/A</v>
      </c>
      <c r="M113" s="67" t="str">
        <f t="shared" si="47"/>
        <v>N/A</v>
      </c>
      <c r="N113" s="67" t="str">
        <f t="shared" si="47"/>
        <v>N/A</v>
      </c>
      <c r="O113" s="67" t="str">
        <f t="shared" si="47"/>
        <v>N/A</v>
      </c>
      <c r="P113" s="67" t="str">
        <f t="shared" si="47"/>
        <v>N/A</v>
      </c>
      <c r="Q113" s="67" t="str">
        <f t="shared" si="47"/>
        <v>N/A</v>
      </c>
      <c r="R113" s="68" t="str">
        <f t="shared" si="47"/>
        <v>N/A</v>
      </c>
      <c r="S113" s="66" t="str">
        <f t="shared" si="47"/>
        <v>N/A</v>
      </c>
      <c r="T113" s="67" t="str">
        <f t="shared" si="47"/>
        <v>N/A</v>
      </c>
      <c r="U113" s="67" t="str">
        <f t="shared" si="47"/>
        <v>N/A</v>
      </c>
      <c r="V113" s="67" t="str">
        <f t="shared" si="47"/>
        <v>N/A</v>
      </c>
      <c r="W113" s="68" t="str">
        <f t="shared" si="47"/>
        <v>N/A</v>
      </c>
      <c r="X113" s="66" t="str">
        <f t="shared" si="47"/>
        <v>N/A</v>
      </c>
      <c r="Y113" s="67" t="str">
        <f t="shared" si="47"/>
        <v>N/A</v>
      </c>
      <c r="Z113" s="67" t="str">
        <f t="shared" ref="T113:AB119" si="48">NA</f>
        <v>N/A</v>
      </c>
      <c r="AA113" s="67" t="str">
        <f t="shared" si="48"/>
        <v>N/A</v>
      </c>
      <c r="AB113" s="68" t="str">
        <f t="shared" si="48"/>
        <v>N/A</v>
      </c>
    </row>
    <row r="114" spans="1:28" ht="12.3" hidden="1" outlineLevel="1" x14ac:dyDescent="0.35">
      <c r="D114" s="15" t="str">
        <f t="shared" ref="D114:D122" si="49">D19</f>
        <v>Underground network assets less than 33kV</v>
      </c>
      <c r="E114" s="52" t="s">
        <v>111</v>
      </c>
      <c r="F114" s="52" t="str">
        <f t="shared" si="44"/>
        <v>Dollars</v>
      </c>
      <c r="G114" s="52" t="str">
        <f t="shared" si="45"/>
        <v>Nominal</v>
      </c>
      <c r="H114" s="52" t="str">
        <f t="shared" si="46"/>
        <v>End_year</v>
      </c>
      <c r="J114" s="66" t="str">
        <f t="shared" si="47"/>
        <v>N/A</v>
      </c>
      <c r="K114" s="67" t="str">
        <f t="shared" si="47"/>
        <v>N/A</v>
      </c>
      <c r="L114" s="67" t="str">
        <f t="shared" si="47"/>
        <v>N/A</v>
      </c>
      <c r="M114" s="67" t="str">
        <f t="shared" si="47"/>
        <v>N/A</v>
      </c>
      <c r="N114" s="67" t="str">
        <f t="shared" si="47"/>
        <v>N/A</v>
      </c>
      <c r="O114" s="67" t="str">
        <f t="shared" si="47"/>
        <v>N/A</v>
      </c>
      <c r="P114" s="67" t="str">
        <f t="shared" si="47"/>
        <v>N/A</v>
      </c>
      <c r="Q114" s="67" t="str">
        <f t="shared" si="47"/>
        <v>N/A</v>
      </c>
      <c r="R114" s="68" t="str">
        <f t="shared" si="47"/>
        <v>N/A</v>
      </c>
      <c r="S114" s="66" t="str">
        <f t="shared" si="47"/>
        <v>N/A</v>
      </c>
      <c r="T114" s="67" t="str">
        <f t="shared" si="48"/>
        <v>N/A</v>
      </c>
      <c r="U114" s="67" t="str">
        <f t="shared" si="48"/>
        <v>N/A</v>
      </c>
      <c r="V114" s="67" t="str">
        <f t="shared" si="48"/>
        <v>N/A</v>
      </c>
      <c r="W114" s="68" t="str">
        <f t="shared" si="48"/>
        <v>N/A</v>
      </c>
      <c r="X114" s="66" t="str">
        <f t="shared" si="48"/>
        <v>N/A</v>
      </c>
      <c r="Y114" s="67" t="str">
        <f t="shared" si="48"/>
        <v>N/A</v>
      </c>
      <c r="Z114" s="67" t="str">
        <f t="shared" si="48"/>
        <v>N/A</v>
      </c>
      <c r="AA114" s="67" t="str">
        <f t="shared" si="48"/>
        <v>N/A</v>
      </c>
      <c r="AB114" s="68" t="str">
        <f t="shared" si="48"/>
        <v>N/A</v>
      </c>
    </row>
    <row r="115" spans="1:28" ht="12.3" hidden="1" outlineLevel="1" x14ac:dyDescent="0.35">
      <c r="D115" s="15" t="str">
        <f t="shared" si="49"/>
        <v>Distribution substations and transformers</v>
      </c>
      <c r="E115" s="52" t="s">
        <v>111</v>
      </c>
      <c r="F115" s="52" t="str">
        <f t="shared" si="44"/>
        <v>Dollars</v>
      </c>
      <c r="G115" s="52" t="str">
        <f t="shared" si="45"/>
        <v>Nominal</v>
      </c>
      <c r="H115" s="52" t="str">
        <f t="shared" si="46"/>
        <v>End_year</v>
      </c>
      <c r="J115" s="66" t="str">
        <f t="shared" si="47"/>
        <v>N/A</v>
      </c>
      <c r="K115" s="67" t="str">
        <f t="shared" si="47"/>
        <v>N/A</v>
      </c>
      <c r="L115" s="67" t="str">
        <f t="shared" si="47"/>
        <v>N/A</v>
      </c>
      <c r="M115" s="67" t="str">
        <f t="shared" si="47"/>
        <v>N/A</v>
      </c>
      <c r="N115" s="67" t="str">
        <f t="shared" si="47"/>
        <v>N/A</v>
      </c>
      <c r="O115" s="67" t="str">
        <f t="shared" si="47"/>
        <v>N/A</v>
      </c>
      <c r="P115" s="67" t="str">
        <f t="shared" si="47"/>
        <v>N/A</v>
      </c>
      <c r="Q115" s="67" t="str">
        <f t="shared" si="47"/>
        <v>N/A</v>
      </c>
      <c r="R115" s="68" t="str">
        <f t="shared" si="47"/>
        <v>N/A</v>
      </c>
      <c r="S115" s="66" t="str">
        <f t="shared" si="47"/>
        <v>N/A</v>
      </c>
      <c r="T115" s="67" t="str">
        <f t="shared" si="48"/>
        <v>N/A</v>
      </c>
      <c r="U115" s="67" t="str">
        <f t="shared" si="48"/>
        <v>N/A</v>
      </c>
      <c r="V115" s="67" t="str">
        <f t="shared" si="48"/>
        <v>N/A</v>
      </c>
      <c r="W115" s="68" t="str">
        <f t="shared" si="48"/>
        <v>N/A</v>
      </c>
      <c r="X115" s="66" t="str">
        <f t="shared" si="48"/>
        <v>N/A</v>
      </c>
      <c r="Y115" s="67" t="str">
        <f t="shared" si="48"/>
        <v>N/A</v>
      </c>
      <c r="Z115" s="67" t="str">
        <f t="shared" si="48"/>
        <v>N/A</v>
      </c>
      <c r="AA115" s="67" t="str">
        <f t="shared" si="48"/>
        <v>N/A</v>
      </c>
      <c r="AB115" s="68" t="str">
        <f t="shared" si="48"/>
        <v>N/A</v>
      </c>
    </row>
    <row r="116" spans="1:28" ht="12.3" hidden="1" outlineLevel="1" x14ac:dyDescent="0.35">
      <c r="D116" s="15" t="str">
        <f t="shared" si="49"/>
        <v>Overhead network assets 33kV and above</v>
      </c>
      <c r="E116" s="52" t="s">
        <v>111</v>
      </c>
      <c r="F116" s="52" t="str">
        <f t="shared" si="44"/>
        <v>Dollars</v>
      </c>
      <c r="G116" s="52" t="str">
        <f t="shared" si="45"/>
        <v>Nominal</v>
      </c>
      <c r="H116" s="52" t="str">
        <f t="shared" si="46"/>
        <v>End_year</v>
      </c>
      <c r="J116" s="66" t="str">
        <f t="shared" si="47"/>
        <v>N/A</v>
      </c>
      <c r="K116" s="67" t="str">
        <f t="shared" si="47"/>
        <v>N/A</v>
      </c>
      <c r="L116" s="67" t="str">
        <f t="shared" si="47"/>
        <v>N/A</v>
      </c>
      <c r="M116" s="67" t="str">
        <f t="shared" si="47"/>
        <v>N/A</v>
      </c>
      <c r="N116" s="67" t="str">
        <f t="shared" si="47"/>
        <v>N/A</v>
      </c>
      <c r="O116" s="67" t="str">
        <f t="shared" si="47"/>
        <v>N/A</v>
      </c>
      <c r="P116" s="67" t="str">
        <f t="shared" si="47"/>
        <v>N/A</v>
      </c>
      <c r="Q116" s="67" t="str">
        <f t="shared" si="47"/>
        <v>N/A</v>
      </c>
      <c r="R116" s="68" t="str">
        <f t="shared" si="47"/>
        <v>N/A</v>
      </c>
      <c r="S116" s="66" t="str">
        <f t="shared" si="47"/>
        <v>N/A</v>
      </c>
      <c r="T116" s="67" t="str">
        <f t="shared" si="48"/>
        <v>N/A</v>
      </c>
      <c r="U116" s="67" t="str">
        <f t="shared" si="48"/>
        <v>N/A</v>
      </c>
      <c r="V116" s="67" t="str">
        <f t="shared" si="48"/>
        <v>N/A</v>
      </c>
      <c r="W116" s="68" t="str">
        <f t="shared" si="48"/>
        <v>N/A</v>
      </c>
      <c r="X116" s="66" t="str">
        <f t="shared" si="48"/>
        <v>N/A</v>
      </c>
      <c r="Y116" s="67" t="str">
        <f t="shared" si="48"/>
        <v>N/A</v>
      </c>
      <c r="Z116" s="67" t="str">
        <f t="shared" si="48"/>
        <v>N/A</v>
      </c>
      <c r="AA116" s="67" t="str">
        <f t="shared" si="48"/>
        <v>N/A</v>
      </c>
      <c r="AB116" s="68" t="str">
        <f t="shared" si="48"/>
        <v>N/A</v>
      </c>
    </row>
    <row r="117" spans="1:28" ht="12.3" hidden="1" outlineLevel="1" x14ac:dyDescent="0.35">
      <c r="D117" s="15" t="str">
        <f t="shared" si="49"/>
        <v>Underground network assets 33kV and above</v>
      </c>
      <c r="E117" s="52" t="s">
        <v>111</v>
      </c>
      <c r="F117" s="52" t="str">
        <f t="shared" si="44"/>
        <v>Dollars</v>
      </c>
      <c r="G117" s="52" t="str">
        <f t="shared" si="45"/>
        <v>Nominal</v>
      </c>
      <c r="H117" s="52" t="str">
        <f t="shared" si="46"/>
        <v>End_year</v>
      </c>
      <c r="J117" s="66" t="str">
        <f t="shared" si="47"/>
        <v>N/A</v>
      </c>
      <c r="K117" s="67" t="str">
        <f t="shared" si="47"/>
        <v>N/A</v>
      </c>
      <c r="L117" s="67" t="str">
        <f t="shared" si="47"/>
        <v>N/A</v>
      </c>
      <c r="M117" s="67" t="str">
        <f t="shared" si="47"/>
        <v>N/A</v>
      </c>
      <c r="N117" s="67" t="str">
        <f t="shared" si="47"/>
        <v>N/A</v>
      </c>
      <c r="O117" s="67" t="str">
        <f t="shared" si="47"/>
        <v>N/A</v>
      </c>
      <c r="P117" s="67" t="str">
        <f t="shared" si="47"/>
        <v>N/A</v>
      </c>
      <c r="Q117" s="67" t="str">
        <f t="shared" si="47"/>
        <v>N/A</v>
      </c>
      <c r="R117" s="68" t="str">
        <f t="shared" si="47"/>
        <v>N/A</v>
      </c>
      <c r="S117" s="66" t="str">
        <f t="shared" si="47"/>
        <v>N/A</v>
      </c>
      <c r="T117" s="67" t="str">
        <f t="shared" si="48"/>
        <v>N/A</v>
      </c>
      <c r="U117" s="67" t="str">
        <f t="shared" si="48"/>
        <v>N/A</v>
      </c>
      <c r="V117" s="67" t="str">
        <f t="shared" si="48"/>
        <v>N/A</v>
      </c>
      <c r="W117" s="68" t="str">
        <f t="shared" si="48"/>
        <v>N/A</v>
      </c>
      <c r="X117" s="66" t="str">
        <f t="shared" si="48"/>
        <v>N/A</v>
      </c>
      <c r="Y117" s="67" t="str">
        <f t="shared" si="48"/>
        <v>N/A</v>
      </c>
      <c r="Z117" s="67" t="str">
        <f t="shared" si="48"/>
        <v>N/A</v>
      </c>
      <c r="AA117" s="67" t="str">
        <f t="shared" si="48"/>
        <v>N/A</v>
      </c>
      <c r="AB117" s="68" t="str">
        <f t="shared" si="48"/>
        <v>N/A</v>
      </c>
    </row>
    <row r="118" spans="1:28" ht="12.3" hidden="1" outlineLevel="1" x14ac:dyDescent="0.35">
      <c r="D118" s="15" t="str">
        <f t="shared" si="49"/>
        <v>Zone substations and transformers</v>
      </c>
      <c r="E118" s="52" t="s">
        <v>111</v>
      </c>
      <c r="F118" s="52" t="str">
        <f t="shared" si="44"/>
        <v>Dollars</v>
      </c>
      <c r="G118" s="52" t="str">
        <f t="shared" si="45"/>
        <v>Nominal</v>
      </c>
      <c r="H118" s="52" t="str">
        <f t="shared" si="46"/>
        <v>End_year</v>
      </c>
      <c r="J118" s="66" t="str">
        <f t="shared" si="47"/>
        <v>N/A</v>
      </c>
      <c r="K118" s="67" t="str">
        <f t="shared" si="47"/>
        <v>N/A</v>
      </c>
      <c r="L118" s="67" t="str">
        <f t="shared" si="47"/>
        <v>N/A</v>
      </c>
      <c r="M118" s="67" t="str">
        <f t="shared" si="47"/>
        <v>N/A</v>
      </c>
      <c r="N118" s="67" t="str">
        <f t="shared" si="47"/>
        <v>N/A</v>
      </c>
      <c r="O118" s="67" t="str">
        <f t="shared" si="47"/>
        <v>N/A</v>
      </c>
      <c r="P118" s="67" t="str">
        <f t="shared" si="47"/>
        <v>N/A</v>
      </c>
      <c r="Q118" s="67" t="str">
        <f t="shared" si="47"/>
        <v>N/A</v>
      </c>
      <c r="R118" s="68" t="str">
        <f t="shared" si="47"/>
        <v>N/A</v>
      </c>
      <c r="S118" s="66" t="str">
        <f t="shared" si="47"/>
        <v>N/A</v>
      </c>
      <c r="T118" s="67" t="str">
        <f t="shared" si="48"/>
        <v>N/A</v>
      </c>
      <c r="U118" s="67" t="str">
        <f t="shared" si="48"/>
        <v>N/A</v>
      </c>
      <c r="V118" s="67" t="str">
        <f t="shared" si="48"/>
        <v>N/A</v>
      </c>
      <c r="W118" s="68" t="str">
        <f t="shared" si="48"/>
        <v>N/A</v>
      </c>
      <c r="X118" s="66" t="str">
        <f t="shared" si="48"/>
        <v>N/A</v>
      </c>
      <c r="Y118" s="67" t="str">
        <f t="shared" si="48"/>
        <v>N/A</v>
      </c>
      <c r="Z118" s="67" t="str">
        <f t="shared" si="48"/>
        <v>N/A</v>
      </c>
      <c r="AA118" s="67" t="str">
        <f t="shared" si="48"/>
        <v>N/A</v>
      </c>
      <c r="AB118" s="68" t="str">
        <f t="shared" si="48"/>
        <v>N/A</v>
      </c>
    </row>
    <row r="119" spans="1:28" ht="12.3" hidden="1" outlineLevel="1" x14ac:dyDescent="0.35">
      <c r="D119" s="15" t="str">
        <f t="shared" si="49"/>
        <v>Easements</v>
      </c>
      <c r="E119" s="52" t="s">
        <v>111</v>
      </c>
      <c r="F119" s="52" t="str">
        <f t="shared" si="44"/>
        <v>Dollars</v>
      </c>
      <c r="G119" s="52" t="str">
        <f t="shared" si="45"/>
        <v>Nominal</v>
      </c>
      <c r="H119" s="52" t="str">
        <f t="shared" si="46"/>
        <v>End_year</v>
      </c>
      <c r="J119" s="66" t="str">
        <f t="shared" si="47"/>
        <v>N/A</v>
      </c>
      <c r="K119" s="67" t="str">
        <f t="shared" si="47"/>
        <v>N/A</v>
      </c>
      <c r="L119" s="67" t="str">
        <f t="shared" si="47"/>
        <v>N/A</v>
      </c>
      <c r="M119" s="67" t="str">
        <f t="shared" si="47"/>
        <v>N/A</v>
      </c>
      <c r="N119" s="67" t="str">
        <f t="shared" si="47"/>
        <v>N/A</v>
      </c>
      <c r="O119" s="67" t="str">
        <f t="shared" si="47"/>
        <v>N/A</v>
      </c>
      <c r="P119" s="67" t="str">
        <f t="shared" si="47"/>
        <v>N/A</v>
      </c>
      <c r="Q119" s="67" t="str">
        <f t="shared" si="47"/>
        <v>N/A</v>
      </c>
      <c r="R119" s="68" t="str">
        <f t="shared" si="47"/>
        <v>N/A</v>
      </c>
      <c r="S119" s="66" t="str">
        <f t="shared" si="47"/>
        <v>N/A</v>
      </c>
      <c r="T119" s="67" t="str">
        <f t="shared" si="48"/>
        <v>N/A</v>
      </c>
      <c r="U119" s="67" t="str">
        <f t="shared" si="48"/>
        <v>N/A</v>
      </c>
      <c r="V119" s="67" t="str">
        <f t="shared" si="48"/>
        <v>N/A</v>
      </c>
      <c r="W119" s="68" t="str">
        <f t="shared" si="48"/>
        <v>N/A</v>
      </c>
      <c r="X119" s="66" t="str">
        <f t="shared" si="48"/>
        <v>N/A</v>
      </c>
      <c r="Y119" s="67" t="str">
        <f t="shared" si="48"/>
        <v>N/A</v>
      </c>
      <c r="Z119" s="67" t="str">
        <f t="shared" si="48"/>
        <v>N/A</v>
      </c>
      <c r="AA119" s="67" t="str">
        <f t="shared" si="48"/>
        <v>N/A</v>
      </c>
      <c r="AB119" s="68" t="str">
        <f t="shared" si="48"/>
        <v>N/A</v>
      </c>
    </row>
    <row r="120" spans="1:28" ht="12.3" collapsed="1" x14ac:dyDescent="0.35">
      <c r="D120" s="15" t="str">
        <f t="shared" si="49"/>
        <v>Meters</v>
      </c>
      <c r="E120" s="52" t="s">
        <v>111</v>
      </c>
      <c r="F120" s="52" t="str">
        <f t="shared" si="44"/>
        <v>Dollars</v>
      </c>
      <c r="G120" s="52" t="str">
        <f t="shared" si="45"/>
        <v>Nominal</v>
      </c>
      <c r="H120" s="52" t="str">
        <f t="shared" si="46"/>
        <v>End_year</v>
      </c>
      <c r="J120" s="66">
        <f>J25+J44+J63+J82+J101</f>
        <v>3.7417767788194758</v>
      </c>
      <c r="K120" s="67">
        <f t="shared" ref="K120:AB120" si="50">K25+K44+K63+K82+K101</f>
        <v>3.8742162665417763</v>
      </c>
      <c r="L120" s="67">
        <f t="shared" si="50"/>
        <v>4.4936278567248813</v>
      </c>
      <c r="M120" s="67">
        <f t="shared" si="50"/>
        <v>5.1209982106660901</v>
      </c>
      <c r="N120" s="67">
        <f t="shared" si="50"/>
        <v>5.7874333599239662</v>
      </c>
      <c r="O120" s="67">
        <f t="shared" si="50"/>
        <v>6.2525389109370515</v>
      </c>
      <c r="P120" s="67">
        <f t="shared" si="50"/>
        <v>6.7078255713431885</v>
      </c>
      <c r="Q120" s="67">
        <f t="shared" si="50"/>
        <v>7.4395419472342965</v>
      </c>
      <c r="R120" s="68">
        <f t="shared" si="50"/>
        <v>7.3371063938218031</v>
      </c>
      <c r="S120" s="66">
        <f t="shared" si="50"/>
        <v>8.2640279517129933</v>
      </c>
      <c r="T120" s="67">
        <f t="shared" si="50"/>
        <v>10.191258788110531</v>
      </c>
      <c r="U120" s="67">
        <f t="shared" si="50"/>
        <v>12.056969644633231</v>
      </c>
      <c r="V120" s="67">
        <f t="shared" si="50"/>
        <v>12.673417881085166</v>
      </c>
      <c r="W120" s="68">
        <f t="shared" si="50"/>
        <v>15.40614917914376</v>
      </c>
      <c r="X120" s="66">
        <f t="shared" si="50"/>
        <v>22.368441128585708</v>
      </c>
      <c r="Y120" s="67">
        <f t="shared" si="50"/>
        <v>25.142529874376422</v>
      </c>
      <c r="Z120" s="67">
        <f t="shared" si="50"/>
        <v>27.808325683968587</v>
      </c>
      <c r="AA120" s="67">
        <f t="shared" si="50"/>
        <v>34.345698429505077</v>
      </c>
      <c r="AB120" s="68">
        <f t="shared" si="50"/>
        <v>36.347355975476923</v>
      </c>
    </row>
    <row r="121" spans="1:28" ht="12.3" x14ac:dyDescent="0.35">
      <c r="D121" s="15" t="str">
        <f t="shared" si="49"/>
        <v>“Other” asset items with long lives</v>
      </c>
      <c r="E121" s="52" t="s">
        <v>111</v>
      </c>
      <c r="F121" s="52" t="str">
        <f t="shared" si="44"/>
        <v>Dollars</v>
      </c>
      <c r="G121" s="52" t="str">
        <f t="shared" si="45"/>
        <v>Nominal</v>
      </c>
      <c r="H121" s="52" t="str">
        <f t="shared" si="46"/>
        <v>End_year</v>
      </c>
      <c r="J121" s="66">
        <f t="shared" ref="J121:AB121" si="51">J26+J45+J64+J83+J102</f>
        <v>8.6118106111856468E-2</v>
      </c>
      <c r="K121" s="67">
        <f t="shared" si="51"/>
        <v>8.9166240335584096E-2</v>
      </c>
      <c r="L121" s="67">
        <f t="shared" si="51"/>
        <v>0.10342218241963645</v>
      </c>
      <c r="M121" s="67">
        <f t="shared" si="51"/>
        <v>0.11786129782009809</v>
      </c>
      <c r="N121" s="67">
        <f t="shared" si="51"/>
        <v>0.13319950111039908</v>
      </c>
      <c r="O121" s="67">
        <f t="shared" si="51"/>
        <v>0.14390404378170063</v>
      </c>
      <c r="P121" s="67">
        <f t="shared" si="51"/>
        <v>0.15438260176359567</v>
      </c>
      <c r="Q121" s="67">
        <f t="shared" si="51"/>
        <v>0.17122327191245856</v>
      </c>
      <c r="R121" s="68">
        <f t="shared" si="51"/>
        <v>0.16886568716599831</v>
      </c>
      <c r="S121" s="66">
        <f t="shared" si="51"/>
        <v>0.19019906267137129</v>
      </c>
      <c r="T121" s="67">
        <f t="shared" si="51"/>
        <v>0.23455485391215403</v>
      </c>
      <c r="U121" s="67">
        <f t="shared" si="51"/>
        <v>0.27749474450786082</v>
      </c>
      <c r="V121" s="67">
        <f t="shared" si="51"/>
        <v>0.29168248412390052</v>
      </c>
      <c r="W121" s="68">
        <f t="shared" si="51"/>
        <v>0.35457710820557808</v>
      </c>
      <c r="X121" s="66">
        <f t="shared" si="51"/>
        <v>0.51481632938994071</v>
      </c>
      <c r="Y121" s="67">
        <f t="shared" si="51"/>
        <v>0.57866280743908927</v>
      </c>
      <c r="Z121" s="67">
        <f t="shared" si="51"/>
        <v>0.64001689133380801</v>
      </c>
      <c r="AA121" s="67">
        <f t="shared" si="51"/>
        <v>0.79047647058494952</v>
      </c>
      <c r="AB121" s="68">
        <f t="shared" si="51"/>
        <v>0.8365452146958654</v>
      </c>
    </row>
    <row r="122" spans="1:28" ht="12.3" x14ac:dyDescent="0.35">
      <c r="D122" s="15" t="str">
        <f t="shared" si="49"/>
        <v>“Other” asset items with short lives</v>
      </c>
      <c r="E122" s="52" t="s">
        <v>111</v>
      </c>
      <c r="F122" s="52" t="str">
        <f t="shared" si="44"/>
        <v>Dollars</v>
      </c>
      <c r="G122" s="52" t="str">
        <f t="shared" si="45"/>
        <v>Nominal</v>
      </c>
      <c r="H122" s="52" t="str">
        <f t="shared" si="46"/>
        <v>End_year</v>
      </c>
      <c r="J122" s="66">
        <f t="shared" ref="J122:AB122" si="52">J27+J46+J65+J84+J103</f>
        <v>0</v>
      </c>
      <c r="K122" s="67">
        <f t="shared" si="52"/>
        <v>0</v>
      </c>
      <c r="L122" s="67">
        <f t="shared" si="52"/>
        <v>0</v>
      </c>
      <c r="M122" s="67">
        <f t="shared" si="52"/>
        <v>0</v>
      </c>
      <c r="N122" s="67">
        <f t="shared" si="52"/>
        <v>0</v>
      </c>
      <c r="O122" s="67">
        <f t="shared" si="52"/>
        <v>0</v>
      </c>
      <c r="P122" s="67">
        <f t="shared" si="52"/>
        <v>0</v>
      </c>
      <c r="Q122" s="67">
        <f t="shared" si="52"/>
        <v>0</v>
      </c>
      <c r="R122" s="68">
        <f t="shared" si="52"/>
        <v>0</v>
      </c>
      <c r="S122" s="66">
        <f t="shared" si="52"/>
        <v>0</v>
      </c>
      <c r="T122" s="67">
        <f t="shared" si="52"/>
        <v>0</v>
      </c>
      <c r="U122" s="67">
        <f t="shared" si="52"/>
        <v>0</v>
      </c>
      <c r="V122" s="67">
        <f t="shared" si="52"/>
        <v>0</v>
      </c>
      <c r="W122" s="68">
        <f t="shared" si="52"/>
        <v>0</v>
      </c>
      <c r="X122" s="66">
        <f t="shared" si="52"/>
        <v>0</v>
      </c>
      <c r="Y122" s="67">
        <f t="shared" si="52"/>
        <v>0</v>
      </c>
      <c r="Z122" s="67">
        <f t="shared" si="52"/>
        <v>0</v>
      </c>
      <c r="AA122" s="67">
        <f t="shared" si="52"/>
        <v>0</v>
      </c>
      <c r="AB122" s="68">
        <f t="shared" si="52"/>
        <v>0</v>
      </c>
    </row>
    <row r="123" spans="1:28" x14ac:dyDescent="0.35">
      <c r="J123" s="56"/>
      <c r="K123" s="57"/>
      <c r="L123" s="57"/>
      <c r="M123" s="57"/>
      <c r="N123" s="57"/>
      <c r="O123" s="57"/>
      <c r="P123" s="57"/>
      <c r="Q123" s="57"/>
      <c r="R123" s="58"/>
      <c r="S123" s="56"/>
      <c r="T123" s="57"/>
      <c r="U123" s="57"/>
      <c r="V123" s="57"/>
      <c r="W123" s="58"/>
      <c r="X123" s="56"/>
      <c r="Y123" s="57"/>
      <c r="Z123" s="57"/>
      <c r="AA123" s="57"/>
      <c r="AB123" s="58"/>
    </row>
    <row r="124" spans="1:28" ht="12.3" x14ac:dyDescent="0.35">
      <c r="D124" s="51" t="str">
        <f>"Total "&amp;D111</f>
        <v>Total EB RIN Categories</v>
      </c>
      <c r="E124" s="47" t="s">
        <v>111</v>
      </c>
      <c r="F124" s="47" t="str">
        <f>F113</f>
        <v>Dollars</v>
      </c>
      <c r="G124" s="47" t="str">
        <f>G113</f>
        <v>Nominal</v>
      </c>
      <c r="H124" s="47" t="str">
        <f>H113</f>
        <v>End_year</v>
      </c>
      <c r="J124" s="62">
        <f t="shared" ref="J124:AB124" si="53">SUM(J113:J122)</f>
        <v>3.8278948849313323</v>
      </c>
      <c r="K124" s="46">
        <f t="shared" si="53"/>
        <v>3.9633825068773603</v>
      </c>
      <c r="L124" s="46">
        <f t="shared" si="53"/>
        <v>4.5970500391445182</v>
      </c>
      <c r="M124" s="46">
        <f t="shared" si="53"/>
        <v>5.238859508486188</v>
      </c>
      <c r="N124" s="46">
        <f t="shared" si="53"/>
        <v>5.920632861034365</v>
      </c>
      <c r="O124" s="46">
        <f t="shared" si="53"/>
        <v>6.3964429547187525</v>
      </c>
      <c r="P124" s="46">
        <f t="shared" si="53"/>
        <v>6.8622081731067839</v>
      </c>
      <c r="Q124" s="46">
        <f t="shared" si="53"/>
        <v>7.6107652191467547</v>
      </c>
      <c r="R124" s="63">
        <f t="shared" si="53"/>
        <v>7.5059720809878012</v>
      </c>
      <c r="S124" s="62">
        <f t="shared" si="53"/>
        <v>8.4542270143843652</v>
      </c>
      <c r="T124" s="46">
        <f t="shared" si="53"/>
        <v>10.425813642022685</v>
      </c>
      <c r="U124" s="46">
        <f t="shared" si="53"/>
        <v>12.334464389141091</v>
      </c>
      <c r="V124" s="46">
        <f t="shared" si="53"/>
        <v>12.965100365209066</v>
      </c>
      <c r="W124" s="63">
        <f t="shared" si="53"/>
        <v>15.760726287349339</v>
      </c>
      <c r="X124" s="62">
        <f t="shared" si="53"/>
        <v>22.883257457975649</v>
      </c>
      <c r="Y124" s="46">
        <f t="shared" si="53"/>
        <v>25.721192681815509</v>
      </c>
      <c r="Z124" s="46">
        <f t="shared" si="53"/>
        <v>28.448342575302394</v>
      </c>
      <c r="AA124" s="46">
        <f t="shared" si="53"/>
        <v>35.136174900090026</v>
      </c>
      <c r="AB124" s="63">
        <f t="shared" si="53"/>
        <v>37.18390119017279</v>
      </c>
    </row>
    <row r="125" spans="1:28" s="6" customFormat="1" ht="11.25" customHeight="1" x14ac:dyDescent="0.35"/>
    <row r="126" spans="1:28" s="6" customFormat="1" ht="11.25" customHeight="1" x14ac:dyDescent="0.35">
      <c r="A126" s="49">
        <f>IF(SUM($J126:$AB126)&lt;&gt;0,1,0)</f>
        <v>0</v>
      </c>
      <c r="D126" s="15" t="s">
        <v>114</v>
      </c>
      <c r="J126" s="70">
        <f>IF(ROUND(J124-Input_RAB_ACS!J$122,5)&lt;&gt;0,1,0)</f>
        <v>0</v>
      </c>
      <c r="K126" s="70">
        <f>IF(ROUND(K124-Input_RAB_ACS!K$122,5)&lt;&gt;0,1,0)</f>
        <v>0</v>
      </c>
      <c r="L126" s="70">
        <f>IF(ROUND(L124-Input_RAB_ACS!L$122,5)&lt;&gt;0,1,0)</f>
        <v>0</v>
      </c>
      <c r="M126" s="70">
        <f>IF(ROUND(M124-Input_RAB_ACS!M$122,5)&lt;&gt;0,1,0)</f>
        <v>0</v>
      </c>
      <c r="N126" s="70">
        <f>IF(ROUND(N124-Input_RAB_ACS!N$122,5)&lt;&gt;0,1,0)</f>
        <v>0</v>
      </c>
      <c r="O126" s="70">
        <f>IF(ROUND(O124-Input_RAB_ACS!O$122,5)&lt;&gt;0,1,0)</f>
        <v>0</v>
      </c>
      <c r="P126" s="70">
        <f>IF(ROUND(P124-Input_RAB_ACS!P$122,5)&lt;&gt;0,1,0)</f>
        <v>0</v>
      </c>
      <c r="Q126" s="70">
        <f>IF(ROUND(Q124-Input_RAB_ACS!Q$122,5)&lt;&gt;0,1,0)</f>
        <v>0</v>
      </c>
      <c r="R126" s="70">
        <f>IF(ROUND(R124-Input_RAB_ACS!R$122,5)&lt;&gt;0,1,0)</f>
        <v>0</v>
      </c>
      <c r="S126" s="70">
        <f>IF(ROUND(S124-Input_RAB_ACS!S$122,5)&lt;&gt;0,1,0)</f>
        <v>0</v>
      </c>
      <c r="T126" s="70">
        <f>IF(ROUND(T124-Input_RAB_ACS!T$122,5)&lt;&gt;0,1,0)</f>
        <v>0</v>
      </c>
      <c r="U126" s="70">
        <f>IF(ROUND(U124-Input_RAB_ACS!U$122,5)&lt;&gt;0,1,0)</f>
        <v>0</v>
      </c>
      <c r="V126" s="70">
        <f>IF(ROUND(V124-Input_RAB_ACS!V$122,5)&lt;&gt;0,1,0)</f>
        <v>0</v>
      </c>
      <c r="W126" s="70">
        <f>IF(ROUND(W124-Input_RAB_ACS!W$122,5)&lt;&gt;0,1,0)</f>
        <v>0</v>
      </c>
      <c r="X126" s="70">
        <f>IF(ROUND(X124-Input_RAB_ACS!X$122,5)&lt;&gt;0,1,0)</f>
        <v>0</v>
      </c>
      <c r="Y126" s="70">
        <f>IF(ROUND(Y124-Input_RAB_ACS!Y$122,5)&lt;&gt;0,1,0)</f>
        <v>0</v>
      </c>
      <c r="Z126" s="70">
        <f>IF(ROUND(Z124-Input_RAB_ACS!Z$122,5)&lt;&gt;0,1,0)</f>
        <v>0</v>
      </c>
      <c r="AA126" s="70">
        <f>IF(ROUND(AA124-Input_RAB_ACS!AA$122,5)&lt;&gt;0,1,0)</f>
        <v>0</v>
      </c>
      <c r="AB126" s="70">
        <f>IF(ROUND(AB124-Input_RAB_ACS!AB$122,5)&lt;&gt;0,1,0)</f>
        <v>0</v>
      </c>
    </row>
    <row r="128" spans="1:28" s="13" customFormat="1" ht="14.1" x14ac:dyDescent="0.35">
      <c r="C128" s="13" t="s">
        <v>177</v>
      </c>
    </row>
    <row r="129" spans="4:28" s="6" customFormat="1" ht="11.25" customHeight="1" x14ac:dyDescent="0.35"/>
    <row r="130" spans="4:28" ht="12.3" x14ac:dyDescent="0.35">
      <c r="D130" s="50" t="str">
        <f>D$16</f>
        <v>EB RIN Categories</v>
      </c>
      <c r="E130" s="45" t="str">
        <f>Lookup!E$20</f>
        <v>Source</v>
      </c>
      <c r="F130" s="45" t="str">
        <f>Lookup!F$20</f>
        <v>Unit</v>
      </c>
      <c r="G130" s="45" t="str">
        <f>Lookup!G$20</f>
        <v>Basis</v>
      </c>
      <c r="H130" s="45" t="str">
        <f>Lookup!H$20</f>
        <v>Timing</v>
      </c>
      <c r="J130" s="54" t="str">
        <f>J$10</f>
        <v>RY06</v>
      </c>
      <c r="K130" s="45" t="str">
        <f t="shared" ref="K130:AB130" si="54">K$10</f>
        <v>RY07</v>
      </c>
      <c r="L130" s="45" t="str">
        <f t="shared" si="54"/>
        <v>RY08</v>
      </c>
      <c r="M130" s="45" t="str">
        <f t="shared" si="54"/>
        <v>RY09</v>
      </c>
      <c r="N130" s="45" t="str">
        <f t="shared" si="54"/>
        <v>RY10</v>
      </c>
      <c r="O130" s="45" t="str">
        <f>O$10</f>
        <v>RY11</v>
      </c>
      <c r="P130" s="45" t="str">
        <f t="shared" si="54"/>
        <v>RY12</v>
      </c>
      <c r="Q130" s="45" t="str">
        <f t="shared" si="54"/>
        <v>RY13</v>
      </c>
      <c r="R130" s="55" t="str">
        <f t="shared" si="54"/>
        <v>RY14</v>
      </c>
      <c r="S130" s="54" t="str">
        <f t="shared" si="54"/>
        <v>RY15</v>
      </c>
      <c r="T130" s="45" t="str">
        <f>T$10</f>
        <v>RY16</v>
      </c>
      <c r="U130" s="45" t="str">
        <f t="shared" si="54"/>
        <v>RY17</v>
      </c>
      <c r="V130" s="45" t="str">
        <f t="shared" si="54"/>
        <v>RY18</v>
      </c>
      <c r="W130" s="55" t="str">
        <f t="shared" si="54"/>
        <v>RY19</v>
      </c>
      <c r="X130" s="54" t="str">
        <f t="shared" si="54"/>
        <v>RY20</v>
      </c>
      <c r="Y130" s="45" t="str">
        <f>Y$10</f>
        <v>RY21</v>
      </c>
      <c r="Z130" s="45" t="str">
        <f t="shared" si="54"/>
        <v>RY22</v>
      </c>
      <c r="AA130" s="45" t="str">
        <f t="shared" si="54"/>
        <v>RY23</v>
      </c>
      <c r="AB130" s="55" t="str">
        <f t="shared" si="54"/>
        <v>RY24</v>
      </c>
    </row>
    <row r="131" spans="4:28" x14ac:dyDescent="0.35">
      <c r="J131" s="56"/>
      <c r="K131" s="57"/>
      <c r="L131" s="57"/>
      <c r="M131" s="57"/>
      <c r="N131" s="57"/>
      <c r="O131" s="57"/>
      <c r="P131" s="57"/>
      <c r="Q131" s="57"/>
      <c r="R131" s="58"/>
      <c r="S131" s="56"/>
      <c r="T131" s="57"/>
      <c r="U131" s="57"/>
      <c r="V131" s="57"/>
      <c r="W131" s="58"/>
      <c r="X131" s="56"/>
      <c r="Y131" s="57"/>
      <c r="Z131" s="57"/>
      <c r="AA131" s="57"/>
      <c r="AB131" s="58"/>
    </row>
    <row r="132" spans="4:28" ht="12.3" hidden="1" outlineLevel="1" x14ac:dyDescent="0.35">
      <c r="D132" s="15" t="str">
        <f>D18</f>
        <v>Overhead network assets less than 33kV</v>
      </c>
      <c r="E132" s="52" t="str">
        <f>E56</f>
        <v>Calc_Alloc</v>
      </c>
      <c r="F132" s="52" t="str">
        <f t="shared" ref="F132:F141" si="55">Dollars</f>
        <v>Dollars</v>
      </c>
      <c r="G132" s="52" t="str">
        <f t="shared" ref="G132:G141" si="56">Nominal</f>
        <v>Nominal</v>
      </c>
      <c r="H132" s="52" t="str">
        <f t="shared" ref="H132:H141" si="57">End_year</f>
        <v>End_year</v>
      </c>
      <c r="J132" s="66" t="str">
        <f t="shared" ref="J132:Y138" si="58">NA</f>
        <v>N/A</v>
      </c>
      <c r="K132" s="67" t="str">
        <f t="shared" si="58"/>
        <v>N/A</v>
      </c>
      <c r="L132" s="67" t="str">
        <f t="shared" si="58"/>
        <v>N/A</v>
      </c>
      <c r="M132" s="67" t="str">
        <f t="shared" si="58"/>
        <v>N/A</v>
      </c>
      <c r="N132" s="67" t="str">
        <f t="shared" si="58"/>
        <v>N/A</v>
      </c>
      <c r="O132" s="67" t="str">
        <f t="shared" si="58"/>
        <v>N/A</v>
      </c>
      <c r="P132" s="67" t="str">
        <f t="shared" si="58"/>
        <v>N/A</v>
      </c>
      <c r="Q132" s="67" t="str">
        <f t="shared" si="58"/>
        <v>N/A</v>
      </c>
      <c r="R132" s="68" t="str">
        <f t="shared" si="58"/>
        <v>N/A</v>
      </c>
      <c r="S132" s="66" t="str">
        <f t="shared" si="58"/>
        <v>N/A</v>
      </c>
      <c r="T132" s="67" t="str">
        <f t="shared" si="58"/>
        <v>N/A</v>
      </c>
      <c r="U132" s="67" t="str">
        <f t="shared" si="58"/>
        <v>N/A</v>
      </c>
      <c r="V132" s="67" t="str">
        <f t="shared" si="58"/>
        <v>N/A</v>
      </c>
      <c r="W132" s="68" t="str">
        <f t="shared" si="58"/>
        <v>N/A</v>
      </c>
      <c r="X132" s="66" t="str">
        <f t="shared" si="58"/>
        <v>N/A</v>
      </c>
      <c r="Y132" s="67" t="str">
        <f t="shared" si="58"/>
        <v>N/A</v>
      </c>
      <c r="Z132" s="67" t="str">
        <f t="shared" ref="T132:AB138" si="59">NA</f>
        <v>N/A</v>
      </c>
      <c r="AA132" s="67" t="str">
        <f t="shared" si="59"/>
        <v>N/A</v>
      </c>
      <c r="AB132" s="68" t="str">
        <f t="shared" si="59"/>
        <v>N/A</v>
      </c>
    </row>
    <row r="133" spans="4:28" ht="12.3" hidden="1" outlineLevel="1" x14ac:dyDescent="0.35">
      <c r="D133" s="15" t="str">
        <f t="shared" ref="D133:D141" si="60">D19</f>
        <v>Underground network assets less than 33kV</v>
      </c>
      <c r="E133" s="52" t="str">
        <f t="shared" ref="E133:E141" si="61">E57</f>
        <v>Calc_Alloc</v>
      </c>
      <c r="F133" s="52" t="str">
        <f t="shared" si="55"/>
        <v>Dollars</v>
      </c>
      <c r="G133" s="52" t="str">
        <f t="shared" si="56"/>
        <v>Nominal</v>
      </c>
      <c r="H133" s="52" t="str">
        <f t="shared" si="57"/>
        <v>End_year</v>
      </c>
      <c r="J133" s="66" t="str">
        <f t="shared" si="58"/>
        <v>N/A</v>
      </c>
      <c r="K133" s="67" t="str">
        <f t="shared" si="58"/>
        <v>N/A</v>
      </c>
      <c r="L133" s="67" t="str">
        <f t="shared" si="58"/>
        <v>N/A</v>
      </c>
      <c r="M133" s="67" t="str">
        <f t="shared" si="58"/>
        <v>N/A</v>
      </c>
      <c r="N133" s="67" t="str">
        <f t="shared" si="58"/>
        <v>N/A</v>
      </c>
      <c r="O133" s="67" t="str">
        <f t="shared" si="58"/>
        <v>N/A</v>
      </c>
      <c r="P133" s="67" t="str">
        <f t="shared" si="58"/>
        <v>N/A</v>
      </c>
      <c r="Q133" s="67" t="str">
        <f t="shared" si="58"/>
        <v>N/A</v>
      </c>
      <c r="R133" s="68" t="str">
        <f t="shared" si="58"/>
        <v>N/A</v>
      </c>
      <c r="S133" s="66" t="str">
        <f t="shared" si="58"/>
        <v>N/A</v>
      </c>
      <c r="T133" s="67" t="str">
        <f t="shared" si="59"/>
        <v>N/A</v>
      </c>
      <c r="U133" s="67" t="str">
        <f t="shared" si="59"/>
        <v>N/A</v>
      </c>
      <c r="V133" s="67" t="str">
        <f t="shared" si="59"/>
        <v>N/A</v>
      </c>
      <c r="W133" s="68" t="str">
        <f t="shared" si="59"/>
        <v>N/A</v>
      </c>
      <c r="X133" s="66" t="str">
        <f t="shared" si="59"/>
        <v>N/A</v>
      </c>
      <c r="Y133" s="67" t="str">
        <f t="shared" si="59"/>
        <v>N/A</v>
      </c>
      <c r="Z133" s="67" t="str">
        <f t="shared" si="59"/>
        <v>N/A</v>
      </c>
      <c r="AA133" s="67" t="str">
        <f t="shared" si="59"/>
        <v>N/A</v>
      </c>
      <c r="AB133" s="68" t="str">
        <f t="shared" si="59"/>
        <v>N/A</v>
      </c>
    </row>
    <row r="134" spans="4:28" ht="12.3" hidden="1" outlineLevel="1" x14ac:dyDescent="0.35">
      <c r="D134" s="15" t="str">
        <f t="shared" si="60"/>
        <v>Distribution substations and transformers</v>
      </c>
      <c r="E134" s="52" t="str">
        <f t="shared" si="61"/>
        <v>Calc_Alloc</v>
      </c>
      <c r="F134" s="52" t="str">
        <f t="shared" si="55"/>
        <v>Dollars</v>
      </c>
      <c r="G134" s="52" t="str">
        <f t="shared" si="56"/>
        <v>Nominal</v>
      </c>
      <c r="H134" s="52" t="str">
        <f t="shared" si="57"/>
        <v>End_year</v>
      </c>
      <c r="J134" s="66" t="str">
        <f t="shared" si="58"/>
        <v>N/A</v>
      </c>
      <c r="K134" s="67" t="str">
        <f t="shared" si="58"/>
        <v>N/A</v>
      </c>
      <c r="L134" s="67" t="str">
        <f t="shared" si="58"/>
        <v>N/A</v>
      </c>
      <c r="M134" s="67" t="str">
        <f t="shared" si="58"/>
        <v>N/A</v>
      </c>
      <c r="N134" s="67" t="str">
        <f t="shared" si="58"/>
        <v>N/A</v>
      </c>
      <c r="O134" s="67" t="str">
        <f t="shared" si="58"/>
        <v>N/A</v>
      </c>
      <c r="P134" s="67" t="str">
        <f t="shared" si="58"/>
        <v>N/A</v>
      </c>
      <c r="Q134" s="67" t="str">
        <f t="shared" si="58"/>
        <v>N/A</v>
      </c>
      <c r="R134" s="68" t="str">
        <f t="shared" si="58"/>
        <v>N/A</v>
      </c>
      <c r="S134" s="66" t="str">
        <f t="shared" si="58"/>
        <v>N/A</v>
      </c>
      <c r="T134" s="67" t="str">
        <f t="shared" si="59"/>
        <v>N/A</v>
      </c>
      <c r="U134" s="67" t="str">
        <f t="shared" si="59"/>
        <v>N/A</v>
      </c>
      <c r="V134" s="67" t="str">
        <f t="shared" si="59"/>
        <v>N/A</v>
      </c>
      <c r="W134" s="68" t="str">
        <f t="shared" si="59"/>
        <v>N/A</v>
      </c>
      <c r="X134" s="66" t="str">
        <f t="shared" si="59"/>
        <v>N/A</v>
      </c>
      <c r="Y134" s="67" t="str">
        <f t="shared" si="59"/>
        <v>N/A</v>
      </c>
      <c r="Z134" s="67" t="str">
        <f t="shared" si="59"/>
        <v>N/A</v>
      </c>
      <c r="AA134" s="67" t="str">
        <f t="shared" si="59"/>
        <v>N/A</v>
      </c>
      <c r="AB134" s="68" t="str">
        <f t="shared" si="59"/>
        <v>N/A</v>
      </c>
    </row>
    <row r="135" spans="4:28" ht="12.3" hidden="1" outlineLevel="1" x14ac:dyDescent="0.35">
      <c r="D135" s="15" t="str">
        <f t="shared" si="60"/>
        <v>Overhead network assets 33kV and above</v>
      </c>
      <c r="E135" s="52" t="str">
        <f t="shared" si="61"/>
        <v>Calc_Alloc</v>
      </c>
      <c r="F135" s="52" t="str">
        <f t="shared" si="55"/>
        <v>Dollars</v>
      </c>
      <c r="G135" s="52" t="str">
        <f t="shared" si="56"/>
        <v>Nominal</v>
      </c>
      <c r="H135" s="52" t="str">
        <f t="shared" si="57"/>
        <v>End_year</v>
      </c>
      <c r="J135" s="66" t="str">
        <f t="shared" si="58"/>
        <v>N/A</v>
      </c>
      <c r="K135" s="67" t="str">
        <f t="shared" si="58"/>
        <v>N/A</v>
      </c>
      <c r="L135" s="67" t="str">
        <f t="shared" si="58"/>
        <v>N/A</v>
      </c>
      <c r="M135" s="67" t="str">
        <f t="shared" si="58"/>
        <v>N/A</v>
      </c>
      <c r="N135" s="67" t="str">
        <f t="shared" si="58"/>
        <v>N/A</v>
      </c>
      <c r="O135" s="67" t="str">
        <f t="shared" si="58"/>
        <v>N/A</v>
      </c>
      <c r="P135" s="67" t="str">
        <f t="shared" si="58"/>
        <v>N/A</v>
      </c>
      <c r="Q135" s="67" t="str">
        <f t="shared" si="58"/>
        <v>N/A</v>
      </c>
      <c r="R135" s="68" t="str">
        <f t="shared" si="58"/>
        <v>N/A</v>
      </c>
      <c r="S135" s="66" t="str">
        <f t="shared" si="58"/>
        <v>N/A</v>
      </c>
      <c r="T135" s="67" t="str">
        <f t="shared" si="59"/>
        <v>N/A</v>
      </c>
      <c r="U135" s="67" t="str">
        <f t="shared" si="59"/>
        <v>N/A</v>
      </c>
      <c r="V135" s="67" t="str">
        <f t="shared" si="59"/>
        <v>N/A</v>
      </c>
      <c r="W135" s="68" t="str">
        <f t="shared" si="59"/>
        <v>N/A</v>
      </c>
      <c r="X135" s="66" t="str">
        <f t="shared" si="59"/>
        <v>N/A</v>
      </c>
      <c r="Y135" s="67" t="str">
        <f t="shared" si="59"/>
        <v>N/A</v>
      </c>
      <c r="Z135" s="67" t="str">
        <f t="shared" si="59"/>
        <v>N/A</v>
      </c>
      <c r="AA135" s="67" t="str">
        <f t="shared" si="59"/>
        <v>N/A</v>
      </c>
      <c r="AB135" s="68" t="str">
        <f t="shared" si="59"/>
        <v>N/A</v>
      </c>
    </row>
    <row r="136" spans="4:28" ht="12.3" hidden="1" outlineLevel="1" x14ac:dyDescent="0.35">
      <c r="D136" s="15" t="str">
        <f t="shared" si="60"/>
        <v>Underground network assets 33kV and above</v>
      </c>
      <c r="E136" s="52" t="str">
        <f t="shared" si="61"/>
        <v>Calc_Alloc</v>
      </c>
      <c r="F136" s="52" t="str">
        <f t="shared" si="55"/>
        <v>Dollars</v>
      </c>
      <c r="G136" s="52" t="str">
        <f t="shared" si="56"/>
        <v>Nominal</v>
      </c>
      <c r="H136" s="52" t="str">
        <f t="shared" si="57"/>
        <v>End_year</v>
      </c>
      <c r="J136" s="66" t="str">
        <f t="shared" si="58"/>
        <v>N/A</v>
      </c>
      <c r="K136" s="67" t="str">
        <f t="shared" si="58"/>
        <v>N/A</v>
      </c>
      <c r="L136" s="67" t="str">
        <f t="shared" si="58"/>
        <v>N/A</v>
      </c>
      <c r="M136" s="67" t="str">
        <f t="shared" si="58"/>
        <v>N/A</v>
      </c>
      <c r="N136" s="67" t="str">
        <f t="shared" si="58"/>
        <v>N/A</v>
      </c>
      <c r="O136" s="67" t="str">
        <f t="shared" si="58"/>
        <v>N/A</v>
      </c>
      <c r="P136" s="67" t="str">
        <f t="shared" si="58"/>
        <v>N/A</v>
      </c>
      <c r="Q136" s="67" t="str">
        <f t="shared" si="58"/>
        <v>N/A</v>
      </c>
      <c r="R136" s="68" t="str">
        <f t="shared" si="58"/>
        <v>N/A</v>
      </c>
      <c r="S136" s="66" t="str">
        <f t="shared" si="58"/>
        <v>N/A</v>
      </c>
      <c r="T136" s="67" t="str">
        <f t="shared" si="59"/>
        <v>N/A</v>
      </c>
      <c r="U136" s="67" t="str">
        <f t="shared" si="59"/>
        <v>N/A</v>
      </c>
      <c r="V136" s="67" t="str">
        <f t="shared" si="59"/>
        <v>N/A</v>
      </c>
      <c r="W136" s="68" t="str">
        <f t="shared" si="59"/>
        <v>N/A</v>
      </c>
      <c r="X136" s="66" t="str">
        <f t="shared" si="59"/>
        <v>N/A</v>
      </c>
      <c r="Y136" s="67" t="str">
        <f t="shared" si="59"/>
        <v>N/A</v>
      </c>
      <c r="Z136" s="67" t="str">
        <f t="shared" si="59"/>
        <v>N/A</v>
      </c>
      <c r="AA136" s="67" t="str">
        <f t="shared" si="59"/>
        <v>N/A</v>
      </c>
      <c r="AB136" s="68" t="str">
        <f t="shared" si="59"/>
        <v>N/A</v>
      </c>
    </row>
    <row r="137" spans="4:28" ht="12.3" hidden="1" outlineLevel="1" x14ac:dyDescent="0.35">
      <c r="D137" s="15" t="str">
        <f t="shared" si="60"/>
        <v>Zone substations and transformers</v>
      </c>
      <c r="E137" s="52" t="str">
        <f t="shared" si="61"/>
        <v>Calc_Alloc</v>
      </c>
      <c r="F137" s="52" t="str">
        <f t="shared" si="55"/>
        <v>Dollars</v>
      </c>
      <c r="G137" s="52" t="str">
        <f t="shared" si="56"/>
        <v>Nominal</v>
      </c>
      <c r="H137" s="52" t="str">
        <f t="shared" si="57"/>
        <v>End_year</v>
      </c>
      <c r="J137" s="66" t="str">
        <f t="shared" si="58"/>
        <v>N/A</v>
      </c>
      <c r="K137" s="67" t="str">
        <f t="shared" si="58"/>
        <v>N/A</v>
      </c>
      <c r="L137" s="67" t="str">
        <f t="shared" si="58"/>
        <v>N/A</v>
      </c>
      <c r="M137" s="67" t="str">
        <f t="shared" si="58"/>
        <v>N/A</v>
      </c>
      <c r="N137" s="67" t="str">
        <f t="shared" si="58"/>
        <v>N/A</v>
      </c>
      <c r="O137" s="67" t="str">
        <f t="shared" si="58"/>
        <v>N/A</v>
      </c>
      <c r="P137" s="67" t="str">
        <f t="shared" si="58"/>
        <v>N/A</v>
      </c>
      <c r="Q137" s="67" t="str">
        <f t="shared" si="58"/>
        <v>N/A</v>
      </c>
      <c r="R137" s="68" t="str">
        <f t="shared" si="58"/>
        <v>N/A</v>
      </c>
      <c r="S137" s="66" t="str">
        <f t="shared" si="58"/>
        <v>N/A</v>
      </c>
      <c r="T137" s="67" t="str">
        <f t="shared" si="59"/>
        <v>N/A</v>
      </c>
      <c r="U137" s="67" t="str">
        <f t="shared" si="59"/>
        <v>N/A</v>
      </c>
      <c r="V137" s="67" t="str">
        <f t="shared" si="59"/>
        <v>N/A</v>
      </c>
      <c r="W137" s="68" t="str">
        <f t="shared" si="59"/>
        <v>N/A</v>
      </c>
      <c r="X137" s="66" t="str">
        <f t="shared" si="59"/>
        <v>N/A</v>
      </c>
      <c r="Y137" s="67" t="str">
        <f t="shared" si="59"/>
        <v>N/A</v>
      </c>
      <c r="Z137" s="67" t="str">
        <f t="shared" si="59"/>
        <v>N/A</v>
      </c>
      <c r="AA137" s="67" t="str">
        <f t="shared" si="59"/>
        <v>N/A</v>
      </c>
      <c r="AB137" s="68" t="str">
        <f t="shared" si="59"/>
        <v>N/A</v>
      </c>
    </row>
    <row r="138" spans="4:28" ht="12.3" hidden="1" outlineLevel="1" x14ac:dyDescent="0.35">
      <c r="D138" s="15" t="str">
        <f t="shared" si="60"/>
        <v>Easements</v>
      </c>
      <c r="E138" s="52" t="str">
        <f t="shared" si="61"/>
        <v>Calc_Alloc</v>
      </c>
      <c r="F138" s="52" t="str">
        <f t="shared" si="55"/>
        <v>Dollars</v>
      </c>
      <c r="G138" s="52" t="str">
        <f t="shared" si="56"/>
        <v>Nominal</v>
      </c>
      <c r="H138" s="52" t="str">
        <f t="shared" si="57"/>
        <v>End_year</v>
      </c>
      <c r="J138" s="66" t="str">
        <f t="shared" si="58"/>
        <v>N/A</v>
      </c>
      <c r="K138" s="67" t="str">
        <f t="shared" si="58"/>
        <v>N/A</v>
      </c>
      <c r="L138" s="67" t="str">
        <f t="shared" si="58"/>
        <v>N/A</v>
      </c>
      <c r="M138" s="67" t="str">
        <f t="shared" si="58"/>
        <v>N/A</v>
      </c>
      <c r="N138" s="67" t="str">
        <f t="shared" si="58"/>
        <v>N/A</v>
      </c>
      <c r="O138" s="67" t="str">
        <f t="shared" si="58"/>
        <v>N/A</v>
      </c>
      <c r="P138" s="67" t="str">
        <f t="shared" si="58"/>
        <v>N/A</v>
      </c>
      <c r="Q138" s="67" t="str">
        <f t="shared" si="58"/>
        <v>N/A</v>
      </c>
      <c r="R138" s="68" t="str">
        <f t="shared" si="58"/>
        <v>N/A</v>
      </c>
      <c r="S138" s="66" t="str">
        <f t="shared" si="58"/>
        <v>N/A</v>
      </c>
      <c r="T138" s="67" t="str">
        <f t="shared" si="59"/>
        <v>N/A</v>
      </c>
      <c r="U138" s="67" t="str">
        <f t="shared" si="59"/>
        <v>N/A</v>
      </c>
      <c r="V138" s="67" t="str">
        <f t="shared" si="59"/>
        <v>N/A</v>
      </c>
      <c r="W138" s="68" t="str">
        <f t="shared" si="59"/>
        <v>N/A</v>
      </c>
      <c r="X138" s="66" t="str">
        <f t="shared" si="59"/>
        <v>N/A</v>
      </c>
      <c r="Y138" s="67" t="str">
        <f t="shared" si="59"/>
        <v>N/A</v>
      </c>
      <c r="Z138" s="67" t="str">
        <f t="shared" si="59"/>
        <v>N/A</v>
      </c>
      <c r="AA138" s="67" t="str">
        <f t="shared" si="59"/>
        <v>N/A</v>
      </c>
      <c r="AB138" s="68" t="str">
        <f t="shared" si="59"/>
        <v>N/A</v>
      </c>
    </row>
    <row r="139" spans="4:28" ht="12.3" collapsed="1" x14ac:dyDescent="0.35">
      <c r="D139" s="15" t="str">
        <f t="shared" si="60"/>
        <v>Meters</v>
      </c>
      <c r="E139" s="52" t="str">
        <f t="shared" si="61"/>
        <v>Calc_Alloc</v>
      </c>
      <c r="F139" s="52" t="str">
        <f t="shared" si="55"/>
        <v>Dollars</v>
      </c>
      <c r="G139" s="52" t="str">
        <f t="shared" si="56"/>
        <v>Nominal</v>
      </c>
      <c r="H139" s="52" t="str">
        <f t="shared" si="57"/>
        <v>End_year</v>
      </c>
      <c r="J139" s="66">
        <f>SUM(Input_RAB_ACS!J$130:J$138)*Calc_Alloc!$L$32</f>
        <v>0</v>
      </c>
      <c r="K139" s="67">
        <f>SUM(Input_RAB_ACS!K$130:K$138)*Calc_Alloc!$L$32</f>
        <v>0</v>
      </c>
      <c r="L139" s="67">
        <f>SUM(Input_RAB_ACS!L$130:L$138)*Calc_Alloc!$L$32</f>
        <v>0</v>
      </c>
      <c r="M139" s="67">
        <f>SUM(Input_RAB_ACS!M$130:M$138)*Calc_Alloc!$L$32</f>
        <v>0</v>
      </c>
      <c r="N139" s="67">
        <f>SUM(Input_RAB_ACS!N$130:N$138)*Calc_Alloc!$L$32</f>
        <v>0</v>
      </c>
      <c r="O139" s="67">
        <f>SUM(Input_RAB_ACS!O$130:O$138)*Calc_Alloc!$L$32</f>
        <v>0</v>
      </c>
      <c r="P139" s="67">
        <f>SUM(Input_RAB_ACS!P$130:P$138)*Calc_Alloc!$L$32</f>
        <v>0</v>
      </c>
      <c r="Q139" s="67">
        <f>SUM(Input_RAB_ACS!Q$130:Q$138)*Calc_Alloc!$L$32</f>
        <v>0</v>
      </c>
      <c r="R139" s="68">
        <f>SUM(Input_RAB_ACS!R$130:R$138)*Calc_Alloc!$L$32</f>
        <v>0</v>
      </c>
      <c r="S139" s="66">
        <f>SUM(Input_RAB_ACS!S$130:S$138)*Calc_Alloc!$L$32</f>
        <v>0</v>
      </c>
      <c r="T139" s="67">
        <f>SUM(Input_RAB_ACS!T$130:T$138)*Calc_Alloc!$L$32</f>
        <v>0</v>
      </c>
      <c r="U139" s="67">
        <f>SUM(Input_RAB_ACS!U$130:U$138)*Calc_Alloc!$L$32</f>
        <v>0</v>
      </c>
      <c r="V139" s="67">
        <f>SUM(Input_RAB_ACS!V$130:V$138)*Calc_Alloc!$L$32</f>
        <v>0</v>
      </c>
      <c r="W139" s="68">
        <f>SUM(Input_RAB_ACS!W$130:W$138)*Calc_Alloc!$L$32</f>
        <v>0.73359257282960855</v>
      </c>
      <c r="X139" s="66">
        <f>SUM(Input_RAB_ACS!X$130:X$138)*Calc_Alloc!$L$32</f>
        <v>0</v>
      </c>
      <c r="Y139" s="67">
        <f>SUM(Input_RAB_ACS!Y$130:Y$138)*Calc_Alloc!$L$32</f>
        <v>0</v>
      </c>
      <c r="Z139" s="67">
        <f>SUM(Input_RAB_ACS!Z$130:Z$138)*Calc_Alloc!$L$32</f>
        <v>0</v>
      </c>
      <c r="AA139" s="67">
        <f>SUM(Input_RAB_ACS!AA$130:AA$138)*Calc_Alloc!$L$32</f>
        <v>0</v>
      </c>
      <c r="AB139" s="68">
        <f>SUM(Input_RAB_ACS!AB$130:AB$138)*Calc_Alloc!$L$32</f>
        <v>0</v>
      </c>
    </row>
    <row r="140" spans="4:28" ht="12.3" x14ac:dyDescent="0.35">
      <c r="D140" s="15" t="str">
        <f t="shared" si="60"/>
        <v>“Other” asset items with long lives</v>
      </c>
      <c r="E140" s="52" t="str">
        <f t="shared" si="61"/>
        <v>Calc_Alloc</v>
      </c>
      <c r="F140" s="52" t="str">
        <f t="shared" si="55"/>
        <v>Dollars</v>
      </c>
      <c r="G140" s="52" t="str">
        <f t="shared" si="56"/>
        <v>Nominal</v>
      </c>
      <c r="H140" s="52" t="str">
        <f t="shared" si="57"/>
        <v>End_year</v>
      </c>
      <c r="J140" s="66">
        <f>SUM(Input_RAB_ACS!J$130:J$138)*Calc_Alloc!$M$32</f>
        <v>0</v>
      </c>
      <c r="K140" s="67">
        <f>SUM(Input_RAB_ACS!K$130:K$138)*Calc_Alloc!$M$32</f>
        <v>0</v>
      </c>
      <c r="L140" s="67">
        <f>SUM(Input_RAB_ACS!L$130:L$138)*Calc_Alloc!$M$32</f>
        <v>0</v>
      </c>
      <c r="M140" s="67">
        <f>SUM(Input_RAB_ACS!M$130:M$138)*Calc_Alloc!$M$32</f>
        <v>0</v>
      </c>
      <c r="N140" s="67">
        <f>SUM(Input_RAB_ACS!N$130:N$138)*Calc_Alloc!$M$32</f>
        <v>0</v>
      </c>
      <c r="O140" s="67">
        <f>SUM(Input_RAB_ACS!O$130:O$138)*Calc_Alloc!$M$32</f>
        <v>0</v>
      </c>
      <c r="P140" s="67">
        <f>SUM(Input_RAB_ACS!P$130:P$138)*Calc_Alloc!$M$32</f>
        <v>0</v>
      </c>
      <c r="Q140" s="67">
        <f>SUM(Input_RAB_ACS!Q$130:Q$138)*Calc_Alloc!$M$32</f>
        <v>0</v>
      </c>
      <c r="R140" s="68">
        <f>SUM(Input_RAB_ACS!R$130:R$138)*Calc_Alloc!$M$32</f>
        <v>0</v>
      </c>
      <c r="S140" s="66">
        <f>SUM(Input_RAB_ACS!S$130:S$138)*Calc_Alloc!$M$32</f>
        <v>0</v>
      </c>
      <c r="T140" s="67">
        <f>SUM(Input_RAB_ACS!T$130:T$138)*Calc_Alloc!$M$32</f>
        <v>0</v>
      </c>
      <c r="U140" s="67">
        <f>SUM(Input_RAB_ACS!U$130:U$138)*Calc_Alloc!$M$32</f>
        <v>0</v>
      </c>
      <c r="V140" s="67">
        <f>SUM(Input_RAB_ACS!V$130:V$138)*Calc_Alloc!$M$32</f>
        <v>0</v>
      </c>
      <c r="W140" s="68">
        <f>SUM(Input_RAB_ACS!W$130:W$138)*Calc_Alloc!$M$32</f>
        <v>1.6883851379755961E-2</v>
      </c>
      <c r="X140" s="66">
        <f>SUM(Input_RAB_ACS!X$130:X$138)*Calc_Alloc!$M$32</f>
        <v>0</v>
      </c>
      <c r="Y140" s="67">
        <f>SUM(Input_RAB_ACS!Y$130:Y$138)*Calc_Alloc!$M$32</f>
        <v>0</v>
      </c>
      <c r="Z140" s="67">
        <f>SUM(Input_RAB_ACS!Z$130:Z$138)*Calc_Alloc!$M$32</f>
        <v>0</v>
      </c>
      <c r="AA140" s="67">
        <f>SUM(Input_RAB_ACS!AA$130:AA$138)*Calc_Alloc!$M$32</f>
        <v>0</v>
      </c>
      <c r="AB140" s="68">
        <f>SUM(Input_RAB_ACS!AB$130:AB$138)*Calc_Alloc!$M$32</f>
        <v>0</v>
      </c>
    </row>
    <row r="141" spans="4:28" ht="12.3" x14ac:dyDescent="0.35">
      <c r="D141" s="15" t="str">
        <f t="shared" si="60"/>
        <v>“Other” asset items with short lives</v>
      </c>
      <c r="E141" s="52" t="str">
        <f t="shared" si="61"/>
        <v>Calc_Alloc</v>
      </c>
      <c r="F141" s="52" t="str">
        <f t="shared" si="55"/>
        <v>Dollars</v>
      </c>
      <c r="G141" s="52" t="str">
        <f t="shared" si="56"/>
        <v>Nominal</v>
      </c>
      <c r="H141" s="52" t="str">
        <f t="shared" si="57"/>
        <v>End_year</v>
      </c>
      <c r="J141" s="66">
        <f>SUM(Input_RAB_ACS!J$130:J$138)*Calc_Alloc!$N$32</f>
        <v>0</v>
      </c>
      <c r="K141" s="67">
        <f>SUM(Input_RAB_ACS!K$130:K$138)*Calc_Alloc!$N$32</f>
        <v>0</v>
      </c>
      <c r="L141" s="67">
        <f>SUM(Input_RAB_ACS!L$130:L$138)*Calc_Alloc!$N$32</f>
        <v>0</v>
      </c>
      <c r="M141" s="67">
        <f>SUM(Input_RAB_ACS!M$130:M$138)*Calc_Alloc!$N$32</f>
        <v>0</v>
      </c>
      <c r="N141" s="67">
        <f>SUM(Input_RAB_ACS!N$130:N$138)*Calc_Alloc!$N$32</f>
        <v>0</v>
      </c>
      <c r="O141" s="67">
        <f>SUM(Input_RAB_ACS!O$130:O$138)*Calc_Alloc!$N$32</f>
        <v>0</v>
      </c>
      <c r="P141" s="67">
        <f>SUM(Input_RAB_ACS!P$130:P$138)*Calc_Alloc!$N$32</f>
        <v>0</v>
      </c>
      <c r="Q141" s="67">
        <f>SUM(Input_RAB_ACS!Q$130:Q$138)*Calc_Alloc!$N$32</f>
        <v>0</v>
      </c>
      <c r="R141" s="68">
        <f>SUM(Input_RAB_ACS!R$130:R$138)*Calc_Alloc!$N$32</f>
        <v>0</v>
      </c>
      <c r="S141" s="66">
        <f>SUM(Input_RAB_ACS!S$130:S$138)*Calc_Alloc!$N$32</f>
        <v>0</v>
      </c>
      <c r="T141" s="67">
        <f>SUM(Input_RAB_ACS!T$130:T$138)*Calc_Alloc!$N$32</f>
        <v>0</v>
      </c>
      <c r="U141" s="67">
        <f>SUM(Input_RAB_ACS!U$130:U$138)*Calc_Alloc!$N$32</f>
        <v>0</v>
      </c>
      <c r="V141" s="67">
        <f>SUM(Input_RAB_ACS!V$130:V$138)*Calc_Alloc!$N$32</f>
        <v>0</v>
      </c>
      <c r="W141" s="68">
        <f>SUM(Input_RAB_ACS!W$130:W$138)*Calc_Alloc!$N$32</f>
        <v>0</v>
      </c>
      <c r="X141" s="66">
        <f>SUM(Input_RAB_ACS!X$130:X$138)*Calc_Alloc!$N$32</f>
        <v>0</v>
      </c>
      <c r="Y141" s="67">
        <f>SUM(Input_RAB_ACS!Y$130:Y$138)*Calc_Alloc!$N$32</f>
        <v>0</v>
      </c>
      <c r="Z141" s="67">
        <f>SUM(Input_RAB_ACS!Z$130:Z$138)*Calc_Alloc!$N$32</f>
        <v>0</v>
      </c>
      <c r="AA141" s="67">
        <f>SUM(Input_RAB_ACS!AA$130:AA$138)*Calc_Alloc!$N$32</f>
        <v>0</v>
      </c>
      <c r="AB141" s="68">
        <f>SUM(Input_RAB_ACS!AB$130:AB$138)*Calc_Alloc!$N$32</f>
        <v>0</v>
      </c>
    </row>
    <row r="142" spans="4:28" x14ac:dyDescent="0.35">
      <c r="J142" s="56"/>
      <c r="K142" s="57"/>
      <c r="L142" s="57"/>
      <c r="M142" s="57"/>
      <c r="N142" s="57"/>
      <c r="O142" s="57"/>
      <c r="P142" s="57"/>
      <c r="Q142" s="57"/>
      <c r="R142" s="58"/>
      <c r="S142" s="56"/>
      <c r="T142" s="57"/>
      <c r="U142" s="57"/>
      <c r="V142" s="57"/>
      <c r="W142" s="58"/>
      <c r="X142" s="56"/>
      <c r="Y142" s="57"/>
      <c r="Z142" s="57"/>
      <c r="AA142" s="57"/>
      <c r="AB142" s="58"/>
    </row>
    <row r="143" spans="4:28" ht="12.3" x14ac:dyDescent="0.35">
      <c r="D143" s="51" t="str">
        <f>"Total "&amp;D130</f>
        <v>Total EB RIN Categories</v>
      </c>
      <c r="E143" s="47" t="s">
        <v>111</v>
      </c>
      <c r="F143" s="47" t="str">
        <f>F132</f>
        <v>Dollars</v>
      </c>
      <c r="G143" s="47" t="str">
        <f>G132</f>
        <v>Nominal</v>
      </c>
      <c r="H143" s="47" t="str">
        <f>H132</f>
        <v>End_year</v>
      </c>
      <c r="J143" s="62">
        <f t="shared" ref="J143:AB143" si="62">SUM(J132:J141)</f>
        <v>0</v>
      </c>
      <c r="K143" s="46">
        <f t="shared" si="62"/>
        <v>0</v>
      </c>
      <c r="L143" s="46">
        <f t="shared" si="62"/>
        <v>0</v>
      </c>
      <c r="M143" s="46">
        <f t="shared" si="62"/>
        <v>0</v>
      </c>
      <c r="N143" s="46">
        <f t="shared" si="62"/>
        <v>0</v>
      </c>
      <c r="O143" s="46">
        <f t="shared" si="62"/>
        <v>0</v>
      </c>
      <c r="P143" s="46">
        <f t="shared" si="62"/>
        <v>0</v>
      </c>
      <c r="Q143" s="46">
        <f t="shared" si="62"/>
        <v>0</v>
      </c>
      <c r="R143" s="63">
        <f t="shared" si="62"/>
        <v>0</v>
      </c>
      <c r="S143" s="62">
        <f t="shared" si="62"/>
        <v>0</v>
      </c>
      <c r="T143" s="46">
        <f t="shared" si="62"/>
        <v>0</v>
      </c>
      <c r="U143" s="46">
        <f t="shared" si="62"/>
        <v>0</v>
      </c>
      <c r="V143" s="46">
        <f t="shared" si="62"/>
        <v>0</v>
      </c>
      <c r="W143" s="63">
        <f t="shared" si="62"/>
        <v>0.75047642420936456</v>
      </c>
      <c r="X143" s="62">
        <f t="shared" si="62"/>
        <v>0</v>
      </c>
      <c r="Y143" s="46">
        <f t="shared" si="62"/>
        <v>0</v>
      </c>
      <c r="Z143" s="46">
        <f t="shared" si="62"/>
        <v>0</v>
      </c>
      <c r="AA143" s="46">
        <f t="shared" si="62"/>
        <v>0</v>
      </c>
      <c r="AB143" s="63">
        <f t="shared" si="62"/>
        <v>0</v>
      </c>
    </row>
    <row r="144" spans="4:28" s="6" customFormat="1" ht="11.25" customHeight="1" x14ac:dyDescent="0.35"/>
    <row r="145" spans="1:28" s="6" customFormat="1" ht="11.25" customHeight="1" x14ac:dyDescent="0.35">
      <c r="A145" s="49">
        <f>IF(SUM($J145:$AB145)&lt;&gt;0,1,0)</f>
        <v>0</v>
      </c>
      <c r="D145" s="15" t="s">
        <v>114</v>
      </c>
      <c r="J145" s="70">
        <f>IF(ROUND(J143-Input_RAB_ACS!J$140,5)&lt;&gt;0,1,0)</f>
        <v>0</v>
      </c>
      <c r="K145" s="70">
        <f>IF(ROUND(K143-Input_RAB_ACS!K$140,5)&lt;&gt;0,1,0)</f>
        <v>0</v>
      </c>
      <c r="L145" s="70">
        <f>IF(ROUND(L143-Input_RAB_ACS!L$140,5)&lt;&gt;0,1,0)</f>
        <v>0</v>
      </c>
      <c r="M145" s="70">
        <f>IF(ROUND(M143-Input_RAB_ACS!M$140,5)&lt;&gt;0,1,0)</f>
        <v>0</v>
      </c>
      <c r="N145" s="70">
        <f>IF(ROUND(N143-Input_RAB_ACS!N$140,5)&lt;&gt;0,1,0)</f>
        <v>0</v>
      </c>
      <c r="O145" s="70">
        <f>IF(ROUND(O143-Input_RAB_ACS!O$140,5)&lt;&gt;0,1,0)</f>
        <v>0</v>
      </c>
      <c r="P145" s="70">
        <f>IF(ROUND(P143-Input_RAB_ACS!P$140,5)&lt;&gt;0,1,0)</f>
        <v>0</v>
      </c>
      <c r="Q145" s="70">
        <f>IF(ROUND(Q143-Input_RAB_ACS!Q$140,5)&lt;&gt;0,1,0)</f>
        <v>0</v>
      </c>
      <c r="R145" s="70">
        <f>IF(ROUND(R143-Input_RAB_ACS!R$140,5)&lt;&gt;0,1,0)</f>
        <v>0</v>
      </c>
      <c r="S145" s="70">
        <f>IF(ROUND(S143-Input_RAB_ACS!S$140,5)&lt;&gt;0,1,0)</f>
        <v>0</v>
      </c>
      <c r="T145" s="70">
        <f>IF(ROUND(T143-Input_RAB_ACS!T$140,5)&lt;&gt;0,1,0)</f>
        <v>0</v>
      </c>
      <c r="U145" s="70">
        <f>IF(ROUND(U143-Input_RAB_ACS!U$140,5)&lt;&gt;0,1,0)</f>
        <v>0</v>
      </c>
      <c r="V145" s="70">
        <f>IF(ROUND(V143-Input_RAB_ACS!V$140,5)&lt;&gt;0,1,0)</f>
        <v>0</v>
      </c>
      <c r="W145" s="70">
        <f>IF(ROUND(W143-Input_RAB_ACS!W$140,5)&lt;&gt;0,1,0)</f>
        <v>0</v>
      </c>
      <c r="X145" s="70">
        <f>IF(ROUND(X143-Input_RAB_ACS!X$140,5)&lt;&gt;0,1,0)</f>
        <v>0</v>
      </c>
      <c r="Y145" s="70">
        <f>IF(ROUND(Y143-Input_RAB_ACS!Y$140,5)&lt;&gt;0,1,0)</f>
        <v>0</v>
      </c>
      <c r="Z145" s="70">
        <f>IF(ROUND(Z143-Input_RAB_ACS!Z$140,5)&lt;&gt;0,1,0)</f>
        <v>0</v>
      </c>
      <c r="AA145" s="70">
        <f>IF(ROUND(AA143-Input_RAB_ACS!AA$140,5)&lt;&gt;0,1,0)</f>
        <v>0</v>
      </c>
      <c r="AB145" s="70">
        <f>IF(ROUND(AB143-Input_RAB_ACS!AB$140,5)&lt;&gt;0,1,0)</f>
        <v>0</v>
      </c>
    </row>
    <row r="147" spans="1:28" s="13" customFormat="1" ht="14.1" x14ac:dyDescent="0.35">
      <c r="C147" s="13" t="s">
        <v>152</v>
      </c>
    </row>
    <row r="148" spans="1:28" s="6" customFormat="1" ht="11.25" customHeight="1" x14ac:dyDescent="0.35"/>
    <row r="149" spans="1:28" ht="12.3" x14ac:dyDescent="0.35">
      <c r="D149" s="50" t="str">
        <f>D$16</f>
        <v>EB RIN Categories</v>
      </c>
      <c r="E149" s="45" t="str">
        <f>Lookup!E$20</f>
        <v>Source</v>
      </c>
      <c r="F149" s="45" t="str">
        <f>Lookup!F$20</f>
        <v>Unit</v>
      </c>
      <c r="G149" s="45" t="str">
        <f>Lookup!G$20</f>
        <v>Basis</v>
      </c>
      <c r="H149" s="45" t="str">
        <f>Lookup!H$20</f>
        <v>Timing</v>
      </c>
      <c r="J149" s="54" t="str">
        <f>J$10</f>
        <v>RY06</v>
      </c>
      <c r="K149" s="45" t="str">
        <f t="shared" ref="K149:AB149" si="63">K$10</f>
        <v>RY07</v>
      </c>
      <c r="L149" s="45" t="str">
        <f t="shared" si="63"/>
        <v>RY08</v>
      </c>
      <c r="M149" s="45" t="str">
        <f t="shared" si="63"/>
        <v>RY09</v>
      </c>
      <c r="N149" s="45" t="str">
        <f t="shared" si="63"/>
        <v>RY10</v>
      </c>
      <c r="O149" s="45" t="str">
        <f>O$10</f>
        <v>RY11</v>
      </c>
      <c r="P149" s="45" t="str">
        <f t="shared" si="63"/>
        <v>RY12</v>
      </c>
      <c r="Q149" s="45" t="str">
        <f t="shared" si="63"/>
        <v>RY13</v>
      </c>
      <c r="R149" s="55" t="str">
        <f t="shared" si="63"/>
        <v>RY14</v>
      </c>
      <c r="S149" s="54" t="str">
        <f t="shared" si="63"/>
        <v>RY15</v>
      </c>
      <c r="T149" s="45" t="str">
        <f>T$10</f>
        <v>RY16</v>
      </c>
      <c r="U149" s="45" t="str">
        <f t="shared" si="63"/>
        <v>RY17</v>
      </c>
      <c r="V149" s="45" t="str">
        <f t="shared" si="63"/>
        <v>RY18</v>
      </c>
      <c r="W149" s="55" t="str">
        <f t="shared" si="63"/>
        <v>RY19</v>
      </c>
      <c r="X149" s="54" t="str">
        <f t="shared" si="63"/>
        <v>RY20</v>
      </c>
      <c r="Y149" s="45" t="str">
        <f>Y$10</f>
        <v>RY21</v>
      </c>
      <c r="Z149" s="45" t="str">
        <f t="shared" si="63"/>
        <v>RY22</v>
      </c>
      <c r="AA149" s="45" t="str">
        <f t="shared" si="63"/>
        <v>RY23</v>
      </c>
      <c r="AB149" s="55" t="str">
        <f t="shared" si="63"/>
        <v>RY24</v>
      </c>
    </row>
    <row r="150" spans="1:28" x14ac:dyDescent="0.35">
      <c r="J150" s="56"/>
      <c r="K150" s="57"/>
      <c r="L150" s="57"/>
      <c r="M150" s="57"/>
      <c r="N150" s="57"/>
      <c r="O150" s="57"/>
      <c r="P150" s="57"/>
      <c r="Q150" s="57"/>
      <c r="R150" s="58"/>
      <c r="S150" s="56"/>
      <c r="T150" s="57"/>
      <c r="U150" s="57"/>
      <c r="V150" s="57"/>
      <c r="W150" s="58"/>
      <c r="X150" s="56"/>
      <c r="Y150" s="57"/>
      <c r="Z150" s="57"/>
      <c r="AA150" s="57"/>
      <c r="AB150" s="58"/>
    </row>
    <row r="151" spans="1:28" ht="12.3" hidden="1" outlineLevel="1" x14ac:dyDescent="0.35">
      <c r="D151" s="15" t="str">
        <f t="shared" ref="D151:D160" si="64">D18</f>
        <v>Overhead network assets less than 33kV</v>
      </c>
      <c r="E151" s="52" t="s">
        <v>111</v>
      </c>
      <c r="F151" s="52" t="str">
        <f t="shared" ref="F151:F160" si="65">Dollars</f>
        <v>Dollars</v>
      </c>
      <c r="G151" s="52" t="str">
        <f t="shared" ref="G151:G160" si="66">Nominal</f>
        <v>Nominal</v>
      </c>
      <c r="H151" s="52" t="str">
        <f t="shared" ref="H151:H160" si="67">End_year</f>
        <v>End_year</v>
      </c>
      <c r="J151" s="66" t="str">
        <f t="shared" ref="J151:S157" si="68">NA</f>
        <v>N/A</v>
      </c>
      <c r="K151" s="67" t="str">
        <f t="shared" si="68"/>
        <v>N/A</v>
      </c>
      <c r="L151" s="67" t="str">
        <f t="shared" si="68"/>
        <v>N/A</v>
      </c>
      <c r="M151" s="67" t="str">
        <f t="shared" si="68"/>
        <v>N/A</v>
      </c>
      <c r="N151" s="67" t="str">
        <f t="shared" si="68"/>
        <v>N/A</v>
      </c>
      <c r="O151" s="67" t="str">
        <f t="shared" si="68"/>
        <v>N/A</v>
      </c>
      <c r="P151" s="67" t="str">
        <f t="shared" si="68"/>
        <v>N/A</v>
      </c>
      <c r="Q151" s="67" t="str">
        <f t="shared" si="68"/>
        <v>N/A</v>
      </c>
      <c r="R151" s="68" t="str">
        <f t="shared" si="68"/>
        <v>N/A</v>
      </c>
      <c r="S151" s="66" t="str">
        <f t="shared" si="68"/>
        <v>N/A</v>
      </c>
      <c r="T151" s="67" t="str">
        <f t="shared" ref="T151:AB157" si="69">NA</f>
        <v>N/A</v>
      </c>
      <c r="U151" s="67" t="str">
        <f t="shared" si="69"/>
        <v>N/A</v>
      </c>
      <c r="V151" s="67" t="str">
        <f t="shared" si="69"/>
        <v>N/A</v>
      </c>
      <c r="W151" s="68" t="str">
        <f t="shared" si="69"/>
        <v>N/A</v>
      </c>
      <c r="X151" s="66" t="str">
        <f t="shared" si="69"/>
        <v>N/A</v>
      </c>
      <c r="Y151" s="67" t="str">
        <f t="shared" si="69"/>
        <v>N/A</v>
      </c>
      <c r="Z151" s="67" t="str">
        <f t="shared" si="69"/>
        <v>N/A</v>
      </c>
      <c r="AA151" s="67" t="str">
        <f t="shared" si="69"/>
        <v>N/A</v>
      </c>
      <c r="AB151" s="68" t="str">
        <f t="shared" si="69"/>
        <v>N/A</v>
      </c>
    </row>
    <row r="152" spans="1:28" ht="12.3" hidden="1" outlineLevel="1" x14ac:dyDescent="0.35">
      <c r="D152" s="15" t="str">
        <f t="shared" si="64"/>
        <v>Underground network assets less than 33kV</v>
      </c>
      <c r="E152" s="52" t="s">
        <v>111</v>
      </c>
      <c r="F152" s="52" t="str">
        <f t="shared" si="65"/>
        <v>Dollars</v>
      </c>
      <c r="G152" s="52" t="str">
        <f t="shared" si="66"/>
        <v>Nominal</v>
      </c>
      <c r="H152" s="52" t="str">
        <f t="shared" si="67"/>
        <v>End_year</v>
      </c>
      <c r="J152" s="66" t="str">
        <f t="shared" si="68"/>
        <v>N/A</v>
      </c>
      <c r="K152" s="67" t="str">
        <f t="shared" si="68"/>
        <v>N/A</v>
      </c>
      <c r="L152" s="67" t="str">
        <f t="shared" si="68"/>
        <v>N/A</v>
      </c>
      <c r="M152" s="67" t="str">
        <f t="shared" si="68"/>
        <v>N/A</v>
      </c>
      <c r="N152" s="67" t="str">
        <f t="shared" si="68"/>
        <v>N/A</v>
      </c>
      <c r="O152" s="67" t="str">
        <f t="shared" si="68"/>
        <v>N/A</v>
      </c>
      <c r="P152" s="67" t="str">
        <f t="shared" si="68"/>
        <v>N/A</v>
      </c>
      <c r="Q152" s="67" t="str">
        <f t="shared" si="68"/>
        <v>N/A</v>
      </c>
      <c r="R152" s="68" t="str">
        <f t="shared" si="68"/>
        <v>N/A</v>
      </c>
      <c r="S152" s="66" t="str">
        <f t="shared" si="68"/>
        <v>N/A</v>
      </c>
      <c r="T152" s="67" t="str">
        <f t="shared" si="69"/>
        <v>N/A</v>
      </c>
      <c r="U152" s="67" t="str">
        <f t="shared" si="69"/>
        <v>N/A</v>
      </c>
      <c r="V152" s="67" t="str">
        <f t="shared" si="69"/>
        <v>N/A</v>
      </c>
      <c r="W152" s="68" t="str">
        <f t="shared" si="69"/>
        <v>N/A</v>
      </c>
      <c r="X152" s="66" t="str">
        <f t="shared" si="69"/>
        <v>N/A</v>
      </c>
      <c r="Y152" s="67" t="str">
        <f t="shared" si="69"/>
        <v>N/A</v>
      </c>
      <c r="Z152" s="67" t="str">
        <f t="shared" si="69"/>
        <v>N/A</v>
      </c>
      <c r="AA152" s="67" t="str">
        <f t="shared" si="69"/>
        <v>N/A</v>
      </c>
      <c r="AB152" s="68" t="str">
        <f t="shared" si="69"/>
        <v>N/A</v>
      </c>
    </row>
    <row r="153" spans="1:28" ht="12.3" hidden="1" outlineLevel="1" x14ac:dyDescent="0.35">
      <c r="D153" s="15" t="str">
        <f t="shared" si="64"/>
        <v>Distribution substations and transformers</v>
      </c>
      <c r="E153" s="52" t="s">
        <v>111</v>
      </c>
      <c r="F153" s="52" t="str">
        <f t="shared" si="65"/>
        <v>Dollars</v>
      </c>
      <c r="G153" s="52" t="str">
        <f t="shared" si="66"/>
        <v>Nominal</v>
      </c>
      <c r="H153" s="52" t="str">
        <f t="shared" si="67"/>
        <v>End_year</v>
      </c>
      <c r="J153" s="66" t="str">
        <f t="shared" si="68"/>
        <v>N/A</v>
      </c>
      <c r="K153" s="67" t="str">
        <f t="shared" si="68"/>
        <v>N/A</v>
      </c>
      <c r="L153" s="67" t="str">
        <f t="shared" si="68"/>
        <v>N/A</v>
      </c>
      <c r="M153" s="67" t="str">
        <f t="shared" si="68"/>
        <v>N/A</v>
      </c>
      <c r="N153" s="67" t="str">
        <f t="shared" si="68"/>
        <v>N/A</v>
      </c>
      <c r="O153" s="67" t="str">
        <f t="shared" si="68"/>
        <v>N/A</v>
      </c>
      <c r="P153" s="67" t="str">
        <f t="shared" si="68"/>
        <v>N/A</v>
      </c>
      <c r="Q153" s="67" t="str">
        <f t="shared" si="68"/>
        <v>N/A</v>
      </c>
      <c r="R153" s="68" t="str">
        <f t="shared" si="68"/>
        <v>N/A</v>
      </c>
      <c r="S153" s="66" t="str">
        <f t="shared" si="68"/>
        <v>N/A</v>
      </c>
      <c r="T153" s="67" t="str">
        <f t="shared" si="69"/>
        <v>N/A</v>
      </c>
      <c r="U153" s="67" t="str">
        <f t="shared" si="69"/>
        <v>N/A</v>
      </c>
      <c r="V153" s="67" t="str">
        <f t="shared" si="69"/>
        <v>N/A</v>
      </c>
      <c r="W153" s="68" t="str">
        <f t="shared" si="69"/>
        <v>N/A</v>
      </c>
      <c r="X153" s="66" t="str">
        <f t="shared" si="69"/>
        <v>N/A</v>
      </c>
      <c r="Y153" s="67" t="str">
        <f t="shared" si="69"/>
        <v>N/A</v>
      </c>
      <c r="Z153" s="67" t="str">
        <f t="shared" si="69"/>
        <v>N/A</v>
      </c>
      <c r="AA153" s="67" t="str">
        <f t="shared" si="69"/>
        <v>N/A</v>
      </c>
      <c r="AB153" s="68" t="str">
        <f t="shared" si="69"/>
        <v>N/A</v>
      </c>
    </row>
    <row r="154" spans="1:28" ht="12.3" hidden="1" outlineLevel="1" x14ac:dyDescent="0.35">
      <c r="D154" s="15" t="str">
        <f t="shared" si="64"/>
        <v>Overhead network assets 33kV and above</v>
      </c>
      <c r="E154" s="52" t="s">
        <v>111</v>
      </c>
      <c r="F154" s="52" t="str">
        <f t="shared" si="65"/>
        <v>Dollars</v>
      </c>
      <c r="G154" s="52" t="str">
        <f t="shared" si="66"/>
        <v>Nominal</v>
      </c>
      <c r="H154" s="52" t="str">
        <f t="shared" si="67"/>
        <v>End_year</v>
      </c>
      <c r="J154" s="66" t="str">
        <f t="shared" si="68"/>
        <v>N/A</v>
      </c>
      <c r="K154" s="67" t="str">
        <f t="shared" si="68"/>
        <v>N/A</v>
      </c>
      <c r="L154" s="67" t="str">
        <f t="shared" si="68"/>
        <v>N/A</v>
      </c>
      <c r="M154" s="67" t="str">
        <f t="shared" si="68"/>
        <v>N/A</v>
      </c>
      <c r="N154" s="67" t="str">
        <f t="shared" si="68"/>
        <v>N/A</v>
      </c>
      <c r="O154" s="67" t="str">
        <f t="shared" si="68"/>
        <v>N/A</v>
      </c>
      <c r="P154" s="67" t="str">
        <f t="shared" si="68"/>
        <v>N/A</v>
      </c>
      <c r="Q154" s="67" t="str">
        <f t="shared" si="68"/>
        <v>N/A</v>
      </c>
      <c r="R154" s="68" t="str">
        <f t="shared" si="68"/>
        <v>N/A</v>
      </c>
      <c r="S154" s="66" t="str">
        <f t="shared" si="68"/>
        <v>N/A</v>
      </c>
      <c r="T154" s="67" t="str">
        <f t="shared" si="69"/>
        <v>N/A</v>
      </c>
      <c r="U154" s="67" t="str">
        <f t="shared" si="69"/>
        <v>N/A</v>
      </c>
      <c r="V154" s="67" t="str">
        <f t="shared" si="69"/>
        <v>N/A</v>
      </c>
      <c r="W154" s="68" t="str">
        <f t="shared" si="69"/>
        <v>N/A</v>
      </c>
      <c r="X154" s="66" t="str">
        <f t="shared" si="69"/>
        <v>N/A</v>
      </c>
      <c r="Y154" s="67" t="str">
        <f t="shared" si="69"/>
        <v>N/A</v>
      </c>
      <c r="Z154" s="67" t="str">
        <f t="shared" si="69"/>
        <v>N/A</v>
      </c>
      <c r="AA154" s="67" t="str">
        <f t="shared" si="69"/>
        <v>N/A</v>
      </c>
      <c r="AB154" s="68" t="str">
        <f t="shared" si="69"/>
        <v>N/A</v>
      </c>
    </row>
    <row r="155" spans="1:28" ht="12.3" hidden="1" outlineLevel="1" x14ac:dyDescent="0.35">
      <c r="D155" s="15" t="str">
        <f t="shared" si="64"/>
        <v>Underground network assets 33kV and above</v>
      </c>
      <c r="E155" s="52" t="s">
        <v>111</v>
      </c>
      <c r="F155" s="52" t="str">
        <f t="shared" si="65"/>
        <v>Dollars</v>
      </c>
      <c r="G155" s="52" t="str">
        <f t="shared" si="66"/>
        <v>Nominal</v>
      </c>
      <c r="H155" s="52" t="str">
        <f t="shared" si="67"/>
        <v>End_year</v>
      </c>
      <c r="J155" s="66" t="str">
        <f t="shared" si="68"/>
        <v>N/A</v>
      </c>
      <c r="K155" s="67" t="str">
        <f t="shared" si="68"/>
        <v>N/A</v>
      </c>
      <c r="L155" s="67" t="str">
        <f t="shared" si="68"/>
        <v>N/A</v>
      </c>
      <c r="M155" s="67" t="str">
        <f t="shared" si="68"/>
        <v>N/A</v>
      </c>
      <c r="N155" s="67" t="str">
        <f t="shared" si="68"/>
        <v>N/A</v>
      </c>
      <c r="O155" s="67" t="str">
        <f t="shared" si="68"/>
        <v>N/A</v>
      </c>
      <c r="P155" s="67" t="str">
        <f t="shared" si="68"/>
        <v>N/A</v>
      </c>
      <c r="Q155" s="67" t="str">
        <f t="shared" si="68"/>
        <v>N/A</v>
      </c>
      <c r="R155" s="68" t="str">
        <f t="shared" si="68"/>
        <v>N/A</v>
      </c>
      <c r="S155" s="66" t="str">
        <f t="shared" si="68"/>
        <v>N/A</v>
      </c>
      <c r="T155" s="67" t="str">
        <f t="shared" si="69"/>
        <v>N/A</v>
      </c>
      <c r="U155" s="67" t="str">
        <f t="shared" si="69"/>
        <v>N/A</v>
      </c>
      <c r="V155" s="67" t="str">
        <f t="shared" si="69"/>
        <v>N/A</v>
      </c>
      <c r="W155" s="68" t="str">
        <f t="shared" si="69"/>
        <v>N/A</v>
      </c>
      <c r="X155" s="66" t="str">
        <f t="shared" si="69"/>
        <v>N/A</v>
      </c>
      <c r="Y155" s="67" t="str">
        <f t="shared" si="69"/>
        <v>N/A</v>
      </c>
      <c r="Z155" s="67" t="str">
        <f t="shared" si="69"/>
        <v>N/A</v>
      </c>
      <c r="AA155" s="67" t="str">
        <f t="shared" si="69"/>
        <v>N/A</v>
      </c>
      <c r="AB155" s="68" t="str">
        <f t="shared" si="69"/>
        <v>N/A</v>
      </c>
    </row>
    <row r="156" spans="1:28" ht="12.3" hidden="1" outlineLevel="1" x14ac:dyDescent="0.35">
      <c r="D156" s="15" t="str">
        <f t="shared" si="64"/>
        <v>Zone substations and transformers</v>
      </c>
      <c r="E156" s="52" t="s">
        <v>111</v>
      </c>
      <c r="F156" s="52" t="str">
        <f t="shared" si="65"/>
        <v>Dollars</v>
      </c>
      <c r="G156" s="52" t="str">
        <f t="shared" si="66"/>
        <v>Nominal</v>
      </c>
      <c r="H156" s="52" t="str">
        <f t="shared" si="67"/>
        <v>End_year</v>
      </c>
      <c r="J156" s="66" t="str">
        <f t="shared" si="68"/>
        <v>N/A</v>
      </c>
      <c r="K156" s="67" t="str">
        <f t="shared" si="68"/>
        <v>N/A</v>
      </c>
      <c r="L156" s="67" t="str">
        <f t="shared" si="68"/>
        <v>N/A</v>
      </c>
      <c r="M156" s="67" t="str">
        <f t="shared" si="68"/>
        <v>N/A</v>
      </c>
      <c r="N156" s="67" t="str">
        <f t="shared" si="68"/>
        <v>N/A</v>
      </c>
      <c r="O156" s="67" t="str">
        <f t="shared" si="68"/>
        <v>N/A</v>
      </c>
      <c r="P156" s="67" t="str">
        <f t="shared" si="68"/>
        <v>N/A</v>
      </c>
      <c r="Q156" s="67" t="str">
        <f t="shared" si="68"/>
        <v>N/A</v>
      </c>
      <c r="R156" s="68" t="str">
        <f t="shared" si="68"/>
        <v>N/A</v>
      </c>
      <c r="S156" s="66" t="str">
        <f t="shared" si="68"/>
        <v>N/A</v>
      </c>
      <c r="T156" s="67" t="str">
        <f t="shared" si="69"/>
        <v>N/A</v>
      </c>
      <c r="U156" s="67" t="str">
        <f t="shared" si="69"/>
        <v>N/A</v>
      </c>
      <c r="V156" s="67" t="str">
        <f t="shared" si="69"/>
        <v>N/A</v>
      </c>
      <c r="W156" s="68" t="str">
        <f t="shared" si="69"/>
        <v>N/A</v>
      </c>
      <c r="X156" s="66" t="str">
        <f t="shared" si="69"/>
        <v>N/A</v>
      </c>
      <c r="Y156" s="67" t="str">
        <f t="shared" si="69"/>
        <v>N/A</v>
      </c>
      <c r="Z156" s="67" t="str">
        <f t="shared" si="69"/>
        <v>N/A</v>
      </c>
      <c r="AA156" s="67" t="str">
        <f t="shared" si="69"/>
        <v>N/A</v>
      </c>
      <c r="AB156" s="68" t="str">
        <f t="shared" si="69"/>
        <v>N/A</v>
      </c>
    </row>
    <row r="157" spans="1:28" ht="12.3" hidden="1" outlineLevel="1" x14ac:dyDescent="0.35">
      <c r="D157" s="15" t="str">
        <f t="shared" si="64"/>
        <v>Easements</v>
      </c>
      <c r="E157" s="52" t="s">
        <v>111</v>
      </c>
      <c r="F157" s="52" t="str">
        <f t="shared" si="65"/>
        <v>Dollars</v>
      </c>
      <c r="G157" s="52" t="str">
        <f t="shared" si="66"/>
        <v>Nominal</v>
      </c>
      <c r="H157" s="52" t="str">
        <f t="shared" si="67"/>
        <v>End_year</v>
      </c>
      <c r="J157" s="66" t="str">
        <f t="shared" si="68"/>
        <v>N/A</v>
      </c>
      <c r="K157" s="67" t="str">
        <f t="shared" si="68"/>
        <v>N/A</v>
      </c>
      <c r="L157" s="67" t="str">
        <f t="shared" si="68"/>
        <v>N/A</v>
      </c>
      <c r="M157" s="67" t="str">
        <f t="shared" si="68"/>
        <v>N/A</v>
      </c>
      <c r="N157" s="67" t="str">
        <f t="shared" si="68"/>
        <v>N/A</v>
      </c>
      <c r="O157" s="67" t="str">
        <f t="shared" si="68"/>
        <v>N/A</v>
      </c>
      <c r="P157" s="67" t="str">
        <f t="shared" si="68"/>
        <v>N/A</v>
      </c>
      <c r="Q157" s="67" t="str">
        <f t="shared" si="68"/>
        <v>N/A</v>
      </c>
      <c r="R157" s="68" t="str">
        <f t="shared" si="68"/>
        <v>N/A</v>
      </c>
      <c r="S157" s="66" t="str">
        <f t="shared" si="68"/>
        <v>N/A</v>
      </c>
      <c r="T157" s="67" t="str">
        <f t="shared" si="69"/>
        <v>N/A</v>
      </c>
      <c r="U157" s="67" t="str">
        <f t="shared" si="69"/>
        <v>N/A</v>
      </c>
      <c r="V157" s="67" t="str">
        <f t="shared" si="69"/>
        <v>N/A</v>
      </c>
      <c r="W157" s="68" t="str">
        <f t="shared" si="69"/>
        <v>N/A</v>
      </c>
      <c r="X157" s="66" t="str">
        <f t="shared" si="69"/>
        <v>N/A</v>
      </c>
      <c r="Y157" s="67" t="str">
        <f t="shared" si="69"/>
        <v>N/A</v>
      </c>
      <c r="Z157" s="67" t="str">
        <f t="shared" si="69"/>
        <v>N/A</v>
      </c>
      <c r="AA157" s="67" t="str">
        <f t="shared" si="69"/>
        <v>N/A</v>
      </c>
      <c r="AB157" s="68" t="str">
        <f t="shared" si="69"/>
        <v>N/A</v>
      </c>
    </row>
    <row r="158" spans="1:28" ht="12.3" collapsed="1" x14ac:dyDescent="0.35">
      <c r="D158" s="15" t="str">
        <f t="shared" si="64"/>
        <v>Meters</v>
      </c>
      <c r="E158" s="52" t="s">
        <v>111</v>
      </c>
      <c r="F158" s="52" t="str">
        <f t="shared" si="65"/>
        <v>Dollars</v>
      </c>
      <c r="G158" s="52" t="str">
        <f t="shared" si="66"/>
        <v>Nominal</v>
      </c>
      <c r="H158" s="52" t="str">
        <f t="shared" si="67"/>
        <v>End_year</v>
      </c>
      <c r="J158" s="66">
        <f>J120+J139</f>
        <v>3.7417767788194758</v>
      </c>
      <c r="K158" s="67">
        <f t="shared" ref="K158:AB158" si="70">K120+K139</f>
        <v>3.8742162665417763</v>
      </c>
      <c r="L158" s="67">
        <f t="shared" si="70"/>
        <v>4.4936278567248813</v>
      </c>
      <c r="M158" s="67">
        <f t="shared" si="70"/>
        <v>5.1209982106660901</v>
      </c>
      <c r="N158" s="67">
        <f t="shared" si="70"/>
        <v>5.7874333599239662</v>
      </c>
      <c r="O158" s="67">
        <f t="shared" si="70"/>
        <v>6.2525389109370515</v>
      </c>
      <c r="P158" s="67">
        <f t="shared" si="70"/>
        <v>6.7078255713431885</v>
      </c>
      <c r="Q158" s="67">
        <f t="shared" si="70"/>
        <v>7.4395419472342965</v>
      </c>
      <c r="R158" s="68">
        <f t="shared" si="70"/>
        <v>7.3371063938218031</v>
      </c>
      <c r="S158" s="66">
        <f t="shared" si="70"/>
        <v>8.2640279517129933</v>
      </c>
      <c r="T158" s="67">
        <f t="shared" si="70"/>
        <v>10.191258788110531</v>
      </c>
      <c r="U158" s="67">
        <f t="shared" si="70"/>
        <v>12.056969644633231</v>
      </c>
      <c r="V158" s="67">
        <f t="shared" si="70"/>
        <v>12.673417881085166</v>
      </c>
      <c r="W158" s="68">
        <f t="shared" si="70"/>
        <v>16.139741751973368</v>
      </c>
      <c r="X158" s="66">
        <f t="shared" si="70"/>
        <v>22.368441128585708</v>
      </c>
      <c r="Y158" s="67">
        <f t="shared" si="70"/>
        <v>25.142529874376422</v>
      </c>
      <c r="Z158" s="67">
        <f t="shared" si="70"/>
        <v>27.808325683968587</v>
      </c>
      <c r="AA158" s="67">
        <f t="shared" si="70"/>
        <v>34.345698429505077</v>
      </c>
      <c r="AB158" s="68">
        <f t="shared" si="70"/>
        <v>36.347355975476923</v>
      </c>
    </row>
    <row r="159" spans="1:28" ht="12.3" x14ac:dyDescent="0.35">
      <c r="D159" s="15" t="str">
        <f t="shared" si="64"/>
        <v>“Other” asset items with long lives</v>
      </c>
      <c r="E159" s="52" t="s">
        <v>111</v>
      </c>
      <c r="F159" s="52" t="str">
        <f t="shared" si="65"/>
        <v>Dollars</v>
      </c>
      <c r="G159" s="52" t="str">
        <f t="shared" si="66"/>
        <v>Nominal</v>
      </c>
      <c r="H159" s="52" t="str">
        <f t="shared" si="67"/>
        <v>End_year</v>
      </c>
      <c r="J159" s="66">
        <f t="shared" ref="J159:AB159" si="71">J121+J140</f>
        <v>8.6118106111856468E-2</v>
      </c>
      <c r="K159" s="67">
        <f t="shared" si="71"/>
        <v>8.9166240335584096E-2</v>
      </c>
      <c r="L159" s="67">
        <f t="shared" si="71"/>
        <v>0.10342218241963645</v>
      </c>
      <c r="M159" s="67">
        <f t="shared" si="71"/>
        <v>0.11786129782009809</v>
      </c>
      <c r="N159" s="67">
        <f t="shared" si="71"/>
        <v>0.13319950111039908</v>
      </c>
      <c r="O159" s="67">
        <f t="shared" si="71"/>
        <v>0.14390404378170063</v>
      </c>
      <c r="P159" s="67">
        <f t="shared" si="71"/>
        <v>0.15438260176359567</v>
      </c>
      <c r="Q159" s="67">
        <f t="shared" si="71"/>
        <v>0.17122327191245856</v>
      </c>
      <c r="R159" s="68">
        <f t="shared" si="71"/>
        <v>0.16886568716599831</v>
      </c>
      <c r="S159" s="66">
        <f t="shared" si="71"/>
        <v>0.19019906267137129</v>
      </c>
      <c r="T159" s="67">
        <f t="shared" si="71"/>
        <v>0.23455485391215403</v>
      </c>
      <c r="U159" s="67">
        <f t="shared" si="71"/>
        <v>0.27749474450786082</v>
      </c>
      <c r="V159" s="67">
        <f t="shared" si="71"/>
        <v>0.29168248412390052</v>
      </c>
      <c r="W159" s="68">
        <f t="shared" si="71"/>
        <v>0.37146095958533404</v>
      </c>
      <c r="X159" s="66">
        <f t="shared" si="71"/>
        <v>0.51481632938994071</v>
      </c>
      <c r="Y159" s="67">
        <f t="shared" si="71"/>
        <v>0.57866280743908927</v>
      </c>
      <c r="Z159" s="67">
        <f t="shared" si="71"/>
        <v>0.64001689133380801</v>
      </c>
      <c r="AA159" s="67">
        <f t="shared" si="71"/>
        <v>0.79047647058494952</v>
      </c>
      <c r="AB159" s="68">
        <f t="shared" si="71"/>
        <v>0.8365452146958654</v>
      </c>
    </row>
    <row r="160" spans="1:28" ht="12.3" x14ac:dyDescent="0.35">
      <c r="D160" s="15" t="str">
        <f t="shared" si="64"/>
        <v>“Other” asset items with short lives</v>
      </c>
      <c r="E160" s="52" t="s">
        <v>111</v>
      </c>
      <c r="F160" s="52" t="str">
        <f t="shared" si="65"/>
        <v>Dollars</v>
      </c>
      <c r="G160" s="52" t="str">
        <f t="shared" si="66"/>
        <v>Nominal</v>
      </c>
      <c r="H160" s="52" t="str">
        <f t="shared" si="67"/>
        <v>End_year</v>
      </c>
      <c r="J160" s="66">
        <f t="shared" ref="J160:AB160" si="72">J122+J141</f>
        <v>0</v>
      </c>
      <c r="K160" s="67">
        <f t="shared" si="72"/>
        <v>0</v>
      </c>
      <c r="L160" s="67">
        <f t="shared" si="72"/>
        <v>0</v>
      </c>
      <c r="M160" s="67">
        <f t="shared" si="72"/>
        <v>0</v>
      </c>
      <c r="N160" s="67">
        <f t="shared" si="72"/>
        <v>0</v>
      </c>
      <c r="O160" s="67">
        <f t="shared" si="72"/>
        <v>0</v>
      </c>
      <c r="P160" s="67">
        <f t="shared" si="72"/>
        <v>0</v>
      </c>
      <c r="Q160" s="67">
        <f t="shared" si="72"/>
        <v>0</v>
      </c>
      <c r="R160" s="68">
        <f t="shared" si="72"/>
        <v>0</v>
      </c>
      <c r="S160" s="66">
        <f t="shared" si="72"/>
        <v>0</v>
      </c>
      <c r="T160" s="67">
        <f t="shared" si="72"/>
        <v>0</v>
      </c>
      <c r="U160" s="67">
        <f t="shared" si="72"/>
        <v>0</v>
      </c>
      <c r="V160" s="67">
        <f t="shared" si="72"/>
        <v>0</v>
      </c>
      <c r="W160" s="68">
        <f t="shared" si="72"/>
        <v>0</v>
      </c>
      <c r="X160" s="66">
        <f t="shared" si="72"/>
        <v>0</v>
      </c>
      <c r="Y160" s="67">
        <f t="shared" si="72"/>
        <v>0</v>
      </c>
      <c r="Z160" s="67">
        <f t="shared" si="72"/>
        <v>0</v>
      </c>
      <c r="AA160" s="67">
        <f t="shared" si="72"/>
        <v>0</v>
      </c>
      <c r="AB160" s="68">
        <f t="shared" si="72"/>
        <v>0</v>
      </c>
    </row>
    <row r="161" spans="1:28" x14ac:dyDescent="0.35">
      <c r="J161" s="56"/>
      <c r="K161" s="57"/>
      <c r="L161" s="57"/>
      <c r="M161" s="57"/>
      <c r="N161" s="57"/>
      <c r="O161" s="57"/>
      <c r="P161" s="57"/>
      <c r="Q161" s="57"/>
      <c r="R161" s="58"/>
      <c r="S161" s="56"/>
      <c r="T161" s="57"/>
      <c r="U161" s="57"/>
      <c r="V161" s="57"/>
      <c r="W161" s="58"/>
      <c r="X161" s="56"/>
      <c r="Y161" s="57"/>
      <c r="Z161" s="57"/>
      <c r="AA161" s="57"/>
      <c r="AB161" s="58"/>
    </row>
    <row r="162" spans="1:28" ht="12.3" x14ac:dyDescent="0.35">
      <c r="D162" s="51" t="str">
        <f>"Total "&amp;D149</f>
        <v>Total EB RIN Categories</v>
      </c>
      <c r="E162" s="47" t="s">
        <v>111</v>
      </c>
      <c r="F162" s="47" t="str">
        <f>F151</f>
        <v>Dollars</v>
      </c>
      <c r="G162" s="47" t="str">
        <f>G151</f>
        <v>Nominal</v>
      </c>
      <c r="H162" s="47" t="str">
        <f>H151</f>
        <v>End_year</v>
      </c>
      <c r="J162" s="62">
        <f t="shared" ref="J162:AB162" si="73">SUM(J151:J160)</f>
        <v>3.8278948849313323</v>
      </c>
      <c r="K162" s="46">
        <f t="shared" si="73"/>
        <v>3.9633825068773603</v>
      </c>
      <c r="L162" s="46">
        <f t="shared" si="73"/>
        <v>4.5970500391445182</v>
      </c>
      <c r="M162" s="46">
        <f t="shared" si="73"/>
        <v>5.238859508486188</v>
      </c>
      <c r="N162" s="46">
        <f t="shared" si="73"/>
        <v>5.920632861034365</v>
      </c>
      <c r="O162" s="46">
        <f t="shared" si="73"/>
        <v>6.3964429547187525</v>
      </c>
      <c r="P162" s="46">
        <f t="shared" si="73"/>
        <v>6.8622081731067839</v>
      </c>
      <c r="Q162" s="46">
        <f t="shared" si="73"/>
        <v>7.6107652191467547</v>
      </c>
      <c r="R162" s="63">
        <f t="shared" si="73"/>
        <v>7.5059720809878012</v>
      </c>
      <c r="S162" s="62">
        <f t="shared" si="73"/>
        <v>8.4542270143843652</v>
      </c>
      <c r="T162" s="46">
        <f t="shared" si="73"/>
        <v>10.425813642022685</v>
      </c>
      <c r="U162" s="46">
        <f t="shared" si="73"/>
        <v>12.334464389141091</v>
      </c>
      <c r="V162" s="46">
        <f t="shared" si="73"/>
        <v>12.965100365209066</v>
      </c>
      <c r="W162" s="63">
        <f t="shared" si="73"/>
        <v>16.511202711558703</v>
      </c>
      <c r="X162" s="62">
        <f t="shared" si="73"/>
        <v>22.883257457975649</v>
      </c>
      <c r="Y162" s="46">
        <f t="shared" si="73"/>
        <v>25.721192681815509</v>
      </c>
      <c r="Z162" s="46">
        <f t="shared" si="73"/>
        <v>28.448342575302394</v>
      </c>
      <c r="AA162" s="46">
        <f t="shared" si="73"/>
        <v>35.136174900090026</v>
      </c>
      <c r="AB162" s="63">
        <f t="shared" si="73"/>
        <v>37.18390119017279</v>
      </c>
    </row>
    <row r="163" spans="1:28" s="6" customFormat="1" ht="11.25" customHeight="1" x14ac:dyDescent="0.35"/>
    <row r="164" spans="1:28" s="6" customFormat="1" ht="11.25" customHeight="1" x14ac:dyDescent="0.35">
      <c r="A164" s="49">
        <f>IF(SUM($J164:$AB164)&lt;&gt;0,1,0)</f>
        <v>0</v>
      </c>
      <c r="D164" s="15" t="s">
        <v>114</v>
      </c>
      <c r="J164" s="70">
        <f>IF(ROUND(J162-Input_RAB_ACS!J$159,5)&lt;&gt;0,1,0)</f>
        <v>0</v>
      </c>
      <c r="K164" s="70">
        <f>IF(ROUND(K162-Input_RAB_ACS!K$159,5)&lt;&gt;0,1,0)</f>
        <v>0</v>
      </c>
      <c r="L164" s="70">
        <f>IF(ROUND(L162-Input_RAB_ACS!L$159,5)&lt;&gt;0,1,0)</f>
        <v>0</v>
      </c>
      <c r="M164" s="70">
        <f>IF(ROUND(M162-Input_RAB_ACS!M$159,5)&lt;&gt;0,1,0)</f>
        <v>0</v>
      </c>
      <c r="N164" s="70">
        <f>IF(ROUND(N162-Input_RAB_ACS!N$159,5)&lt;&gt;0,1,0)</f>
        <v>0</v>
      </c>
      <c r="O164" s="70">
        <f>IF(ROUND(O162-Input_RAB_ACS!O$159,5)&lt;&gt;0,1,0)</f>
        <v>0</v>
      </c>
      <c r="P164" s="70">
        <f>IF(ROUND(P162-Input_RAB_ACS!P$159,5)&lt;&gt;0,1,0)</f>
        <v>0</v>
      </c>
      <c r="Q164" s="70">
        <f>IF(ROUND(Q162-Input_RAB_ACS!Q$159,5)&lt;&gt;0,1,0)</f>
        <v>0</v>
      </c>
      <c r="R164" s="70">
        <f>IF(ROUND(R162-Input_RAB_ACS!R$159,5)&lt;&gt;0,1,0)</f>
        <v>0</v>
      </c>
      <c r="S164" s="70">
        <f>IF(ROUND(S162-Input_RAB_ACS!S$159,5)&lt;&gt;0,1,0)</f>
        <v>0</v>
      </c>
      <c r="T164" s="70">
        <f>IF(ROUND(T162-Input_RAB_ACS!T$159,5)&lt;&gt;0,1,0)</f>
        <v>0</v>
      </c>
      <c r="U164" s="70">
        <f>IF(ROUND(U162-Input_RAB_ACS!U$159,5)&lt;&gt;0,1,0)</f>
        <v>0</v>
      </c>
      <c r="V164" s="70">
        <f>IF(ROUND(V162-Input_RAB_ACS!V$159,5)&lt;&gt;0,1,0)</f>
        <v>0</v>
      </c>
      <c r="W164" s="70">
        <f>IF(ROUND(W162-Input_RAB_ACS!W$159,5)&lt;&gt;0,1,0)</f>
        <v>0</v>
      </c>
      <c r="X164" s="70">
        <f>IF(ROUND(X162-Input_RAB_ACS!X$159,5)&lt;&gt;0,1,0)</f>
        <v>0</v>
      </c>
      <c r="Y164" s="70">
        <f>IF(ROUND(Y162-Input_RAB_ACS!Y$159,5)&lt;&gt;0,1,0)</f>
        <v>0</v>
      </c>
      <c r="Z164" s="70">
        <f>IF(ROUND(Z162-Input_RAB_ACS!Z$159,5)&lt;&gt;0,1,0)</f>
        <v>0</v>
      </c>
      <c r="AA164" s="70">
        <f>IF(ROUND(AA162-Input_RAB_ACS!AA$159,5)&lt;&gt;0,1,0)</f>
        <v>0</v>
      </c>
      <c r="AB164" s="70">
        <f>IF(ROUND(AB162-Input_RAB_ACS!AB$159,5)&lt;&gt;0,1,0)</f>
        <v>0</v>
      </c>
    </row>
    <row r="166" spans="1:28" s="4" customFormat="1" ht="15" x14ac:dyDescent="0.35">
      <c r="B166" s="4" t="s">
        <v>33</v>
      </c>
    </row>
  </sheetData>
  <conditionalFormatting sqref="B2">
    <cfRule type="cellIs" dxfId="9" priority="1" operator="notEqual">
      <formula>"No Errors Found"</formula>
    </cfRule>
  </conditionalFormatting>
  <hyperlinks>
    <hyperlink ref="B3:E3" location="TOC!A1" display="TOC!A1"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249977111117893"/>
  </sheetPr>
  <dimension ref="A1:AB168"/>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33203125" defaultRowHeight="10.199999999999999" outlineLevelRow="1" x14ac:dyDescent="0.35"/>
  <cols>
    <col min="1" max="1" width="3.33203125" style="7" customWidth="1"/>
    <col min="2" max="3" width="2.796875" style="7" customWidth="1"/>
    <col min="4" max="4" width="47.46484375" style="7" customWidth="1"/>
    <col min="5" max="5" width="14.33203125" style="7" customWidth="1"/>
    <col min="6" max="6" width="9.1328125" style="7" customWidth="1"/>
    <col min="7" max="7" width="12" style="7" customWidth="1"/>
    <col min="8" max="8" width="10" style="7" customWidth="1"/>
    <col min="9" max="9" width="4.46484375" style="7" customWidth="1"/>
    <col min="10" max="28" width="12.796875" style="7" customWidth="1"/>
    <col min="29" max="29" width="4.33203125" style="7" customWidth="1"/>
    <col min="30" max="31" width="10.796875" style="7" customWidth="1"/>
    <col min="32" max="16384" width="9.33203125" style="7"/>
  </cols>
  <sheetData>
    <row r="1" spans="1:28" ht="18.899999999999999" x14ac:dyDescent="0.35">
      <c r="A1" s="49">
        <f>IF(SUM($A11:$A168)&gt;0,1,0)</f>
        <v>0</v>
      </c>
      <c r="B1" s="5" t="s">
        <v>166</v>
      </c>
    </row>
    <row r="2" spans="1:28" x14ac:dyDescent="0.35">
      <c r="B2" s="18" t="str">
        <f>Title_Msg</f>
        <v>No Errors Found</v>
      </c>
    </row>
    <row r="3" spans="1:28" x14ac:dyDescent="0.35">
      <c r="B3" s="37" t="str">
        <f>TOC!B1</f>
        <v>Table of Contents</v>
      </c>
      <c r="C3" s="35"/>
      <c r="D3" s="35"/>
      <c r="E3" s="35"/>
    </row>
    <row r="4" spans="1:28" ht="12.3" x14ac:dyDescent="0.35">
      <c r="B4" s="34" t="str">
        <f>Model_Name</f>
        <v>Power and Water Corporation (PWC) - RAB Allocation - EB RIN - DRAFT</v>
      </c>
    </row>
    <row r="5" spans="1:28" ht="12.3" hidden="1" outlineLevel="1" x14ac:dyDescent="0.35">
      <c r="B5" s="15" t="str">
        <f>Lookup!B15</f>
        <v>Period Start Date</v>
      </c>
      <c r="J5" s="42">
        <f>Lookup!J15</f>
        <v>38534</v>
      </c>
      <c r="K5" s="42">
        <f>Lookup!K15</f>
        <v>38899</v>
      </c>
      <c r="L5" s="42">
        <f>Lookup!L15</f>
        <v>39264</v>
      </c>
      <c r="M5" s="42">
        <f>Lookup!M15</f>
        <v>39630</v>
      </c>
      <c r="N5" s="42">
        <f>Lookup!N15</f>
        <v>39995</v>
      </c>
      <c r="O5" s="42">
        <f>Lookup!O15</f>
        <v>40360</v>
      </c>
      <c r="P5" s="42">
        <f>Lookup!P15</f>
        <v>40725</v>
      </c>
      <c r="Q5" s="42">
        <f>Lookup!Q15</f>
        <v>41091</v>
      </c>
      <c r="R5" s="42">
        <f>Lookup!R15</f>
        <v>41456</v>
      </c>
      <c r="S5" s="42">
        <f>Lookup!S15</f>
        <v>41821</v>
      </c>
      <c r="T5" s="42">
        <f>Lookup!T15</f>
        <v>42186</v>
      </c>
      <c r="U5" s="42">
        <f>Lookup!U15</f>
        <v>42552</v>
      </c>
      <c r="V5" s="42">
        <f>Lookup!V15</f>
        <v>42917</v>
      </c>
      <c r="W5" s="42">
        <f>Lookup!W15</f>
        <v>43282</v>
      </c>
      <c r="X5" s="42">
        <f>Lookup!X15</f>
        <v>43647</v>
      </c>
      <c r="Y5" s="42">
        <f>Lookup!Y15</f>
        <v>44013</v>
      </c>
      <c r="Z5" s="42">
        <f>Lookup!Z15</f>
        <v>44378</v>
      </c>
      <c r="AA5" s="42">
        <f>Lookup!AA15</f>
        <v>44743</v>
      </c>
      <c r="AB5" s="42">
        <f>Lookup!AB15</f>
        <v>45108</v>
      </c>
    </row>
    <row r="6" spans="1:28" ht="12.3" hidden="1" outlineLevel="1" x14ac:dyDescent="0.35">
      <c r="B6" s="15" t="str">
        <f>Lookup!B16</f>
        <v>Period End Date</v>
      </c>
      <c r="J6" s="42">
        <f>Lookup!J16</f>
        <v>38898</v>
      </c>
      <c r="K6" s="42">
        <f>Lookup!K16</f>
        <v>39263</v>
      </c>
      <c r="L6" s="42">
        <f>Lookup!L16</f>
        <v>39629</v>
      </c>
      <c r="M6" s="42">
        <f>Lookup!M16</f>
        <v>39994</v>
      </c>
      <c r="N6" s="42">
        <f>Lookup!N16</f>
        <v>40359</v>
      </c>
      <c r="O6" s="42">
        <f>Lookup!O16</f>
        <v>40724</v>
      </c>
      <c r="P6" s="42">
        <f>Lookup!P16</f>
        <v>41090</v>
      </c>
      <c r="Q6" s="42">
        <f>Lookup!Q16</f>
        <v>41455</v>
      </c>
      <c r="R6" s="42">
        <f>Lookup!R16</f>
        <v>41820</v>
      </c>
      <c r="S6" s="42">
        <f>Lookup!S16</f>
        <v>42185</v>
      </c>
      <c r="T6" s="42">
        <f>Lookup!T16</f>
        <v>42551</v>
      </c>
      <c r="U6" s="42">
        <f>Lookup!U16</f>
        <v>42916</v>
      </c>
      <c r="V6" s="42">
        <f>Lookup!V16</f>
        <v>43281</v>
      </c>
      <c r="W6" s="42">
        <f>Lookup!W16</f>
        <v>43646</v>
      </c>
      <c r="X6" s="42">
        <f>Lookup!X16</f>
        <v>44012</v>
      </c>
      <c r="Y6" s="42">
        <f>Lookup!Y16</f>
        <v>44377</v>
      </c>
      <c r="Z6" s="42">
        <f>Lookup!Z16</f>
        <v>44742</v>
      </c>
      <c r="AA6" s="42">
        <f>Lookup!AA16</f>
        <v>45107</v>
      </c>
      <c r="AB6" s="42">
        <f>Lookup!AB16</f>
        <v>45473</v>
      </c>
    </row>
    <row r="7" spans="1:28" ht="12.3" hidden="1" outlineLevel="1" x14ac:dyDescent="0.35">
      <c r="B7" s="15" t="str">
        <f>Lookup!B17</f>
        <v>Period Counter</v>
      </c>
      <c r="J7" s="43">
        <f>Lookup!J17</f>
        <v>1</v>
      </c>
      <c r="K7" s="43">
        <f>Lookup!K17</f>
        <v>2</v>
      </c>
      <c r="L7" s="43">
        <f>Lookup!L17</f>
        <v>3</v>
      </c>
      <c r="M7" s="43">
        <f>Lookup!M17</f>
        <v>4</v>
      </c>
      <c r="N7" s="43">
        <f>Lookup!N17</f>
        <v>5</v>
      </c>
      <c r="O7" s="43">
        <f>Lookup!O17</f>
        <v>6</v>
      </c>
      <c r="P7" s="43">
        <f>Lookup!P17</f>
        <v>7</v>
      </c>
      <c r="Q7" s="43">
        <f>Lookup!Q17</f>
        <v>8</v>
      </c>
      <c r="R7" s="43">
        <f>Lookup!R17</f>
        <v>9</v>
      </c>
      <c r="S7" s="43">
        <f>Lookup!S17</f>
        <v>10</v>
      </c>
      <c r="T7" s="43">
        <f>Lookup!T17</f>
        <v>11</v>
      </c>
      <c r="U7" s="43">
        <f>Lookup!U17</f>
        <v>12</v>
      </c>
      <c r="V7" s="43">
        <f>Lookup!V17</f>
        <v>13</v>
      </c>
      <c r="W7" s="43">
        <f>Lookup!W17</f>
        <v>14</v>
      </c>
      <c r="X7" s="43">
        <f>Lookup!X17</f>
        <v>15</v>
      </c>
      <c r="Y7" s="43">
        <f>Lookup!Y17</f>
        <v>16</v>
      </c>
      <c r="Z7" s="43">
        <f>Lookup!Z17</f>
        <v>17</v>
      </c>
      <c r="AA7" s="43">
        <f>Lookup!AA17</f>
        <v>18</v>
      </c>
      <c r="AB7" s="43">
        <f>Lookup!AB17</f>
        <v>19</v>
      </c>
    </row>
    <row r="8" spans="1:28" ht="12.3" hidden="1" outlineLevel="1" x14ac:dyDescent="0.35">
      <c r="B8" s="15" t="str">
        <f>Lookup!B18</f>
        <v>Year</v>
      </c>
      <c r="J8" s="44">
        <f>Lookup!J18</f>
        <v>2006</v>
      </c>
      <c r="K8" s="44">
        <f>Lookup!K18</f>
        <v>2007</v>
      </c>
      <c r="L8" s="44">
        <f>Lookup!L18</f>
        <v>2008</v>
      </c>
      <c r="M8" s="44">
        <f>Lookup!M18</f>
        <v>2009</v>
      </c>
      <c r="N8" s="44">
        <f>Lookup!N18</f>
        <v>2010</v>
      </c>
      <c r="O8" s="44">
        <f>Lookup!O18</f>
        <v>2011</v>
      </c>
      <c r="P8" s="44">
        <f>Lookup!P18</f>
        <v>2012</v>
      </c>
      <c r="Q8" s="44">
        <f>Lookup!Q18</f>
        <v>2013</v>
      </c>
      <c r="R8" s="44">
        <f>Lookup!R18</f>
        <v>2014</v>
      </c>
      <c r="S8" s="44">
        <f>Lookup!S18</f>
        <v>2015</v>
      </c>
      <c r="T8" s="44">
        <f>Lookup!T18</f>
        <v>2016</v>
      </c>
      <c r="U8" s="44">
        <f>Lookup!U18</f>
        <v>2017</v>
      </c>
      <c r="V8" s="44">
        <f>Lookup!V18</f>
        <v>2018</v>
      </c>
      <c r="W8" s="44">
        <f>Lookup!W18</f>
        <v>2019</v>
      </c>
      <c r="X8" s="44">
        <f>Lookup!X18</f>
        <v>2020</v>
      </c>
      <c r="Y8" s="44">
        <f>Lookup!Y18</f>
        <v>2021</v>
      </c>
      <c r="Z8" s="44">
        <f>Lookup!Z18</f>
        <v>2022</v>
      </c>
      <c r="AA8" s="44">
        <f>Lookup!AA18</f>
        <v>2023</v>
      </c>
      <c r="AB8" s="44">
        <f>Lookup!AB18</f>
        <v>2024</v>
      </c>
    </row>
    <row r="9" spans="1:28" ht="12.3" hidden="1" outlineLevel="1" x14ac:dyDescent="0.35">
      <c r="B9" s="15" t="str">
        <f>Lookup!B19</f>
        <v>Period Type</v>
      </c>
      <c r="J9" s="44" t="str">
        <f>Lookup!J19</f>
        <v>Actual</v>
      </c>
      <c r="K9" s="44" t="str">
        <f>Lookup!K19</f>
        <v>Actual</v>
      </c>
      <c r="L9" s="44" t="str">
        <f>Lookup!L19</f>
        <v>Actual</v>
      </c>
      <c r="M9" s="44" t="str">
        <f>Lookup!M19</f>
        <v>Base Year</v>
      </c>
      <c r="N9" s="44" t="str">
        <f>Lookup!N19</f>
        <v>Forecast</v>
      </c>
      <c r="O9" s="44" t="str">
        <f>Lookup!O19</f>
        <v>Forecast</v>
      </c>
      <c r="P9" s="44" t="str">
        <f>Lookup!P19</f>
        <v>Forecast</v>
      </c>
      <c r="Q9" s="44" t="str">
        <f>Lookup!Q19</f>
        <v>Forecast</v>
      </c>
      <c r="R9" s="44" t="str">
        <f>Lookup!R19</f>
        <v>Forecast</v>
      </c>
      <c r="S9" s="44" t="str">
        <f>Lookup!S19</f>
        <v>Forecast</v>
      </c>
      <c r="T9" s="44" t="str">
        <f>Lookup!T19</f>
        <v>Forecast</v>
      </c>
      <c r="U9" s="44" t="str">
        <f>Lookup!U19</f>
        <v>Forecast</v>
      </c>
      <c r="V9" s="44" t="str">
        <f>Lookup!V19</f>
        <v>Forecast</v>
      </c>
      <c r="W9" s="44" t="str">
        <f>Lookup!W19</f>
        <v>Forecast</v>
      </c>
      <c r="X9" s="44" t="str">
        <f>Lookup!X19</f>
        <v>Forecast</v>
      </c>
      <c r="Y9" s="44" t="str">
        <f>Lookup!Y19</f>
        <v>Forecast</v>
      </c>
      <c r="Z9" s="44" t="str">
        <f>Lookup!Z19</f>
        <v>Forecast</v>
      </c>
      <c r="AA9" s="44" t="str">
        <f>Lookup!AA19</f>
        <v>Forecast</v>
      </c>
      <c r="AB9" s="44" t="str">
        <f>Lookup!AB19</f>
        <v>Forecast</v>
      </c>
    </row>
    <row r="10" spans="1:28" ht="12.3" collapsed="1" x14ac:dyDescent="0.35">
      <c r="B10" s="10" t="str">
        <f>Lookup!B20</f>
        <v>Regulatory Year</v>
      </c>
      <c r="E10" s="41" t="str">
        <f>Lookup!E20</f>
        <v>Source</v>
      </c>
      <c r="F10" s="41" t="str">
        <f>Lookup!F20</f>
        <v>Unit</v>
      </c>
      <c r="G10" s="41" t="str">
        <f>Lookup!G20</f>
        <v>Basis</v>
      </c>
      <c r="H10" s="41" t="str">
        <f>Lookup!H20</f>
        <v>Timing</v>
      </c>
      <c r="I10" s="41"/>
      <c r="J10" s="41" t="str">
        <f>Lookup!J20</f>
        <v>RY06</v>
      </c>
      <c r="K10" s="41" t="str">
        <f>Lookup!K20</f>
        <v>RY07</v>
      </c>
      <c r="L10" s="41" t="str">
        <f>Lookup!L20</f>
        <v>RY08</v>
      </c>
      <c r="M10" s="41" t="str">
        <f>Lookup!M20</f>
        <v>RY09</v>
      </c>
      <c r="N10" s="41" t="str">
        <f>Lookup!N20</f>
        <v>RY10</v>
      </c>
      <c r="O10" s="41" t="str">
        <f>Lookup!O20</f>
        <v>RY11</v>
      </c>
      <c r="P10" s="41" t="str">
        <f>Lookup!P20</f>
        <v>RY12</v>
      </c>
      <c r="Q10" s="41" t="str">
        <f>Lookup!Q20</f>
        <v>RY13</v>
      </c>
      <c r="R10" s="41" t="str">
        <f>Lookup!R20</f>
        <v>RY14</v>
      </c>
      <c r="S10" s="41" t="str">
        <f>Lookup!S20</f>
        <v>RY15</v>
      </c>
      <c r="T10" s="41" t="str">
        <f>Lookup!T20</f>
        <v>RY16</v>
      </c>
      <c r="U10" s="41" t="str">
        <f>Lookup!U20</f>
        <v>RY17</v>
      </c>
      <c r="V10" s="41" t="str">
        <f>Lookup!V20</f>
        <v>RY18</v>
      </c>
      <c r="W10" s="41" t="str">
        <f>Lookup!W20</f>
        <v>RY19</v>
      </c>
      <c r="X10" s="41" t="str">
        <f>Lookup!X20</f>
        <v>RY20</v>
      </c>
      <c r="Y10" s="41" t="str">
        <f>Lookup!Y20</f>
        <v>RY21</v>
      </c>
      <c r="Z10" s="41" t="str">
        <f>Lookup!Z20</f>
        <v>RY22</v>
      </c>
      <c r="AA10" s="41" t="str">
        <f>Lookup!AA20</f>
        <v>RY23</v>
      </c>
      <c r="AB10" s="41" t="str">
        <f>Lookup!AB20</f>
        <v>RY24</v>
      </c>
    </row>
    <row r="12" spans="1:28" s="4" customFormat="1" ht="15" x14ac:dyDescent="0.35">
      <c r="B12" s="4" t="s">
        <v>265</v>
      </c>
    </row>
    <row r="14" spans="1:28" ht="12.3" x14ac:dyDescent="0.35">
      <c r="D14" s="50" t="s">
        <v>109</v>
      </c>
      <c r="E14" s="45" t="str">
        <f>Lookup!E$20</f>
        <v>Source</v>
      </c>
      <c r="F14" s="45" t="str">
        <f>Lookup!F$20</f>
        <v>Unit</v>
      </c>
      <c r="G14" s="45" t="str">
        <f>Lookup!G$20</f>
        <v>Basis</v>
      </c>
      <c r="H14" s="45" t="str">
        <f>Lookup!H$20</f>
        <v>Timing</v>
      </c>
      <c r="J14" s="54" t="str">
        <f>J$10</f>
        <v>RY06</v>
      </c>
      <c r="K14" s="45" t="str">
        <f t="shared" ref="K14:AB14" si="0">K$10</f>
        <v>RY07</v>
      </c>
      <c r="L14" s="45" t="str">
        <f t="shared" si="0"/>
        <v>RY08</v>
      </c>
      <c r="M14" s="45" t="str">
        <f t="shared" si="0"/>
        <v>RY09</v>
      </c>
      <c r="N14" s="45" t="str">
        <f t="shared" si="0"/>
        <v>RY10</v>
      </c>
      <c r="O14" s="45" t="str">
        <f>O$10</f>
        <v>RY11</v>
      </c>
      <c r="P14" s="45" t="str">
        <f t="shared" si="0"/>
        <v>RY12</v>
      </c>
      <c r="Q14" s="45" t="str">
        <f t="shared" si="0"/>
        <v>RY13</v>
      </c>
      <c r="R14" s="55" t="str">
        <f t="shared" si="0"/>
        <v>RY14</v>
      </c>
      <c r="S14" s="54" t="str">
        <f t="shared" si="0"/>
        <v>RY15</v>
      </c>
      <c r="T14" s="45" t="str">
        <f>T$10</f>
        <v>RY16</v>
      </c>
      <c r="U14" s="45" t="str">
        <f t="shared" si="0"/>
        <v>RY17</v>
      </c>
      <c r="V14" s="45" t="str">
        <f t="shared" si="0"/>
        <v>RY18</v>
      </c>
      <c r="W14" s="55" t="str">
        <f t="shared" si="0"/>
        <v>RY19</v>
      </c>
      <c r="X14" s="54" t="str">
        <f t="shared" si="0"/>
        <v>RY20</v>
      </c>
      <c r="Y14" s="45" t="str">
        <f>Y$10</f>
        <v>RY21</v>
      </c>
      <c r="Z14" s="45" t="str">
        <f t="shared" si="0"/>
        <v>RY22</v>
      </c>
      <c r="AA14" s="45" t="str">
        <f t="shared" si="0"/>
        <v>RY23</v>
      </c>
      <c r="AB14" s="55" t="str">
        <f t="shared" si="0"/>
        <v>RY24</v>
      </c>
    </row>
    <row r="15" spans="1:28" x14ac:dyDescent="0.35">
      <c r="J15" s="56"/>
      <c r="K15" s="57"/>
      <c r="L15" s="57"/>
      <c r="M15" s="57"/>
      <c r="N15" s="57"/>
      <c r="O15" s="57"/>
      <c r="P15" s="57"/>
      <c r="Q15" s="57"/>
      <c r="R15" s="58"/>
      <c r="S15" s="56"/>
      <c r="T15" s="57"/>
      <c r="U15" s="57"/>
      <c r="V15" s="57"/>
      <c r="W15" s="58"/>
      <c r="X15" s="56"/>
      <c r="Y15" s="57"/>
      <c r="Z15" s="57"/>
      <c r="AA15" s="57"/>
      <c r="AB15" s="58"/>
    </row>
    <row r="16" spans="1:28" ht="12.3" x14ac:dyDescent="0.35">
      <c r="D16" s="15" t="str">
        <f>Calc_EB_ACS!$C$14</f>
        <v>Opening Balance</v>
      </c>
      <c r="E16" s="52" t="s">
        <v>111</v>
      </c>
      <c r="F16" s="52" t="str">
        <f>Dollars</f>
        <v>Dollars</v>
      </c>
      <c r="G16" s="52" t="str">
        <f>Nominal</f>
        <v>Nominal</v>
      </c>
      <c r="H16" s="52" t="str">
        <f>Start_year</f>
        <v>Start year</v>
      </c>
      <c r="J16" s="66">
        <f>J32+J46+J60+J74+J88+J102+J116+J130+J144+J158</f>
        <v>350.56509590619413</v>
      </c>
      <c r="K16" s="67">
        <f t="shared" ref="K16:AB16" si="1">K32+K46+K60+K74+K88+K102+K116+K130+K144+K158</f>
        <v>365.95099660144587</v>
      </c>
      <c r="L16" s="67">
        <f t="shared" si="1"/>
        <v>386.15053982321189</v>
      </c>
      <c r="M16" s="67">
        <f t="shared" si="1"/>
        <v>431.64217307079826</v>
      </c>
      <c r="N16" s="67">
        <f t="shared" si="1"/>
        <v>482.44975325772111</v>
      </c>
      <c r="O16" s="67">
        <f t="shared" si="1"/>
        <v>551.68837985352081</v>
      </c>
      <c r="P16" s="67">
        <f t="shared" si="1"/>
        <v>634.15600608284797</v>
      </c>
      <c r="Q16" s="67">
        <f t="shared" si="1"/>
        <v>692.9133326410572</v>
      </c>
      <c r="R16" s="68">
        <f t="shared" si="1"/>
        <v>788.49290006313981</v>
      </c>
      <c r="S16" s="66">
        <f t="shared" si="1"/>
        <v>861.76968918951218</v>
      </c>
      <c r="T16" s="67">
        <f t="shared" si="1"/>
        <v>902.19935716127748</v>
      </c>
      <c r="U16" s="67">
        <f t="shared" si="1"/>
        <v>928.07207830488881</v>
      </c>
      <c r="V16" s="67">
        <f t="shared" si="1"/>
        <v>946.93488457381602</v>
      </c>
      <c r="W16" s="68">
        <f t="shared" si="1"/>
        <v>960.3467973368829</v>
      </c>
      <c r="X16" s="66">
        <f t="shared" si="1"/>
        <v>983.99636679135494</v>
      </c>
      <c r="Y16" s="67">
        <f t="shared" si="1"/>
        <v>1059.4851784453674</v>
      </c>
      <c r="Z16" s="67">
        <f t="shared" si="1"/>
        <v>1108.3490384299268</v>
      </c>
      <c r="AA16" s="67">
        <f t="shared" si="1"/>
        <v>1181.1648474058211</v>
      </c>
      <c r="AB16" s="68">
        <f t="shared" si="1"/>
        <v>1217.4517649022789</v>
      </c>
    </row>
    <row r="17" spans="1:28" ht="12.3" x14ac:dyDescent="0.35">
      <c r="D17" s="15" t="str">
        <f>Calc_EB_ACS!$C$33</f>
        <v>Inflation</v>
      </c>
      <c r="E17" s="52" t="s">
        <v>111</v>
      </c>
      <c r="F17" s="52" t="str">
        <f>Dollars</f>
        <v>Dollars</v>
      </c>
      <c r="G17" s="52" t="str">
        <f>Nominal</f>
        <v>Nominal</v>
      </c>
      <c r="H17" s="52" t="str">
        <f>End_year</f>
        <v>End_year</v>
      </c>
      <c r="J17" s="66">
        <f t="shared" ref="J17:AB17" si="2">J33+J47+J61+J75+J89+J103+J117+J131+J145+J159</f>
        <v>10.247944338305333</v>
      </c>
      <c r="K17" s="67">
        <f t="shared" si="2"/>
        <v>9.0946401522252316</v>
      </c>
      <c r="L17" s="67">
        <f t="shared" si="2"/>
        <v>16.498348699144159</v>
      </c>
      <c r="M17" s="67">
        <f t="shared" si="2"/>
        <v>10.516199122433626</v>
      </c>
      <c r="N17" s="67">
        <f t="shared" si="2"/>
        <v>14.082317122117228</v>
      </c>
      <c r="O17" s="67">
        <f t="shared" si="2"/>
        <v>17.964642621280561</v>
      </c>
      <c r="P17" s="67">
        <f t="shared" si="2"/>
        <v>10.321969580188872</v>
      </c>
      <c r="Q17" s="67">
        <f t="shared" si="2"/>
        <v>17.340173489515941</v>
      </c>
      <c r="R17" s="68">
        <f t="shared" si="2"/>
        <v>19.317197997092524</v>
      </c>
      <c r="S17" s="66">
        <f t="shared" si="2"/>
        <v>11.446656213143349</v>
      </c>
      <c r="T17" s="67">
        <f t="shared" si="2"/>
        <v>11.826583333574925</v>
      </c>
      <c r="U17" s="67">
        <f t="shared" si="2"/>
        <v>19.727964695944895</v>
      </c>
      <c r="V17" s="67">
        <f t="shared" si="2"/>
        <v>22.961984039432952</v>
      </c>
      <c r="W17" s="68">
        <f t="shared" si="2"/>
        <v>23.287206113115893</v>
      </c>
      <c r="X17" s="66">
        <f t="shared" si="2"/>
        <v>23.860678529434626</v>
      </c>
      <c r="Y17" s="67">
        <f t="shared" si="2"/>
        <v>25.691187592510619</v>
      </c>
      <c r="Z17" s="67">
        <f t="shared" si="2"/>
        <v>26.876074949971869</v>
      </c>
      <c r="AA17" s="67">
        <f t="shared" si="2"/>
        <v>28.641767048510822</v>
      </c>
      <c r="AB17" s="68">
        <f t="shared" si="2"/>
        <v>29.521679314884754</v>
      </c>
    </row>
    <row r="18" spans="1:28" ht="12.3" x14ac:dyDescent="0.35">
      <c r="D18" s="15" t="str">
        <f>Calc_EB_ACS!$C$52</f>
        <v>Straight Line Depreciation</v>
      </c>
      <c r="E18" s="52" t="s">
        <v>111</v>
      </c>
      <c r="F18" s="52" t="str">
        <f>Dollars</f>
        <v>Dollars</v>
      </c>
      <c r="G18" s="52" t="str">
        <f>Nominal</f>
        <v>Nominal</v>
      </c>
      <c r="H18" s="52" t="str">
        <f>End_year</f>
        <v>End_year</v>
      </c>
      <c r="J18" s="66">
        <f t="shared" ref="J18:AB18" si="3">J34+J48+J62+J76+J90+J104+J118+J132+J146+J160</f>
        <v>-17.381106426705134</v>
      </c>
      <c r="K18" s="67">
        <f t="shared" si="3"/>
        <v>-17.295840936796065</v>
      </c>
      <c r="L18" s="67">
        <f t="shared" si="3"/>
        <v>-15.733727049217622</v>
      </c>
      <c r="M18" s="67">
        <f t="shared" si="3"/>
        <v>-15.484059499719331</v>
      </c>
      <c r="N18" s="67">
        <f t="shared" si="3"/>
        <v>-24.675870102719276</v>
      </c>
      <c r="O18" s="67">
        <f t="shared" si="3"/>
        <v>-26.426486934787331</v>
      </c>
      <c r="P18" s="67">
        <f t="shared" si="3"/>
        <v>-27.646492393244852</v>
      </c>
      <c r="Q18" s="67">
        <f t="shared" si="3"/>
        <v>-23.544527878281659</v>
      </c>
      <c r="R18" s="68">
        <f t="shared" si="3"/>
        <v>-38.865015104870189</v>
      </c>
      <c r="S18" s="66">
        <f t="shared" si="3"/>
        <v>-50.884497341104215</v>
      </c>
      <c r="T18" s="67">
        <f t="shared" si="3"/>
        <v>-53.764061510559024</v>
      </c>
      <c r="U18" s="67">
        <f t="shared" si="3"/>
        <v>-49.407202872702612</v>
      </c>
      <c r="V18" s="67">
        <f t="shared" si="3"/>
        <v>-50.880877582379533</v>
      </c>
      <c r="W18" s="68">
        <f t="shared" si="3"/>
        <v>-53.147428446641719</v>
      </c>
      <c r="X18" s="66">
        <f t="shared" si="3"/>
        <v>-48.632134059531957</v>
      </c>
      <c r="Y18" s="67">
        <f t="shared" si="3"/>
        <v>-55.290836763593525</v>
      </c>
      <c r="Z18" s="67">
        <f t="shared" si="3"/>
        <v>-58.54943554486065</v>
      </c>
      <c r="AA18" s="67">
        <f t="shared" si="3"/>
        <v>-64.641559043234309</v>
      </c>
      <c r="AB18" s="68">
        <f t="shared" si="3"/>
        <v>-69.409396826830715</v>
      </c>
    </row>
    <row r="19" spans="1:28" ht="12.3" x14ac:dyDescent="0.35">
      <c r="D19" s="15" t="str">
        <f>Calc_EB_ACS!$C$71</f>
        <v>RAB Additions</v>
      </c>
      <c r="E19" s="52" t="s">
        <v>111</v>
      </c>
      <c r="F19" s="52" t="str">
        <f>Dollars</f>
        <v>Dollars</v>
      </c>
      <c r="G19" s="52" t="str">
        <f>Nominal</f>
        <v>Nominal</v>
      </c>
      <c r="H19" s="52" t="str">
        <f>End_year</f>
        <v>End_year</v>
      </c>
      <c r="J19" s="66">
        <f t="shared" ref="J19:AB19" si="4">J35+J49+J63+J77+J91+J105+J119+J133+J147+J161</f>
        <v>22.519062783651478</v>
      </c>
      <c r="K19" s="67">
        <f t="shared" si="4"/>
        <v>28.400744006336883</v>
      </c>
      <c r="L19" s="67">
        <f t="shared" si="4"/>
        <v>44.727011597659789</v>
      </c>
      <c r="M19" s="67">
        <f t="shared" si="4"/>
        <v>55.77544056420853</v>
      </c>
      <c r="N19" s="67">
        <f t="shared" si="4"/>
        <v>80.014776530901031</v>
      </c>
      <c r="O19" s="67">
        <f t="shared" si="4"/>
        <v>91.785630273225578</v>
      </c>
      <c r="P19" s="67">
        <f t="shared" si="4"/>
        <v>76.771709032485447</v>
      </c>
      <c r="Q19" s="67">
        <f t="shared" si="4"/>
        <v>106.77513177546666</v>
      </c>
      <c r="R19" s="68">
        <f t="shared" si="4"/>
        <v>93.685648422671292</v>
      </c>
      <c r="S19" s="66">
        <f t="shared" si="4"/>
        <v>79.987523293202102</v>
      </c>
      <c r="T19" s="67">
        <f t="shared" si="4"/>
        <v>67.931530533438462</v>
      </c>
      <c r="U19" s="67">
        <f t="shared" si="4"/>
        <v>48.842950954937457</v>
      </c>
      <c r="V19" s="67">
        <f t="shared" si="4"/>
        <v>41.330806306013592</v>
      </c>
      <c r="W19" s="68">
        <f t="shared" si="4"/>
        <v>53.509791787997948</v>
      </c>
      <c r="X19" s="66">
        <f t="shared" si="4"/>
        <v>100.26026718410961</v>
      </c>
      <c r="Y19" s="67">
        <f t="shared" si="4"/>
        <v>78.463509155642271</v>
      </c>
      <c r="Z19" s="67">
        <f t="shared" si="4"/>
        <v>104.48916957078333</v>
      </c>
      <c r="AA19" s="67">
        <f t="shared" si="4"/>
        <v>72.286709491181128</v>
      </c>
      <c r="AB19" s="68">
        <f t="shared" si="4"/>
        <v>67.799650689054729</v>
      </c>
    </row>
    <row r="20" spans="1:28" ht="12.3" x14ac:dyDescent="0.35">
      <c r="D20" s="15" t="str">
        <f>Calc_EB_ACS!$C$90</f>
        <v>Disposals</v>
      </c>
      <c r="E20" s="52" t="s">
        <v>111</v>
      </c>
      <c r="F20" s="52" t="str">
        <f>Dollars</f>
        <v>Dollars</v>
      </c>
      <c r="G20" s="52" t="str">
        <f>Nominal</f>
        <v>Nominal</v>
      </c>
      <c r="H20" s="52" t="str">
        <f>End_year</f>
        <v>End_year</v>
      </c>
      <c r="J20" s="66">
        <f t="shared" ref="J20:AB20" si="5">J36+J50+J64+J78+J92+J106+J120+J134+J148+J162</f>
        <v>0</v>
      </c>
      <c r="K20" s="67">
        <f t="shared" si="5"/>
        <v>0</v>
      </c>
      <c r="L20" s="67">
        <f t="shared" si="5"/>
        <v>0</v>
      </c>
      <c r="M20" s="67">
        <f t="shared" si="5"/>
        <v>0</v>
      </c>
      <c r="N20" s="67">
        <f t="shared" si="5"/>
        <v>-0.18259695449911931</v>
      </c>
      <c r="O20" s="67">
        <f t="shared" si="5"/>
        <v>-0.85615973039155013</v>
      </c>
      <c r="P20" s="67">
        <f t="shared" si="5"/>
        <v>-0.68985966122039166</v>
      </c>
      <c r="Q20" s="67">
        <f t="shared" si="5"/>
        <v>-4.9912099646182329</v>
      </c>
      <c r="R20" s="68">
        <f t="shared" si="5"/>
        <v>-0.86104218852131953</v>
      </c>
      <c r="S20" s="66">
        <f t="shared" si="5"/>
        <v>-0.12001419347613983</v>
      </c>
      <c r="T20" s="67">
        <f t="shared" si="5"/>
        <v>-0.12133121284306894</v>
      </c>
      <c r="U20" s="67">
        <f t="shared" si="5"/>
        <v>-0.30090650925257667</v>
      </c>
      <c r="V20" s="67">
        <f t="shared" si="5"/>
        <v>0</v>
      </c>
      <c r="W20" s="68">
        <f t="shared" si="5"/>
        <v>0</v>
      </c>
      <c r="X20" s="66">
        <f t="shared" si="5"/>
        <v>0</v>
      </c>
      <c r="Y20" s="67">
        <f t="shared" si="5"/>
        <v>0</v>
      </c>
      <c r="Z20" s="67">
        <f t="shared" si="5"/>
        <v>0</v>
      </c>
      <c r="AA20" s="67">
        <f t="shared" si="5"/>
        <v>0</v>
      </c>
      <c r="AB20" s="68">
        <f t="shared" si="5"/>
        <v>0</v>
      </c>
    </row>
    <row r="21" spans="1:28" x14ac:dyDescent="0.35">
      <c r="J21" s="56"/>
      <c r="K21" s="57"/>
      <c r="L21" s="57"/>
      <c r="M21" s="57"/>
      <c r="N21" s="57"/>
      <c r="O21" s="57"/>
      <c r="P21" s="57"/>
      <c r="Q21" s="57"/>
      <c r="R21" s="58"/>
      <c r="S21" s="56"/>
      <c r="T21" s="57"/>
      <c r="U21" s="57"/>
      <c r="V21" s="57"/>
      <c r="W21" s="58"/>
      <c r="X21" s="56"/>
      <c r="Y21" s="57"/>
      <c r="Z21" s="57"/>
      <c r="AA21" s="57"/>
      <c r="AB21" s="58"/>
    </row>
    <row r="22" spans="1:28" ht="12.3" x14ac:dyDescent="0.35">
      <c r="D22" s="51" t="s">
        <v>152</v>
      </c>
      <c r="E22" s="47" t="s">
        <v>111</v>
      </c>
      <c r="F22" s="47" t="str">
        <f>F16</f>
        <v>Dollars</v>
      </c>
      <c r="G22" s="47" t="str">
        <f>G16</f>
        <v>Nominal</v>
      </c>
      <c r="H22" s="47" t="str">
        <f>H16</f>
        <v>Start year</v>
      </c>
      <c r="J22" s="62">
        <f t="shared" ref="J22:AB22" si="6">J38+J52+J66+J80+J94+J108+J122+J136+J150+J164</f>
        <v>365.95099660144587</v>
      </c>
      <c r="K22" s="46">
        <f t="shared" si="6"/>
        <v>386.15053982321189</v>
      </c>
      <c r="L22" s="46">
        <f t="shared" si="6"/>
        <v>431.64217307079826</v>
      </c>
      <c r="M22" s="46">
        <f t="shared" si="6"/>
        <v>482.44975325772111</v>
      </c>
      <c r="N22" s="46">
        <f t="shared" si="6"/>
        <v>551.68837985352081</v>
      </c>
      <c r="O22" s="46">
        <f t="shared" si="6"/>
        <v>634.15600608284797</v>
      </c>
      <c r="P22" s="46">
        <f t="shared" si="6"/>
        <v>692.9133326410572</v>
      </c>
      <c r="Q22" s="46">
        <f t="shared" si="6"/>
        <v>788.49290006313981</v>
      </c>
      <c r="R22" s="63">
        <f t="shared" si="6"/>
        <v>861.76968918951218</v>
      </c>
      <c r="S22" s="62">
        <f t="shared" si="6"/>
        <v>902.19935716127748</v>
      </c>
      <c r="T22" s="46">
        <f t="shared" si="6"/>
        <v>928.07207830488881</v>
      </c>
      <c r="U22" s="46">
        <f t="shared" si="6"/>
        <v>946.93488457381602</v>
      </c>
      <c r="V22" s="46">
        <f t="shared" si="6"/>
        <v>960.3467973368829</v>
      </c>
      <c r="W22" s="63">
        <f t="shared" si="6"/>
        <v>983.99636679135494</v>
      </c>
      <c r="X22" s="62">
        <f t="shared" si="6"/>
        <v>1059.4851784453674</v>
      </c>
      <c r="Y22" s="46">
        <f t="shared" si="6"/>
        <v>1108.3490384299268</v>
      </c>
      <c r="Z22" s="46">
        <f t="shared" si="6"/>
        <v>1181.1648474058211</v>
      </c>
      <c r="AA22" s="46">
        <f t="shared" si="6"/>
        <v>1217.4517649022789</v>
      </c>
      <c r="AB22" s="63">
        <f t="shared" si="6"/>
        <v>1245.3636980793876</v>
      </c>
    </row>
    <row r="23" spans="1:28" s="6" customFormat="1" ht="11.25" customHeight="1" x14ac:dyDescent="0.35"/>
    <row r="24" spans="1:28" s="6" customFormat="1" ht="11.25" customHeight="1" x14ac:dyDescent="0.35">
      <c r="A24" s="49">
        <f>IF(SUM($J24:$AB24)&lt;&gt;0,1,0)</f>
        <v>0</v>
      </c>
      <c r="D24" s="15" t="s">
        <v>114</v>
      </c>
      <c r="J24" s="70">
        <f>IF(J22&lt;&gt;Calc_EB_NS!J$162,1,0)</f>
        <v>0</v>
      </c>
      <c r="K24" s="70">
        <f>IF(K22&lt;&gt;Calc_EB_NS!K$162,1,0)</f>
        <v>0</v>
      </c>
      <c r="L24" s="70">
        <f>IF(L22&lt;&gt;Calc_EB_NS!L$162,1,0)</f>
        <v>0</v>
      </c>
      <c r="M24" s="70">
        <f>IF(M22&lt;&gt;Calc_EB_NS!M$162,1,0)</f>
        <v>0</v>
      </c>
      <c r="N24" s="70">
        <f>IF(N22&lt;&gt;Calc_EB_NS!N$162,1,0)</f>
        <v>0</v>
      </c>
      <c r="O24" s="70">
        <f>IF(O22&lt;&gt;Calc_EB_NS!O$162,1,0)</f>
        <v>0</v>
      </c>
      <c r="P24" s="70">
        <f>IF(P22&lt;&gt;Calc_EB_NS!P$162,1,0)</f>
        <v>0</v>
      </c>
      <c r="Q24" s="70">
        <f>IF(Q22&lt;&gt;Calc_EB_NS!Q$162,1,0)</f>
        <v>0</v>
      </c>
      <c r="R24" s="70">
        <f>IF(R22&lt;&gt;Calc_EB_NS!R$162,1,0)</f>
        <v>0</v>
      </c>
      <c r="S24" s="70">
        <f>IF(S22&lt;&gt;Calc_EB_NS!S$162,1,0)</f>
        <v>0</v>
      </c>
      <c r="T24" s="70">
        <f>IF(T22&lt;&gt;Calc_EB_NS!T$162,1,0)</f>
        <v>0</v>
      </c>
      <c r="U24" s="70">
        <f>IF(U22&lt;&gt;Calc_EB_NS!U$162,1,0)</f>
        <v>0</v>
      </c>
      <c r="V24" s="70">
        <f>IF(V22&lt;&gt;Calc_EB_NS!V$162,1,0)</f>
        <v>0</v>
      </c>
      <c r="W24" s="70">
        <f>IF(W22&lt;&gt;Calc_EB_NS!W$162,1,0)</f>
        <v>0</v>
      </c>
      <c r="X24" s="70">
        <f>IF(X22&lt;&gt;Calc_EB_NS!X$162,1,0)</f>
        <v>0</v>
      </c>
      <c r="Y24" s="70">
        <f>IF(Y22&lt;&gt;Calc_EB_NS!Y$162,1,0)</f>
        <v>0</v>
      </c>
      <c r="Z24" s="70">
        <f>IF(Z22&lt;&gt;Calc_EB_NS!Z$162,1,0)</f>
        <v>0</v>
      </c>
      <c r="AA24" s="70">
        <f>IF(AA22&lt;&gt;Calc_EB_NS!AA$162,1,0)</f>
        <v>0</v>
      </c>
      <c r="AB24" s="70">
        <f>IF(AB22&lt;&gt;Calc_EB_NS!AB$162,1,0)</f>
        <v>0</v>
      </c>
    </row>
    <row r="26" spans="1:28" s="4" customFormat="1" ht="15" x14ac:dyDescent="0.35">
      <c r="B26" s="4" t="s">
        <v>155</v>
      </c>
    </row>
    <row r="27" spans="1:28" s="6" customFormat="1" ht="4.5" customHeight="1" x14ac:dyDescent="0.35"/>
    <row r="28" spans="1:28" s="13" customFormat="1" ht="14.1" x14ac:dyDescent="0.35">
      <c r="C28" s="13" t="str">
        <f>Lookup!$D$103</f>
        <v>Overhead network assets less than 33kV</v>
      </c>
    </row>
    <row r="29" spans="1:28" s="6" customFormat="1" ht="11.25" customHeight="1" x14ac:dyDescent="0.35"/>
    <row r="30" spans="1:28" ht="12.3" x14ac:dyDescent="0.35">
      <c r="D30" s="50" t="s">
        <v>109</v>
      </c>
      <c r="E30" s="45" t="str">
        <f>Lookup!E$20</f>
        <v>Source</v>
      </c>
      <c r="F30" s="45" t="str">
        <f>Lookup!F$20</f>
        <v>Unit</v>
      </c>
      <c r="G30" s="45" t="str">
        <f>Lookup!G$20</f>
        <v>Basis</v>
      </c>
      <c r="H30" s="45" t="str">
        <f>Lookup!H$20</f>
        <v>Timing</v>
      </c>
      <c r="J30" s="54" t="str">
        <f>J$10</f>
        <v>RY06</v>
      </c>
      <c r="K30" s="45" t="str">
        <f t="shared" ref="K30:AB30" si="7">K$10</f>
        <v>RY07</v>
      </c>
      <c r="L30" s="45" t="str">
        <f t="shared" si="7"/>
        <v>RY08</v>
      </c>
      <c r="M30" s="45" t="str">
        <f t="shared" si="7"/>
        <v>RY09</v>
      </c>
      <c r="N30" s="45" t="str">
        <f t="shared" si="7"/>
        <v>RY10</v>
      </c>
      <c r="O30" s="45" t="str">
        <f>O$10</f>
        <v>RY11</v>
      </c>
      <c r="P30" s="45" t="str">
        <f t="shared" si="7"/>
        <v>RY12</v>
      </c>
      <c r="Q30" s="45" t="str">
        <f t="shared" si="7"/>
        <v>RY13</v>
      </c>
      <c r="R30" s="55" t="str">
        <f t="shared" si="7"/>
        <v>RY14</v>
      </c>
      <c r="S30" s="54" t="str">
        <f t="shared" si="7"/>
        <v>RY15</v>
      </c>
      <c r="T30" s="45" t="str">
        <f>T$10</f>
        <v>RY16</v>
      </c>
      <c r="U30" s="45" t="str">
        <f t="shared" si="7"/>
        <v>RY17</v>
      </c>
      <c r="V30" s="45" t="str">
        <f t="shared" si="7"/>
        <v>RY18</v>
      </c>
      <c r="W30" s="55" t="str">
        <f t="shared" si="7"/>
        <v>RY19</v>
      </c>
      <c r="X30" s="54" t="str">
        <f t="shared" si="7"/>
        <v>RY20</v>
      </c>
      <c r="Y30" s="45" t="str">
        <f>Y$10</f>
        <v>RY21</v>
      </c>
      <c r="Z30" s="45" t="str">
        <f t="shared" si="7"/>
        <v>RY22</v>
      </c>
      <c r="AA30" s="45" t="str">
        <f t="shared" si="7"/>
        <v>RY23</v>
      </c>
      <c r="AB30" s="55" t="str">
        <f t="shared" si="7"/>
        <v>RY24</v>
      </c>
    </row>
    <row r="31" spans="1:28" x14ac:dyDescent="0.35">
      <c r="J31" s="56"/>
      <c r="K31" s="57"/>
      <c r="L31" s="57"/>
      <c r="M31" s="57"/>
      <c r="N31" s="57"/>
      <c r="O31" s="57"/>
      <c r="P31" s="57"/>
      <c r="Q31" s="57"/>
      <c r="R31" s="58"/>
      <c r="S31" s="56"/>
      <c r="T31" s="57"/>
      <c r="U31" s="57"/>
      <c r="V31" s="57"/>
      <c r="W31" s="58"/>
      <c r="X31" s="56"/>
      <c r="Y31" s="57"/>
      <c r="Z31" s="57"/>
      <c r="AA31" s="57"/>
      <c r="AB31" s="58"/>
    </row>
    <row r="32" spans="1:28" ht="12.3" x14ac:dyDescent="0.35">
      <c r="D32" s="15" t="str">
        <f>Calc_EB_ACS!$C$14</f>
        <v>Opening Balance</v>
      </c>
      <c r="E32" s="52" t="s">
        <v>190</v>
      </c>
      <c r="F32" s="52" t="str">
        <f>Dollars</f>
        <v>Dollars</v>
      </c>
      <c r="G32" s="52" t="str">
        <f>Nominal</f>
        <v>Nominal</v>
      </c>
      <c r="H32" s="52" t="str">
        <f>Start_year</f>
        <v>Start year</v>
      </c>
      <c r="J32" s="66">
        <f>Calc_EB_NS!J$18</f>
        <v>37.790466705886217</v>
      </c>
      <c r="K32" s="67">
        <f>Calc_EB_NS!K$18</f>
        <v>40.58084052630528</v>
      </c>
      <c r="L32" s="67">
        <f>Calc_EB_NS!L$18</f>
        <v>43.998327474311651</v>
      </c>
      <c r="M32" s="67">
        <f>Calc_EB_NS!M$18</f>
        <v>48.579072176043539</v>
      </c>
      <c r="N32" s="67">
        <f>Calc_EB_NS!N$18</f>
        <v>52.016970815439393</v>
      </c>
      <c r="O32" s="67">
        <f>Calc_EB_NS!O$18</f>
        <v>55.674338794952604</v>
      </c>
      <c r="P32" s="67">
        <f>Calc_EB_NS!P$18</f>
        <v>59.565342633047557</v>
      </c>
      <c r="Q32" s="67">
        <f>Calc_EB_NS!Q$18</f>
        <v>63.17000271572261</v>
      </c>
      <c r="R32" s="68">
        <f>Calc_EB_NS!R$18</f>
        <v>70.782453599585736</v>
      </c>
      <c r="S32" s="66">
        <f>Calc_EB_NS!S$18</f>
        <v>75.810388470053482</v>
      </c>
      <c r="T32" s="67">
        <f>Calc_EB_NS!T$18</f>
        <v>79.184237783716938</v>
      </c>
      <c r="U32" s="67">
        <f>Calc_EB_NS!U$18</f>
        <v>80.897508137741013</v>
      </c>
      <c r="V32" s="67">
        <f>Calc_EB_NS!V$18</f>
        <v>82.957813462294112</v>
      </c>
      <c r="W32" s="68">
        <f>Calc_EB_NS!W$18</f>
        <v>83.473133796022097</v>
      </c>
      <c r="X32" s="66">
        <f>Calc_EB_NS!X$18</f>
        <v>84.042515233104851</v>
      </c>
      <c r="Y32" s="67">
        <f>Calc_EB_NS!Y$18</f>
        <v>89.577721642038085</v>
      </c>
      <c r="Z32" s="67">
        <f>Calc_EB_NS!Z$18</f>
        <v>96.490790556337956</v>
      </c>
      <c r="AA32" s="67">
        <f>Calc_EB_NS!AA$18</f>
        <v>101.53111148057896</v>
      </c>
      <c r="AB32" s="68">
        <f>Calc_EB_NS!AB$18</f>
        <v>105.91312928979234</v>
      </c>
    </row>
    <row r="33" spans="1:28" ht="12.3" x14ac:dyDescent="0.35">
      <c r="D33" s="15" t="str">
        <f>Calc_EB_ACS!$C$33</f>
        <v>Inflation</v>
      </c>
      <c r="E33" s="52" t="s">
        <v>190</v>
      </c>
      <c r="F33" s="52" t="str">
        <f>Dollars</f>
        <v>Dollars</v>
      </c>
      <c r="G33" s="52" t="str">
        <f>Nominal</f>
        <v>Nominal</v>
      </c>
      <c r="H33" s="52" t="str">
        <f>End_year</f>
        <v>End_year</v>
      </c>
      <c r="J33" s="66">
        <f>Calc_EB_NS!J$37</f>
        <v>1.1047152264814508</v>
      </c>
      <c r="K33" s="67">
        <f>Calc_EB_NS!K$37</f>
        <v>1.0085179302395342</v>
      </c>
      <c r="L33" s="67">
        <f>Calc_EB_NS!L$37</f>
        <v>1.87983616229738</v>
      </c>
      <c r="M33" s="67">
        <f>Calc_EB_NS!M$37</f>
        <v>1.1835432866810169</v>
      </c>
      <c r="N33" s="67">
        <f>Calc_EB_NS!N$37</f>
        <v>1.518333202180389</v>
      </c>
      <c r="O33" s="67">
        <f>Calc_EB_NS!O$37</f>
        <v>1.8129248977347951</v>
      </c>
      <c r="P33" s="67">
        <f>Calc_EB_NS!P$37</f>
        <v>0.96952744875764962</v>
      </c>
      <c r="Q33" s="67">
        <f>Calc_EB_NS!Q$37</f>
        <v>1.5808308987918565</v>
      </c>
      <c r="R33" s="68">
        <f>Calc_EB_NS!R$37</f>
        <v>1.7340912908584485</v>
      </c>
      <c r="S33" s="66">
        <f>Calc_EB_NS!S$37</f>
        <v>1.0069691068128479</v>
      </c>
      <c r="T33" s="67">
        <f>Calc_EB_NS!T$37</f>
        <v>1.0379956263783234</v>
      </c>
      <c r="U33" s="67">
        <f>Calc_EB_NS!U$37</f>
        <v>1.7196327977523453</v>
      </c>
      <c r="V33" s="67">
        <f>Calc_EB_NS!V$37</f>
        <v>2.0116229950962001</v>
      </c>
      <c r="W33" s="68">
        <f>Calc_EB_NS!W$37</f>
        <v>2.0241188672739185</v>
      </c>
      <c r="X33" s="66">
        <f>Calc_EB_NS!X$37</f>
        <v>2.0379256534464738</v>
      </c>
      <c r="Y33" s="67">
        <f>Calc_EB_NS!Y$37</f>
        <v>2.172147470899207</v>
      </c>
      <c r="Z33" s="67">
        <f>Calc_EB_NS!Z$37</f>
        <v>2.3397807270603166</v>
      </c>
      <c r="AA33" s="67">
        <f>Calc_EB_NS!AA$37</f>
        <v>2.4620021918109058</v>
      </c>
      <c r="AB33" s="68">
        <f>Calc_EB_NS!AB$37</f>
        <v>2.5682606311553955</v>
      </c>
    </row>
    <row r="34" spans="1:28" ht="12.3" x14ac:dyDescent="0.35">
      <c r="D34" s="15" t="str">
        <f>Calc_EB_ACS!$C$52</f>
        <v>Straight Line Depreciation</v>
      </c>
      <c r="E34" s="52" t="s">
        <v>190</v>
      </c>
      <c r="F34" s="52" t="str">
        <f>Dollars</f>
        <v>Dollars</v>
      </c>
      <c r="G34" s="52" t="str">
        <f>Nominal</f>
        <v>Nominal</v>
      </c>
      <c r="H34" s="52" t="str">
        <f>End_year</f>
        <v>End_year</v>
      </c>
      <c r="J34" s="66">
        <f>Calc_EB_NS!J$56</f>
        <v>-1.461944938823442</v>
      </c>
      <c r="K34" s="67">
        <f>Calc_EB_NS!K$56</f>
        <v>-1.5607469080792118</v>
      </c>
      <c r="L34" s="67">
        <f>Calc_EB_NS!L$56</f>
        <v>-1.7010086272331331</v>
      </c>
      <c r="M34" s="67">
        <f>Calc_EB_NS!M$56</f>
        <v>-1.817010506585262</v>
      </c>
      <c r="N34" s="67">
        <f>Calc_EB_NS!N$56</f>
        <v>-2.0076413141995912</v>
      </c>
      <c r="O34" s="67">
        <f>Calc_EB_NS!O$56</f>
        <v>-2.1471251655687875</v>
      </c>
      <c r="P34" s="67">
        <f>Calc_EB_NS!P$56</f>
        <v>-2.2563946718374339</v>
      </c>
      <c r="Q34" s="67">
        <f>Calc_EB_NS!Q$56</f>
        <v>-2.3996436903393792</v>
      </c>
      <c r="R34" s="68">
        <f>Calc_EB_NS!R$56</f>
        <v>-2.1731027995715451</v>
      </c>
      <c r="S34" s="66">
        <f>Calc_EB_NS!S$56</f>
        <v>-3.2644539242284911</v>
      </c>
      <c r="T34" s="67">
        <f>Calc_EB_NS!T$56</f>
        <v>-3.3356107888532596</v>
      </c>
      <c r="U34" s="67">
        <f>Calc_EB_NS!U$56</f>
        <v>-3.4108784283351361</v>
      </c>
      <c r="V34" s="67">
        <f>Calc_EB_NS!V$56</f>
        <v>-3.4988370892985983</v>
      </c>
      <c r="W34" s="68">
        <f>Calc_EB_NS!W$56</f>
        <v>-3.603199998760624</v>
      </c>
      <c r="X34" s="66">
        <f>Calc_EB_NS!X$56</f>
        <v>-2.9203285289140593</v>
      </c>
      <c r="Y34" s="67">
        <f>Calc_EB_NS!Y$56</f>
        <v>-3.1085872828423415</v>
      </c>
      <c r="Z34" s="67">
        <f>Calc_EB_NS!Z$56</f>
        <v>-3.3276152072880074</v>
      </c>
      <c r="AA34" s="67">
        <f>Calc_EB_NS!AA$56</f>
        <v>-3.5186228412905645</v>
      </c>
      <c r="AB34" s="68">
        <f>Calc_EB_NS!AB$56</f>
        <v>-3.7034738445828976</v>
      </c>
    </row>
    <row r="35" spans="1:28" ht="12.3" x14ac:dyDescent="0.35">
      <c r="D35" s="15" t="str">
        <f>Calc_EB_ACS!$C$71</f>
        <v>RAB Additions</v>
      </c>
      <c r="E35" s="52" t="s">
        <v>190</v>
      </c>
      <c r="F35" s="52" t="str">
        <f>Dollars</f>
        <v>Dollars</v>
      </c>
      <c r="G35" s="52" t="str">
        <f>Nominal</f>
        <v>Nominal</v>
      </c>
      <c r="H35" s="52" t="str">
        <f>End_year</f>
        <v>End_year</v>
      </c>
      <c r="J35" s="66">
        <f>Calc_EB_NS!J$75+Calc_EB_NS!J$132</f>
        <v>3.147603532761051</v>
      </c>
      <c r="K35" s="67">
        <f>Calc_EB_NS!K$75+Calc_EB_NS!K$132</f>
        <v>3.9697159258460437</v>
      </c>
      <c r="L35" s="67">
        <f>Calc_EB_NS!L$75+Calc_EB_NS!L$132</f>
        <v>4.4019171666676407</v>
      </c>
      <c r="M35" s="67">
        <f>Calc_EB_NS!M$75+Calc_EB_NS!M$132</f>
        <v>4.071365859300105</v>
      </c>
      <c r="N35" s="67">
        <f>Calc_EB_NS!N$75+Calc_EB_NS!N$132</f>
        <v>4.1466760915324112</v>
      </c>
      <c r="O35" s="67">
        <f>Calc_EB_NS!O$75+Calc_EB_NS!O$132</f>
        <v>4.3082608620036158</v>
      </c>
      <c r="P35" s="67">
        <f>Calc_EB_NS!P$75+Calc_EB_NS!P$132</f>
        <v>4.8982708874873255</v>
      </c>
      <c r="Q35" s="67">
        <f>Calc_EB_NS!Q$75+Calc_EB_NS!Q$132</f>
        <v>8.6840711296809001</v>
      </c>
      <c r="R35" s="68">
        <f>Calc_EB_NS!R$75+Calc_EB_NS!R$132</f>
        <v>5.5516745476844793</v>
      </c>
      <c r="S35" s="66">
        <f>Calc_EB_NS!S$75+Calc_EB_NS!S$132</f>
        <v>5.6528848278492418</v>
      </c>
      <c r="T35" s="67">
        <f>Calc_EB_NS!T$75+Calc_EB_NS!T$132</f>
        <v>4.0323721273399196</v>
      </c>
      <c r="U35" s="67">
        <f>Calc_EB_NS!U$75+Calc_EB_NS!U$132</f>
        <v>3.7925294312652471</v>
      </c>
      <c r="V35" s="67">
        <f>Calc_EB_NS!V$75+Calc_EB_NS!V$132</f>
        <v>2.0025344279303843</v>
      </c>
      <c r="W35" s="68">
        <f>Calc_EB_NS!W$75+Calc_EB_NS!W$132</f>
        <v>2.1484625685694749</v>
      </c>
      <c r="X35" s="66">
        <f>Calc_EB_NS!X$75+Calc_EB_NS!X$132</f>
        <v>6.4176092844008057</v>
      </c>
      <c r="Y35" s="67">
        <f>Calc_EB_NS!Y$75+Calc_EB_NS!Y$132</f>
        <v>7.8495087262430063</v>
      </c>
      <c r="Z35" s="67">
        <f>Calc_EB_NS!Z$75+Calc_EB_NS!Z$132</f>
        <v>6.028155404468686</v>
      </c>
      <c r="AA35" s="67">
        <f>Calc_EB_NS!AA$75+Calc_EB_NS!AA$132</f>
        <v>5.4386384586930392</v>
      </c>
      <c r="AB35" s="68">
        <f>Calc_EB_NS!AB$75+Calc_EB_NS!AB$132</f>
        <v>6.2556560538830306</v>
      </c>
    </row>
    <row r="36" spans="1:28" ht="12.3" x14ac:dyDescent="0.35">
      <c r="D36" s="15" t="str">
        <f>Calc_EB_ACS!$C$90</f>
        <v>Disposals</v>
      </c>
      <c r="E36" s="52" t="s">
        <v>190</v>
      </c>
      <c r="F36" s="52" t="str">
        <f>Dollars</f>
        <v>Dollars</v>
      </c>
      <c r="G36" s="52" t="str">
        <f>Nominal</f>
        <v>Nominal</v>
      </c>
      <c r="H36" s="52" t="str">
        <f>End_year</f>
        <v>End_year</v>
      </c>
      <c r="J36" s="66">
        <f>Calc_EB_NS!J$94</f>
        <v>0</v>
      </c>
      <c r="K36" s="67">
        <f>Calc_EB_NS!K$94</f>
        <v>0</v>
      </c>
      <c r="L36" s="67">
        <f>Calc_EB_NS!L$94</f>
        <v>0</v>
      </c>
      <c r="M36" s="67">
        <f>Calc_EB_NS!M$94</f>
        <v>0</v>
      </c>
      <c r="N36" s="67">
        <f>Calc_EB_NS!N$94</f>
        <v>0</v>
      </c>
      <c r="O36" s="67">
        <f>Calc_EB_NS!O$94</f>
        <v>-8.305675607466792E-2</v>
      </c>
      <c r="P36" s="67">
        <f>Calc_EB_NS!P$94</f>
        <v>-6.7435817324966972E-3</v>
      </c>
      <c r="Q36" s="67">
        <f>Calc_EB_NS!Q$94</f>
        <v>-0.25280745427024426</v>
      </c>
      <c r="R36" s="68">
        <f>Calc_EB_NS!R$94</f>
        <v>-8.4728168503626564E-2</v>
      </c>
      <c r="S36" s="66">
        <f>Calc_EB_NS!S$94</f>
        <v>-2.1550696770145112E-2</v>
      </c>
      <c r="T36" s="67">
        <f>Calc_EB_NS!T$94</f>
        <v>-2.1486610840907527E-2</v>
      </c>
      <c r="U36" s="67">
        <f>Calc_EB_NS!U$94</f>
        <v>-4.0978476129357767E-2</v>
      </c>
      <c r="V36" s="67">
        <f>Calc_EB_NS!V$94</f>
        <v>0</v>
      </c>
      <c r="W36" s="68">
        <f>Calc_EB_NS!W$94</f>
        <v>0</v>
      </c>
      <c r="X36" s="66">
        <f>Calc_EB_NS!X$94</f>
        <v>0</v>
      </c>
      <c r="Y36" s="67">
        <f>Calc_EB_NS!Y$94</f>
        <v>0</v>
      </c>
      <c r="Z36" s="67">
        <f>Calc_EB_NS!Z$94</f>
        <v>0</v>
      </c>
      <c r="AA36" s="67">
        <f>Calc_EB_NS!AA$94</f>
        <v>0</v>
      </c>
      <c r="AB36" s="68">
        <f>Calc_EB_NS!AB$94</f>
        <v>0</v>
      </c>
    </row>
    <row r="37" spans="1:28" x14ac:dyDescent="0.35">
      <c r="J37" s="56"/>
      <c r="K37" s="57"/>
      <c r="L37" s="57"/>
      <c r="M37" s="57"/>
      <c r="N37" s="57"/>
      <c r="O37" s="57"/>
      <c r="P37" s="57"/>
      <c r="Q37" s="57"/>
      <c r="R37" s="58"/>
      <c r="S37" s="56"/>
      <c r="T37" s="57"/>
      <c r="U37" s="57"/>
      <c r="V37" s="57"/>
      <c r="W37" s="58"/>
      <c r="X37" s="56"/>
      <c r="Y37" s="57"/>
      <c r="Z37" s="57"/>
      <c r="AA37" s="57"/>
      <c r="AB37" s="58"/>
    </row>
    <row r="38" spans="1:28" ht="12.3" x14ac:dyDescent="0.35">
      <c r="D38" s="51" t="s">
        <v>152</v>
      </c>
      <c r="E38" s="47" t="s">
        <v>111</v>
      </c>
      <c r="F38" s="47" t="str">
        <f>F32</f>
        <v>Dollars</v>
      </c>
      <c r="G38" s="47" t="str">
        <f>G32</f>
        <v>Nominal</v>
      </c>
      <c r="H38" s="47" t="str">
        <f>H32</f>
        <v>Start year</v>
      </c>
      <c r="J38" s="62">
        <f>SUM(J32:J36)</f>
        <v>40.58084052630528</v>
      </c>
      <c r="K38" s="46">
        <f t="shared" ref="K38:AB38" si="8">SUM(K32:K36)</f>
        <v>43.998327474311651</v>
      </c>
      <c r="L38" s="46">
        <f t="shared" si="8"/>
        <v>48.579072176043539</v>
      </c>
      <c r="M38" s="46">
        <f t="shared" si="8"/>
        <v>52.016970815439393</v>
      </c>
      <c r="N38" s="46">
        <f t="shared" si="8"/>
        <v>55.674338794952604</v>
      </c>
      <c r="O38" s="46">
        <f t="shared" si="8"/>
        <v>59.565342633047557</v>
      </c>
      <c r="P38" s="46">
        <f t="shared" si="8"/>
        <v>63.17000271572261</v>
      </c>
      <c r="Q38" s="46">
        <f t="shared" si="8"/>
        <v>70.782453599585736</v>
      </c>
      <c r="R38" s="63">
        <f t="shared" si="8"/>
        <v>75.810388470053482</v>
      </c>
      <c r="S38" s="62">
        <f t="shared" si="8"/>
        <v>79.184237783716938</v>
      </c>
      <c r="T38" s="46">
        <f t="shared" si="8"/>
        <v>80.897508137741013</v>
      </c>
      <c r="U38" s="46">
        <f t="shared" si="8"/>
        <v>82.957813462294112</v>
      </c>
      <c r="V38" s="46">
        <f t="shared" si="8"/>
        <v>83.473133796022097</v>
      </c>
      <c r="W38" s="63">
        <f t="shared" si="8"/>
        <v>84.042515233104851</v>
      </c>
      <c r="X38" s="62">
        <f t="shared" si="8"/>
        <v>89.577721642038085</v>
      </c>
      <c r="Y38" s="46">
        <f t="shared" si="8"/>
        <v>96.490790556337956</v>
      </c>
      <c r="Z38" s="46">
        <f t="shared" si="8"/>
        <v>101.53111148057896</v>
      </c>
      <c r="AA38" s="46">
        <f t="shared" si="8"/>
        <v>105.91312928979234</v>
      </c>
      <c r="AB38" s="63">
        <f t="shared" si="8"/>
        <v>111.03357213024786</v>
      </c>
    </row>
    <row r="39" spans="1:28" s="6" customFormat="1" ht="11.25" customHeight="1" x14ac:dyDescent="0.35"/>
    <row r="40" spans="1:28" s="6" customFormat="1" ht="11.25" customHeight="1" x14ac:dyDescent="0.35">
      <c r="A40" s="49">
        <f>IF(SUM($J40:$AB40)&lt;&gt;0,1,0)</f>
        <v>0</v>
      </c>
      <c r="D40" s="15" t="s">
        <v>114</v>
      </c>
      <c r="J40" s="70">
        <f>IF(J38&lt;&gt;Calc_EB_NS!J$151,1,0)</f>
        <v>0</v>
      </c>
      <c r="K40" s="70">
        <f>IF(K38&lt;&gt;Calc_EB_NS!K$151,1,0)</f>
        <v>0</v>
      </c>
      <c r="L40" s="70">
        <f>IF(L38&lt;&gt;Calc_EB_NS!L$151,1,0)</f>
        <v>0</v>
      </c>
      <c r="M40" s="70">
        <f>IF(M38&lt;&gt;Calc_EB_NS!M$151,1,0)</f>
        <v>0</v>
      </c>
      <c r="N40" s="70">
        <f>IF(N38&lt;&gt;Calc_EB_NS!N$151,1,0)</f>
        <v>0</v>
      </c>
      <c r="O40" s="70">
        <f>IF(O38&lt;&gt;Calc_EB_NS!O$151,1,0)</f>
        <v>0</v>
      </c>
      <c r="P40" s="70">
        <f>IF(P38&lt;&gt;Calc_EB_NS!P$151,1,0)</f>
        <v>0</v>
      </c>
      <c r="Q40" s="70">
        <f>IF(Q38&lt;&gt;Calc_EB_NS!Q$151,1,0)</f>
        <v>0</v>
      </c>
      <c r="R40" s="70">
        <f>IF(R38&lt;&gt;Calc_EB_NS!R$151,1,0)</f>
        <v>0</v>
      </c>
      <c r="S40" s="70">
        <f>IF(S38&lt;&gt;Calc_EB_NS!S$151,1,0)</f>
        <v>0</v>
      </c>
      <c r="T40" s="70">
        <f>IF(T38&lt;&gt;Calc_EB_NS!T$151,1,0)</f>
        <v>0</v>
      </c>
      <c r="U40" s="70">
        <f>IF(U38&lt;&gt;Calc_EB_NS!U$151,1,0)</f>
        <v>0</v>
      </c>
      <c r="V40" s="70">
        <f>IF(V38&lt;&gt;Calc_EB_NS!V$151,1,0)</f>
        <v>0</v>
      </c>
      <c r="W40" s="70">
        <f>IF(W38&lt;&gt;Calc_EB_NS!W$151,1,0)</f>
        <v>0</v>
      </c>
      <c r="X40" s="70">
        <f>IF(X38&lt;&gt;Calc_EB_NS!X$151,1,0)</f>
        <v>0</v>
      </c>
      <c r="Y40" s="70">
        <f>IF(Y38&lt;&gt;Calc_EB_NS!Y$151,1,0)</f>
        <v>0</v>
      </c>
      <c r="Z40" s="70">
        <f>IF(Z38&lt;&gt;Calc_EB_NS!Z$151,1,0)</f>
        <v>0</v>
      </c>
      <c r="AA40" s="70">
        <f>IF(AA38&lt;&gt;Calc_EB_NS!AA$151,1,0)</f>
        <v>0</v>
      </c>
      <c r="AB40" s="70">
        <f>IF(AB38&lt;&gt;Calc_EB_NS!AB$151,1,0)</f>
        <v>0</v>
      </c>
    </row>
    <row r="41" spans="1:28" s="6" customFormat="1" ht="11.25" customHeight="1" x14ac:dyDescent="0.35">
      <c r="L41" s="10"/>
      <c r="Q41" s="10"/>
      <c r="V41" s="10"/>
      <c r="AA41" s="10"/>
    </row>
    <row r="42" spans="1:28" s="13" customFormat="1" ht="14.1" x14ac:dyDescent="0.35">
      <c r="C42" s="13" t="str">
        <f>Lookup!$D$104</f>
        <v>Underground network assets less than 33kV</v>
      </c>
    </row>
    <row r="43" spans="1:28" s="6" customFormat="1" ht="11.25" customHeight="1" x14ac:dyDescent="0.35"/>
    <row r="44" spans="1:28" ht="12.3" x14ac:dyDescent="0.35">
      <c r="D44" s="50" t="s">
        <v>109</v>
      </c>
      <c r="E44" s="45" t="str">
        <f>Lookup!E$20</f>
        <v>Source</v>
      </c>
      <c r="F44" s="45" t="str">
        <f>Lookup!F$20</f>
        <v>Unit</v>
      </c>
      <c r="G44" s="45" t="str">
        <f>Lookup!G$20</f>
        <v>Basis</v>
      </c>
      <c r="H44" s="45" t="str">
        <f>Lookup!H$20</f>
        <v>Timing</v>
      </c>
      <c r="J44" s="54" t="str">
        <f>J$10</f>
        <v>RY06</v>
      </c>
      <c r="K44" s="45" t="str">
        <f t="shared" ref="K44:AB44" si="9">K$10</f>
        <v>RY07</v>
      </c>
      <c r="L44" s="45" t="str">
        <f t="shared" si="9"/>
        <v>RY08</v>
      </c>
      <c r="M44" s="45" t="str">
        <f t="shared" si="9"/>
        <v>RY09</v>
      </c>
      <c r="N44" s="45" t="str">
        <f t="shared" si="9"/>
        <v>RY10</v>
      </c>
      <c r="O44" s="45" t="str">
        <f>O$10</f>
        <v>RY11</v>
      </c>
      <c r="P44" s="45" t="str">
        <f t="shared" si="9"/>
        <v>RY12</v>
      </c>
      <c r="Q44" s="45" t="str">
        <f t="shared" si="9"/>
        <v>RY13</v>
      </c>
      <c r="R44" s="55" t="str">
        <f t="shared" si="9"/>
        <v>RY14</v>
      </c>
      <c r="S44" s="54" t="str">
        <f t="shared" si="9"/>
        <v>RY15</v>
      </c>
      <c r="T44" s="45" t="str">
        <f>T$10</f>
        <v>RY16</v>
      </c>
      <c r="U44" s="45" t="str">
        <f t="shared" si="9"/>
        <v>RY17</v>
      </c>
      <c r="V44" s="45" t="str">
        <f t="shared" si="9"/>
        <v>RY18</v>
      </c>
      <c r="W44" s="55" t="str">
        <f t="shared" si="9"/>
        <v>RY19</v>
      </c>
      <c r="X44" s="54" t="str">
        <f t="shared" si="9"/>
        <v>RY20</v>
      </c>
      <c r="Y44" s="45" t="str">
        <f>Y$10</f>
        <v>RY21</v>
      </c>
      <c r="Z44" s="45" t="str">
        <f t="shared" si="9"/>
        <v>RY22</v>
      </c>
      <c r="AA44" s="45" t="str">
        <f t="shared" si="9"/>
        <v>RY23</v>
      </c>
      <c r="AB44" s="55" t="str">
        <f t="shared" si="9"/>
        <v>RY24</v>
      </c>
    </row>
    <row r="45" spans="1:28" x14ac:dyDescent="0.35">
      <c r="J45" s="56"/>
      <c r="K45" s="57"/>
      <c r="L45" s="57"/>
      <c r="M45" s="57"/>
      <c r="N45" s="57"/>
      <c r="O45" s="57"/>
      <c r="P45" s="57"/>
      <c r="Q45" s="57"/>
      <c r="R45" s="58"/>
      <c r="S45" s="56"/>
      <c r="T45" s="57"/>
      <c r="U45" s="57"/>
      <c r="V45" s="57"/>
      <c r="W45" s="58"/>
      <c r="X45" s="56"/>
      <c r="Y45" s="57"/>
      <c r="Z45" s="57"/>
      <c r="AA45" s="57"/>
      <c r="AB45" s="58"/>
    </row>
    <row r="46" spans="1:28" ht="12.3" x14ac:dyDescent="0.35">
      <c r="D46" s="15" t="str">
        <f>Calc_EB_ACS!$C$14</f>
        <v>Opening Balance</v>
      </c>
      <c r="E46" s="52" t="str">
        <f>$E$32</f>
        <v>Calc_EB_NS</v>
      </c>
      <c r="F46" s="52" t="str">
        <f>Dollars</f>
        <v>Dollars</v>
      </c>
      <c r="G46" s="52" t="str">
        <f>Nominal</f>
        <v>Nominal</v>
      </c>
      <c r="H46" s="52" t="str">
        <f>Start_year</f>
        <v>Start year</v>
      </c>
      <c r="J46" s="66">
        <f>Calc_EB_NS!J$19</f>
        <v>78.281564020806513</v>
      </c>
      <c r="K46" s="67">
        <f>Calc_EB_NS!K$19</f>
        <v>84.061721445565368</v>
      </c>
      <c r="L46" s="67">
        <f>Calc_EB_NS!L$19</f>
        <v>91.140920923402533</v>
      </c>
      <c r="M46" s="67">
        <f>Calc_EB_NS!M$19</f>
        <v>100.629766253337</v>
      </c>
      <c r="N46" s="67">
        <f>Calc_EB_NS!N$19</f>
        <v>107.75124779233633</v>
      </c>
      <c r="O46" s="67">
        <f>Calc_EB_NS!O$19</f>
        <v>115.32735200659791</v>
      </c>
      <c r="P46" s="67">
        <f>Calc_EB_NS!P$19</f>
        <v>123.38742433764841</v>
      </c>
      <c r="Q46" s="67">
        <f>Calc_EB_NS!Q$19</f>
        <v>130.85434622052722</v>
      </c>
      <c r="R46" s="68">
        <f>Calc_EB_NS!R$19</f>
        <v>146.62326069173824</v>
      </c>
      <c r="S46" s="66">
        <f>Calc_EB_NS!S$19</f>
        <v>157.03844405373135</v>
      </c>
      <c r="T46" s="67">
        <f>Calc_EB_NS!T$19</f>
        <v>164.02710836171775</v>
      </c>
      <c r="U46" s="67">
        <f>Calc_EB_NS!U$19</f>
        <v>167.57593934634804</v>
      </c>
      <c r="V46" s="67">
        <f>Calc_EB_NS!V$19</f>
        <v>171.84364848128192</v>
      </c>
      <c r="W46" s="68">
        <f>Calc_EB_NS!W$19</f>
        <v>172.91110390082534</v>
      </c>
      <c r="X46" s="66">
        <f>Calc_EB_NS!X$19</f>
        <v>174.09042101536977</v>
      </c>
      <c r="Y46" s="67">
        <f>Calc_EB_NS!Y$19</f>
        <v>185.55638489281415</v>
      </c>
      <c r="Z46" s="67">
        <f>Calc_EB_NS!Z$19</f>
        <v>199.87653219642934</v>
      </c>
      <c r="AA46" s="67">
        <f>Calc_EB_NS!AA$19</f>
        <v>210.31735491986669</v>
      </c>
      <c r="AB46" s="68">
        <f>Calc_EB_NS!AB$19</f>
        <v>219.39453058757411</v>
      </c>
    </row>
    <row r="47" spans="1:28" ht="12.3" x14ac:dyDescent="0.35">
      <c r="D47" s="15" t="str">
        <f>Calc_EB_ACS!$C$33</f>
        <v>Inflation</v>
      </c>
      <c r="E47" s="52" t="str">
        <f>$E$33</f>
        <v>Calc_EB_NS</v>
      </c>
      <c r="F47" s="52" t="str">
        <f>Dollars</f>
        <v>Dollars</v>
      </c>
      <c r="G47" s="52" t="str">
        <f>Nominal</f>
        <v>Nominal</v>
      </c>
      <c r="H47" s="52" t="str">
        <f>End_year</f>
        <v>End_year</v>
      </c>
      <c r="J47" s="66">
        <f>Calc_EB_NS!J$38</f>
        <v>2.2883770237507433</v>
      </c>
      <c r="K47" s="67">
        <f>Calc_EB_NS!K$38</f>
        <v>2.0891078702448089</v>
      </c>
      <c r="L47" s="67">
        <f>Calc_EB_NS!L$38</f>
        <v>3.8940116329860222</v>
      </c>
      <c r="M47" s="67">
        <f>Calc_EB_NS!M$38</f>
        <v>2.4516665089406597</v>
      </c>
      <c r="N47" s="67">
        <f>Calc_EB_NS!N$38</f>
        <v>3.1451715571817016</v>
      </c>
      <c r="O47" s="67">
        <f>Calc_EB_NS!O$38</f>
        <v>3.7554074708030716</v>
      </c>
      <c r="P47" s="67">
        <f>Calc_EB_NS!P$38</f>
        <v>2.0083405792496367</v>
      </c>
      <c r="Q47" s="67">
        <f>Calc_EB_NS!Q$38</f>
        <v>3.274633288801982</v>
      </c>
      <c r="R47" s="68">
        <f>Calc_EB_NS!R$38</f>
        <v>3.5921066093744356</v>
      </c>
      <c r="S47" s="66">
        <f>Calc_EB_NS!S$38</f>
        <v>2.0858996363873095</v>
      </c>
      <c r="T47" s="67">
        <f>Calc_EB_NS!T$38</f>
        <v>2.1501680871386459</v>
      </c>
      <c r="U47" s="67">
        <f>Calc_EB_NS!U$38</f>
        <v>3.5621502818539676</v>
      </c>
      <c r="V47" s="67">
        <f>Calc_EB_NS!V$38</f>
        <v>4.1669930826141535</v>
      </c>
      <c r="W47" s="68">
        <f>Calc_EB_NS!W$38</f>
        <v>4.1928775385631942</v>
      </c>
      <c r="X47" s="66">
        <f>Calc_EB_NS!X$38</f>
        <v>4.2214745004058116</v>
      </c>
      <c r="Y47" s="67">
        <f>Calc_EB_NS!Y$38</f>
        <v>4.4995097527126129</v>
      </c>
      <c r="Z47" s="67">
        <f>Calc_EB_NS!Z$38</f>
        <v>4.8467553756003268</v>
      </c>
      <c r="AA47" s="67">
        <f>Calc_EB_NS!AA$38</f>
        <v>5.0999322398596023</v>
      </c>
      <c r="AB47" s="68">
        <f>Calc_EB_NS!AB$38</f>
        <v>5.3200423722461956</v>
      </c>
    </row>
    <row r="48" spans="1:28" ht="12.3" x14ac:dyDescent="0.35">
      <c r="D48" s="15" t="str">
        <f>Calc_EB_ACS!$C$52</f>
        <v>Straight Line Depreciation</v>
      </c>
      <c r="E48" s="52" t="str">
        <f>$E$34</f>
        <v>Calc_EB_NS</v>
      </c>
      <c r="F48" s="52" t="str">
        <f>Dollars</f>
        <v>Dollars</v>
      </c>
      <c r="G48" s="52" t="str">
        <f>Nominal</f>
        <v>Nominal</v>
      </c>
      <c r="H48" s="52" t="str">
        <f>End_year</f>
        <v>End_year</v>
      </c>
      <c r="J48" s="66">
        <f>Calc_EB_NS!J$57</f>
        <v>-3.0283657100529391</v>
      </c>
      <c r="K48" s="67">
        <f>Calc_EB_NS!K$57</f>
        <v>-3.2330303918983976</v>
      </c>
      <c r="L48" s="67">
        <f>Calc_EB_NS!L$57</f>
        <v>-3.5235774360713852</v>
      </c>
      <c r="M48" s="67">
        <f>Calc_EB_NS!M$57</f>
        <v>-3.7638711054173766</v>
      </c>
      <c r="N48" s="67">
        <f>Calc_EB_NS!N$57</f>
        <v>-4.1587558823526409</v>
      </c>
      <c r="O48" s="67">
        <f>Calc_EB_NS!O$57</f>
        <v>-4.4476916017324308</v>
      </c>
      <c r="P48" s="67">
        <f>Calc_EB_NS!P$57</f>
        <v>-4.6740394053676999</v>
      </c>
      <c r="Q48" s="67">
        <f>Calc_EB_NS!Q$57</f>
        <v>-4.9707745313698846</v>
      </c>
      <c r="R48" s="68">
        <f>Calc_EB_NS!R$57</f>
        <v>-4.5015028739055811</v>
      </c>
      <c r="S48" s="66">
        <f>Calc_EB_NS!S$57</f>
        <v>-6.762196999833562</v>
      </c>
      <c r="T48" s="67">
        <f>Calc_EB_NS!T$57</f>
        <v>-6.9095958445130492</v>
      </c>
      <c r="U48" s="67">
        <f>Calc_EB_NS!U$57</f>
        <v>-7.0655100090771494</v>
      </c>
      <c r="V48" s="67">
        <f>Calc_EB_NS!V$57</f>
        <v>-7.247713160424702</v>
      </c>
      <c r="W48" s="68">
        <f>Calc_EB_NS!W$57</f>
        <v>-7.4638971134342693</v>
      </c>
      <c r="X48" s="66">
        <f>Calc_EB_NS!X$57</f>
        <v>-6.0493330286457692</v>
      </c>
      <c r="Y48" s="67">
        <f>Calc_EB_NS!Y$57</f>
        <v>-6.4393032746254359</v>
      </c>
      <c r="Z48" s="67">
        <f>Calc_EB_NS!Z$57</f>
        <v>-6.8930105478211718</v>
      </c>
      <c r="AA48" s="67">
        <f>Calc_EB_NS!AA$57</f>
        <v>-7.288674859086739</v>
      </c>
      <c r="AB48" s="68">
        <f>Calc_EB_NS!AB$57</f>
        <v>-7.6715859685940426</v>
      </c>
    </row>
    <row r="49" spans="1:28" ht="12.3" x14ac:dyDescent="0.35">
      <c r="D49" s="15" t="str">
        <f>Calc_EB_ACS!$C$71</f>
        <v>RAB Additions</v>
      </c>
      <c r="E49" s="52" t="str">
        <f>$E$35</f>
        <v>Calc_EB_NS</v>
      </c>
      <c r="F49" s="52" t="str">
        <f>Dollars</f>
        <v>Dollars</v>
      </c>
      <c r="G49" s="52" t="str">
        <f>Nominal</f>
        <v>Nominal</v>
      </c>
      <c r="H49" s="52" t="str">
        <f>End_year</f>
        <v>End_year</v>
      </c>
      <c r="J49" s="66">
        <f>Calc_EB_NS!J$76+Calc_EB_NS!J$133</f>
        <v>6.5201461110610568</v>
      </c>
      <c r="K49" s="67">
        <f>Calc_EB_NS!K$76+Calc_EB_NS!K$133</f>
        <v>8.2231219994907558</v>
      </c>
      <c r="L49" s="67">
        <f>Calc_EB_NS!L$76+Calc_EB_NS!L$133</f>
        <v>9.1184111330198334</v>
      </c>
      <c r="M49" s="67">
        <f>Calc_EB_NS!M$76+Calc_EB_NS!M$133</f>
        <v>8.4336861354760568</v>
      </c>
      <c r="N49" s="67">
        <f>Calc_EB_NS!N$76+Calc_EB_NS!N$133</f>
        <v>8.5896885394325206</v>
      </c>
      <c r="O49" s="67">
        <f>Calc_EB_NS!O$76+Calc_EB_NS!O$133</f>
        <v>8.9244055080179336</v>
      </c>
      <c r="P49" s="67">
        <f>Calc_EB_NS!P$76+Calc_EB_NS!P$133</f>
        <v>10.146589793015902</v>
      </c>
      <c r="Q49" s="67">
        <f>Calc_EB_NS!Q$76+Calc_EB_NS!Q$133</f>
        <v>17.988737150354734</v>
      </c>
      <c r="R49" s="68">
        <f>Calc_EB_NS!R$76+Calc_EB_NS!R$133</f>
        <v>11.500090931032334</v>
      </c>
      <c r="S49" s="66">
        <f>Calc_EB_NS!S$76+Calc_EB_NS!S$133</f>
        <v>11.709603155111884</v>
      </c>
      <c r="T49" s="67">
        <f>Calc_EB_NS!T$76+Calc_EB_NS!T$133</f>
        <v>8.3527674740149429</v>
      </c>
      <c r="U49" s="67">
        <f>Calc_EB_NS!U$76+Calc_EB_NS!U$133</f>
        <v>7.8559542833961267</v>
      </c>
      <c r="V49" s="67">
        <f>Calc_EB_NS!V$76+Calc_EB_NS!V$133</f>
        <v>4.1481754973539688</v>
      </c>
      <c r="W49" s="68">
        <f>Calc_EB_NS!W$76+Calc_EB_NS!W$133</f>
        <v>4.4503366894155283</v>
      </c>
      <c r="X49" s="66">
        <f>Calc_EB_NS!X$76+Calc_EB_NS!X$133</f>
        <v>13.293822405684338</v>
      </c>
      <c r="Y49" s="67">
        <f>Calc_EB_NS!Y$76+Calc_EB_NS!Y$133</f>
        <v>16.25994082552803</v>
      </c>
      <c r="Z49" s="67">
        <f>Calc_EB_NS!Z$76+Calc_EB_NS!Z$133</f>
        <v>12.487077895658176</v>
      </c>
      <c r="AA49" s="67">
        <f>Calc_EB_NS!AA$76+Calc_EB_NS!AA$133</f>
        <v>11.265918286934562</v>
      </c>
      <c r="AB49" s="68">
        <f>Calc_EB_NS!AB$76+Calc_EB_NS!AB$133</f>
        <v>12.958337728439323</v>
      </c>
    </row>
    <row r="50" spans="1:28" ht="12.3" x14ac:dyDescent="0.35">
      <c r="D50" s="15" t="str">
        <f>Calc_EB_ACS!$C$90</f>
        <v>Disposals</v>
      </c>
      <c r="E50" s="52" t="str">
        <f>$E$36</f>
        <v>Calc_EB_NS</v>
      </c>
      <c r="F50" s="52" t="str">
        <f>Dollars</f>
        <v>Dollars</v>
      </c>
      <c r="G50" s="52" t="str">
        <f>Nominal</f>
        <v>Nominal</v>
      </c>
      <c r="H50" s="52" t="str">
        <f>End_year</f>
        <v>End_year</v>
      </c>
      <c r="J50" s="66">
        <f>Calc_EB_NS!J$95</f>
        <v>0</v>
      </c>
      <c r="K50" s="67">
        <f>Calc_EB_NS!K$95</f>
        <v>0</v>
      </c>
      <c r="L50" s="67">
        <f>Calc_EB_NS!L$95</f>
        <v>0</v>
      </c>
      <c r="M50" s="67">
        <f>Calc_EB_NS!M$95</f>
        <v>0</v>
      </c>
      <c r="N50" s="67">
        <f>Calc_EB_NS!N$95</f>
        <v>0</v>
      </c>
      <c r="O50" s="67">
        <f>Calc_EB_NS!O$95</f>
        <v>-0.17204904603806839</v>
      </c>
      <c r="P50" s="67">
        <f>Calc_EB_NS!P$95</f>
        <v>-1.3969084019038246E-2</v>
      </c>
      <c r="Q50" s="67">
        <f>Calc_EB_NS!Q$95</f>
        <v>-0.52368143657580268</v>
      </c>
      <c r="R50" s="68">
        <f>Calc_EB_NS!R$95</f>
        <v>-0.17551130450807723</v>
      </c>
      <c r="S50" s="66">
        <f>Calc_EB_NS!S$95</f>
        <v>-4.464148367925496E-2</v>
      </c>
      <c r="T50" s="67">
        <f>Calc_EB_NS!T$95</f>
        <v>-4.4508732010265173E-2</v>
      </c>
      <c r="U50" s="67">
        <f>Calc_EB_NS!U$95</f>
        <v>-8.4885421239080702E-2</v>
      </c>
      <c r="V50" s="67">
        <f>Calc_EB_NS!V$95</f>
        <v>0</v>
      </c>
      <c r="W50" s="68">
        <f>Calc_EB_NS!W$95</f>
        <v>0</v>
      </c>
      <c r="X50" s="66">
        <f>Calc_EB_NS!X$95</f>
        <v>0</v>
      </c>
      <c r="Y50" s="67">
        <f>Calc_EB_NS!Y$95</f>
        <v>0</v>
      </c>
      <c r="Z50" s="67">
        <f>Calc_EB_NS!Z$95</f>
        <v>0</v>
      </c>
      <c r="AA50" s="67">
        <f>Calc_EB_NS!AA$95</f>
        <v>0</v>
      </c>
      <c r="AB50" s="68">
        <f>Calc_EB_NS!AB$95</f>
        <v>0</v>
      </c>
    </row>
    <row r="51" spans="1:28" x14ac:dyDescent="0.35">
      <c r="J51" s="56"/>
      <c r="K51" s="57"/>
      <c r="L51" s="57"/>
      <c r="M51" s="57"/>
      <c r="N51" s="57"/>
      <c r="O51" s="57"/>
      <c r="P51" s="57"/>
      <c r="Q51" s="57"/>
      <c r="R51" s="58"/>
      <c r="S51" s="56"/>
      <c r="T51" s="57"/>
      <c r="U51" s="57"/>
      <c r="V51" s="57"/>
      <c r="W51" s="58"/>
      <c r="X51" s="56"/>
      <c r="Y51" s="57"/>
      <c r="Z51" s="57"/>
      <c r="AA51" s="57"/>
      <c r="AB51" s="58"/>
    </row>
    <row r="52" spans="1:28" ht="12.3" x14ac:dyDescent="0.35">
      <c r="D52" s="51" t="s">
        <v>152</v>
      </c>
      <c r="E52" s="47" t="s">
        <v>111</v>
      </c>
      <c r="F52" s="47" t="str">
        <f>F46</f>
        <v>Dollars</v>
      </c>
      <c r="G52" s="47" t="str">
        <f>G46</f>
        <v>Nominal</v>
      </c>
      <c r="H52" s="47" t="str">
        <f>H46</f>
        <v>Start year</v>
      </c>
      <c r="J52" s="62">
        <f>SUM(J46:J50)</f>
        <v>84.061721445565368</v>
      </c>
      <c r="K52" s="46">
        <f t="shared" ref="K52:AB52" si="10">SUM(K46:K50)</f>
        <v>91.140920923402533</v>
      </c>
      <c r="L52" s="46">
        <f t="shared" si="10"/>
        <v>100.629766253337</v>
      </c>
      <c r="M52" s="46">
        <f t="shared" si="10"/>
        <v>107.75124779233633</v>
      </c>
      <c r="N52" s="46">
        <f t="shared" si="10"/>
        <v>115.32735200659791</v>
      </c>
      <c r="O52" s="46">
        <f t="shared" si="10"/>
        <v>123.38742433764841</v>
      </c>
      <c r="P52" s="46">
        <f t="shared" si="10"/>
        <v>130.85434622052722</v>
      </c>
      <c r="Q52" s="46">
        <f t="shared" si="10"/>
        <v>146.62326069173824</v>
      </c>
      <c r="R52" s="63">
        <f t="shared" si="10"/>
        <v>157.03844405373135</v>
      </c>
      <c r="S52" s="62">
        <f t="shared" si="10"/>
        <v>164.02710836171775</v>
      </c>
      <c r="T52" s="46">
        <f t="shared" si="10"/>
        <v>167.57593934634804</v>
      </c>
      <c r="U52" s="46">
        <f t="shared" si="10"/>
        <v>171.84364848128192</v>
      </c>
      <c r="V52" s="46">
        <f t="shared" si="10"/>
        <v>172.91110390082534</v>
      </c>
      <c r="W52" s="63">
        <f t="shared" si="10"/>
        <v>174.0904210153698</v>
      </c>
      <c r="X52" s="62">
        <f t="shared" si="10"/>
        <v>185.55638489281415</v>
      </c>
      <c r="Y52" s="46">
        <f t="shared" si="10"/>
        <v>199.87653219642934</v>
      </c>
      <c r="Z52" s="46">
        <f t="shared" si="10"/>
        <v>210.31735491986669</v>
      </c>
      <c r="AA52" s="46">
        <f t="shared" si="10"/>
        <v>219.39453058757411</v>
      </c>
      <c r="AB52" s="63">
        <f t="shared" si="10"/>
        <v>230.0013247196656</v>
      </c>
    </row>
    <row r="53" spans="1:28" s="6" customFormat="1" ht="11.25" customHeight="1" x14ac:dyDescent="0.35"/>
    <row r="54" spans="1:28" s="6" customFormat="1" ht="11.25" customHeight="1" x14ac:dyDescent="0.35">
      <c r="A54" s="49">
        <f>IF(SUM($J54:$AB54)&lt;&gt;0,1,0)</f>
        <v>0</v>
      </c>
      <c r="D54" s="15" t="s">
        <v>114</v>
      </c>
      <c r="J54" s="70">
        <f>IF(J52&lt;&gt;Calc_EB_NS!J$152,1,0)</f>
        <v>0</v>
      </c>
      <c r="K54" s="70">
        <f>IF(K52&lt;&gt;Calc_EB_NS!K$152,1,0)</f>
        <v>0</v>
      </c>
      <c r="L54" s="70">
        <f>IF(L52&lt;&gt;Calc_EB_NS!L$152,1,0)</f>
        <v>0</v>
      </c>
      <c r="M54" s="70">
        <f>IF(M52&lt;&gt;Calc_EB_NS!M$152,1,0)</f>
        <v>0</v>
      </c>
      <c r="N54" s="70">
        <f>IF(N52&lt;&gt;Calc_EB_NS!N$152,1,0)</f>
        <v>0</v>
      </c>
      <c r="O54" s="70">
        <f>IF(O52&lt;&gt;Calc_EB_NS!O$152,1,0)</f>
        <v>0</v>
      </c>
      <c r="P54" s="70">
        <f>IF(P52&lt;&gt;Calc_EB_NS!P$152,1,0)</f>
        <v>0</v>
      </c>
      <c r="Q54" s="70">
        <f>IF(Q52&lt;&gt;Calc_EB_NS!Q$152,1,0)</f>
        <v>0</v>
      </c>
      <c r="R54" s="70">
        <f>IF(R52&lt;&gt;Calc_EB_NS!R$152,1,0)</f>
        <v>0</v>
      </c>
      <c r="S54" s="70">
        <f>IF(S52&lt;&gt;Calc_EB_NS!S$152,1,0)</f>
        <v>0</v>
      </c>
      <c r="T54" s="70">
        <f>IF(T52&lt;&gt;Calc_EB_NS!T$152,1,0)</f>
        <v>0</v>
      </c>
      <c r="U54" s="70">
        <f>IF(U52&lt;&gt;Calc_EB_NS!U$152,1,0)</f>
        <v>0</v>
      </c>
      <c r="V54" s="70">
        <f>IF(V52&lt;&gt;Calc_EB_NS!V$152,1,0)</f>
        <v>0</v>
      </c>
      <c r="W54" s="70">
        <f>IF(W52&lt;&gt;Calc_EB_NS!W$152,1,0)</f>
        <v>0</v>
      </c>
      <c r="X54" s="70">
        <f>IF(X52&lt;&gt;Calc_EB_NS!X$152,1,0)</f>
        <v>0</v>
      </c>
      <c r="Y54" s="70">
        <f>IF(Y52&lt;&gt;Calc_EB_NS!Y$152,1,0)</f>
        <v>0</v>
      </c>
      <c r="Z54" s="70">
        <f>IF(Z52&lt;&gt;Calc_EB_NS!Z$152,1,0)</f>
        <v>0</v>
      </c>
      <c r="AA54" s="70">
        <f>IF(AA52&lt;&gt;Calc_EB_NS!AA$152,1,0)</f>
        <v>0</v>
      </c>
      <c r="AB54" s="70">
        <f>IF(AB52&lt;&gt;Calc_EB_NS!AB$152,1,0)</f>
        <v>0</v>
      </c>
    </row>
    <row r="55" spans="1:28" s="6" customFormat="1" ht="11.25" customHeight="1" x14ac:dyDescent="0.35">
      <c r="L55" s="10"/>
      <c r="Q55" s="10"/>
      <c r="V55" s="10"/>
      <c r="AA55" s="10"/>
    </row>
    <row r="56" spans="1:28" s="13" customFormat="1" ht="14.1" x14ac:dyDescent="0.35">
      <c r="C56" s="13" t="str">
        <f>Lookup!$D$105</f>
        <v>Distribution substations and transformers</v>
      </c>
    </row>
    <row r="57" spans="1:28" s="6" customFormat="1" ht="11.25" customHeight="1" x14ac:dyDescent="0.35"/>
    <row r="58" spans="1:28" ht="12.3" x14ac:dyDescent="0.35">
      <c r="D58" s="50" t="s">
        <v>109</v>
      </c>
      <c r="E58" s="45" t="str">
        <f>Lookup!E$20</f>
        <v>Source</v>
      </c>
      <c r="F58" s="45" t="str">
        <f>Lookup!F$20</f>
        <v>Unit</v>
      </c>
      <c r="G58" s="45" t="str">
        <f>Lookup!G$20</f>
        <v>Basis</v>
      </c>
      <c r="H58" s="45" t="str">
        <f>Lookup!H$20</f>
        <v>Timing</v>
      </c>
      <c r="J58" s="54" t="str">
        <f>J$10</f>
        <v>RY06</v>
      </c>
      <c r="K58" s="45" t="str">
        <f t="shared" ref="K58:AB58" si="11">K$10</f>
        <v>RY07</v>
      </c>
      <c r="L58" s="45" t="str">
        <f t="shared" si="11"/>
        <v>RY08</v>
      </c>
      <c r="M58" s="45" t="str">
        <f t="shared" si="11"/>
        <v>RY09</v>
      </c>
      <c r="N58" s="45" t="str">
        <f t="shared" si="11"/>
        <v>RY10</v>
      </c>
      <c r="O58" s="45" t="str">
        <f>O$10</f>
        <v>RY11</v>
      </c>
      <c r="P58" s="45" t="str">
        <f t="shared" si="11"/>
        <v>RY12</v>
      </c>
      <c r="Q58" s="45" t="str">
        <f t="shared" si="11"/>
        <v>RY13</v>
      </c>
      <c r="R58" s="55" t="str">
        <f t="shared" si="11"/>
        <v>RY14</v>
      </c>
      <c r="S58" s="54" t="str">
        <f t="shared" si="11"/>
        <v>RY15</v>
      </c>
      <c r="T58" s="45" t="str">
        <f>T$10</f>
        <v>RY16</v>
      </c>
      <c r="U58" s="45" t="str">
        <f t="shared" si="11"/>
        <v>RY17</v>
      </c>
      <c r="V58" s="45" t="str">
        <f t="shared" si="11"/>
        <v>RY18</v>
      </c>
      <c r="W58" s="55" t="str">
        <f t="shared" si="11"/>
        <v>RY19</v>
      </c>
      <c r="X58" s="54" t="str">
        <f t="shared" si="11"/>
        <v>RY20</v>
      </c>
      <c r="Y58" s="45" t="str">
        <f>Y$10</f>
        <v>RY21</v>
      </c>
      <c r="Z58" s="45" t="str">
        <f t="shared" si="11"/>
        <v>RY22</v>
      </c>
      <c r="AA58" s="45" t="str">
        <f t="shared" si="11"/>
        <v>RY23</v>
      </c>
      <c r="AB58" s="55" t="str">
        <f t="shared" si="11"/>
        <v>RY24</v>
      </c>
    </row>
    <row r="59" spans="1:28" x14ac:dyDescent="0.35">
      <c r="J59" s="56"/>
      <c r="K59" s="57"/>
      <c r="L59" s="57"/>
      <c r="M59" s="57"/>
      <c r="N59" s="57"/>
      <c r="O59" s="57"/>
      <c r="P59" s="57"/>
      <c r="Q59" s="57"/>
      <c r="R59" s="58"/>
      <c r="S59" s="56"/>
      <c r="T59" s="57"/>
      <c r="U59" s="57"/>
      <c r="V59" s="57"/>
      <c r="W59" s="58"/>
      <c r="X59" s="56"/>
      <c r="Y59" s="57"/>
      <c r="Z59" s="57"/>
      <c r="AA59" s="57"/>
      <c r="AB59" s="58"/>
    </row>
    <row r="60" spans="1:28" ht="12.3" x14ac:dyDescent="0.35">
      <c r="D60" s="15" t="str">
        <f>Calc_EB_ACS!$C$14</f>
        <v>Opening Balance</v>
      </c>
      <c r="E60" s="52" t="str">
        <f>$E$32</f>
        <v>Calc_EB_NS</v>
      </c>
      <c r="F60" s="52" t="str">
        <f>Dollars</f>
        <v>Dollars</v>
      </c>
      <c r="G60" s="52" t="str">
        <f>Nominal</f>
        <v>Nominal</v>
      </c>
      <c r="H60" s="52" t="str">
        <f>Start_year</f>
        <v>Start year</v>
      </c>
      <c r="J60" s="66">
        <f>Calc_EB_NS!J$20</f>
        <v>56.507230561560803</v>
      </c>
      <c r="K60" s="67">
        <f>Calc_EB_NS!K$20</f>
        <v>55.066758148958435</v>
      </c>
      <c r="L60" s="67">
        <f>Calc_EB_NS!L$20</f>
        <v>53.511958775880494</v>
      </c>
      <c r="M60" s="67">
        <f>Calc_EB_NS!M$20</f>
        <v>59.796961032124919</v>
      </c>
      <c r="N60" s="67">
        <f>Calc_EB_NS!N$20</f>
        <v>68.281614135150278</v>
      </c>
      <c r="O60" s="67">
        <f>Calc_EB_NS!O$20</f>
        <v>80.384183096319191</v>
      </c>
      <c r="P60" s="67">
        <f>Calc_EB_NS!P$20</f>
        <v>91.927764552293439</v>
      </c>
      <c r="Q60" s="67">
        <f>Calc_EB_NS!Q$20</f>
        <v>94.368202669798663</v>
      </c>
      <c r="R60" s="68">
        <f>Calc_EB_NS!R$20</f>
        <v>97.269887866474079</v>
      </c>
      <c r="S60" s="66">
        <f>Calc_EB_NS!S$20</f>
        <v>100.47441671974134</v>
      </c>
      <c r="T60" s="67">
        <f>Calc_EB_NS!T$20</f>
        <v>111.29602347145031</v>
      </c>
      <c r="U60" s="67">
        <f>Calc_EB_NS!U$20</f>
        <v>120.24849856743077</v>
      </c>
      <c r="V60" s="67">
        <f>Calc_EB_NS!V$20</f>
        <v>127.06892298093524</v>
      </c>
      <c r="W60" s="68">
        <f>Calc_EB_NS!W$20</f>
        <v>131.95708981330677</v>
      </c>
      <c r="X60" s="66">
        <f>Calc_EB_NS!X$20</f>
        <v>147.23298763042686</v>
      </c>
      <c r="Y60" s="67">
        <f>Calc_EB_NS!Y$20</f>
        <v>153.34285378764153</v>
      </c>
      <c r="Z60" s="67">
        <f>Calc_EB_NS!Z$20</f>
        <v>160.41252437963658</v>
      </c>
      <c r="AA60" s="67">
        <f>Calc_EB_NS!AA$20</f>
        <v>167.23641989848062</v>
      </c>
      <c r="AB60" s="68">
        <f>Calc_EB_NS!AB$20</f>
        <v>175.4719882423995</v>
      </c>
    </row>
    <row r="61" spans="1:28" ht="12.3" x14ac:dyDescent="0.35">
      <c r="D61" s="15" t="str">
        <f>Calc_EB_ACS!$C$33</f>
        <v>Inflation</v>
      </c>
      <c r="E61" s="52" t="str">
        <f>$E$33</f>
        <v>Calc_EB_NS</v>
      </c>
      <c r="F61" s="52" t="str">
        <f>Dollars</f>
        <v>Dollars</v>
      </c>
      <c r="G61" s="52" t="str">
        <f>Nominal</f>
        <v>Nominal</v>
      </c>
      <c r="H61" s="52" t="str">
        <f>End_year</f>
        <v>End_year</v>
      </c>
      <c r="J61" s="66">
        <f>Calc_EB_NS!J$39</f>
        <v>1.6518557046010498</v>
      </c>
      <c r="K61" s="67">
        <f>Calc_EB_NS!K$39</f>
        <v>1.3685229835835746</v>
      </c>
      <c r="L61" s="67">
        <f>Calc_EB_NS!L$39</f>
        <v>2.2863077075145251</v>
      </c>
      <c r="M61" s="67">
        <f>Calc_EB_NS!M$39</f>
        <v>1.4568473341160011</v>
      </c>
      <c r="N61" s="67">
        <f>Calc_EB_NS!N$39</f>
        <v>1.9930849531341113</v>
      </c>
      <c r="O61" s="67">
        <f>Calc_EB_NS!O$39</f>
        <v>2.6175521806574431</v>
      </c>
      <c r="P61" s="67">
        <f>Calc_EB_NS!P$39</f>
        <v>1.4962810100068238</v>
      </c>
      <c r="Q61" s="67">
        <f>Calc_EB_NS!Q$39</f>
        <v>2.3615666333783438</v>
      </c>
      <c r="R61" s="68">
        <f>Calc_EB_NS!R$39</f>
        <v>2.3830039343679621</v>
      </c>
      <c r="S61" s="66">
        <f>Calc_EB_NS!S$39</f>
        <v>1.33457479513887</v>
      </c>
      <c r="T61" s="67">
        <f>Calc_EB_NS!T$39</f>
        <v>1.4589366372662185</v>
      </c>
      <c r="U61" s="67">
        <f>Calc_EB_NS!U$39</f>
        <v>2.5561141100285574</v>
      </c>
      <c r="V61" s="67">
        <f>Calc_EB_NS!V$39</f>
        <v>3.0812621109732952</v>
      </c>
      <c r="W61" s="68">
        <f>Calc_EB_NS!W$39</f>
        <v>3.1997940297097323</v>
      </c>
      <c r="X61" s="66">
        <f>Calc_EB_NS!X$39</f>
        <v>3.5702154045887333</v>
      </c>
      <c r="Y61" s="67">
        <f>Calc_EB_NS!Y$39</f>
        <v>3.7183720006446244</v>
      </c>
      <c r="Z61" s="67">
        <f>Calc_EB_NS!Z$39</f>
        <v>3.8898026512014474</v>
      </c>
      <c r="AA61" s="67">
        <f>Calc_EB_NS!AA$39</f>
        <v>4.0552735642948807</v>
      </c>
      <c r="AB61" s="68">
        <f>Calc_EB_NS!AB$39</f>
        <v>4.25497577397093</v>
      </c>
    </row>
    <row r="62" spans="1:28" ht="12.3" x14ac:dyDescent="0.35">
      <c r="D62" s="15" t="str">
        <f>Calc_EB_ACS!$C$52</f>
        <v>Straight Line Depreciation</v>
      </c>
      <c r="E62" s="52" t="str">
        <f>$E$34</f>
        <v>Calc_EB_NS</v>
      </c>
      <c r="F62" s="52" t="str">
        <f>Dollars</f>
        <v>Dollars</v>
      </c>
      <c r="G62" s="52" t="str">
        <f>Nominal</f>
        <v>Nominal</v>
      </c>
      <c r="H62" s="52" t="str">
        <f>End_year</f>
        <v>End_year</v>
      </c>
      <c r="J62" s="66">
        <f>Calc_EB_NS!J$58</f>
        <v>-4.299418360856528</v>
      </c>
      <c r="K62" s="67">
        <f>Calc_EB_NS!K$58</f>
        <v>-4.4456885995154307</v>
      </c>
      <c r="L62" s="67">
        <f>Calc_EB_NS!L$58</f>
        <v>-0.21776100950617672</v>
      </c>
      <c r="M62" s="67">
        <f>Calc_EB_NS!M$58</f>
        <v>-0.37295839675304399</v>
      </c>
      <c r="N62" s="67">
        <f>Calc_EB_NS!N$58</f>
        <v>-2.8564431898719493</v>
      </c>
      <c r="O62" s="67">
        <f>Calc_EB_NS!O$58</f>
        <v>-3.269989401092686</v>
      </c>
      <c r="P62" s="67">
        <f>Calc_EB_NS!P$58</f>
        <v>-3.6055633651365468</v>
      </c>
      <c r="Q62" s="67">
        <f>Calc_EB_NS!Q$58</f>
        <v>-3.8154384119507756</v>
      </c>
      <c r="R62" s="68">
        <f>Calc_EB_NS!R$58</f>
        <v>-4.0188955917811207</v>
      </c>
      <c r="S62" s="66">
        <f>Calc_EB_NS!S$58</f>
        <v>-4.3943193367606952</v>
      </c>
      <c r="T62" s="67">
        <f>Calc_EB_NS!T$58</f>
        <v>-4.5012589248640538</v>
      </c>
      <c r="U62" s="67">
        <f>Calc_EB_NS!U$58</f>
        <v>-4.5996141205797461</v>
      </c>
      <c r="V62" s="67">
        <f>Calc_EB_NS!V$58</f>
        <v>-4.7406052729399866</v>
      </c>
      <c r="W62" s="68">
        <f>Calc_EB_NS!W$58</f>
        <v>-4.930791399656175</v>
      </c>
      <c r="X62" s="66">
        <f>Calc_EB_NS!X$58</f>
        <v>-7.1457378645614131</v>
      </c>
      <c r="Y62" s="67">
        <f>Calc_EB_NS!Y$58</f>
        <v>-7.5182746986727649</v>
      </c>
      <c r="Z62" s="67">
        <f>Calc_EB_NS!Z$58</f>
        <v>-7.9249732688872214</v>
      </c>
      <c r="AA62" s="67">
        <f>Calc_EB_NS!AA$58</f>
        <v>-8.3421295349965092</v>
      </c>
      <c r="AB62" s="68">
        <f>Calc_EB_NS!AB$58</f>
        <v>-8.8046161181481626</v>
      </c>
    </row>
    <row r="63" spans="1:28" ht="12.3" x14ac:dyDescent="0.35">
      <c r="D63" s="15" t="str">
        <f>Calc_EB_ACS!$C$71</f>
        <v>RAB Additions</v>
      </c>
      <c r="E63" s="52" t="str">
        <f>$E$35</f>
        <v>Calc_EB_NS</v>
      </c>
      <c r="F63" s="52" t="str">
        <f>Dollars</f>
        <v>Dollars</v>
      </c>
      <c r="G63" s="52" t="str">
        <f>Nominal</f>
        <v>Nominal</v>
      </c>
      <c r="H63" s="52" t="str">
        <f>End_year</f>
        <v>End_year</v>
      </c>
      <c r="J63" s="66">
        <f>Calc_EB_NS!J$77+Calc_EB_NS!J$134</f>
        <v>1.2070902436531148</v>
      </c>
      <c r="K63" s="67">
        <f>Calc_EB_NS!K$77+Calc_EB_NS!K$134</f>
        <v>1.5223662428539149</v>
      </c>
      <c r="L63" s="67">
        <f>Calc_EB_NS!L$77+Calc_EB_NS!L$134</f>
        <v>4.2164555582360785</v>
      </c>
      <c r="M63" s="67">
        <f>Calc_EB_NS!M$77+Calc_EB_NS!M$134</f>
        <v>7.4007641656624035</v>
      </c>
      <c r="N63" s="67">
        <f>Calc_EB_NS!N$77+Calc_EB_NS!N$134</f>
        <v>12.965927197906746</v>
      </c>
      <c r="O63" s="67">
        <f>Calc_EB_NS!O$77+Calc_EB_NS!O$134</f>
        <v>12.610711778961104</v>
      </c>
      <c r="P63" s="67">
        <f>Calc_EB_NS!P$77+Calc_EB_NS!P$134</f>
        <v>5.111326321986299</v>
      </c>
      <c r="Q63" s="67">
        <f>Calc_EB_NS!Q$77+Calc_EB_NS!Q$134</f>
        <v>5.050242795891605</v>
      </c>
      <c r="R63" s="68">
        <f>Calc_EB_NS!R$77+Calc_EB_NS!R$134</f>
        <v>5.3027952469994002</v>
      </c>
      <c r="S63" s="66">
        <f>Calc_EB_NS!S$77+Calc_EB_NS!S$134</f>
        <v>13.889400906160299</v>
      </c>
      <c r="T63" s="67">
        <f>Calc_EB_NS!T$77+Calc_EB_NS!T$134</f>
        <v>11.994797383578295</v>
      </c>
      <c r="U63" s="67">
        <f>Calc_EB_NS!U$77+Calc_EB_NS!U$134</f>
        <v>8.8639244240556554</v>
      </c>
      <c r="V63" s="67">
        <f>Calc_EB_NS!V$77+Calc_EB_NS!V$134</f>
        <v>6.5475099943382293</v>
      </c>
      <c r="W63" s="68">
        <f>Calc_EB_NS!W$77+Calc_EB_NS!W$134</f>
        <v>17.006895187066561</v>
      </c>
      <c r="X63" s="66">
        <f>Calc_EB_NS!X$77+Calc_EB_NS!X$134</f>
        <v>9.6853886171873675</v>
      </c>
      <c r="Y63" s="67">
        <f>Calc_EB_NS!Y$77+Calc_EB_NS!Y$134</f>
        <v>10.869573290023197</v>
      </c>
      <c r="Z63" s="67">
        <f>Calc_EB_NS!Z$77+Calc_EB_NS!Z$134</f>
        <v>10.859066136529819</v>
      </c>
      <c r="AA63" s="67">
        <f>Calc_EB_NS!AA$77+Calc_EB_NS!AA$134</f>
        <v>12.522424314620507</v>
      </c>
      <c r="AB63" s="68">
        <f>Calc_EB_NS!AB$77+Calc_EB_NS!AB$134</f>
        <v>13.422542534450546</v>
      </c>
    </row>
    <row r="64" spans="1:28" ht="12.3" x14ac:dyDescent="0.35">
      <c r="D64" s="15" t="str">
        <f>Calc_EB_ACS!$C$90</f>
        <v>Disposals</v>
      </c>
      <c r="E64" s="52" t="str">
        <f>$E$36</f>
        <v>Calc_EB_NS</v>
      </c>
      <c r="F64" s="52" t="str">
        <f>Dollars</f>
        <v>Dollars</v>
      </c>
      <c r="G64" s="52" t="str">
        <f>Nominal</f>
        <v>Nominal</v>
      </c>
      <c r="H64" s="52" t="str">
        <f>End_year</f>
        <v>End_year</v>
      </c>
      <c r="J64" s="66">
        <f>Calc_EB_NS!J$96</f>
        <v>0</v>
      </c>
      <c r="K64" s="67">
        <f>Calc_EB_NS!K$96</f>
        <v>0</v>
      </c>
      <c r="L64" s="67">
        <f>Calc_EB_NS!L$96</f>
        <v>0</v>
      </c>
      <c r="M64" s="67">
        <f>Calc_EB_NS!M$96</f>
        <v>0</v>
      </c>
      <c r="N64" s="67">
        <f>Calc_EB_NS!N$96</f>
        <v>0</v>
      </c>
      <c r="O64" s="67">
        <f>Calc_EB_NS!O$96</f>
        <v>-0.41469310255161584</v>
      </c>
      <c r="P64" s="67">
        <f>Calc_EB_NS!P$96</f>
        <v>-0.5616058493513485</v>
      </c>
      <c r="Q64" s="67">
        <f>Calc_EB_NS!Q$96</f>
        <v>-0.69468582064374851</v>
      </c>
      <c r="R64" s="68">
        <f>Calc_EB_NS!R$96</f>
        <v>-0.46237473631898479</v>
      </c>
      <c r="S64" s="66">
        <f>Calc_EB_NS!S$96</f>
        <v>-8.049612829496058E-3</v>
      </c>
      <c r="T64" s="67">
        <f>Calc_EB_NS!T$96</f>
        <v>0</v>
      </c>
      <c r="U64" s="67">
        <f>Calc_EB_NS!U$96</f>
        <v>0</v>
      </c>
      <c r="V64" s="67">
        <f>Calc_EB_NS!V$96</f>
        <v>0</v>
      </c>
      <c r="W64" s="68">
        <f>Calc_EB_NS!W$96</f>
        <v>0</v>
      </c>
      <c r="X64" s="66">
        <f>Calc_EB_NS!X$96</f>
        <v>0</v>
      </c>
      <c r="Y64" s="67">
        <f>Calc_EB_NS!Y$96</f>
        <v>0</v>
      </c>
      <c r="Z64" s="67">
        <f>Calc_EB_NS!Z$96</f>
        <v>0</v>
      </c>
      <c r="AA64" s="67">
        <f>Calc_EB_NS!AA$96</f>
        <v>0</v>
      </c>
      <c r="AB64" s="68">
        <f>Calc_EB_NS!AB$96</f>
        <v>0</v>
      </c>
    </row>
    <row r="65" spans="1:28" x14ac:dyDescent="0.35">
      <c r="J65" s="56"/>
      <c r="K65" s="57"/>
      <c r="L65" s="57"/>
      <c r="M65" s="57"/>
      <c r="N65" s="57"/>
      <c r="O65" s="57"/>
      <c r="P65" s="57"/>
      <c r="Q65" s="57"/>
      <c r="R65" s="58"/>
      <c r="S65" s="56"/>
      <c r="T65" s="57"/>
      <c r="U65" s="57"/>
      <c r="V65" s="57"/>
      <c r="W65" s="58"/>
      <c r="X65" s="56"/>
      <c r="Y65" s="57"/>
      <c r="Z65" s="57"/>
      <c r="AA65" s="57"/>
      <c r="AB65" s="58"/>
    </row>
    <row r="66" spans="1:28" ht="12.3" x14ac:dyDescent="0.35">
      <c r="D66" s="51" t="s">
        <v>152</v>
      </c>
      <c r="E66" s="47" t="s">
        <v>111</v>
      </c>
      <c r="F66" s="47" t="str">
        <f>F60</f>
        <v>Dollars</v>
      </c>
      <c r="G66" s="47" t="str">
        <f>G60</f>
        <v>Nominal</v>
      </c>
      <c r="H66" s="47" t="str">
        <f>H60</f>
        <v>Start year</v>
      </c>
      <c r="J66" s="62">
        <f>SUM(J60:J64)</f>
        <v>55.066758148958435</v>
      </c>
      <c r="K66" s="46">
        <f t="shared" ref="K66:AB66" si="12">SUM(K60:K64)</f>
        <v>53.511958775880494</v>
      </c>
      <c r="L66" s="46">
        <f t="shared" si="12"/>
        <v>59.796961032124919</v>
      </c>
      <c r="M66" s="46">
        <f t="shared" si="12"/>
        <v>68.281614135150278</v>
      </c>
      <c r="N66" s="46">
        <f t="shared" si="12"/>
        <v>80.384183096319191</v>
      </c>
      <c r="O66" s="46">
        <f t="shared" si="12"/>
        <v>91.927764552293439</v>
      </c>
      <c r="P66" s="46">
        <f t="shared" si="12"/>
        <v>94.368202669798663</v>
      </c>
      <c r="Q66" s="46">
        <f t="shared" si="12"/>
        <v>97.269887866474079</v>
      </c>
      <c r="R66" s="63">
        <f t="shared" si="12"/>
        <v>100.47441671974134</v>
      </c>
      <c r="S66" s="62">
        <f t="shared" si="12"/>
        <v>111.29602347145031</v>
      </c>
      <c r="T66" s="46">
        <f t="shared" si="12"/>
        <v>120.24849856743077</v>
      </c>
      <c r="U66" s="46">
        <f t="shared" si="12"/>
        <v>127.06892298093524</v>
      </c>
      <c r="V66" s="46">
        <f t="shared" si="12"/>
        <v>131.95708981330677</v>
      </c>
      <c r="W66" s="63">
        <f t="shared" si="12"/>
        <v>147.23298763042686</v>
      </c>
      <c r="X66" s="62">
        <f t="shared" si="12"/>
        <v>153.34285378764153</v>
      </c>
      <c r="Y66" s="46">
        <f t="shared" si="12"/>
        <v>160.41252437963658</v>
      </c>
      <c r="Z66" s="46">
        <f t="shared" si="12"/>
        <v>167.23641989848062</v>
      </c>
      <c r="AA66" s="46">
        <f t="shared" si="12"/>
        <v>175.4719882423995</v>
      </c>
      <c r="AB66" s="63">
        <f t="shared" si="12"/>
        <v>184.3448904326728</v>
      </c>
    </row>
    <row r="67" spans="1:28" s="6" customFormat="1" ht="11.25" customHeight="1" x14ac:dyDescent="0.35"/>
    <row r="68" spans="1:28" s="6" customFormat="1" ht="11.25" customHeight="1" x14ac:dyDescent="0.35">
      <c r="A68" s="49">
        <f>IF(SUM($J68:$AB68)&lt;&gt;0,1,0)</f>
        <v>0</v>
      </c>
      <c r="D68" s="15" t="s">
        <v>114</v>
      </c>
      <c r="J68" s="70">
        <f>IF(J66&lt;&gt;Calc_EB_NS!J$153,1,0)</f>
        <v>0</v>
      </c>
      <c r="K68" s="70">
        <f>IF(K66&lt;&gt;Calc_EB_NS!K$153,1,0)</f>
        <v>0</v>
      </c>
      <c r="L68" s="70">
        <f>IF(L66&lt;&gt;Calc_EB_NS!L$153,1,0)</f>
        <v>0</v>
      </c>
      <c r="M68" s="70">
        <f>IF(M66&lt;&gt;Calc_EB_NS!M$153,1,0)</f>
        <v>0</v>
      </c>
      <c r="N68" s="70">
        <f>IF(N66&lt;&gt;Calc_EB_NS!N$153,1,0)</f>
        <v>0</v>
      </c>
      <c r="O68" s="70">
        <f>IF(O66&lt;&gt;Calc_EB_NS!O$153,1,0)</f>
        <v>0</v>
      </c>
      <c r="P68" s="70">
        <f>IF(P66&lt;&gt;Calc_EB_NS!P$153,1,0)</f>
        <v>0</v>
      </c>
      <c r="Q68" s="70">
        <f>IF(Q66&lt;&gt;Calc_EB_NS!Q$153,1,0)</f>
        <v>0</v>
      </c>
      <c r="R68" s="70">
        <f>IF(R66&lt;&gt;Calc_EB_NS!R$153,1,0)</f>
        <v>0</v>
      </c>
      <c r="S68" s="70">
        <f>IF(S66&lt;&gt;Calc_EB_NS!S$153,1,0)</f>
        <v>0</v>
      </c>
      <c r="T68" s="70">
        <f>IF(T66&lt;&gt;Calc_EB_NS!T$153,1,0)</f>
        <v>0</v>
      </c>
      <c r="U68" s="70">
        <f>IF(U66&lt;&gt;Calc_EB_NS!U$153,1,0)</f>
        <v>0</v>
      </c>
      <c r="V68" s="70">
        <f>IF(V66&lt;&gt;Calc_EB_NS!V$153,1,0)</f>
        <v>0</v>
      </c>
      <c r="W68" s="70">
        <f>IF(W66&lt;&gt;Calc_EB_NS!W$153,1,0)</f>
        <v>0</v>
      </c>
      <c r="X68" s="70">
        <f>IF(X66&lt;&gt;Calc_EB_NS!X$153,1,0)</f>
        <v>0</v>
      </c>
      <c r="Y68" s="70">
        <f>IF(Y66&lt;&gt;Calc_EB_NS!Y$153,1,0)</f>
        <v>0</v>
      </c>
      <c r="Z68" s="70">
        <f>IF(Z66&lt;&gt;Calc_EB_NS!Z$153,1,0)</f>
        <v>0</v>
      </c>
      <c r="AA68" s="70">
        <f>IF(AA66&lt;&gt;Calc_EB_NS!AA$153,1,0)</f>
        <v>0</v>
      </c>
      <c r="AB68" s="70">
        <f>IF(AB66&lt;&gt;Calc_EB_NS!AB$153,1,0)</f>
        <v>0</v>
      </c>
    </row>
    <row r="69" spans="1:28" s="6" customFormat="1" ht="11.25" customHeight="1" x14ac:dyDescent="0.35">
      <c r="L69" s="10"/>
      <c r="Q69" s="10"/>
      <c r="V69" s="10"/>
      <c r="AA69" s="10"/>
    </row>
    <row r="70" spans="1:28" s="13" customFormat="1" ht="14.1" x14ac:dyDescent="0.35">
      <c r="C70" s="13" t="str">
        <f>Lookup!$D$106</f>
        <v>Overhead network assets 33kV and above</v>
      </c>
    </row>
    <row r="71" spans="1:28" s="6" customFormat="1" ht="11.25" customHeight="1" x14ac:dyDescent="0.35"/>
    <row r="72" spans="1:28" ht="12.3" x14ac:dyDescent="0.35">
      <c r="D72" s="50" t="s">
        <v>109</v>
      </c>
      <c r="E72" s="45" t="str">
        <f>Lookup!E$20</f>
        <v>Source</v>
      </c>
      <c r="F72" s="45" t="str">
        <f>Lookup!F$20</f>
        <v>Unit</v>
      </c>
      <c r="G72" s="45" t="str">
        <f>Lookup!G$20</f>
        <v>Basis</v>
      </c>
      <c r="H72" s="45" t="str">
        <f>Lookup!H$20</f>
        <v>Timing</v>
      </c>
      <c r="J72" s="54" t="str">
        <f>J$10</f>
        <v>RY06</v>
      </c>
      <c r="K72" s="45" t="str">
        <f t="shared" ref="K72:AB72" si="13">K$10</f>
        <v>RY07</v>
      </c>
      <c r="L72" s="45" t="str">
        <f t="shared" si="13"/>
        <v>RY08</v>
      </c>
      <c r="M72" s="45" t="str">
        <f t="shared" si="13"/>
        <v>RY09</v>
      </c>
      <c r="N72" s="45" t="str">
        <f t="shared" si="13"/>
        <v>RY10</v>
      </c>
      <c r="O72" s="45" t="str">
        <f>O$10</f>
        <v>RY11</v>
      </c>
      <c r="P72" s="45" t="str">
        <f t="shared" si="13"/>
        <v>RY12</v>
      </c>
      <c r="Q72" s="45" t="str">
        <f t="shared" si="13"/>
        <v>RY13</v>
      </c>
      <c r="R72" s="55" t="str">
        <f t="shared" si="13"/>
        <v>RY14</v>
      </c>
      <c r="S72" s="54" t="str">
        <f t="shared" si="13"/>
        <v>RY15</v>
      </c>
      <c r="T72" s="45" t="str">
        <f>T$10</f>
        <v>RY16</v>
      </c>
      <c r="U72" s="45" t="str">
        <f t="shared" si="13"/>
        <v>RY17</v>
      </c>
      <c r="V72" s="45" t="str">
        <f t="shared" si="13"/>
        <v>RY18</v>
      </c>
      <c r="W72" s="55" t="str">
        <f t="shared" si="13"/>
        <v>RY19</v>
      </c>
      <c r="X72" s="54" t="str">
        <f t="shared" si="13"/>
        <v>RY20</v>
      </c>
      <c r="Y72" s="45" t="str">
        <f>Y$10</f>
        <v>RY21</v>
      </c>
      <c r="Z72" s="45" t="str">
        <f t="shared" si="13"/>
        <v>RY22</v>
      </c>
      <c r="AA72" s="45" t="str">
        <f t="shared" si="13"/>
        <v>RY23</v>
      </c>
      <c r="AB72" s="55" t="str">
        <f t="shared" si="13"/>
        <v>RY24</v>
      </c>
    </row>
    <row r="73" spans="1:28" x14ac:dyDescent="0.35">
      <c r="J73" s="56"/>
      <c r="K73" s="57"/>
      <c r="L73" s="57"/>
      <c r="M73" s="57"/>
      <c r="N73" s="57"/>
      <c r="O73" s="57"/>
      <c r="P73" s="57"/>
      <c r="Q73" s="57"/>
      <c r="R73" s="58"/>
      <c r="S73" s="56"/>
      <c r="T73" s="57"/>
      <c r="U73" s="57"/>
      <c r="V73" s="57"/>
      <c r="W73" s="58"/>
      <c r="X73" s="56"/>
      <c r="Y73" s="57"/>
      <c r="Z73" s="57"/>
      <c r="AA73" s="57"/>
      <c r="AB73" s="58"/>
    </row>
    <row r="74" spans="1:28" ht="12.3" x14ac:dyDescent="0.35">
      <c r="D74" s="15" t="str">
        <f>Calc_EB_ACS!$C$14</f>
        <v>Opening Balance</v>
      </c>
      <c r="E74" s="52" t="str">
        <f>$E$32</f>
        <v>Calc_EB_NS</v>
      </c>
      <c r="F74" s="52" t="str">
        <f>Dollars</f>
        <v>Dollars</v>
      </c>
      <c r="G74" s="52" t="str">
        <f>Nominal</f>
        <v>Nominal</v>
      </c>
      <c r="H74" s="52" t="str">
        <f>Start_year</f>
        <v>Start year</v>
      </c>
      <c r="J74" s="66">
        <f>Calc_EB_NS!J$21</f>
        <v>66.801062937318775</v>
      </c>
      <c r="K74" s="67">
        <f>Calc_EB_NS!K$21</f>
        <v>70.740199656719199</v>
      </c>
      <c r="L74" s="67">
        <f>Calc_EB_NS!L$21</f>
        <v>75.612645019104377</v>
      </c>
      <c r="M74" s="67">
        <f>Calc_EB_NS!M$21</f>
        <v>76.897616946939394</v>
      </c>
      <c r="N74" s="67">
        <f>Calc_EB_NS!N$21</f>
        <v>76.242035307053598</v>
      </c>
      <c r="O74" s="67">
        <f>Calc_EB_NS!O$21</f>
        <v>86.989103942939948</v>
      </c>
      <c r="P74" s="67">
        <f>Calc_EB_NS!P$21</f>
        <v>97.554269173773747</v>
      </c>
      <c r="Q74" s="67">
        <f>Calc_EB_NS!Q$21</f>
        <v>101.94955559821641</v>
      </c>
      <c r="R74" s="68">
        <f>Calc_EB_NS!R$21</f>
        <v>111.32195664985137</v>
      </c>
      <c r="S74" s="66">
        <f>Calc_EB_NS!S$21</f>
        <v>112.69114532304692</v>
      </c>
      <c r="T74" s="67">
        <f>Calc_EB_NS!T$21</f>
        <v>112.64394026495373</v>
      </c>
      <c r="U74" s="67">
        <f>Calc_EB_NS!U$21</f>
        <v>114.13606717696348</v>
      </c>
      <c r="V74" s="67">
        <f>Calc_EB_NS!V$21</f>
        <v>116.39551161419392</v>
      </c>
      <c r="W74" s="68">
        <f>Calc_EB_NS!W$21</f>
        <v>120.67292872717621</v>
      </c>
      <c r="X74" s="66">
        <f>Calc_EB_NS!X$21</f>
        <v>120.32531256962051</v>
      </c>
      <c r="Y74" s="67">
        <f>Calc_EB_NS!Y$21</f>
        <v>120.91444021703823</v>
      </c>
      <c r="Z74" s="67">
        <f>Calc_EB_NS!Z$21</f>
        <v>121.35502625510428</v>
      </c>
      <c r="AA74" s="67">
        <f>Calc_EB_NS!AA$21</f>
        <v>121.65446115412682</v>
      </c>
      <c r="AB74" s="68">
        <f>Calc_EB_NS!AB$21</f>
        <v>122.01797211602037</v>
      </c>
    </row>
    <row r="75" spans="1:28" ht="12.3" x14ac:dyDescent="0.35">
      <c r="D75" s="15" t="str">
        <f>Calc_EB_ACS!$C$33</f>
        <v>Inflation</v>
      </c>
      <c r="E75" s="52" t="str">
        <f>$E$33</f>
        <v>Calc_EB_NS</v>
      </c>
      <c r="F75" s="52" t="str">
        <f>Dollars</f>
        <v>Dollars</v>
      </c>
      <c r="G75" s="52" t="str">
        <f>Nominal</f>
        <v>Nominal</v>
      </c>
      <c r="H75" s="52" t="str">
        <f>End_year</f>
        <v>End_year</v>
      </c>
      <c r="J75" s="66">
        <f>Calc_EB_NS!J$40</f>
        <v>1.9527716327596272</v>
      </c>
      <c r="K75" s="67">
        <f>Calc_EB_NS!K$40</f>
        <v>1.7580404648415324</v>
      </c>
      <c r="L75" s="67">
        <f>Calc_EB_NS!L$40</f>
        <v>3.2305633553197026</v>
      </c>
      <c r="M75" s="67">
        <f>Calc_EB_NS!M$40</f>
        <v>1.8734746100029538</v>
      </c>
      <c r="N75" s="67">
        <f>Calc_EB_NS!N$40</f>
        <v>2.2254431927464235</v>
      </c>
      <c r="O75" s="67">
        <f>Calc_EB_NS!O$40</f>
        <v>2.8326283846965632</v>
      </c>
      <c r="P75" s="67">
        <f>Calc_EB_NS!P$40</f>
        <v>1.58786196010213</v>
      </c>
      <c r="Q75" s="67">
        <f>Calc_EB_NS!Q$40</f>
        <v>2.5512901801355445</v>
      </c>
      <c r="R75" s="68">
        <f>Calc_EB_NS!R$40</f>
        <v>2.7272639713772056</v>
      </c>
      <c r="S75" s="66">
        <f>Calc_EB_NS!S$40</f>
        <v>1.4968463325641803</v>
      </c>
      <c r="T75" s="67">
        <f>Calc_EB_NS!T$40</f>
        <v>1.4766059585293716</v>
      </c>
      <c r="U75" s="67">
        <f>Calc_EB_NS!U$40</f>
        <v>2.426182574001988</v>
      </c>
      <c r="V75" s="67">
        <f>Calc_EB_NS!V$40</f>
        <v>2.8224452636462258</v>
      </c>
      <c r="W75" s="68">
        <f>Calc_EB_NS!W$40</f>
        <v>2.9261672672161985</v>
      </c>
      <c r="X75" s="66">
        <f>Calc_EB_NS!X$40</f>
        <v>2.9177380111061169</v>
      </c>
      <c r="Y75" s="67">
        <f>Calc_EB_NS!Y$40</f>
        <v>2.9320236181289085</v>
      </c>
      <c r="Z75" s="67">
        <f>Calc_EB_NS!Z$40</f>
        <v>2.94270727731063</v>
      </c>
      <c r="AA75" s="67">
        <f>Calc_EB_NS!AA$40</f>
        <v>2.9499681982928565</v>
      </c>
      <c r="AB75" s="68">
        <f>Calc_EB_NS!AB$40</f>
        <v>2.9587828834851924</v>
      </c>
    </row>
    <row r="76" spans="1:28" ht="12.3" x14ac:dyDescent="0.35">
      <c r="D76" s="15" t="str">
        <f>Calc_EB_ACS!$C$52</f>
        <v>Straight Line Depreciation</v>
      </c>
      <c r="E76" s="52" t="str">
        <f>$E$34</f>
        <v>Calc_EB_NS</v>
      </c>
      <c r="F76" s="52" t="str">
        <f>Dollars</f>
        <v>Dollars</v>
      </c>
      <c r="G76" s="52" t="str">
        <f>Nominal</f>
        <v>Nominal</v>
      </c>
      <c r="H76" s="52" t="str">
        <f>End_year</f>
        <v>End_year</v>
      </c>
      <c r="J76" s="66">
        <f>Calc_EB_NS!J$59</f>
        <v>-3.069692345818392</v>
      </c>
      <c r="K76" s="67">
        <f>Calc_EB_NS!K$59</f>
        <v>-3.2622278335866701</v>
      </c>
      <c r="L76" s="67">
        <f>Calc_EB_NS!L$59</f>
        <v>-3.4843697962262716</v>
      </c>
      <c r="M76" s="67">
        <f>Calc_EB_NS!M$59</f>
        <v>-3.5964106323108624</v>
      </c>
      <c r="N76" s="67">
        <f>Calc_EB_NS!N$59</f>
        <v>-2.1421803856213066</v>
      </c>
      <c r="O76" s="67">
        <f>Calc_EB_NS!O$59</f>
        <v>-2.4278392322051658</v>
      </c>
      <c r="P76" s="67">
        <f>Calc_EB_NS!P$59</f>
        <v>-2.6698222078049403</v>
      </c>
      <c r="Q76" s="67">
        <f>Calc_EB_NS!Q$59</f>
        <v>-2.8467191813908448</v>
      </c>
      <c r="R76" s="68">
        <f>Calc_EB_NS!R$59</f>
        <v>-3.5251645088707861</v>
      </c>
      <c r="S76" s="66">
        <f>Calc_EB_NS!S$59</f>
        <v>-3.8255604657202351</v>
      </c>
      <c r="T76" s="67">
        <f>Calc_EB_NS!T$59</f>
        <v>-4.027415961167609</v>
      </c>
      <c r="U76" s="67">
        <f>Calc_EB_NS!U$59</f>
        <v>-4.1520955439456566</v>
      </c>
      <c r="V76" s="67">
        <f>Calc_EB_NS!V$59</f>
        <v>-4.2617544921939441</v>
      </c>
      <c r="W76" s="68">
        <f>Calc_EB_NS!W$59</f>
        <v>-4.463459731527025</v>
      </c>
      <c r="X76" s="66">
        <f>Calc_EB_NS!X$59</f>
        <v>-4.3397975083535583</v>
      </c>
      <c r="Y76" s="67">
        <f>Calc_EB_NS!Y$59</f>
        <v>-4.4814588596811582</v>
      </c>
      <c r="Z76" s="67">
        <f>Calc_EB_NS!Z$59</f>
        <v>-4.6261719642291341</v>
      </c>
      <c r="AA76" s="67">
        <f>Calc_EB_NS!AA$59</f>
        <v>-4.7742651917769932</v>
      </c>
      <c r="AB76" s="68">
        <f>Calc_EB_NS!AB$59</f>
        <v>-4.9296608029862687</v>
      </c>
    </row>
    <row r="77" spans="1:28" ht="12.3" x14ac:dyDescent="0.35">
      <c r="D77" s="15" t="str">
        <f>Calc_EB_ACS!$C$71</f>
        <v>RAB Additions</v>
      </c>
      <c r="E77" s="52" t="str">
        <f>$E$35</f>
        <v>Calc_EB_NS</v>
      </c>
      <c r="F77" s="52" t="str">
        <f>Dollars</f>
        <v>Dollars</v>
      </c>
      <c r="G77" s="52" t="str">
        <f>Nominal</f>
        <v>Nominal</v>
      </c>
      <c r="H77" s="52" t="str">
        <f>End_year</f>
        <v>End_year</v>
      </c>
      <c r="J77" s="66">
        <f>Calc_EB_NS!J$78+Calc_EB_NS!J$135</f>
        <v>5.0560574324591929</v>
      </c>
      <c r="K77" s="67">
        <f>Calc_EB_NS!K$78+Calc_EB_NS!K$135</f>
        <v>6.3766327311303108</v>
      </c>
      <c r="L77" s="67">
        <f>Calc_EB_NS!L$78+Calc_EB_NS!L$135</f>
        <v>1.538778368741589</v>
      </c>
      <c r="M77" s="67">
        <f>Calc_EB_NS!M$78+Calc_EB_NS!M$135</f>
        <v>1.067354382422105</v>
      </c>
      <c r="N77" s="67">
        <f>Calc_EB_NS!N$78+Calc_EB_NS!N$135</f>
        <v>10.66380582876123</v>
      </c>
      <c r="O77" s="67">
        <f>Calc_EB_NS!O$78+Calc_EB_NS!O$135</f>
        <v>10.160376078342406</v>
      </c>
      <c r="P77" s="67">
        <f>Calc_EB_NS!P$78+Calc_EB_NS!P$135</f>
        <v>5.4772466721454673</v>
      </c>
      <c r="Q77" s="67">
        <f>Calc_EB_NS!Q$78+Calc_EB_NS!Q$135</f>
        <v>9.6678300528902685</v>
      </c>
      <c r="R77" s="68">
        <f>Calc_EB_NS!R$78+Calc_EB_NS!R$135</f>
        <v>2.1695681224965604</v>
      </c>
      <c r="S77" s="66">
        <f>Calc_EB_NS!S$78+Calc_EB_NS!S$135</f>
        <v>2.2886715378856559</v>
      </c>
      <c r="T77" s="67">
        <f>Calc_EB_NS!T$78+Calc_EB_NS!T$135</f>
        <v>4.0500780782482932</v>
      </c>
      <c r="U77" s="67">
        <f>Calc_EB_NS!U$78+Calc_EB_NS!U$135</f>
        <v>3.9989767724754963</v>
      </c>
      <c r="V77" s="67">
        <f>Calc_EB_NS!V$78+Calc_EB_NS!V$135</f>
        <v>5.7167263415300029</v>
      </c>
      <c r="W77" s="68">
        <f>Calc_EB_NS!W$78+Calc_EB_NS!W$135</f>
        <v>1.1896763067551221</v>
      </c>
      <c r="X77" s="66">
        <f>Calc_EB_NS!X$78+Calc_EB_NS!X$135</f>
        <v>2.0111871446651679</v>
      </c>
      <c r="Y77" s="67">
        <f>Calc_EB_NS!Y$78+Calc_EB_NS!Y$135</f>
        <v>1.9900212796182835</v>
      </c>
      <c r="Z77" s="67">
        <f>Calc_EB_NS!Z$78+Calc_EB_NS!Z$135</f>
        <v>1.9828995859410365</v>
      </c>
      <c r="AA77" s="67">
        <f>Calc_EB_NS!AA$78+Calc_EB_NS!AA$135</f>
        <v>2.1878079553776932</v>
      </c>
      <c r="AB77" s="68">
        <f>Calc_EB_NS!AB$78+Calc_EB_NS!AB$135</f>
        <v>2.2711954802205772</v>
      </c>
    </row>
    <row r="78" spans="1:28" ht="12.3" x14ac:dyDescent="0.35">
      <c r="D78" s="15" t="str">
        <f>Calc_EB_ACS!$C$90</f>
        <v>Disposals</v>
      </c>
      <c r="E78" s="52" t="str">
        <f>$E$36</f>
        <v>Calc_EB_NS</v>
      </c>
      <c r="F78" s="52" t="str">
        <f>Dollars</f>
        <v>Dollars</v>
      </c>
      <c r="G78" s="52" t="str">
        <f>Nominal</f>
        <v>Nominal</v>
      </c>
      <c r="H78" s="52" t="str">
        <f>End_year</f>
        <v>End_year</v>
      </c>
      <c r="J78" s="66">
        <f>Calc_EB_NS!J$97</f>
        <v>0</v>
      </c>
      <c r="K78" s="67">
        <f>Calc_EB_NS!K$97</f>
        <v>0</v>
      </c>
      <c r="L78" s="67">
        <f>Calc_EB_NS!L$97</f>
        <v>0</v>
      </c>
      <c r="M78" s="67">
        <f>Calc_EB_NS!M$97</f>
        <v>0</v>
      </c>
      <c r="N78" s="67">
        <f>Calc_EB_NS!N$97</f>
        <v>0</v>
      </c>
      <c r="O78" s="67">
        <f>Calc_EB_NS!O$97</f>
        <v>0</v>
      </c>
      <c r="P78" s="67">
        <f>Calc_EB_NS!P$97</f>
        <v>0</v>
      </c>
      <c r="Q78" s="67">
        <f>Calc_EB_NS!Q$97</f>
        <v>0</v>
      </c>
      <c r="R78" s="68">
        <f>Calc_EB_NS!R$97</f>
        <v>-2.4789118074350306E-3</v>
      </c>
      <c r="S78" s="66">
        <f>Calc_EB_NS!S$97</f>
        <v>-7.1624628228102475E-3</v>
      </c>
      <c r="T78" s="67">
        <f>Calc_EB_NS!T$97</f>
        <v>-7.1411636003059749E-3</v>
      </c>
      <c r="U78" s="67">
        <f>Calc_EB_NS!U$97</f>
        <v>-1.3619365301383054E-2</v>
      </c>
      <c r="V78" s="67">
        <f>Calc_EB_NS!V$97</f>
        <v>0</v>
      </c>
      <c r="W78" s="68">
        <f>Calc_EB_NS!W$97</f>
        <v>0</v>
      </c>
      <c r="X78" s="66">
        <f>Calc_EB_NS!X$97</f>
        <v>0</v>
      </c>
      <c r="Y78" s="67">
        <f>Calc_EB_NS!Y$97</f>
        <v>0</v>
      </c>
      <c r="Z78" s="67">
        <f>Calc_EB_NS!Z$97</f>
        <v>0</v>
      </c>
      <c r="AA78" s="67">
        <f>Calc_EB_NS!AA$97</f>
        <v>0</v>
      </c>
      <c r="AB78" s="68">
        <f>Calc_EB_NS!AB$97</f>
        <v>0</v>
      </c>
    </row>
    <row r="79" spans="1:28" x14ac:dyDescent="0.35">
      <c r="J79" s="56"/>
      <c r="K79" s="57"/>
      <c r="L79" s="57"/>
      <c r="M79" s="57"/>
      <c r="N79" s="57"/>
      <c r="O79" s="57"/>
      <c r="P79" s="57"/>
      <c r="Q79" s="57"/>
      <c r="R79" s="58"/>
      <c r="S79" s="56"/>
      <c r="T79" s="57"/>
      <c r="U79" s="57"/>
      <c r="V79" s="57"/>
      <c r="W79" s="58"/>
      <c r="X79" s="56"/>
      <c r="Y79" s="57"/>
      <c r="Z79" s="57"/>
      <c r="AA79" s="57"/>
      <c r="AB79" s="58"/>
    </row>
    <row r="80" spans="1:28" ht="12.3" x14ac:dyDescent="0.35">
      <c r="D80" s="51" t="s">
        <v>152</v>
      </c>
      <c r="E80" s="47" t="s">
        <v>111</v>
      </c>
      <c r="F80" s="47" t="str">
        <f>F74</f>
        <v>Dollars</v>
      </c>
      <c r="G80" s="47" t="str">
        <f>G74</f>
        <v>Nominal</v>
      </c>
      <c r="H80" s="47" t="str">
        <f>H74</f>
        <v>Start year</v>
      </c>
      <c r="J80" s="62">
        <f>SUM(J74:J78)</f>
        <v>70.740199656719199</v>
      </c>
      <c r="K80" s="46">
        <f t="shared" ref="K80:AB80" si="14">SUM(K74:K78)</f>
        <v>75.612645019104377</v>
      </c>
      <c r="L80" s="46">
        <f t="shared" si="14"/>
        <v>76.897616946939394</v>
      </c>
      <c r="M80" s="46">
        <f t="shared" si="14"/>
        <v>76.242035307053598</v>
      </c>
      <c r="N80" s="46">
        <f t="shared" si="14"/>
        <v>86.989103942939948</v>
      </c>
      <c r="O80" s="46">
        <f t="shared" si="14"/>
        <v>97.554269173773747</v>
      </c>
      <c r="P80" s="46">
        <f t="shared" si="14"/>
        <v>101.94955559821641</v>
      </c>
      <c r="Q80" s="46">
        <f t="shared" si="14"/>
        <v>111.32195664985137</v>
      </c>
      <c r="R80" s="63">
        <f t="shared" si="14"/>
        <v>112.69114532304692</v>
      </c>
      <c r="S80" s="62">
        <f t="shared" si="14"/>
        <v>112.64394026495373</v>
      </c>
      <c r="T80" s="46">
        <f t="shared" si="14"/>
        <v>114.13606717696348</v>
      </c>
      <c r="U80" s="46">
        <f t="shared" si="14"/>
        <v>116.39551161419392</v>
      </c>
      <c r="V80" s="46">
        <f t="shared" si="14"/>
        <v>120.67292872717621</v>
      </c>
      <c r="W80" s="63">
        <f t="shared" si="14"/>
        <v>120.32531256962051</v>
      </c>
      <c r="X80" s="62">
        <f t="shared" si="14"/>
        <v>120.91444021703823</v>
      </c>
      <c r="Y80" s="46">
        <f t="shared" si="14"/>
        <v>121.35502625510428</v>
      </c>
      <c r="Z80" s="46">
        <f t="shared" si="14"/>
        <v>121.65446115412682</v>
      </c>
      <c r="AA80" s="46">
        <f t="shared" si="14"/>
        <v>122.01797211602037</v>
      </c>
      <c r="AB80" s="63">
        <f t="shared" si="14"/>
        <v>122.31828967673989</v>
      </c>
    </row>
    <row r="81" spans="1:28" s="6" customFormat="1" ht="11.25" customHeight="1" x14ac:dyDescent="0.35"/>
    <row r="82" spans="1:28" s="6" customFormat="1" ht="11.25" customHeight="1" x14ac:dyDescent="0.35">
      <c r="A82" s="49">
        <f>IF(SUM($J82:$AB82)&lt;&gt;0,1,0)</f>
        <v>0</v>
      </c>
      <c r="D82" s="15" t="s">
        <v>114</v>
      </c>
      <c r="J82" s="70">
        <f>IF(J80&lt;&gt;Calc_EB_NS!J$154,1,0)</f>
        <v>0</v>
      </c>
      <c r="K82" s="70">
        <f>IF(K80&lt;&gt;Calc_EB_NS!K$154,1,0)</f>
        <v>0</v>
      </c>
      <c r="L82" s="70">
        <f>IF(L80&lt;&gt;Calc_EB_NS!L$154,1,0)</f>
        <v>0</v>
      </c>
      <c r="M82" s="70">
        <f>IF(M80&lt;&gt;Calc_EB_NS!M$154,1,0)</f>
        <v>0</v>
      </c>
      <c r="N82" s="70">
        <f>IF(N80&lt;&gt;Calc_EB_NS!N$154,1,0)</f>
        <v>0</v>
      </c>
      <c r="O82" s="70">
        <f>IF(O80&lt;&gt;Calc_EB_NS!O$154,1,0)</f>
        <v>0</v>
      </c>
      <c r="P82" s="70">
        <f>IF(P80&lt;&gt;Calc_EB_NS!P$154,1,0)</f>
        <v>0</v>
      </c>
      <c r="Q82" s="70">
        <f>IF(Q80&lt;&gt;Calc_EB_NS!Q$154,1,0)</f>
        <v>0</v>
      </c>
      <c r="R82" s="70">
        <f>IF(R80&lt;&gt;Calc_EB_NS!R$154,1,0)</f>
        <v>0</v>
      </c>
      <c r="S82" s="70">
        <f>IF(S80&lt;&gt;Calc_EB_NS!S$154,1,0)</f>
        <v>0</v>
      </c>
      <c r="T82" s="70">
        <f>IF(T80&lt;&gt;Calc_EB_NS!T$154,1,0)</f>
        <v>0</v>
      </c>
      <c r="U82" s="70">
        <f>IF(U80&lt;&gt;Calc_EB_NS!U$154,1,0)</f>
        <v>0</v>
      </c>
      <c r="V82" s="70">
        <f>IF(V80&lt;&gt;Calc_EB_NS!V$154,1,0)</f>
        <v>0</v>
      </c>
      <c r="W82" s="70">
        <f>IF(W80&lt;&gt;Calc_EB_NS!W$154,1,0)</f>
        <v>0</v>
      </c>
      <c r="X82" s="70">
        <f>IF(X80&lt;&gt;Calc_EB_NS!X$154,1,0)</f>
        <v>0</v>
      </c>
      <c r="Y82" s="70">
        <f>IF(Y80&lt;&gt;Calc_EB_NS!Y$154,1,0)</f>
        <v>0</v>
      </c>
      <c r="Z82" s="70">
        <f>IF(Z80&lt;&gt;Calc_EB_NS!Z$154,1,0)</f>
        <v>0</v>
      </c>
      <c r="AA82" s="70">
        <f>IF(AA80&lt;&gt;Calc_EB_NS!AA$154,1,0)</f>
        <v>0</v>
      </c>
      <c r="AB82" s="70">
        <f>IF(AB80&lt;&gt;Calc_EB_NS!AB$154,1,0)</f>
        <v>0</v>
      </c>
    </row>
    <row r="83" spans="1:28" s="6" customFormat="1" ht="11.25" customHeight="1" x14ac:dyDescent="0.35">
      <c r="L83" s="10"/>
      <c r="Q83" s="10"/>
      <c r="V83" s="10"/>
      <c r="AA83" s="10"/>
    </row>
    <row r="84" spans="1:28" s="13" customFormat="1" ht="14.1" x14ac:dyDescent="0.35">
      <c r="C84" s="13" t="str">
        <f>Lookup!$D$107</f>
        <v>Underground network assets 33kV and above</v>
      </c>
    </row>
    <row r="85" spans="1:28" s="6" customFormat="1" ht="11.25" customHeight="1" x14ac:dyDescent="0.35"/>
    <row r="86" spans="1:28" ht="12.3" x14ac:dyDescent="0.35">
      <c r="D86" s="50" t="s">
        <v>109</v>
      </c>
      <c r="E86" s="45" t="str">
        <f>Lookup!E$20</f>
        <v>Source</v>
      </c>
      <c r="F86" s="45" t="str">
        <f>Lookup!F$20</f>
        <v>Unit</v>
      </c>
      <c r="G86" s="45" t="str">
        <f>Lookup!G$20</f>
        <v>Basis</v>
      </c>
      <c r="H86" s="45" t="str">
        <f>Lookup!H$20</f>
        <v>Timing</v>
      </c>
      <c r="J86" s="54" t="str">
        <f>J$10</f>
        <v>RY06</v>
      </c>
      <c r="K86" s="45" t="str">
        <f t="shared" ref="K86:AB86" si="15">K$10</f>
        <v>RY07</v>
      </c>
      <c r="L86" s="45" t="str">
        <f t="shared" si="15"/>
        <v>RY08</v>
      </c>
      <c r="M86" s="45" t="str">
        <f t="shared" si="15"/>
        <v>RY09</v>
      </c>
      <c r="N86" s="45" t="str">
        <f t="shared" si="15"/>
        <v>RY10</v>
      </c>
      <c r="O86" s="45" t="str">
        <f>O$10</f>
        <v>RY11</v>
      </c>
      <c r="P86" s="45" t="str">
        <f t="shared" si="15"/>
        <v>RY12</v>
      </c>
      <c r="Q86" s="45" t="str">
        <f t="shared" si="15"/>
        <v>RY13</v>
      </c>
      <c r="R86" s="55" t="str">
        <f t="shared" si="15"/>
        <v>RY14</v>
      </c>
      <c r="S86" s="54" t="str">
        <f t="shared" si="15"/>
        <v>RY15</v>
      </c>
      <c r="T86" s="45" t="str">
        <f>T$10</f>
        <v>RY16</v>
      </c>
      <c r="U86" s="45" t="str">
        <f t="shared" si="15"/>
        <v>RY17</v>
      </c>
      <c r="V86" s="45" t="str">
        <f t="shared" si="15"/>
        <v>RY18</v>
      </c>
      <c r="W86" s="55" t="str">
        <f t="shared" si="15"/>
        <v>RY19</v>
      </c>
      <c r="X86" s="54" t="str">
        <f t="shared" si="15"/>
        <v>RY20</v>
      </c>
      <c r="Y86" s="45" t="str">
        <f>Y$10</f>
        <v>RY21</v>
      </c>
      <c r="Z86" s="45" t="str">
        <f t="shared" si="15"/>
        <v>RY22</v>
      </c>
      <c r="AA86" s="45" t="str">
        <f t="shared" si="15"/>
        <v>RY23</v>
      </c>
      <c r="AB86" s="55" t="str">
        <f t="shared" si="15"/>
        <v>RY24</v>
      </c>
    </row>
    <row r="87" spans="1:28" x14ac:dyDescent="0.35">
      <c r="J87" s="56"/>
      <c r="K87" s="57"/>
      <c r="L87" s="57"/>
      <c r="M87" s="57"/>
      <c r="N87" s="57"/>
      <c r="O87" s="57"/>
      <c r="P87" s="57"/>
      <c r="Q87" s="57"/>
      <c r="R87" s="58"/>
      <c r="S87" s="56"/>
      <c r="T87" s="57"/>
      <c r="U87" s="57"/>
      <c r="V87" s="57"/>
      <c r="W87" s="58"/>
      <c r="X87" s="56"/>
      <c r="Y87" s="57"/>
      <c r="Z87" s="57"/>
      <c r="AA87" s="57"/>
      <c r="AB87" s="58"/>
    </row>
    <row r="88" spans="1:28" ht="12.3" x14ac:dyDescent="0.35">
      <c r="D88" s="15" t="str">
        <f>Calc_EB_ACS!$C$14</f>
        <v>Opening Balance</v>
      </c>
      <c r="E88" s="52" t="str">
        <f>$E$32</f>
        <v>Calc_EB_NS</v>
      </c>
      <c r="F88" s="52" t="str">
        <f>Dollars</f>
        <v>Dollars</v>
      </c>
      <c r="G88" s="52" t="str">
        <f>Nominal</f>
        <v>Nominal</v>
      </c>
      <c r="H88" s="52" t="str">
        <f>Start_year</f>
        <v>Start year</v>
      </c>
      <c r="J88" s="66">
        <f>Calc_EB_NS!J$22</f>
        <v>33.426313108768937</v>
      </c>
      <c r="K88" s="67">
        <f>Calc_EB_NS!K$22</f>
        <v>35.397401764715589</v>
      </c>
      <c r="L88" s="67">
        <f>Calc_EB_NS!L$22</f>
        <v>37.835504949410108</v>
      </c>
      <c r="M88" s="67">
        <f>Calc_EB_NS!M$22</f>
        <v>38.478486843816412</v>
      </c>
      <c r="N88" s="67">
        <f>Calc_EB_NS!N$22</f>
        <v>38.150443004398092</v>
      </c>
      <c r="O88" s="67">
        <f>Calc_EB_NS!O$22</f>
        <v>43.528125116457396</v>
      </c>
      <c r="P88" s="67">
        <f>Calc_EB_NS!P$22</f>
        <v>48.814785320997913</v>
      </c>
      <c r="Q88" s="67">
        <f>Calc_EB_NS!Q$22</f>
        <v>51.014124878872899</v>
      </c>
      <c r="R88" s="68">
        <f>Calc_EB_NS!R$22</f>
        <v>55.703942650588139</v>
      </c>
      <c r="S88" s="66">
        <f>Calc_EB_NS!S$22</f>
        <v>56.389065420837447</v>
      </c>
      <c r="T88" s="67">
        <f>Calc_EB_NS!T$22</f>
        <v>56.365444673161299</v>
      </c>
      <c r="U88" s="67">
        <f>Calc_EB_NS!U$22</f>
        <v>57.11208401040745</v>
      </c>
      <c r="V88" s="67">
        <f>Calc_EB_NS!V$22</f>
        <v>58.242678253819385</v>
      </c>
      <c r="W88" s="68">
        <f>Calc_EB_NS!W$22</f>
        <v>60.383037664709491</v>
      </c>
      <c r="X88" s="66">
        <f>Calc_EB_NS!X$22</f>
        <v>60.20909542467318</v>
      </c>
      <c r="Y88" s="67">
        <f>Calc_EB_NS!Y$22</f>
        <v>60.503886620168004</v>
      </c>
      <c r="Z88" s="67">
        <f>Calc_EB_NS!Z$22</f>
        <v>60.724349681864581</v>
      </c>
      <c r="AA88" s="67">
        <f>Calc_EB_NS!AA$22</f>
        <v>60.874182697243562</v>
      </c>
      <c r="AB88" s="68">
        <f>Calc_EB_NS!AB$22</f>
        <v>61.056078473993779</v>
      </c>
    </row>
    <row r="89" spans="1:28" ht="12.3" x14ac:dyDescent="0.35">
      <c r="D89" s="15" t="str">
        <f>Calc_EB_ACS!$C$33</f>
        <v>Inflation</v>
      </c>
      <c r="E89" s="52" t="str">
        <f>$E$33</f>
        <v>Calc_EB_NS</v>
      </c>
      <c r="F89" s="52" t="str">
        <f>Dollars</f>
        <v>Dollars</v>
      </c>
      <c r="G89" s="52" t="str">
        <f>Nominal</f>
        <v>Nominal</v>
      </c>
      <c r="H89" s="52" t="str">
        <f>End_year</f>
        <v>End_year</v>
      </c>
      <c r="J89" s="66">
        <f>Calc_EB_NS!J$41</f>
        <v>0.97713948186413657</v>
      </c>
      <c r="K89" s="67">
        <f>Calc_EB_NS!K$41</f>
        <v>0.87969874208168441</v>
      </c>
      <c r="L89" s="67">
        <f>Calc_EB_NS!L$41</f>
        <v>1.616528502457476</v>
      </c>
      <c r="M89" s="67">
        <f>Calc_EB_NS!M$41</f>
        <v>0.93746036607304695</v>
      </c>
      <c r="N89" s="67">
        <f>Calc_EB_NS!N$41</f>
        <v>1.1135804985067521</v>
      </c>
      <c r="O89" s="67">
        <f>Calc_EB_NS!O$41</f>
        <v>1.4174074355148891</v>
      </c>
      <c r="P89" s="67">
        <f>Calc_EB_NS!P$41</f>
        <v>0.79454380990434748</v>
      </c>
      <c r="Q89" s="67">
        <f>Calc_EB_NS!Q$41</f>
        <v>1.2766297517235456</v>
      </c>
      <c r="R89" s="68">
        <f>Calc_EB_NS!R$41</f>
        <v>1.3646845638228724</v>
      </c>
      <c r="S89" s="66">
        <f>Calc_EB_NS!S$41</f>
        <v>0.74900086896747531</v>
      </c>
      <c r="T89" s="67">
        <f>Calc_EB_NS!T$41</f>
        <v>0.73887287024744075</v>
      </c>
      <c r="U89" s="67">
        <f>Calc_EB_NS!U$41</f>
        <v>1.2140276638071785</v>
      </c>
      <c r="V89" s="67">
        <f>Calc_EB_NS!V$41</f>
        <v>1.4123119448492321</v>
      </c>
      <c r="W89" s="68">
        <f>Calc_EB_NS!W$41</f>
        <v>1.4642129777841717</v>
      </c>
      <c r="X89" s="66">
        <f>Calc_EB_NS!X$41</f>
        <v>1.4599950964867741</v>
      </c>
      <c r="Y89" s="67">
        <f>Calc_EB_NS!Y$41</f>
        <v>1.4671434134789862</v>
      </c>
      <c r="Z89" s="67">
        <f>Calc_EB_NS!Z$41</f>
        <v>1.4724893663913028</v>
      </c>
      <c r="AA89" s="67">
        <f>Calc_EB_NS!AA$41</f>
        <v>1.476122629209855</v>
      </c>
      <c r="AB89" s="68">
        <f>Calc_EB_NS!AB$41</f>
        <v>1.4805333738034063</v>
      </c>
    </row>
    <row r="90" spans="1:28" ht="12.3" x14ac:dyDescent="0.35">
      <c r="D90" s="15" t="str">
        <f>Calc_EB_ACS!$C$52</f>
        <v>Straight Line Depreciation</v>
      </c>
      <c r="E90" s="52" t="str">
        <f>$E$34</f>
        <v>Calc_EB_NS</v>
      </c>
      <c r="F90" s="52" t="str">
        <f>Dollars</f>
        <v>Dollars</v>
      </c>
      <c r="G90" s="52" t="str">
        <f>Nominal</f>
        <v>Nominal</v>
      </c>
      <c r="H90" s="52" t="str">
        <f>End_year</f>
        <v>End_year</v>
      </c>
      <c r="J90" s="66">
        <f>Calc_EB_NS!J$60</f>
        <v>-1.5360309100949081</v>
      </c>
      <c r="K90" s="67">
        <f>Calc_EB_NS!K$60</f>
        <v>-1.6323729623872623</v>
      </c>
      <c r="L90" s="67">
        <f>Calc_EB_NS!L$60</f>
        <v>-1.74352967863226</v>
      </c>
      <c r="M90" s="67">
        <f>Calc_EB_NS!M$60</f>
        <v>-1.7995933384492591</v>
      </c>
      <c r="N90" s="67">
        <f>Calc_EB_NS!N$60</f>
        <v>-1.071916959950626</v>
      </c>
      <c r="O90" s="67">
        <f>Calc_EB_NS!O$60</f>
        <v>-1.2148566322902938</v>
      </c>
      <c r="P90" s="67">
        <f>Calc_EB_NS!P$60</f>
        <v>-1.335941512585977</v>
      </c>
      <c r="Q90" s="67">
        <f>Calc_EB_NS!Q$60</f>
        <v>-1.4244582721564709</v>
      </c>
      <c r="R90" s="68">
        <f>Calc_EB_NS!R$60</f>
        <v>-1.7639427795333236</v>
      </c>
      <c r="S90" s="66">
        <f>Calc_EB_NS!S$60</f>
        <v>-1.9142566947427235</v>
      </c>
      <c r="T90" s="67">
        <f>Calc_EB_NS!T$60</f>
        <v>-2.015262347899482</v>
      </c>
      <c r="U90" s="67">
        <f>Calc_EB_NS!U$60</f>
        <v>-2.0776502589439549</v>
      </c>
      <c r="V90" s="67">
        <f>Calc_EB_NS!V$60</f>
        <v>-2.132522055561398</v>
      </c>
      <c r="W90" s="68">
        <f>Calc_EB_NS!W$60</f>
        <v>-2.2334525226701798</v>
      </c>
      <c r="X90" s="66">
        <f>Calc_EB_NS!X$60</f>
        <v>-2.1715736840744317</v>
      </c>
      <c r="Y90" s="67">
        <f>Calc_EB_NS!Y$60</f>
        <v>-2.2424590334487502</v>
      </c>
      <c r="Z90" s="67">
        <f>Calc_EB_NS!Z$60</f>
        <v>-2.3148714372468984</v>
      </c>
      <c r="AA90" s="67">
        <f>Calc_EB_NS!AA$60</f>
        <v>-2.388975207091816</v>
      </c>
      <c r="AB90" s="68">
        <f>Calc_EB_NS!AB$60</f>
        <v>-2.4667329870972585</v>
      </c>
    </row>
    <row r="91" spans="1:28" ht="12.3" x14ac:dyDescent="0.35">
      <c r="D91" s="15" t="str">
        <f>Calc_EB_ACS!$C$71</f>
        <v>RAB Additions</v>
      </c>
      <c r="E91" s="52" t="str">
        <f>$E$35</f>
        <v>Calc_EB_NS</v>
      </c>
      <c r="F91" s="52" t="str">
        <f>Dollars</f>
        <v>Dollars</v>
      </c>
      <c r="G91" s="52" t="str">
        <f>Nominal</f>
        <v>Nominal</v>
      </c>
      <c r="H91" s="52" t="str">
        <f>End_year</f>
        <v>End_year</v>
      </c>
      <c r="J91" s="66">
        <f>Calc_EB_NS!J$79+Calc_EB_NS!J$136</f>
        <v>2.5299800841774269</v>
      </c>
      <c r="K91" s="67">
        <f>Calc_EB_NS!K$79+Calc_EB_NS!K$136</f>
        <v>3.1907774050000972</v>
      </c>
      <c r="L91" s="67">
        <f>Calc_EB_NS!L$79+Calc_EB_NS!L$136</f>
        <v>0.7699830705810855</v>
      </c>
      <c r="M91" s="67">
        <f>Calc_EB_NS!M$79+Calc_EB_NS!M$136</f>
        <v>0.5340891329578894</v>
      </c>
      <c r="N91" s="67">
        <f>Calc_EB_NS!N$79+Calc_EB_NS!N$136</f>
        <v>5.3360185735031838</v>
      </c>
      <c r="O91" s="67">
        <f>Calc_EB_NS!O$79+Calc_EB_NS!O$136</f>
        <v>5.0841094013159234</v>
      </c>
      <c r="P91" s="67">
        <f>Calc_EB_NS!P$79+Calc_EB_NS!P$136</f>
        <v>2.7407372605566147</v>
      </c>
      <c r="Q91" s="67">
        <f>Calc_EB_NS!Q$79+Calc_EB_NS!Q$136</f>
        <v>4.8376462921481629</v>
      </c>
      <c r="R91" s="68">
        <f>Calc_EB_NS!R$79+Calc_EB_NS!R$136</f>
        <v>1.0856213985909486</v>
      </c>
      <c r="S91" s="66">
        <f>Calc_EB_NS!S$79+Calc_EB_NS!S$136</f>
        <v>1.1452190738383519</v>
      </c>
      <c r="T91" s="67">
        <f>Calc_EB_NS!T$79+Calc_EB_NS!T$136</f>
        <v>2.0266021528058396</v>
      </c>
      <c r="U91" s="67">
        <f>Calc_EB_NS!U$79+Calc_EB_NS!U$136</f>
        <v>2.0010317775465234</v>
      </c>
      <c r="V91" s="67">
        <f>Calc_EB_NS!V$79+Calc_EB_NS!V$136</f>
        <v>2.8605695216022688</v>
      </c>
      <c r="W91" s="68">
        <f>Calc_EB_NS!W$79+Calc_EB_NS!W$136</f>
        <v>0.59529730484969268</v>
      </c>
      <c r="X91" s="66">
        <f>Calc_EB_NS!X$79+Calc_EB_NS!X$136</f>
        <v>1.0063697830824843</v>
      </c>
      <c r="Y91" s="67">
        <f>Calc_EB_NS!Y$79+Calc_EB_NS!Y$136</f>
        <v>0.99577868166634398</v>
      </c>
      <c r="Z91" s="67">
        <f>Calc_EB_NS!Z$79+Calc_EB_NS!Z$136</f>
        <v>0.99221508623458021</v>
      </c>
      <c r="AA91" s="67">
        <f>Calc_EB_NS!AA$79+Calc_EB_NS!AA$136</f>
        <v>1.0947483546321788</v>
      </c>
      <c r="AB91" s="68">
        <f>Calc_EB_NS!AB$79+Calc_EB_NS!AB$136</f>
        <v>1.136474300181562</v>
      </c>
    </row>
    <row r="92" spans="1:28" ht="12.3" x14ac:dyDescent="0.35">
      <c r="D92" s="15" t="str">
        <f>Calc_EB_ACS!$C$90</f>
        <v>Disposals</v>
      </c>
      <c r="E92" s="52" t="str">
        <f>$E$36</f>
        <v>Calc_EB_NS</v>
      </c>
      <c r="F92" s="52" t="str">
        <f>Dollars</f>
        <v>Dollars</v>
      </c>
      <c r="G92" s="52" t="str">
        <f>Nominal</f>
        <v>Nominal</v>
      </c>
      <c r="H92" s="52" t="str">
        <f>End_year</f>
        <v>End_year</v>
      </c>
      <c r="J92" s="66">
        <f>Calc_EB_NS!J$98</f>
        <v>0</v>
      </c>
      <c r="K92" s="67">
        <f>Calc_EB_NS!K$98</f>
        <v>0</v>
      </c>
      <c r="L92" s="67">
        <f>Calc_EB_NS!L$98</f>
        <v>0</v>
      </c>
      <c r="M92" s="67">
        <f>Calc_EB_NS!M$98</f>
        <v>0</v>
      </c>
      <c r="N92" s="67">
        <f>Calc_EB_NS!N$98</f>
        <v>0</v>
      </c>
      <c r="O92" s="67">
        <f>Calc_EB_NS!O$98</f>
        <v>0</v>
      </c>
      <c r="P92" s="67">
        <f>Calc_EB_NS!P$98</f>
        <v>0</v>
      </c>
      <c r="Q92" s="67">
        <f>Calc_EB_NS!Q$98</f>
        <v>0</v>
      </c>
      <c r="R92" s="68">
        <f>Calc_EB_NS!R$98</f>
        <v>-1.2404126311896901E-3</v>
      </c>
      <c r="S92" s="66">
        <f>Calc_EB_NS!S$98</f>
        <v>-3.5839957392567478E-3</v>
      </c>
      <c r="T92" s="67">
        <f>Calc_EB_NS!T$98</f>
        <v>-3.5733379076430625E-3</v>
      </c>
      <c r="U92" s="67">
        <f>Calc_EB_NS!U$98</f>
        <v>-6.8149389978105872E-3</v>
      </c>
      <c r="V92" s="67">
        <f>Calc_EB_NS!V$98</f>
        <v>0</v>
      </c>
      <c r="W92" s="68">
        <f>Calc_EB_NS!W$98</f>
        <v>0</v>
      </c>
      <c r="X92" s="66">
        <f>Calc_EB_NS!X$98</f>
        <v>0</v>
      </c>
      <c r="Y92" s="67">
        <f>Calc_EB_NS!Y$98</f>
        <v>0</v>
      </c>
      <c r="Z92" s="67">
        <f>Calc_EB_NS!Z$98</f>
        <v>0</v>
      </c>
      <c r="AA92" s="67">
        <f>Calc_EB_NS!AA$98</f>
        <v>0</v>
      </c>
      <c r="AB92" s="68">
        <f>Calc_EB_NS!AB$98</f>
        <v>0</v>
      </c>
    </row>
    <row r="93" spans="1:28" x14ac:dyDescent="0.35">
      <c r="J93" s="56"/>
      <c r="K93" s="57"/>
      <c r="L93" s="57"/>
      <c r="M93" s="57"/>
      <c r="N93" s="57"/>
      <c r="O93" s="57"/>
      <c r="P93" s="57"/>
      <c r="Q93" s="57"/>
      <c r="R93" s="58"/>
      <c r="S93" s="56"/>
      <c r="T93" s="57"/>
      <c r="U93" s="57"/>
      <c r="V93" s="57"/>
      <c r="W93" s="58"/>
      <c r="X93" s="56"/>
      <c r="Y93" s="57"/>
      <c r="Z93" s="57"/>
      <c r="AA93" s="57"/>
      <c r="AB93" s="58"/>
    </row>
    <row r="94" spans="1:28" ht="12.3" x14ac:dyDescent="0.35">
      <c r="D94" s="51" t="s">
        <v>152</v>
      </c>
      <c r="E94" s="47" t="s">
        <v>111</v>
      </c>
      <c r="F94" s="47" t="str">
        <f>F88</f>
        <v>Dollars</v>
      </c>
      <c r="G94" s="47" t="str">
        <f>G88</f>
        <v>Nominal</v>
      </c>
      <c r="H94" s="47" t="str">
        <f>H88</f>
        <v>Start year</v>
      </c>
      <c r="J94" s="62">
        <f>SUM(J88:J92)</f>
        <v>35.397401764715589</v>
      </c>
      <c r="K94" s="46">
        <f t="shared" ref="K94:AB94" si="16">SUM(K88:K92)</f>
        <v>37.835504949410108</v>
      </c>
      <c r="L94" s="46">
        <f t="shared" si="16"/>
        <v>38.478486843816412</v>
      </c>
      <c r="M94" s="46">
        <f t="shared" si="16"/>
        <v>38.150443004398092</v>
      </c>
      <c r="N94" s="46">
        <f t="shared" si="16"/>
        <v>43.528125116457396</v>
      </c>
      <c r="O94" s="46">
        <f t="shared" si="16"/>
        <v>48.814785320997913</v>
      </c>
      <c r="P94" s="46">
        <f t="shared" si="16"/>
        <v>51.014124878872899</v>
      </c>
      <c r="Q94" s="46">
        <f t="shared" si="16"/>
        <v>55.703942650588139</v>
      </c>
      <c r="R94" s="63">
        <f t="shared" si="16"/>
        <v>56.389065420837447</v>
      </c>
      <c r="S94" s="62">
        <f t="shared" si="16"/>
        <v>56.365444673161299</v>
      </c>
      <c r="T94" s="46">
        <f t="shared" si="16"/>
        <v>57.11208401040745</v>
      </c>
      <c r="U94" s="46">
        <f t="shared" si="16"/>
        <v>58.242678253819385</v>
      </c>
      <c r="V94" s="46">
        <f t="shared" si="16"/>
        <v>60.383037664709491</v>
      </c>
      <c r="W94" s="63">
        <f t="shared" si="16"/>
        <v>60.20909542467318</v>
      </c>
      <c r="X94" s="62">
        <f t="shared" si="16"/>
        <v>60.503886620168004</v>
      </c>
      <c r="Y94" s="46">
        <f t="shared" si="16"/>
        <v>60.724349681864581</v>
      </c>
      <c r="Z94" s="46">
        <f t="shared" si="16"/>
        <v>60.874182697243562</v>
      </c>
      <c r="AA94" s="46">
        <f t="shared" si="16"/>
        <v>61.056078473993779</v>
      </c>
      <c r="AB94" s="63">
        <f t="shared" si="16"/>
        <v>61.206353160881484</v>
      </c>
    </row>
    <row r="95" spans="1:28" s="6" customFormat="1" ht="11.25" customHeight="1" x14ac:dyDescent="0.35"/>
    <row r="96" spans="1:28" s="6" customFormat="1" ht="11.25" customHeight="1" x14ac:dyDescent="0.35">
      <c r="A96" s="49">
        <f>IF(SUM($J96:$AB96)&lt;&gt;0,1,0)</f>
        <v>0</v>
      </c>
      <c r="D96" s="15" t="s">
        <v>114</v>
      </c>
      <c r="J96" s="70">
        <f>IF(J94&lt;&gt;Calc_EB_NS!J$155,1,0)</f>
        <v>0</v>
      </c>
      <c r="K96" s="70">
        <f>IF(K94&lt;&gt;Calc_EB_NS!K$155,1,0)</f>
        <v>0</v>
      </c>
      <c r="L96" s="70">
        <f>IF(L94&lt;&gt;Calc_EB_NS!L$155,1,0)</f>
        <v>0</v>
      </c>
      <c r="M96" s="70">
        <f>IF(M94&lt;&gt;Calc_EB_NS!M$155,1,0)</f>
        <v>0</v>
      </c>
      <c r="N96" s="70">
        <f>IF(N94&lt;&gt;Calc_EB_NS!N$155,1,0)</f>
        <v>0</v>
      </c>
      <c r="O96" s="70">
        <f>IF(O94&lt;&gt;Calc_EB_NS!O$155,1,0)</f>
        <v>0</v>
      </c>
      <c r="P96" s="70">
        <f>IF(P94&lt;&gt;Calc_EB_NS!P$155,1,0)</f>
        <v>0</v>
      </c>
      <c r="Q96" s="70">
        <f>IF(Q94&lt;&gt;Calc_EB_NS!Q$155,1,0)</f>
        <v>0</v>
      </c>
      <c r="R96" s="70">
        <f>IF(R94&lt;&gt;Calc_EB_NS!R$155,1,0)</f>
        <v>0</v>
      </c>
      <c r="S96" s="70">
        <f>IF(S94&lt;&gt;Calc_EB_NS!S$155,1,0)</f>
        <v>0</v>
      </c>
      <c r="T96" s="70">
        <f>IF(T94&lt;&gt;Calc_EB_NS!T$155,1,0)</f>
        <v>0</v>
      </c>
      <c r="U96" s="70">
        <f>IF(U94&lt;&gt;Calc_EB_NS!U$155,1,0)</f>
        <v>0</v>
      </c>
      <c r="V96" s="70">
        <f>IF(V94&lt;&gt;Calc_EB_NS!V$155,1,0)</f>
        <v>0</v>
      </c>
      <c r="W96" s="70">
        <f>IF(W94&lt;&gt;Calc_EB_NS!W$155,1,0)</f>
        <v>0</v>
      </c>
      <c r="X96" s="70">
        <f>IF(X94&lt;&gt;Calc_EB_NS!X$155,1,0)</f>
        <v>0</v>
      </c>
      <c r="Y96" s="70">
        <f>IF(Y94&lt;&gt;Calc_EB_NS!Y$155,1,0)</f>
        <v>0</v>
      </c>
      <c r="Z96" s="70">
        <f>IF(Z94&lt;&gt;Calc_EB_NS!Z$155,1,0)</f>
        <v>0</v>
      </c>
      <c r="AA96" s="70">
        <f>IF(AA94&lt;&gt;Calc_EB_NS!AA$155,1,0)</f>
        <v>0</v>
      </c>
      <c r="AB96" s="70">
        <f>IF(AB94&lt;&gt;Calc_EB_NS!AB$155,1,0)</f>
        <v>0</v>
      </c>
    </row>
    <row r="97" spans="1:28" s="6" customFormat="1" ht="11.25" customHeight="1" x14ac:dyDescent="0.35">
      <c r="L97" s="10"/>
      <c r="Q97" s="10"/>
      <c r="V97" s="10"/>
      <c r="AA97" s="10"/>
    </row>
    <row r="98" spans="1:28" s="13" customFormat="1" ht="14.1" x14ac:dyDescent="0.35">
      <c r="C98" s="13" t="str">
        <f>Lookup!$D$108</f>
        <v>Zone substations and transformers</v>
      </c>
    </row>
    <row r="99" spans="1:28" s="6" customFormat="1" ht="11.25" customHeight="1" x14ac:dyDescent="0.35"/>
    <row r="100" spans="1:28" ht="12.3" x14ac:dyDescent="0.35">
      <c r="D100" s="50" t="s">
        <v>109</v>
      </c>
      <c r="E100" s="45" t="str">
        <f>Lookup!E$20</f>
        <v>Source</v>
      </c>
      <c r="F100" s="45" t="str">
        <f>Lookup!F$20</f>
        <v>Unit</v>
      </c>
      <c r="G100" s="45" t="str">
        <f>Lookup!G$20</f>
        <v>Basis</v>
      </c>
      <c r="H100" s="45" t="str">
        <f>Lookup!H$20</f>
        <v>Timing</v>
      </c>
      <c r="J100" s="54" t="str">
        <f>J$10</f>
        <v>RY06</v>
      </c>
      <c r="K100" s="45" t="str">
        <f t="shared" ref="K100:AB100" si="17">K$10</f>
        <v>RY07</v>
      </c>
      <c r="L100" s="45" t="str">
        <f t="shared" si="17"/>
        <v>RY08</v>
      </c>
      <c r="M100" s="45" t="str">
        <f t="shared" si="17"/>
        <v>RY09</v>
      </c>
      <c r="N100" s="45" t="str">
        <f t="shared" si="17"/>
        <v>RY10</v>
      </c>
      <c r="O100" s="45" t="str">
        <f>O$10</f>
        <v>RY11</v>
      </c>
      <c r="P100" s="45" t="str">
        <f t="shared" si="17"/>
        <v>RY12</v>
      </c>
      <c r="Q100" s="45" t="str">
        <f t="shared" si="17"/>
        <v>RY13</v>
      </c>
      <c r="R100" s="55" t="str">
        <f t="shared" si="17"/>
        <v>RY14</v>
      </c>
      <c r="S100" s="54" t="str">
        <f t="shared" si="17"/>
        <v>RY15</v>
      </c>
      <c r="T100" s="45" t="str">
        <f>T$10</f>
        <v>RY16</v>
      </c>
      <c r="U100" s="45" t="str">
        <f t="shared" si="17"/>
        <v>RY17</v>
      </c>
      <c r="V100" s="45" t="str">
        <f t="shared" si="17"/>
        <v>RY18</v>
      </c>
      <c r="W100" s="55" t="str">
        <f t="shared" si="17"/>
        <v>RY19</v>
      </c>
      <c r="X100" s="54" t="str">
        <f t="shared" si="17"/>
        <v>RY20</v>
      </c>
      <c r="Y100" s="45" t="str">
        <f>Y$10</f>
        <v>RY21</v>
      </c>
      <c r="Z100" s="45" t="str">
        <f t="shared" si="17"/>
        <v>RY22</v>
      </c>
      <c r="AA100" s="45" t="str">
        <f t="shared" si="17"/>
        <v>RY23</v>
      </c>
      <c r="AB100" s="55" t="str">
        <f t="shared" si="17"/>
        <v>RY24</v>
      </c>
    </row>
    <row r="101" spans="1:28" x14ac:dyDescent="0.35">
      <c r="J101" s="56"/>
      <c r="K101" s="57"/>
      <c r="L101" s="57"/>
      <c r="M101" s="57"/>
      <c r="N101" s="57"/>
      <c r="O101" s="57"/>
      <c r="P101" s="57"/>
      <c r="Q101" s="57"/>
      <c r="R101" s="58"/>
      <c r="S101" s="56"/>
      <c r="T101" s="57"/>
      <c r="U101" s="57"/>
      <c r="V101" s="57"/>
      <c r="W101" s="58"/>
      <c r="X101" s="56"/>
      <c r="Y101" s="57"/>
      <c r="Z101" s="57"/>
      <c r="AA101" s="57"/>
      <c r="AB101" s="58"/>
    </row>
    <row r="102" spans="1:28" ht="12.3" x14ac:dyDescent="0.35">
      <c r="D102" s="15" t="str">
        <f>Calc_EB_ACS!$C$14</f>
        <v>Opening Balance</v>
      </c>
      <c r="E102" s="52" t="str">
        <f>$E$32</f>
        <v>Calc_EB_NS</v>
      </c>
      <c r="F102" s="52" t="str">
        <f>Dollars</f>
        <v>Dollars</v>
      </c>
      <c r="G102" s="52" t="str">
        <f>Nominal</f>
        <v>Nominal</v>
      </c>
      <c r="H102" s="52" t="str">
        <f>Start_year</f>
        <v>Start year</v>
      </c>
      <c r="J102" s="66">
        <f>Calc_EB_NS!J$23</f>
        <v>47.071726111497853</v>
      </c>
      <c r="K102" s="67">
        <f>Calc_EB_NS!K$23</f>
        <v>49.257548154962308</v>
      </c>
      <c r="L102" s="67">
        <f>Calc_EB_NS!L$23</f>
        <v>51.93307559593201</v>
      </c>
      <c r="M102" s="67">
        <f>Calc_EB_NS!M$23</f>
        <v>73.566519243986875</v>
      </c>
      <c r="N102" s="67">
        <f>Calc_EB_NS!N$23</f>
        <v>105.48723246211824</v>
      </c>
      <c r="O102" s="67">
        <f>Calc_EB_NS!O$23</f>
        <v>134.25745022204163</v>
      </c>
      <c r="P102" s="67">
        <f>Calc_EB_NS!P$23</f>
        <v>175.9477180867863</v>
      </c>
      <c r="Q102" s="67">
        <f>Calc_EB_NS!Q$23</f>
        <v>211.49979112014324</v>
      </c>
      <c r="R102" s="68">
        <f>Calc_EB_NS!R$23</f>
        <v>264.91040389827987</v>
      </c>
      <c r="S102" s="66">
        <f>Calc_EB_NS!S$23</f>
        <v>314.98760845090567</v>
      </c>
      <c r="T102" s="67">
        <f>Calc_EB_NS!T$23</f>
        <v>334.30781602676626</v>
      </c>
      <c r="U102" s="67">
        <f>Calc_EB_NS!U$23</f>
        <v>344.20334039390258</v>
      </c>
      <c r="V102" s="67">
        <f>Calc_EB_NS!V$23</f>
        <v>344.93919547332405</v>
      </c>
      <c r="W102" s="68">
        <f>Calc_EB_NS!W$23</f>
        <v>341.65083978271218</v>
      </c>
      <c r="X102" s="66">
        <f>Calc_EB_NS!X$23</f>
        <v>325.90080806224711</v>
      </c>
      <c r="Y102" s="67">
        <f>Calc_EB_NS!Y$23</f>
        <v>332.5534485892818</v>
      </c>
      <c r="Z102" s="67">
        <f>Calc_EB_NS!Z$23</f>
        <v>338.83170779216249</v>
      </c>
      <c r="AA102" s="67">
        <f>Calc_EB_NS!AA$23</f>
        <v>348.38225451899098</v>
      </c>
      <c r="AB102" s="68">
        <f>Calc_EB_NS!AB$23</f>
        <v>357.95320913092814</v>
      </c>
    </row>
    <row r="103" spans="1:28" ht="12.3" x14ac:dyDescent="0.35">
      <c r="D103" s="15" t="str">
        <f>Calc_EB_ACS!$C$33</f>
        <v>Inflation</v>
      </c>
      <c r="E103" s="52" t="str">
        <f>$E$33</f>
        <v>Calc_EB_NS</v>
      </c>
      <c r="F103" s="52" t="str">
        <f>Dollars</f>
        <v>Dollars</v>
      </c>
      <c r="G103" s="52" t="str">
        <f>Nominal</f>
        <v>Nominal</v>
      </c>
      <c r="H103" s="52" t="str">
        <f>End_year</f>
        <v>End_year</v>
      </c>
      <c r="J103" s="66">
        <f>Calc_EB_NS!J$42</f>
        <v>1.3760309703726563</v>
      </c>
      <c r="K103" s="67">
        <f>Calc_EB_NS!K$42</f>
        <v>1.2241520843245004</v>
      </c>
      <c r="L103" s="67">
        <f>Calc_EB_NS!L$42</f>
        <v>2.2188496501726154</v>
      </c>
      <c r="M103" s="67">
        <f>Calc_EB_NS!M$42</f>
        <v>1.7923182983031143</v>
      </c>
      <c r="N103" s="67">
        <f>Calc_EB_NS!N$42</f>
        <v>3.0790867853807411</v>
      </c>
      <c r="O103" s="67">
        <f>Calc_EB_NS!O$42</f>
        <v>4.3718287362219286</v>
      </c>
      <c r="P103" s="67">
        <f>Calc_EB_NS!P$42</f>
        <v>2.8638489210463947</v>
      </c>
      <c r="Q103" s="67">
        <f>Calc_EB_NS!Q$42</f>
        <v>5.2927875655691494</v>
      </c>
      <c r="R103" s="68">
        <f>Calc_EB_NS!R$42</f>
        <v>6.4900098950580842</v>
      </c>
      <c r="S103" s="66">
        <f>Calc_EB_NS!S$42</f>
        <v>4.1838961274313569</v>
      </c>
      <c r="T103" s="67">
        <f>Calc_EB_NS!T$42</f>
        <v>4.3823121951074695</v>
      </c>
      <c r="U103" s="67">
        <f>Calc_EB_NS!U$42</f>
        <v>7.3167068660441172</v>
      </c>
      <c r="V103" s="67">
        <f>Calc_EB_NS!V$42</f>
        <v>8.3643431349538453</v>
      </c>
      <c r="W103" s="68">
        <f>Calc_EB_NS!W$42</f>
        <v>8.2846046311624342</v>
      </c>
      <c r="X103" s="66">
        <f>Calc_EB_NS!X$42</f>
        <v>7.902686103418417</v>
      </c>
      <c r="Y103" s="67">
        <f>Calc_EB_NS!Y$42</f>
        <v>8.0640042976156963</v>
      </c>
      <c r="Z103" s="67">
        <f>Calc_EB_NS!Z$42</f>
        <v>8.2162442139610032</v>
      </c>
      <c r="AA103" s="67">
        <f>Calc_EB_NS!AA$42</f>
        <v>8.4478330011963489</v>
      </c>
      <c r="AB103" s="68">
        <f>Calc_EB_NS!AB$42</f>
        <v>8.6799166540658383</v>
      </c>
    </row>
    <row r="104" spans="1:28" ht="12.3" x14ac:dyDescent="0.35">
      <c r="D104" s="15" t="str">
        <f>Calc_EB_ACS!$C$52</f>
        <v>Straight Line Depreciation</v>
      </c>
      <c r="E104" s="52" t="str">
        <f>$E$34</f>
        <v>Calc_EB_NS</v>
      </c>
      <c r="F104" s="52" t="str">
        <f>Dollars</f>
        <v>Dollars</v>
      </c>
      <c r="G104" s="52" t="str">
        <f>Nominal</f>
        <v>Nominal</v>
      </c>
      <c r="H104" s="52" t="str">
        <f>End_year</f>
        <v>End_year</v>
      </c>
      <c r="J104" s="66">
        <f>Calc_EB_NS!J$61</f>
        <v>-2.2074682474033178</v>
      </c>
      <c r="K104" s="67">
        <f>Calc_EB_NS!K$61</f>
        <v>-2.3539521734297795</v>
      </c>
      <c r="L104" s="67">
        <f>Calc_EB_NS!L$61</f>
        <v>-3.4743398366165703</v>
      </c>
      <c r="M104" s="67">
        <f>Calc_EB_NS!M$61</f>
        <v>-3.7743000258034614</v>
      </c>
      <c r="N104" s="67">
        <f>Calc_EB_NS!N$61</f>
        <v>-9.6485981317395684</v>
      </c>
      <c r="O104" s="67">
        <f>Calc_EB_NS!O$61</f>
        <v>-10.984840820686102</v>
      </c>
      <c r="P104" s="67">
        <f>Calc_EB_NS!P$61</f>
        <v>-12.442862590473061</v>
      </c>
      <c r="Q104" s="67">
        <f>Calc_EB_NS!Q$61</f>
        <v>-7.3134451142680543</v>
      </c>
      <c r="R104" s="68">
        <f>Calc_EB_NS!R$61</f>
        <v>-21.91293772800579</v>
      </c>
      <c r="S104" s="66">
        <f>Calc_EB_NS!S$61</f>
        <v>-28.995427905109779</v>
      </c>
      <c r="T104" s="67">
        <f>Calc_EB_NS!T$61</f>
        <v>-30.630083961773614</v>
      </c>
      <c r="U104" s="67">
        <f>Calc_EB_NS!U$61</f>
        <v>-25.435071226427869</v>
      </c>
      <c r="V104" s="67">
        <f>Calc_EB_NS!V$61</f>
        <v>-26.541323732389785</v>
      </c>
      <c r="W104" s="68">
        <f>Calc_EB_NS!W$61</f>
        <v>-27.77255235511771</v>
      </c>
      <c r="X104" s="66">
        <f>Calc_EB_NS!X$61</f>
        <v>-21.773127652734381</v>
      </c>
      <c r="Y104" s="67">
        <f>Calc_EB_NS!Y$61</f>
        <v>-22.348006821059766</v>
      </c>
      <c r="Z104" s="67">
        <f>Calc_EB_NS!Z$61</f>
        <v>-22.408896590474072</v>
      </c>
      <c r="AA104" s="67">
        <f>Calc_EB_NS!AA$61</f>
        <v>-22.980799371139419</v>
      </c>
      <c r="AB104" s="68">
        <f>Calc_EB_NS!AB$61</f>
        <v>-24.310825405960902</v>
      </c>
    </row>
    <row r="105" spans="1:28" ht="12.3" x14ac:dyDescent="0.35">
      <c r="D105" s="15" t="str">
        <f>Calc_EB_ACS!$C$71</f>
        <v>RAB Additions</v>
      </c>
      <c r="E105" s="52" t="str">
        <f>$E$35</f>
        <v>Calc_EB_NS</v>
      </c>
      <c r="F105" s="52" t="str">
        <f>Dollars</f>
        <v>Dollars</v>
      </c>
      <c r="G105" s="52" t="str">
        <f>Nominal</f>
        <v>Nominal</v>
      </c>
      <c r="H105" s="52" t="str">
        <f>End_year</f>
        <v>End_year</v>
      </c>
      <c r="J105" s="66">
        <f>Calc_EB_NS!J$80+Calc_EB_NS!J$137</f>
        <v>3.017259320495123</v>
      </c>
      <c r="K105" s="67">
        <f>Calc_EB_NS!K$80+Calc_EB_NS!K$137</f>
        <v>3.8053275300749831</v>
      </c>
      <c r="L105" s="67">
        <f>Calc_EB_NS!L$80+Calc_EB_NS!L$137</f>
        <v>22.888933834498829</v>
      </c>
      <c r="M105" s="67">
        <f>Calc_EB_NS!M$80+Calc_EB_NS!M$137</f>
        <v>33.902694945631701</v>
      </c>
      <c r="N105" s="67">
        <f>Calc_EB_NS!N$80+Calc_EB_NS!N$137</f>
        <v>35.522326060781353</v>
      </c>
      <c r="O105" s="67">
        <f>Calc_EB_NS!O$80+Calc_EB_NS!O$137</f>
        <v>48.489640774936042</v>
      </c>
      <c r="P105" s="67">
        <f>Calc_EB_NS!P$80+Calc_EB_NS!P$137</f>
        <v>45.238627848901139</v>
      </c>
      <c r="Q105" s="67">
        <f>Calc_EB_NS!Q$80+Calc_EB_NS!Q$137</f>
        <v>55.44977546794528</v>
      </c>
      <c r="R105" s="68">
        <f>Calc_EB_NS!R$80+Calc_EB_NS!R$137</f>
        <v>65.634841040325497</v>
      </c>
      <c r="S105" s="66">
        <f>Calc_EB_NS!S$80+Calc_EB_NS!S$137</f>
        <v>44.163978729225157</v>
      </c>
      <c r="T105" s="67">
        <f>Calc_EB_NS!T$80+Calc_EB_NS!T$137</f>
        <v>36.176617665472392</v>
      </c>
      <c r="U105" s="67">
        <f>Calc_EB_NS!U$80+Calc_EB_NS!U$137</f>
        <v>18.993715949713604</v>
      </c>
      <c r="V105" s="67">
        <f>Calc_EB_NS!V$80+Calc_EB_NS!V$137</f>
        <v>14.888624906824095</v>
      </c>
      <c r="W105" s="68">
        <f>Calc_EB_NS!W$80+Calc_EB_NS!W$137</f>
        <v>3.7379160034901542</v>
      </c>
      <c r="X105" s="66">
        <f>Calc_EB_NS!X$80+Calc_EB_NS!X$137</f>
        <v>20.523082076350665</v>
      </c>
      <c r="Y105" s="67">
        <f>Calc_EB_NS!Y$80+Calc_EB_NS!Y$137</f>
        <v>20.562261726324778</v>
      </c>
      <c r="Z105" s="67">
        <f>Calc_EB_NS!Z$80+Calc_EB_NS!Z$137</f>
        <v>23.743199103341563</v>
      </c>
      <c r="AA105" s="67">
        <f>Calc_EB_NS!AA$80+Calc_EB_NS!AA$137</f>
        <v>24.103920981880247</v>
      </c>
      <c r="AB105" s="68">
        <f>Calc_EB_NS!AB$80+Calc_EB_NS!AB$137</f>
        <v>16.83136226059279</v>
      </c>
    </row>
    <row r="106" spans="1:28" ht="12.3" x14ac:dyDescent="0.35">
      <c r="D106" s="15" t="str">
        <f>Calc_EB_ACS!$C$90</f>
        <v>Disposals</v>
      </c>
      <c r="E106" s="52" t="str">
        <f>$E$36</f>
        <v>Calc_EB_NS</v>
      </c>
      <c r="F106" s="52" t="str">
        <f>Dollars</f>
        <v>Dollars</v>
      </c>
      <c r="G106" s="52" t="str">
        <f>Nominal</f>
        <v>Nominal</v>
      </c>
      <c r="H106" s="52" t="str">
        <f>End_year</f>
        <v>End_year</v>
      </c>
      <c r="J106" s="66">
        <f>Calc_EB_NS!J$99</f>
        <v>0</v>
      </c>
      <c r="K106" s="67">
        <f>Calc_EB_NS!K$99</f>
        <v>0</v>
      </c>
      <c r="L106" s="67">
        <f>Calc_EB_NS!L$99</f>
        <v>0</v>
      </c>
      <c r="M106" s="67">
        <f>Calc_EB_NS!M$99</f>
        <v>0</v>
      </c>
      <c r="N106" s="67">
        <f>Calc_EB_NS!N$99</f>
        <v>-0.18259695449911931</v>
      </c>
      <c r="O106" s="67">
        <f>Calc_EB_NS!O$99</f>
        <v>-0.18636082572719792</v>
      </c>
      <c r="P106" s="67">
        <f>Calc_EB_NS!P$99</f>
        <v>-0.10754114611750819</v>
      </c>
      <c r="Q106" s="67">
        <f>Calc_EB_NS!Q$99</f>
        <v>-1.8505141109755419E-2</v>
      </c>
      <c r="R106" s="68">
        <f>Calc_EB_NS!R$99</f>
        <v>-0.13470865475200619</v>
      </c>
      <c r="S106" s="66">
        <f>Calc_EB_NS!S$99</f>
        <v>-3.2239375686200979E-2</v>
      </c>
      <c r="T106" s="67">
        <f>Calc_EB_NS!T$99</f>
        <v>-3.3321531669982897E-2</v>
      </c>
      <c r="U106" s="67">
        <f>Calc_EB_NS!U$99</f>
        <v>-0.13949650990836202</v>
      </c>
      <c r="V106" s="67">
        <f>Calc_EB_NS!V$99</f>
        <v>0</v>
      </c>
      <c r="W106" s="68">
        <f>Calc_EB_NS!W$99</f>
        <v>0</v>
      </c>
      <c r="X106" s="66">
        <f>Calc_EB_NS!X$99</f>
        <v>0</v>
      </c>
      <c r="Y106" s="67">
        <f>Calc_EB_NS!Y$99</f>
        <v>0</v>
      </c>
      <c r="Z106" s="67">
        <f>Calc_EB_NS!Z$99</f>
        <v>0</v>
      </c>
      <c r="AA106" s="67">
        <f>Calc_EB_NS!AA$99</f>
        <v>0</v>
      </c>
      <c r="AB106" s="68">
        <f>Calc_EB_NS!AB$99</f>
        <v>0</v>
      </c>
    </row>
    <row r="107" spans="1:28" x14ac:dyDescent="0.35">
      <c r="J107" s="56"/>
      <c r="K107" s="57"/>
      <c r="L107" s="57"/>
      <c r="M107" s="57"/>
      <c r="N107" s="57"/>
      <c r="O107" s="57"/>
      <c r="P107" s="57"/>
      <c r="Q107" s="57"/>
      <c r="R107" s="58"/>
      <c r="S107" s="56"/>
      <c r="T107" s="57"/>
      <c r="U107" s="57"/>
      <c r="V107" s="57"/>
      <c r="W107" s="58"/>
      <c r="X107" s="56"/>
      <c r="Y107" s="57"/>
      <c r="Z107" s="57"/>
      <c r="AA107" s="57"/>
      <c r="AB107" s="58"/>
    </row>
    <row r="108" spans="1:28" ht="12.3" x14ac:dyDescent="0.35">
      <c r="D108" s="51" t="s">
        <v>152</v>
      </c>
      <c r="E108" s="47" t="s">
        <v>111</v>
      </c>
      <c r="F108" s="47" t="str">
        <f>F102</f>
        <v>Dollars</v>
      </c>
      <c r="G108" s="47" t="str">
        <f>G102</f>
        <v>Nominal</v>
      </c>
      <c r="H108" s="47" t="str">
        <f>H102</f>
        <v>Start year</v>
      </c>
      <c r="J108" s="62">
        <f>SUM(J102:J106)</f>
        <v>49.257548154962308</v>
      </c>
      <c r="K108" s="46">
        <f t="shared" ref="K108:AB108" si="18">SUM(K102:K106)</f>
        <v>51.93307559593201</v>
      </c>
      <c r="L108" s="46">
        <f t="shared" si="18"/>
        <v>73.566519243986875</v>
      </c>
      <c r="M108" s="46">
        <f t="shared" si="18"/>
        <v>105.48723246211824</v>
      </c>
      <c r="N108" s="46">
        <f t="shared" si="18"/>
        <v>134.25745022204163</v>
      </c>
      <c r="O108" s="46">
        <f t="shared" si="18"/>
        <v>175.9477180867863</v>
      </c>
      <c r="P108" s="46">
        <f t="shared" si="18"/>
        <v>211.49979112014324</v>
      </c>
      <c r="Q108" s="46">
        <f t="shared" si="18"/>
        <v>264.91040389827987</v>
      </c>
      <c r="R108" s="63">
        <f t="shared" si="18"/>
        <v>314.98760845090567</v>
      </c>
      <c r="S108" s="62">
        <f t="shared" si="18"/>
        <v>334.30781602676626</v>
      </c>
      <c r="T108" s="46">
        <f t="shared" si="18"/>
        <v>344.20334039390258</v>
      </c>
      <c r="U108" s="46">
        <f t="shared" si="18"/>
        <v>344.93919547332405</v>
      </c>
      <c r="V108" s="46">
        <f t="shared" si="18"/>
        <v>341.65083978271218</v>
      </c>
      <c r="W108" s="63">
        <f t="shared" si="18"/>
        <v>325.90080806224711</v>
      </c>
      <c r="X108" s="62">
        <f t="shared" si="18"/>
        <v>332.5534485892818</v>
      </c>
      <c r="Y108" s="46">
        <f t="shared" si="18"/>
        <v>338.83170779216249</v>
      </c>
      <c r="Z108" s="46">
        <f t="shared" si="18"/>
        <v>348.38225451899098</v>
      </c>
      <c r="AA108" s="46">
        <f t="shared" si="18"/>
        <v>357.95320913092814</v>
      </c>
      <c r="AB108" s="63">
        <f t="shared" si="18"/>
        <v>359.15366263962591</v>
      </c>
    </row>
    <row r="109" spans="1:28" s="6" customFormat="1" ht="11.25" customHeight="1" x14ac:dyDescent="0.35"/>
    <row r="110" spans="1:28" s="6" customFormat="1" ht="11.25" customHeight="1" x14ac:dyDescent="0.35">
      <c r="A110" s="49">
        <f>IF(SUM($J110:$AB110)&lt;&gt;0,1,0)</f>
        <v>0</v>
      </c>
      <c r="D110" s="15" t="s">
        <v>114</v>
      </c>
      <c r="J110" s="70">
        <f>IF(J108&lt;&gt;Calc_EB_NS!J$156,1,0)</f>
        <v>0</v>
      </c>
      <c r="K110" s="70">
        <f>IF(K108&lt;&gt;Calc_EB_NS!K$156,1,0)</f>
        <v>0</v>
      </c>
      <c r="L110" s="70">
        <f>IF(L108&lt;&gt;Calc_EB_NS!L$156,1,0)</f>
        <v>0</v>
      </c>
      <c r="M110" s="70">
        <f>IF(M108&lt;&gt;Calc_EB_NS!M$156,1,0)</f>
        <v>0</v>
      </c>
      <c r="N110" s="70">
        <f>IF(N108&lt;&gt;Calc_EB_NS!N$156,1,0)</f>
        <v>0</v>
      </c>
      <c r="O110" s="70">
        <f>IF(O108&lt;&gt;Calc_EB_NS!O$156,1,0)</f>
        <v>0</v>
      </c>
      <c r="P110" s="70">
        <f>IF(P108&lt;&gt;Calc_EB_NS!P$156,1,0)</f>
        <v>0</v>
      </c>
      <c r="Q110" s="70">
        <f>IF(Q108&lt;&gt;Calc_EB_NS!Q$156,1,0)</f>
        <v>0</v>
      </c>
      <c r="R110" s="70">
        <f>IF(R108&lt;&gt;Calc_EB_NS!R$156,1,0)</f>
        <v>0</v>
      </c>
      <c r="S110" s="70">
        <f>IF(S108&lt;&gt;Calc_EB_NS!S$156,1,0)</f>
        <v>0</v>
      </c>
      <c r="T110" s="70">
        <f>IF(T108&lt;&gt;Calc_EB_NS!T$156,1,0)</f>
        <v>0</v>
      </c>
      <c r="U110" s="70">
        <f>IF(U108&lt;&gt;Calc_EB_NS!U$156,1,0)</f>
        <v>0</v>
      </c>
      <c r="V110" s="70">
        <f>IF(V108&lt;&gt;Calc_EB_NS!V$156,1,0)</f>
        <v>0</v>
      </c>
      <c r="W110" s="70">
        <f>IF(W108&lt;&gt;Calc_EB_NS!W$156,1,0)</f>
        <v>0</v>
      </c>
      <c r="X110" s="70">
        <f>IF(X108&lt;&gt;Calc_EB_NS!X$156,1,0)</f>
        <v>0</v>
      </c>
      <c r="Y110" s="70">
        <f>IF(Y108&lt;&gt;Calc_EB_NS!Y$156,1,0)</f>
        <v>0</v>
      </c>
      <c r="Z110" s="70">
        <f>IF(Z108&lt;&gt;Calc_EB_NS!Z$156,1,0)</f>
        <v>0</v>
      </c>
      <c r="AA110" s="70">
        <f>IF(AA108&lt;&gt;Calc_EB_NS!AA$156,1,0)</f>
        <v>0</v>
      </c>
      <c r="AB110" s="70">
        <f>IF(AB108&lt;&gt;Calc_EB_NS!AB$156,1,0)</f>
        <v>0</v>
      </c>
    </row>
    <row r="111" spans="1:28" s="6" customFormat="1" ht="11.25" customHeight="1" x14ac:dyDescent="0.35">
      <c r="L111" s="10"/>
      <c r="Q111" s="10"/>
      <c r="V111" s="10"/>
      <c r="AA111" s="10"/>
    </row>
    <row r="112" spans="1:28" s="13" customFormat="1" ht="14.1" x14ac:dyDescent="0.35">
      <c r="C112" s="13" t="str">
        <f>Lookup!$D$109</f>
        <v>Easements</v>
      </c>
    </row>
    <row r="113" spans="1:28" s="6" customFormat="1" ht="11.25" customHeight="1" x14ac:dyDescent="0.35"/>
    <row r="114" spans="1:28" ht="12.3" x14ac:dyDescent="0.35">
      <c r="D114" s="50" t="s">
        <v>109</v>
      </c>
      <c r="E114" s="45" t="str">
        <f>Lookup!E$20</f>
        <v>Source</v>
      </c>
      <c r="F114" s="45" t="str">
        <f>Lookup!F$20</f>
        <v>Unit</v>
      </c>
      <c r="G114" s="45" t="str">
        <f>Lookup!G$20</f>
        <v>Basis</v>
      </c>
      <c r="H114" s="45" t="str">
        <f>Lookup!H$20</f>
        <v>Timing</v>
      </c>
      <c r="J114" s="54" t="str">
        <f>J$10</f>
        <v>RY06</v>
      </c>
      <c r="K114" s="45" t="str">
        <f t="shared" ref="K114:AB114" si="19">K$10</f>
        <v>RY07</v>
      </c>
      <c r="L114" s="45" t="str">
        <f t="shared" si="19"/>
        <v>RY08</v>
      </c>
      <c r="M114" s="45" t="str">
        <f t="shared" si="19"/>
        <v>RY09</v>
      </c>
      <c r="N114" s="45" t="str">
        <f t="shared" si="19"/>
        <v>RY10</v>
      </c>
      <c r="O114" s="45" t="str">
        <f>O$10</f>
        <v>RY11</v>
      </c>
      <c r="P114" s="45" t="str">
        <f t="shared" si="19"/>
        <v>RY12</v>
      </c>
      <c r="Q114" s="45" t="str">
        <f t="shared" si="19"/>
        <v>RY13</v>
      </c>
      <c r="R114" s="55" t="str">
        <f t="shared" si="19"/>
        <v>RY14</v>
      </c>
      <c r="S114" s="54" t="str">
        <f t="shared" si="19"/>
        <v>RY15</v>
      </c>
      <c r="T114" s="45" t="str">
        <f>T$10</f>
        <v>RY16</v>
      </c>
      <c r="U114" s="45" t="str">
        <f t="shared" si="19"/>
        <v>RY17</v>
      </c>
      <c r="V114" s="45" t="str">
        <f t="shared" si="19"/>
        <v>RY18</v>
      </c>
      <c r="W114" s="55" t="str">
        <f t="shared" si="19"/>
        <v>RY19</v>
      </c>
      <c r="X114" s="54" t="str">
        <f t="shared" si="19"/>
        <v>RY20</v>
      </c>
      <c r="Y114" s="45" t="str">
        <f>Y$10</f>
        <v>RY21</v>
      </c>
      <c r="Z114" s="45" t="str">
        <f t="shared" si="19"/>
        <v>RY22</v>
      </c>
      <c r="AA114" s="45" t="str">
        <f t="shared" si="19"/>
        <v>RY23</v>
      </c>
      <c r="AB114" s="55" t="str">
        <f t="shared" si="19"/>
        <v>RY24</v>
      </c>
    </row>
    <row r="115" spans="1:28" x14ac:dyDescent="0.35">
      <c r="J115" s="56"/>
      <c r="K115" s="57"/>
      <c r="L115" s="57"/>
      <c r="M115" s="57"/>
      <c r="N115" s="57"/>
      <c r="O115" s="57"/>
      <c r="P115" s="57"/>
      <c r="Q115" s="57"/>
      <c r="R115" s="58"/>
      <c r="S115" s="56"/>
      <c r="T115" s="57"/>
      <c r="U115" s="57"/>
      <c r="V115" s="57"/>
      <c r="W115" s="58"/>
      <c r="X115" s="56"/>
      <c r="Y115" s="57"/>
      <c r="Z115" s="57"/>
      <c r="AA115" s="57"/>
      <c r="AB115" s="58"/>
    </row>
    <row r="116" spans="1:28" ht="12.3" x14ac:dyDescent="0.35">
      <c r="D116" s="15" t="str">
        <f>Calc_EB_ACS!$C$14</f>
        <v>Opening Balance</v>
      </c>
      <c r="E116" s="52" t="str">
        <f>$E$32</f>
        <v>Calc_EB_NS</v>
      </c>
      <c r="F116" s="52" t="str">
        <f>Dollars</f>
        <v>Dollars</v>
      </c>
      <c r="G116" s="52" t="str">
        <f>Nominal</f>
        <v>Nominal</v>
      </c>
      <c r="H116" s="52" t="str">
        <f>Start_year</f>
        <v>Start year</v>
      </c>
      <c r="J116" s="66">
        <f>Calc_EB_NS!J$24</f>
        <v>28.03394700308905</v>
      </c>
      <c r="K116" s="67">
        <f>Calc_EB_NS!K$24</f>
        <v>29.444843897374323</v>
      </c>
      <c r="L116" s="67">
        <f>Calc_EB_NS!L$24</f>
        <v>30.922463155114897</v>
      </c>
      <c r="M116" s="67">
        <f>Calc_EB_NS!M$24</f>
        <v>32.243630749502024</v>
      </c>
      <c r="N116" s="67">
        <f>Calc_EB_NS!N$24</f>
        <v>33.029189859678155</v>
      </c>
      <c r="O116" s="67">
        <f>Calc_EB_NS!O$24</f>
        <v>33.993285131257949</v>
      </c>
      <c r="P116" s="67">
        <f>Calc_EB_NS!P$24</f>
        <v>35.10020933196067</v>
      </c>
      <c r="Q116" s="67">
        <f>Calc_EB_NS!Q$24</f>
        <v>35.671525048452402</v>
      </c>
      <c r="R116" s="68">
        <f>Calc_EB_NS!R$24</f>
        <v>33.024999999999999</v>
      </c>
      <c r="S116" s="66">
        <f>Calc_EB_NS!S$24</f>
        <v>34.47125290902666</v>
      </c>
      <c r="T116" s="67">
        <f>Calc_EB_NS!T$24</f>
        <v>34.929125338558322</v>
      </c>
      <c r="U116" s="67">
        <f>Calc_EB_NS!U$24</f>
        <v>35.386997768089991</v>
      </c>
      <c r="V116" s="67">
        <f>Calc_EB_NS!V$24</f>
        <v>36.128882714951189</v>
      </c>
      <c r="W116" s="68">
        <f>Calc_EB_NS!W$24</f>
        <v>37.004962835958267</v>
      </c>
      <c r="X116" s="66">
        <f>Calc_EB_NS!X$24</f>
        <v>46.354917721396681</v>
      </c>
      <c r="Y116" s="67">
        <f>Calc_EB_NS!Y$24</f>
        <v>47.478966373746196</v>
      </c>
      <c r="Z116" s="67">
        <f>Calc_EB_NS!Z$24</f>
        <v>48.630271797004951</v>
      </c>
      <c r="AA116" s="67">
        <f>Calc_EB_NS!AA$24</f>
        <v>49.809494933703185</v>
      </c>
      <c r="AB116" s="68">
        <f>Calc_EB_NS!AB$24</f>
        <v>51.017312753399054</v>
      </c>
    </row>
    <row r="117" spans="1:28" ht="12.3" x14ac:dyDescent="0.35">
      <c r="D117" s="15" t="str">
        <f>Calc_EB_ACS!$C$33</f>
        <v>Inflation</v>
      </c>
      <c r="E117" s="52" t="str">
        <f>$E$33</f>
        <v>Calc_EB_NS</v>
      </c>
      <c r="F117" s="52" t="str">
        <f>Dollars</f>
        <v>Dollars</v>
      </c>
      <c r="G117" s="52" t="str">
        <f>Nominal</f>
        <v>Nominal</v>
      </c>
      <c r="H117" s="52" t="str">
        <f>End_year</f>
        <v>End_year</v>
      </c>
      <c r="J117" s="66">
        <f>Calc_EB_NS!J$43</f>
        <v>0.81950636793439535</v>
      </c>
      <c r="K117" s="67">
        <f>Calc_EB_NS!K$43</f>
        <v>0.73176535129568909</v>
      </c>
      <c r="L117" s="67">
        <f>Calc_EB_NS!L$43</f>
        <v>1.3211675943871264</v>
      </c>
      <c r="M117" s="67">
        <f>Calc_EB_NS!M$43</f>
        <v>0.78555911017612945</v>
      </c>
      <c r="N117" s="67">
        <f>Calc_EB_NS!N$43</f>
        <v>0.96409527157979225</v>
      </c>
      <c r="O117" s="67">
        <f>Calc_EB_NS!O$43</f>
        <v>1.1069242007027233</v>
      </c>
      <c r="P117" s="67">
        <f>Calc_EB_NS!P$43</f>
        <v>0.57131571649173518</v>
      </c>
      <c r="Q117" s="67">
        <f>Calc_EB_NS!Q$43</f>
        <v>0.89268080701832808</v>
      </c>
      <c r="R117" s="68">
        <f>Calc_EB_NS!R$43</f>
        <v>0.80907572383073523</v>
      </c>
      <c r="S117" s="66">
        <f>Calc_EB_NS!S$43</f>
        <v>0.4578724295316603</v>
      </c>
      <c r="T117" s="67">
        <f>Calc_EB_NS!T$43</f>
        <v>0.4578724295316684</v>
      </c>
      <c r="U117" s="67">
        <f>Calc_EB_NS!U$43</f>
        <v>0.75221899137344483</v>
      </c>
      <c r="V117" s="67">
        <f>Calc_EB_NS!V$43</f>
        <v>0.87608012100708033</v>
      </c>
      <c r="W117" s="68">
        <f>Calc_EB_NS!W$43</f>
        <v>0.89732396584112384</v>
      </c>
      <c r="X117" s="66">
        <f>Calc_EB_NS!X$43</f>
        <v>1.1240486523495119</v>
      </c>
      <c r="Y117" s="67">
        <f>Calc_EB_NS!Y$43</f>
        <v>1.1513054232587514</v>
      </c>
      <c r="Z117" s="67">
        <f>Calc_EB_NS!Z$43</f>
        <v>1.1792231366982326</v>
      </c>
      <c r="AA117" s="67">
        <f>Calc_EB_NS!AA$43</f>
        <v>1.2078178196958724</v>
      </c>
      <c r="AB117" s="68">
        <f>Calc_EB_NS!AB$43</f>
        <v>1.2371058879149257</v>
      </c>
    </row>
    <row r="118" spans="1:28" ht="12.3" x14ac:dyDescent="0.35">
      <c r="D118" s="15" t="str">
        <f>Calc_EB_ACS!$C$52</f>
        <v>Straight Line Depreciation</v>
      </c>
      <c r="E118" s="52" t="str">
        <f>$E$34</f>
        <v>Calc_EB_NS</v>
      </c>
      <c r="F118" s="52" t="str">
        <f>Dollars</f>
        <v>Dollars</v>
      </c>
      <c r="G118" s="52" t="str">
        <f>Nominal</f>
        <v>Nominal</v>
      </c>
      <c r="H118" s="52" t="str">
        <f>End_year</f>
        <v>End_year</v>
      </c>
      <c r="J118" s="66">
        <f>Calc_EB_NS!J$62</f>
        <v>0</v>
      </c>
      <c r="K118" s="67">
        <f>Calc_EB_NS!K$62</f>
        <v>0</v>
      </c>
      <c r="L118" s="67">
        <f>Calc_EB_NS!L$62</f>
        <v>0</v>
      </c>
      <c r="M118" s="67">
        <f>Calc_EB_NS!M$62</f>
        <v>0</v>
      </c>
      <c r="N118" s="67">
        <f>Calc_EB_NS!N$62</f>
        <v>0</v>
      </c>
      <c r="O118" s="67">
        <f>Calc_EB_NS!O$62</f>
        <v>0</v>
      </c>
      <c r="P118" s="67">
        <f>Calc_EB_NS!P$62</f>
        <v>0</v>
      </c>
      <c r="Q118" s="67">
        <f>Calc_EB_NS!Q$62</f>
        <v>0</v>
      </c>
      <c r="R118" s="68">
        <f>Calc_EB_NS!R$62</f>
        <v>-9.0828959042256185E-2</v>
      </c>
      <c r="S118" s="66">
        <f>Calc_EB_NS!S$62</f>
        <v>0</v>
      </c>
      <c r="T118" s="67">
        <f>Calc_EB_NS!T$62</f>
        <v>0</v>
      </c>
      <c r="U118" s="67">
        <f>Calc_EB_NS!U$62</f>
        <v>0</v>
      </c>
      <c r="V118" s="67">
        <f>Calc_EB_NS!V$62</f>
        <v>0</v>
      </c>
      <c r="W118" s="68">
        <f>Calc_EB_NS!W$62</f>
        <v>0</v>
      </c>
      <c r="X118" s="66">
        <f>Calc_EB_NS!X$62</f>
        <v>0</v>
      </c>
      <c r="Y118" s="67">
        <f>Calc_EB_NS!Y$62</f>
        <v>0</v>
      </c>
      <c r="Z118" s="67">
        <f>Calc_EB_NS!Z$62</f>
        <v>0</v>
      </c>
      <c r="AA118" s="67">
        <f>Calc_EB_NS!AA$62</f>
        <v>0</v>
      </c>
      <c r="AB118" s="68">
        <f>Calc_EB_NS!AB$62</f>
        <v>0</v>
      </c>
    </row>
    <row r="119" spans="1:28" ht="12.3" x14ac:dyDescent="0.35">
      <c r="D119" s="15" t="str">
        <f>Calc_EB_ACS!$C$71</f>
        <v>RAB Additions</v>
      </c>
      <c r="E119" s="52" t="str">
        <f>$E$35</f>
        <v>Calc_EB_NS</v>
      </c>
      <c r="F119" s="52" t="str">
        <f>Dollars</f>
        <v>Dollars</v>
      </c>
      <c r="G119" s="52" t="str">
        <f>Nominal</f>
        <v>Nominal</v>
      </c>
      <c r="H119" s="52" t="str">
        <f>End_year</f>
        <v>End_year</v>
      </c>
      <c r="J119" s="66">
        <f>Calc_EB_NS!J$81+Calc_EB_NS!J$138</f>
        <v>0.59139052635087741</v>
      </c>
      <c r="K119" s="67">
        <f>Calc_EB_NS!K$81+Calc_EB_NS!K$138</f>
        <v>0.74585390644488558</v>
      </c>
      <c r="L119" s="67">
        <f>Calc_EB_NS!L$81+Calc_EB_NS!L$138</f>
        <v>0</v>
      </c>
      <c r="M119" s="67">
        <f>Calc_EB_NS!M$81+Calc_EB_NS!M$138</f>
        <v>0</v>
      </c>
      <c r="N119" s="67">
        <f>Calc_EB_NS!N$81+Calc_EB_NS!N$138</f>
        <v>0</v>
      </c>
      <c r="O119" s="67">
        <f>Calc_EB_NS!O$81+Calc_EB_NS!O$138</f>
        <v>0</v>
      </c>
      <c r="P119" s="67">
        <f>Calc_EB_NS!P$81+Calc_EB_NS!P$138</f>
        <v>0</v>
      </c>
      <c r="Q119" s="67">
        <f>Calc_EB_NS!Q$81+Calc_EB_NS!Q$138</f>
        <v>-4.4607753397497785E-2</v>
      </c>
      <c r="R119" s="68">
        <f>Calc_EB_NS!R$81+Calc_EB_NS!R$138</f>
        <v>0.72800614423817966</v>
      </c>
      <c r="S119" s="66">
        <f>Calc_EB_NS!S$81+Calc_EB_NS!S$138</f>
        <v>0</v>
      </c>
      <c r="T119" s="67">
        <f>Calc_EB_NS!T$81+Calc_EB_NS!T$138</f>
        <v>0</v>
      </c>
      <c r="U119" s="67">
        <f>Calc_EB_NS!U$81+Calc_EB_NS!U$138</f>
        <v>-1.081144242647495E-4</v>
      </c>
      <c r="V119" s="67">
        <f>Calc_EB_NS!V$81+Calc_EB_NS!V$138</f>
        <v>0</v>
      </c>
      <c r="W119" s="68">
        <f>Calc_EB_NS!W$81+Calc_EB_NS!W$138</f>
        <v>8.4526309195972882</v>
      </c>
      <c r="X119" s="66">
        <f>Calc_EB_NS!X$81+Calc_EB_NS!X$138</f>
        <v>0</v>
      </c>
      <c r="Y119" s="67">
        <f>Calc_EB_NS!Y$81+Calc_EB_NS!Y$138</f>
        <v>0</v>
      </c>
      <c r="Z119" s="67">
        <f>Calc_EB_NS!Z$81+Calc_EB_NS!Z$138</f>
        <v>0</v>
      </c>
      <c r="AA119" s="67">
        <f>Calc_EB_NS!AA$81+Calc_EB_NS!AA$138</f>
        <v>0</v>
      </c>
      <c r="AB119" s="68">
        <f>Calc_EB_NS!AB$81+Calc_EB_NS!AB$138</f>
        <v>0</v>
      </c>
    </row>
    <row r="120" spans="1:28" ht="12.3" x14ac:dyDescent="0.35">
      <c r="D120" s="15" t="str">
        <f>Calc_EB_ACS!$C$90</f>
        <v>Disposals</v>
      </c>
      <c r="E120" s="52" t="str">
        <f>$E$36</f>
        <v>Calc_EB_NS</v>
      </c>
      <c r="F120" s="52" t="str">
        <f>Dollars</f>
        <v>Dollars</v>
      </c>
      <c r="G120" s="52" t="str">
        <f>Nominal</f>
        <v>Nominal</v>
      </c>
      <c r="H120" s="52" t="str">
        <f>End_year</f>
        <v>End_year</v>
      </c>
      <c r="J120" s="66">
        <f>Calc_EB_NS!J$100</f>
        <v>0</v>
      </c>
      <c r="K120" s="67">
        <f>Calc_EB_NS!K$100</f>
        <v>0</v>
      </c>
      <c r="L120" s="67">
        <f>Calc_EB_NS!L$100</f>
        <v>0</v>
      </c>
      <c r="M120" s="67">
        <f>Calc_EB_NS!M$100</f>
        <v>0</v>
      </c>
      <c r="N120" s="67">
        <f>Calc_EB_NS!N$100</f>
        <v>0</v>
      </c>
      <c r="O120" s="67">
        <f>Calc_EB_NS!O$100</f>
        <v>0</v>
      </c>
      <c r="P120" s="67">
        <f>Calc_EB_NS!P$100</f>
        <v>0</v>
      </c>
      <c r="Q120" s="67">
        <f>Calc_EB_NS!Q$100</f>
        <v>-3.4945981020732342</v>
      </c>
      <c r="R120" s="68">
        <f>Calc_EB_NS!R$100</f>
        <v>0</v>
      </c>
      <c r="S120" s="66">
        <f>Calc_EB_NS!S$100</f>
        <v>0</v>
      </c>
      <c r="T120" s="67">
        <f>Calc_EB_NS!T$100</f>
        <v>0</v>
      </c>
      <c r="U120" s="67">
        <f>Calc_EB_NS!U$100</f>
        <v>-1.0225930087984345E-2</v>
      </c>
      <c r="V120" s="67">
        <f>Calc_EB_NS!V$100</f>
        <v>0</v>
      </c>
      <c r="W120" s="68">
        <f>Calc_EB_NS!W$100</f>
        <v>0</v>
      </c>
      <c r="X120" s="66">
        <f>Calc_EB_NS!X$100</f>
        <v>0</v>
      </c>
      <c r="Y120" s="67">
        <f>Calc_EB_NS!Y$100</f>
        <v>0</v>
      </c>
      <c r="Z120" s="67">
        <f>Calc_EB_NS!Z$100</f>
        <v>0</v>
      </c>
      <c r="AA120" s="67">
        <f>Calc_EB_NS!AA$100</f>
        <v>0</v>
      </c>
      <c r="AB120" s="68">
        <f>Calc_EB_NS!AB$100</f>
        <v>0</v>
      </c>
    </row>
    <row r="121" spans="1:28" x14ac:dyDescent="0.35">
      <c r="J121" s="56"/>
      <c r="K121" s="57"/>
      <c r="L121" s="57"/>
      <c r="M121" s="57"/>
      <c r="N121" s="57"/>
      <c r="O121" s="57"/>
      <c r="P121" s="57"/>
      <c r="Q121" s="57"/>
      <c r="R121" s="58"/>
      <c r="S121" s="56"/>
      <c r="T121" s="57"/>
      <c r="U121" s="57"/>
      <c r="V121" s="57"/>
      <c r="W121" s="58"/>
      <c r="X121" s="56"/>
      <c r="Y121" s="57"/>
      <c r="Z121" s="57"/>
      <c r="AA121" s="57"/>
      <c r="AB121" s="58"/>
    </row>
    <row r="122" spans="1:28" ht="12.3" x14ac:dyDescent="0.35">
      <c r="D122" s="51" t="s">
        <v>152</v>
      </c>
      <c r="E122" s="47" t="s">
        <v>111</v>
      </c>
      <c r="F122" s="47" t="str">
        <f>F116</f>
        <v>Dollars</v>
      </c>
      <c r="G122" s="47" t="str">
        <f>G116</f>
        <v>Nominal</v>
      </c>
      <c r="H122" s="47" t="str">
        <f>H116</f>
        <v>Start year</v>
      </c>
      <c r="J122" s="62">
        <f>SUM(J116:J120)</f>
        <v>29.444843897374323</v>
      </c>
      <c r="K122" s="46">
        <f t="shared" ref="K122:AB122" si="20">SUM(K116:K120)</f>
        <v>30.922463155114897</v>
      </c>
      <c r="L122" s="46">
        <f t="shared" si="20"/>
        <v>32.243630749502024</v>
      </c>
      <c r="M122" s="46">
        <f t="shared" si="20"/>
        <v>33.029189859678155</v>
      </c>
      <c r="N122" s="46">
        <f t="shared" si="20"/>
        <v>33.993285131257949</v>
      </c>
      <c r="O122" s="46">
        <f t="shared" si="20"/>
        <v>35.10020933196067</v>
      </c>
      <c r="P122" s="46">
        <f t="shared" si="20"/>
        <v>35.671525048452402</v>
      </c>
      <c r="Q122" s="46">
        <f t="shared" si="20"/>
        <v>33.024999999999999</v>
      </c>
      <c r="R122" s="63">
        <f t="shared" si="20"/>
        <v>34.47125290902666</v>
      </c>
      <c r="S122" s="62">
        <f t="shared" si="20"/>
        <v>34.929125338558322</v>
      </c>
      <c r="T122" s="46">
        <f t="shared" si="20"/>
        <v>35.386997768089991</v>
      </c>
      <c r="U122" s="46">
        <f t="shared" si="20"/>
        <v>36.128882714951189</v>
      </c>
      <c r="V122" s="46">
        <f t="shared" si="20"/>
        <v>37.004962835958267</v>
      </c>
      <c r="W122" s="63">
        <f t="shared" si="20"/>
        <v>46.354917721396681</v>
      </c>
      <c r="X122" s="62">
        <f t="shared" si="20"/>
        <v>47.478966373746196</v>
      </c>
      <c r="Y122" s="46">
        <f t="shared" si="20"/>
        <v>48.630271797004951</v>
      </c>
      <c r="Z122" s="46">
        <f t="shared" si="20"/>
        <v>49.809494933703185</v>
      </c>
      <c r="AA122" s="46">
        <f t="shared" si="20"/>
        <v>51.017312753399054</v>
      </c>
      <c r="AB122" s="63">
        <f t="shared" si="20"/>
        <v>52.254418641313983</v>
      </c>
    </row>
    <row r="123" spans="1:28" s="6" customFormat="1" ht="11.25" customHeight="1" x14ac:dyDescent="0.35"/>
    <row r="124" spans="1:28" s="6" customFormat="1" ht="11.25" customHeight="1" x14ac:dyDescent="0.35">
      <c r="A124" s="49">
        <f>IF(SUM($J124:$AB124)&lt;&gt;0,1,0)</f>
        <v>0</v>
      </c>
      <c r="D124" s="15" t="s">
        <v>114</v>
      </c>
      <c r="J124" s="70">
        <f>IF(J122&lt;&gt;Calc_EB_NS!J$157,1,0)</f>
        <v>0</v>
      </c>
      <c r="K124" s="70">
        <f>IF(K122&lt;&gt;Calc_EB_NS!K$157,1,0)</f>
        <v>0</v>
      </c>
      <c r="L124" s="70">
        <f>IF(L122&lt;&gt;Calc_EB_NS!L$157,1,0)</f>
        <v>0</v>
      </c>
      <c r="M124" s="70">
        <f>IF(M122&lt;&gt;Calc_EB_NS!M$157,1,0)</f>
        <v>0</v>
      </c>
      <c r="N124" s="70">
        <f>IF(N122&lt;&gt;Calc_EB_NS!N$157,1,0)</f>
        <v>0</v>
      </c>
      <c r="O124" s="70">
        <f>IF(O122&lt;&gt;Calc_EB_NS!O$157,1,0)</f>
        <v>0</v>
      </c>
      <c r="P124" s="70">
        <f>IF(P122&lt;&gt;Calc_EB_NS!P$157,1,0)</f>
        <v>0</v>
      </c>
      <c r="Q124" s="70">
        <f>IF(Q122&lt;&gt;Calc_EB_NS!Q$157,1,0)</f>
        <v>0</v>
      </c>
      <c r="R124" s="70">
        <f>IF(R122&lt;&gt;Calc_EB_NS!R$157,1,0)</f>
        <v>0</v>
      </c>
      <c r="S124" s="70">
        <f>IF(S122&lt;&gt;Calc_EB_NS!S$157,1,0)</f>
        <v>0</v>
      </c>
      <c r="T124" s="70">
        <f>IF(T122&lt;&gt;Calc_EB_NS!T$157,1,0)</f>
        <v>0</v>
      </c>
      <c r="U124" s="70">
        <f>IF(U122&lt;&gt;Calc_EB_NS!U$157,1,0)</f>
        <v>0</v>
      </c>
      <c r="V124" s="70">
        <f>IF(V122&lt;&gt;Calc_EB_NS!V$157,1,0)</f>
        <v>0</v>
      </c>
      <c r="W124" s="70">
        <f>IF(W122&lt;&gt;Calc_EB_NS!W$157,1,0)</f>
        <v>0</v>
      </c>
      <c r="X124" s="70">
        <f>IF(X122&lt;&gt;Calc_EB_NS!X$157,1,0)</f>
        <v>0</v>
      </c>
      <c r="Y124" s="70">
        <f>IF(Y122&lt;&gt;Calc_EB_NS!Y$157,1,0)</f>
        <v>0</v>
      </c>
      <c r="Z124" s="70">
        <f>IF(Z122&lt;&gt;Calc_EB_NS!Z$157,1,0)</f>
        <v>0</v>
      </c>
      <c r="AA124" s="70">
        <f>IF(AA122&lt;&gt;Calc_EB_NS!AA$157,1,0)</f>
        <v>0</v>
      </c>
      <c r="AB124" s="70">
        <f>IF(AB122&lt;&gt;Calc_EB_NS!AB$157,1,0)</f>
        <v>0</v>
      </c>
    </row>
    <row r="125" spans="1:28" s="6" customFormat="1" ht="11.25" customHeight="1" x14ac:dyDescent="0.35">
      <c r="L125" s="10"/>
      <c r="Q125" s="10"/>
      <c r="V125" s="10"/>
      <c r="AA125" s="10"/>
    </row>
    <row r="126" spans="1:28" s="13" customFormat="1" ht="14.1" x14ac:dyDescent="0.35">
      <c r="C126" s="13" t="str">
        <f>Lookup!$D$110</f>
        <v>Meters</v>
      </c>
    </row>
    <row r="127" spans="1:28" s="6" customFormat="1" ht="11.25" customHeight="1" x14ac:dyDescent="0.35"/>
    <row r="128" spans="1:28" ht="12.3" x14ac:dyDescent="0.35">
      <c r="D128" s="50" t="s">
        <v>109</v>
      </c>
      <c r="E128" s="45" t="str">
        <f>Lookup!E$20</f>
        <v>Source</v>
      </c>
      <c r="F128" s="45" t="str">
        <f>Lookup!F$20</f>
        <v>Unit</v>
      </c>
      <c r="G128" s="45" t="str">
        <f>Lookup!G$20</f>
        <v>Basis</v>
      </c>
      <c r="H128" s="45" t="str">
        <f>Lookup!H$20</f>
        <v>Timing</v>
      </c>
      <c r="J128" s="54" t="str">
        <f>J$10</f>
        <v>RY06</v>
      </c>
      <c r="K128" s="45" t="str">
        <f t="shared" ref="K128:AB128" si="21">K$10</f>
        <v>RY07</v>
      </c>
      <c r="L128" s="45" t="str">
        <f t="shared" si="21"/>
        <v>RY08</v>
      </c>
      <c r="M128" s="45" t="str">
        <f t="shared" si="21"/>
        <v>RY09</v>
      </c>
      <c r="N128" s="45" t="str">
        <f t="shared" si="21"/>
        <v>RY10</v>
      </c>
      <c r="O128" s="45" t="str">
        <f>O$10</f>
        <v>RY11</v>
      </c>
      <c r="P128" s="45" t="str">
        <f t="shared" si="21"/>
        <v>RY12</v>
      </c>
      <c r="Q128" s="45" t="str">
        <f t="shared" si="21"/>
        <v>RY13</v>
      </c>
      <c r="R128" s="55" t="str">
        <f t="shared" si="21"/>
        <v>RY14</v>
      </c>
      <c r="S128" s="54" t="str">
        <f t="shared" si="21"/>
        <v>RY15</v>
      </c>
      <c r="T128" s="45" t="str">
        <f>T$10</f>
        <v>RY16</v>
      </c>
      <c r="U128" s="45" t="str">
        <f t="shared" si="21"/>
        <v>RY17</v>
      </c>
      <c r="V128" s="45" t="str">
        <f t="shared" si="21"/>
        <v>RY18</v>
      </c>
      <c r="W128" s="55" t="str">
        <f t="shared" si="21"/>
        <v>RY19</v>
      </c>
      <c r="X128" s="54" t="str">
        <f t="shared" si="21"/>
        <v>RY20</v>
      </c>
      <c r="Y128" s="45" t="str">
        <f>Y$10</f>
        <v>RY21</v>
      </c>
      <c r="Z128" s="45" t="str">
        <f t="shared" si="21"/>
        <v>RY22</v>
      </c>
      <c r="AA128" s="45" t="str">
        <f t="shared" si="21"/>
        <v>RY23</v>
      </c>
      <c r="AB128" s="55" t="str">
        <f t="shared" si="21"/>
        <v>RY24</v>
      </c>
    </row>
    <row r="129" spans="1:28" x14ac:dyDescent="0.35">
      <c r="J129" s="56"/>
      <c r="K129" s="57"/>
      <c r="L129" s="57"/>
      <c r="M129" s="57"/>
      <c r="N129" s="57"/>
      <c r="O129" s="57"/>
      <c r="P129" s="57"/>
      <c r="Q129" s="57"/>
      <c r="R129" s="58"/>
      <c r="S129" s="56"/>
      <c r="T129" s="57"/>
      <c r="U129" s="57"/>
      <c r="V129" s="57"/>
      <c r="W129" s="58"/>
      <c r="X129" s="56"/>
      <c r="Y129" s="57"/>
      <c r="Z129" s="57"/>
      <c r="AA129" s="57"/>
      <c r="AB129" s="58"/>
    </row>
    <row r="130" spans="1:28" ht="12.3" x14ac:dyDescent="0.35">
      <c r="D130" s="15" t="str">
        <f>Calc_EB_ACS!$C$14</f>
        <v>Opening Balance</v>
      </c>
      <c r="E130" s="52" t="str">
        <f>$E$32</f>
        <v>Calc_EB_NS</v>
      </c>
      <c r="F130" s="52" t="str">
        <f>Dollars</f>
        <v>Dollars</v>
      </c>
      <c r="G130" s="52" t="str">
        <f>Nominal</f>
        <v>Nominal</v>
      </c>
      <c r="H130" s="52" t="str">
        <f>Start_year</f>
        <v>Start year</v>
      </c>
      <c r="J130" s="66">
        <f>Calc_EB_NS!J$25</f>
        <v>0</v>
      </c>
      <c r="K130" s="67">
        <f>Calc_EB_NS!K$25</f>
        <v>0</v>
      </c>
      <c r="L130" s="67">
        <f>Calc_EB_NS!L$25</f>
        <v>0</v>
      </c>
      <c r="M130" s="67">
        <f>Calc_EB_NS!M$25</f>
        <v>0</v>
      </c>
      <c r="N130" s="67">
        <f>Calc_EB_NS!N$25</f>
        <v>0</v>
      </c>
      <c r="O130" s="67">
        <f>Calc_EB_NS!O$25</f>
        <v>0</v>
      </c>
      <c r="P130" s="67">
        <f>Calc_EB_NS!P$25</f>
        <v>0</v>
      </c>
      <c r="Q130" s="67">
        <f>Calc_EB_NS!Q$25</f>
        <v>0</v>
      </c>
      <c r="R130" s="68">
        <f>Calc_EB_NS!R$25</f>
        <v>0</v>
      </c>
      <c r="S130" s="66">
        <f>Calc_EB_NS!S$25</f>
        <v>0</v>
      </c>
      <c r="T130" s="67">
        <f>Calc_EB_NS!T$25</f>
        <v>0</v>
      </c>
      <c r="U130" s="67">
        <f>Calc_EB_NS!U$25</f>
        <v>0</v>
      </c>
      <c r="V130" s="67">
        <f>Calc_EB_NS!V$25</f>
        <v>0</v>
      </c>
      <c r="W130" s="68">
        <f>Calc_EB_NS!W$25</f>
        <v>0</v>
      </c>
      <c r="X130" s="66">
        <f>Calc_EB_NS!X$25</f>
        <v>0</v>
      </c>
      <c r="Y130" s="67">
        <f>Calc_EB_NS!Y$25</f>
        <v>0</v>
      </c>
      <c r="Z130" s="67">
        <f>Calc_EB_NS!Z$25</f>
        <v>0</v>
      </c>
      <c r="AA130" s="67">
        <f>Calc_EB_NS!AA$25</f>
        <v>0</v>
      </c>
      <c r="AB130" s="68">
        <f>Calc_EB_NS!AB$25</f>
        <v>0</v>
      </c>
    </row>
    <row r="131" spans="1:28" ht="12.3" x14ac:dyDescent="0.35">
      <c r="D131" s="15" t="str">
        <f>Calc_EB_ACS!$C$33</f>
        <v>Inflation</v>
      </c>
      <c r="E131" s="52" t="str">
        <f>$E$33</f>
        <v>Calc_EB_NS</v>
      </c>
      <c r="F131" s="52" t="str">
        <f>Dollars</f>
        <v>Dollars</v>
      </c>
      <c r="G131" s="52" t="str">
        <f>Nominal</f>
        <v>Nominal</v>
      </c>
      <c r="H131" s="52" t="str">
        <f>End_year</f>
        <v>End_year</v>
      </c>
      <c r="J131" s="66">
        <f>Calc_EB_NS!J$44</f>
        <v>0</v>
      </c>
      <c r="K131" s="67">
        <f>Calc_EB_NS!K$44</f>
        <v>0</v>
      </c>
      <c r="L131" s="67">
        <f>Calc_EB_NS!L$44</f>
        <v>0</v>
      </c>
      <c r="M131" s="67">
        <f>Calc_EB_NS!M$44</f>
        <v>0</v>
      </c>
      <c r="N131" s="67">
        <f>Calc_EB_NS!N$44</f>
        <v>0</v>
      </c>
      <c r="O131" s="67">
        <f>Calc_EB_NS!O$44</f>
        <v>0</v>
      </c>
      <c r="P131" s="67">
        <f>Calc_EB_NS!P$44</f>
        <v>0</v>
      </c>
      <c r="Q131" s="67">
        <f>Calc_EB_NS!Q$44</f>
        <v>0</v>
      </c>
      <c r="R131" s="68">
        <f>Calc_EB_NS!R$44</f>
        <v>0</v>
      </c>
      <c r="S131" s="66">
        <f>Calc_EB_NS!S$44</f>
        <v>0</v>
      </c>
      <c r="T131" s="67">
        <f>Calc_EB_NS!T$44</f>
        <v>0</v>
      </c>
      <c r="U131" s="67">
        <f>Calc_EB_NS!U$44</f>
        <v>0</v>
      </c>
      <c r="V131" s="67">
        <f>Calc_EB_NS!V$44</f>
        <v>0</v>
      </c>
      <c r="W131" s="68">
        <f>Calc_EB_NS!W$44</f>
        <v>0</v>
      </c>
      <c r="X131" s="66">
        <f>Calc_EB_NS!X$44</f>
        <v>0</v>
      </c>
      <c r="Y131" s="67">
        <f>Calc_EB_NS!Y$44</f>
        <v>0</v>
      </c>
      <c r="Z131" s="67">
        <f>Calc_EB_NS!Z$44</f>
        <v>0</v>
      </c>
      <c r="AA131" s="67">
        <f>Calc_EB_NS!AA$44</f>
        <v>0</v>
      </c>
      <c r="AB131" s="68">
        <f>Calc_EB_NS!AB$44</f>
        <v>0</v>
      </c>
    </row>
    <row r="132" spans="1:28" ht="12.3" x14ac:dyDescent="0.35">
      <c r="D132" s="15" t="str">
        <f>Calc_EB_ACS!$C$52</f>
        <v>Straight Line Depreciation</v>
      </c>
      <c r="E132" s="52" t="str">
        <f>$E$34</f>
        <v>Calc_EB_NS</v>
      </c>
      <c r="F132" s="52" t="str">
        <f>Dollars</f>
        <v>Dollars</v>
      </c>
      <c r="G132" s="52" t="str">
        <f>Nominal</f>
        <v>Nominal</v>
      </c>
      <c r="H132" s="52" t="str">
        <f>End_year</f>
        <v>End_year</v>
      </c>
      <c r="J132" s="66">
        <f>Calc_EB_NS!J$63</f>
        <v>0</v>
      </c>
      <c r="K132" s="67">
        <f>Calc_EB_NS!K$63</f>
        <v>0</v>
      </c>
      <c r="L132" s="67">
        <f>Calc_EB_NS!L$63</f>
        <v>0</v>
      </c>
      <c r="M132" s="67">
        <f>Calc_EB_NS!M$63</f>
        <v>0</v>
      </c>
      <c r="N132" s="67">
        <f>Calc_EB_NS!N$63</f>
        <v>0</v>
      </c>
      <c r="O132" s="67">
        <f>Calc_EB_NS!O$63</f>
        <v>0</v>
      </c>
      <c r="P132" s="67">
        <f>Calc_EB_NS!P$63</f>
        <v>0</v>
      </c>
      <c r="Q132" s="67">
        <f>Calc_EB_NS!Q$63</f>
        <v>0</v>
      </c>
      <c r="R132" s="68">
        <f>Calc_EB_NS!R$63</f>
        <v>0</v>
      </c>
      <c r="S132" s="66">
        <f>Calc_EB_NS!S$63</f>
        <v>0</v>
      </c>
      <c r="T132" s="67">
        <f>Calc_EB_NS!T$63</f>
        <v>0</v>
      </c>
      <c r="U132" s="67">
        <f>Calc_EB_NS!U$63</f>
        <v>0</v>
      </c>
      <c r="V132" s="67">
        <f>Calc_EB_NS!V$63</f>
        <v>0</v>
      </c>
      <c r="W132" s="68">
        <f>Calc_EB_NS!W$63</f>
        <v>0</v>
      </c>
      <c r="X132" s="66">
        <f>Calc_EB_NS!X$63</f>
        <v>0</v>
      </c>
      <c r="Y132" s="67">
        <f>Calc_EB_NS!Y$63</f>
        <v>0</v>
      </c>
      <c r="Z132" s="67">
        <f>Calc_EB_NS!Z$63</f>
        <v>0</v>
      </c>
      <c r="AA132" s="67">
        <f>Calc_EB_NS!AA$63</f>
        <v>0</v>
      </c>
      <c r="AB132" s="68">
        <f>Calc_EB_NS!AB$63</f>
        <v>0</v>
      </c>
    </row>
    <row r="133" spans="1:28" ht="12.3" x14ac:dyDescent="0.35">
      <c r="D133" s="15" t="str">
        <f>Calc_EB_ACS!$C$71</f>
        <v>RAB Additions</v>
      </c>
      <c r="E133" s="52" t="str">
        <f>$E$35</f>
        <v>Calc_EB_NS</v>
      </c>
      <c r="F133" s="52" t="str">
        <f>Dollars</f>
        <v>Dollars</v>
      </c>
      <c r="G133" s="52" t="str">
        <f>Nominal</f>
        <v>Nominal</v>
      </c>
      <c r="H133" s="52" t="str">
        <f>End_year</f>
        <v>End_year</v>
      </c>
      <c r="J133" s="66">
        <f>Calc_EB_NS!J$82+Calc_EB_NS!J$139</f>
        <v>0</v>
      </c>
      <c r="K133" s="67">
        <f>Calc_EB_NS!K$82+Calc_EB_NS!K$139</f>
        <v>0</v>
      </c>
      <c r="L133" s="67">
        <f>Calc_EB_NS!L$82+Calc_EB_NS!L$139</f>
        <v>0</v>
      </c>
      <c r="M133" s="67">
        <f>Calc_EB_NS!M$82+Calc_EB_NS!M$139</f>
        <v>0</v>
      </c>
      <c r="N133" s="67">
        <f>Calc_EB_NS!N$82+Calc_EB_NS!N$139</f>
        <v>0</v>
      </c>
      <c r="O133" s="67">
        <f>Calc_EB_NS!O$82+Calc_EB_NS!O$139</f>
        <v>0</v>
      </c>
      <c r="P133" s="67">
        <f>Calc_EB_NS!P$82+Calc_EB_NS!P$139</f>
        <v>0</v>
      </c>
      <c r="Q133" s="67">
        <f>Calc_EB_NS!Q$82+Calc_EB_NS!Q$139</f>
        <v>0</v>
      </c>
      <c r="R133" s="68">
        <f>Calc_EB_NS!R$82+Calc_EB_NS!R$139</f>
        <v>0</v>
      </c>
      <c r="S133" s="66">
        <f>Calc_EB_NS!S$82+Calc_EB_NS!S$139</f>
        <v>0</v>
      </c>
      <c r="T133" s="67">
        <f>Calc_EB_NS!T$82+Calc_EB_NS!T$139</f>
        <v>0</v>
      </c>
      <c r="U133" s="67">
        <f>Calc_EB_NS!U$82+Calc_EB_NS!U$139</f>
        <v>0</v>
      </c>
      <c r="V133" s="67">
        <f>Calc_EB_NS!V$82+Calc_EB_NS!V$139</f>
        <v>0</v>
      </c>
      <c r="W133" s="68">
        <f>Calc_EB_NS!W$82+Calc_EB_NS!W$139</f>
        <v>0</v>
      </c>
      <c r="X133" s="66">
        <f>Calc_EB_NS!X$82+Calc_EB_NS!X$139</f>
        <v>0</v>
      </c>
      <c r="Y133" s="67">
        <f>Calc_EB_NS!Y$82+Calc_EB_NS!Y$139</f>
        <v>0</v>
      </c>
      <c r="Z133" s="67">
        <f>Calc_EB_NS!Z$82+Calc_EB_NS!Z$139</f>
        <v>0</v>
      </c>
      <c r="AA133" s="67">
        <f>Calc_EB_NS!AA$82+Calc_EB_NS!AA$139</f>
        <v>0</v>
      </c>
      <c r="AB133" s="68">
        <f>Calc_EB_NS!AB$82+Calc_EB_NS!AB$139</f>
        <v>0</v>
      </c>
    </row>
    <row r="134" spans="1:28" ht="12.3" x14ac:dyDescent="0.35">
      <c r="D134" s="15" t="str">
        <f>Calc_EB_ACS!$C$90</f>
        <v>Disposals</v>
      </c>
      <c r="E134" s="52" t="str">
        <f>$E$36</f>
        <v>Calc_EB_NS</v>
      </c>
      <c r="F134" s="52" t="str">
        <f>Dollars</f>
        <v>Dollars</v>
      </c>
      <c r="G134" s="52" t="str">
        <f>Nominal</f>
        <v>Nominal</v>
      </c>
      <c r="H134" s="52" t="str">
        <f>End_year</f>
        <v>End_year</v>
      </c>
      <c r="J134" s="66">
        <f>Calc_EB_NS!J$101</f>
        <v>0</v>
      </c>
      <c r="K134" s="67">
        <f>Calc_EB_NS!K$101</f>
        <v>0</v>
      </c>
      <c r="L134" s="67">
        <f>Calc_EB_NS!L$101</f>
        <v>0</v>
      </c>
      <c r="M134" s="67">
        <f>Calc_EB_NS!M$101</f>
        <v>0</v>
      </c>
      <c r="N134" s="67">
        <f>Calc_EB_NS!N$101</f>
        <v>0</v>
      </c>
      <c r="O134" s="67">
        <f>Calc_EB_NS!O$101</f>
        <v>0</v>
      </c>
      <c r="P134" s="67">
        <f>Calc_EB_NS!P$101</f>
        <v>0</v>
      </c>
      <c r="Q134" s="67">
        <f>Calc_EB_NS!Q$101</f>
        <v>0</v>
      </c>
      <c r="R134" s="68">
        <f>Calc_EB_NS!R$101</f>
        <v>0</v>
      </c>
      <c r="S134" s="66">
        <f>Calc_EB_NS!S$101</f>
        <v>0</v>
      </c>
      <c r="T134" s="67">
        <f>Calc_EB_NS!T$101</f>
        <v>0</v>
      </c>
      <c r="U134" s="67">
        <f>Calc_EB_NS!U$101</f>
        <v>0</v>
      </c>
      <c r="V134" s="67">
        <f>Calc_EB_NS!V$101</f>
        <v>0</v>
      </c>
      <c r="W134" s="68">
        <f>Calc_EB_NS!W$101</f>
        <v>0</v>
      </c>
      <c r="X134" s="66">
        <f>Calc_EB_NS!X$101</f>
        <v>0</v>
      </c>
      <c r="Y134" s="67">
        <f>Calc_EB_NS!Y$101</f>
        <v>0</v>
      </c>
      <c r="Z134" s="67">
        <f>Calc_EB_NS!Z$101</f>
        <v>0</v>
      </c>
      <c r="AA134" s="67">
        <f>Calc_EB_NS!AA$101</f>
        <v>0</v>
      </c>
      <c r="AB134" s="68">
        <f>Calc_EB_NS!AB$101</f>
        <v>0</v>
      </c>
    </row>
    <row r="135" spans="1:28" x14ac:dyDescent="0.35">
      <c r="J135" s="56"/>
      <c r="K135" s="57"/>
      <c r="L135" s="57"/>
      <c r="M135" s="57"/>
      <c r="N135" s="57"/>
      <c r="O135" s="57"/>
      <c r="P135" s="57"/>
      <c r="Q135" s="57"/>
      <c r="R135" s="58"/>
      <c r="S135" s="56"/>
      <c r="T135" s="57"/>
      <c r="U135" s="57"/>
      <c r="V135" s="57"/>
      <c r="W135" s="58"/>
      <c r="X135" s="56"/>
      <c r="Y135" s="57"/>
      <c r="Z135" s="57"/>
      <c r="AA135" s="57"/>
      <c r="AB135" s="58"/>
    </row>
    <row r="136" spans="1:28" ht="12.3" x14ac:dyDescent="0.35">
      <c r="D136" s="51" t="s">
        <v>152</v>
      </c>
      <c r="E136" s="47" t="s">
        <v>111</v>
      </c>
      <c r="F136" s="47" t="str">
        <f>F130</f>
        <v>Dollars</v>
      </c>
      <c r="G136" s="47" t="str">
        <f>G130</f>
        <v>Nominal</v>
      </c>
      <c r="H136" s="47" t="str">
        <f>H130</f>
        <v>Start year</v>
      </c>
      <c r="J136" s="62">
        <f>SUM(J130:J134)</f>
        <v>0</v>
      </c>
      <c r="K136" s="46">
        <f t="shared" ref="K136:AB136" si="22">SUM(K130:K134)</f>
        <v>0</v>
      </c>
      <c r="L136" s="46">
        <f t="shared" si="22"/>
        <v>0</v>
      </c>
      <c r="M136" s="46">
        <f t="shared" si="22"/>
        <v>0</v>
      </c>
      <c r="N136" s="46">
        <f t="shared" si="22"/>
        <v>0</v>
      </c>
      <c r="O136" s="46">
        <f t="shared" si="22"/>
        <v>0</v>
      </c>
      <c r="P136" s="46">
        <f t="shared" si="22"/>
        <v>0</v>
      </c>
      <c r="Q136" s="46">
        <f t="shared" si="22"/>
        <v>0</v>
      </c>
      <c r="R136" s="63">
        <f t="shared" si="22"/>
        <v>0</v>
      </c>
      <c r="S136" s="62">
        <f t="shared" si="22"/>
        <v>0</v>
      </c>
      <c r="T136" s="46">
        <f t="shared" si="22"/>
        <v>0</v>
      </c>
      <c r="U136" s="46">
        <f t="shared" si="22"/>
        <v>0</v>
      </c>
      <c r="V136" s="46">
        <f t="shared" si="22"/>
        <v>0</v>
      </c>
      <c r="W136" s="63">
        <f t="shared" si="22"/>
        <v>0</v>
      </c>
      <c r="X136" s="62">
        <f t="shared" si="22"/>
        <v>0</v>
      </c>
      <c r="Y136" s="46">
        <f t="shared" si="22"/>
        <v>0</v>
      </c>
      <c r="Z136" s="46">
        <f t="shared" si="22"/>
        <v>0</v>
      </c>
      <c r="AA136" s="46">
        <f t="shared" si="22"/>
        <v>0</v>
      </c>
      <c r="AB136" s="63">
        <f t="shared" si="22"/>
        <v>0</v>
      </c>
    </row>
    <row r="137" spans="1:28" s="6" customFormat="1" ht="11.25" customHeight="1" x14ac:dyDescent="0.35"/>
    <row r="138" spans="1:28" s="6" customFormat="1" ht="11.25" customHeight="1" x14ac:dyDescent="0.35">
      <c r="A138" s="49">
        <f>IF(SUM($J138:$AB138)&lt;&gt;0,1,0)</f>
        <v>0</v>
      </c>
      <c r="D138" s="15" t="s">
        <v>114</v>
      </c>
      <c r="J138" s="70">
        <f>IF(J136&lt;&gt;Calc_EB_NS!J$158,1,0)</f>
        <v>0</v>
      </c>
      <c r="K138" s="70">
        <f>IF(K136&lt;&gt;Calc_EB_NS!K$158,1,0)</f>
        <v>0</v>
      </c>
      <c r="L138" s="70">
        <f>IF(L136&lt;&gt;Calc_EB_NS!L$158,1,0)</f>
        <v>0</v>
      </c>
      <c r="M138" s="70">
        <f>IF(M136&lt;&gt;Calc_EB_NS!M$158,1,0)</f>
        <v>0</v>
      </c>
      <c r="N138" s="70">
        <f>IF(N136&lt;&gt;Calc_EB_NS!N$158,1,0)</f>
        <v>0</v>
      </c>
      <c r="O138" s="70">
        <f>IF(O136&lt;&gt;Calc_EB_NS!O$158,1,0)</f>
        <v>0</v>
      </c>
      <c r="P138" s="70">
        <f>IF(P136&lt;&gt;Calc_EB_NS!P$158,1,0)</f>
        <v>0</v>
      </c>
      <c r="Q138" s="70">
        <f>IF(Q136&lt;&gt;Calc_EB_NS!Q$158,1,0)</f>
        <v>0</v>
      </c>
      <c r="R138" s="70">
        <f>IF(R136&lt;&gt;Calc_EB_NS!R$158,1,0)</f>
        <v>0</v>
      </c>
      <c r="S138" s="70">
        <f>IF(S136&lt;&gt;Calc_EB_NS!S$158,1,0)</f>
        <v>0</v>
      </c>
      <c r="T138" s="70">
        <f>IF(T136&lt;&gt;Calc_EB_NS!T$158,1,0)</f>
        <v>0</v>
      </c>
      <c r="U138" s="70">
        <f>IF(U136&lt;&gt;Calc_EB_NS!U$158,1,0)</f>
        <v>0</v>
      </c>
      <c r="V138" s="70">
        <f>IF(V136&lt;&gt;Calc_EB_NS!V$158,1,0)</f>
        <v>0</v>
      </c>
      <c r="W138" s="70">
        <f>IF(W136&lt;&gt;Calc_EB_NS!W$158,1,0)</f>
        <v>0</v>
      </c>
      <c r="X138" s="70">
        <f>IF(X136&lt;&gt;Calc_EB_NS!X$158,1,0)</f>
        <v>0</v>
      </c>
      <c r="Y138" s="70">
        <f>IF(Y136&lt;&gt;Calc_EB_NS!Y$158,1,0)</f>
        <v>0</v>
      </c>
      <c r="Z138" s="70">
        <f>IF(Z136&lt;&gt;Calc_EB_NS!Z$158,1,0)</f>
        <v>0</v>
      </c>
      <c r="AA138" s="70">
        <f>IF(AA136&lt;&gt;Calc_EB_NS!AA$158,1,0)</f>
        <v>0</v>
      </c>
      <c r="AB138" s="70">
        <f>IF(AB136&lt;&gt;Calc_EB_NS!AB$158,1,0)</f>
        <v>0</v>
      </c>
    </row>
    <row r="140" spans="1:28" s="13" customFormat="1" ht="14.1" x14ac:dyDescent="0.35">
      <c r="C140" s="13" t="str">
        <f>Lookup!$D$111</f>
        <v>“Other” asset items with long lives</v>
      </c>
    </row>
    <row r="141" spans="1:28" s="6" customFormat="1" ht="11.25" customHeight="1" x14ac:dyDescent="0.35"/>
    <row r="142" spans="1:28" ht="12.3" x14ac:dyDescent="0.35">
      <c r="D142" s="50" t="s">
        <v>109</v>
      </c>
      <c r="E142" s="45" t="str">
        <f>Lookup!E$20</f>
        <v>Source</v>
      </c>
      <c r="F142" s="45" t="str">
        <f>Lookup!F$20</f>
        <v>Unit</v>
      </c>
      <c r="G142" s="45" t="str">
        <f>Lookup!G$20</f>
        <v>Basis</v>
      </c>
      <c r="H142" s="45" t="str">
        <f>Lookup!H$20</f>
        <v>Timing</v>
      </c>
      <c r="J142" s="54" t="str">
        <f>J$10</f>
        <v>RY06</v>
      </c>
      <c r="K142" s="45" t="str">
        <f t="shared" ref="K142:AB142" si="23">K$10</f>
        <v>RY07</v>
      </c>
      <c r="L142" s="45" t="str">
        <f t="shared" si="23"/>
        <v>RY08</v>
      </c>
      <c r="M142" s="45" t="str">
        <f t="shared" si="23"/>
        <v>RY09</v>
      </c>
      <c r="N142" s="45" t="str">
        <f t="shared" si="23"/>
        <v>RY10</v>
      </c>
      <c r="O142" s="45" t="str">
        <f>O$10</f>
        <v>RY11</v>
      </c>
      <c r="P142" s="45" t="str">
        <f t="shared" si="23"/>
        <v>RY12</v>
      </c>
      <c r="Q142" s="45" t="str">
        <f t="shared" si="23"/>
        <v>RY13</v>
      </c>
      <c r="R142" s="55" t="str">
        <f t="shared" si="23"/>
        <v>RY14</v>
      </c>
      <c r="S142" s="54" t="str">
        <f t="shared" si="23"/>
        <v>RY15</v>
      </c>
      <c r="T142" s="45" t="str">
        <f>T$10</f>
        <v>RY16</v>
      </c>
      <c r="U142" s="45" t="str">
        <f t="shared" si="23"/>
        <v>RY17</v>
      </c>
      <c r="V142" s="45" t="str">
        <f t="shared" si="23"/>
        <v>RY18</v>
      </c>
      <c r="W142" s="55" t="str">
        <f t="shared" si="23"/>
        <v>RY19</v>
      </c>
      <c r="X142" s="54" t="str">
        <f t="shared" si="23"/>
        <v>RY20</v>
      </c>
      <c r="Y142" s="45" t="str">
        <f>Y$10</f>
        <v>RY21</v>
      </c>
      <c r="Z142" s="45" t="str">
        <f t="shared" si="23"/>
        <v>RY22</v>
      </c>
      <c r="AA142" s="45" t="str">
        <f t="shared" si="23"/>
        <v>RY23</v>
      </c>
      <c r="AB142" s="55" t="str">
        <f t="shared" si="23"/>
        <v>RY24</v>
      </c>
    </row>
    <row r="143" spans="1:28" x14ac:dyDescent="0.35">
      <c r="J143" s="56"/>
      <c r="K143" s="57"/>
      <c r="L143" s="57"/>
      <c r="M143" s="57"/>
      <c r="N143" s="57"/>
      <c r="O143" s="57"/>
      <c r="P143" s="57"/>
      <c r="Q143" s="57"/>
      <c r="R143" s="58"/>
      <c r="S143" s="56"/>
      <c r="T143" s="57"/>
      <c r="U143" s="57"/>
      <c r="V143" s="57"/>
      <c r="W143" s="58"/>
      <c r="X143" s="56"/>
      <c r="Y143" s="57"/>
      <c r="Z143" s="57"/>
      <c r="AA143" s="57"/>
      <c r="AB143" s="58"/>
    </row>
    <row r="144" spans="1:28" ht="12.3" x14ac:dyDescent="0.35">
      <c r="D144" s="15" t="str">
        <f>Calc_EB_ACS!$C$14</f>
        <v>Opening Balance</v>
      </c>
      <c r="E144" s="52" t="str">
        <f>$E$32</f>
        <v>Calc_EB_NS</v>
      </c>
      <c r="F144" s="52" t="str">
        <f>Dollars</f>
        <v>Dollars</v>
      </c>
      <c r="G144" s="52" t="str">
        <f>Nominal</f>
        <v>Nominal</v>
      </c>
      <c r="H144" s="52" t="str">
        <f>Start_year</f>
        <v>Start year</v>
      </c>
      <c r="J144" s="66">
        <f>Calc_EB_NS!J$26</f>
        <v>0.56427078965620114</v>
      </c>
      <c r="K144" s="67">
        <f>Calc_EB_NS!K$26</f>
        <v>0.58076591627221685</v>
      </c>
      <c r="L144" s="67">
        <f>Calc_EB_NS!L$26</f>
        <v>0.59519915206123042</v>
      </c>
      <c r="M144" s="67">
        <f>Calc_EB_NS!M$26</f>
        <v>1.1576579982008739</v>
      </c>
      <c r="N144" s="67">
        <f>Calc_EB_NS!N$26</f>
        <v>1.4515497160196358</v>
      </c>
      <c r="O144" s="67">
        <f>Calc_EB_NS!O$26</f>
        <v>1.4939192752980466</v>
      </c>
      <c r="P144" s="67">
        <f>Calc_EB_NS!P$26</f>
        <v>1.5425658063214072</v>
      </c>
      <c r="Q144" s="67">
        <f>Calc_EB_NS!Q$26</f>
        <v>1.5676736933012065</v>
      </c>
      <c r="R144" s="68">
        <f>Calc_EB_NS!R$26</f>
        <v>1.6069047667071426</v>
      </c>
      <c r="S144" s="66">
        <f>Calc_EB_NS!S$26</f>
        <v>1.736675383044163</v>
      </c>
      <c r="T144" s="67">
        <f>Calc_EB_NS!T$26</f>
        <v>1.9050662301253951</v>
      </c>
      <c r="U144" s="67">
        <f>Calc_EB_NS!U$26</f>
        <v>2.4524778089326911</v>
      </c>
      <c r="V144" s="67">
        <f>Calc_EB_NS!V$26</f>
        <v>4.8751079789943796</v>
      </c>
      <c r="W144" s="68">
        <f>Calc_EB_NS!W$26</f>
        <v>9.1333197251311944</v>
      </c>
      <c r="X144" s="66">
        <f>Calc_EB_NS!X$26</f>
        <v>25.081416738636822</v>
      </c>
      <c r="Y144" s="67">
        <f>Calc_EB_NS!Y$26</f>
        <v>43.239454071347161</v>
      </c>
      <c r="Z144" s="67">
        <f>Calc_EB_NS!Z$26</f>
        <v>52.905082065824587</v>
      </c>
      <c r="AA144" s="67">
        <f>Calc_EB_NS!AA$26</f>
        <v>66.233970334572021</v>
      </c>
      <c r="AB144" s="68">
        <f>Calc_EB_NS!AB$26</f>
        <v>69.043729499132567</v>
      </c>
    </row>
    <row r="145" spans="1:28" ht="12.3" x14ac:dyDescent="0.35">
      <c r="D145" s="15" t="str">
        <f>Calc_EB_ACS!$C$33</f>
        <v>Inflation</v>
      </c>
      <c r="E145" s="52" t="str">
        <f>$E$33</f>
        <v>Calc_EB_NS</v>
      </c>
      <c r="F145" s="52" t="str">
        <f>Dollars</f>
        <v>Dollars</v>
      </c>
      <c r="G145" s="52" t="str">
        <f>Nominal</f>
        <v>Nominal</v>
      </c>
      <c r="H145" s="52" t="str">
        <f>End_year</f>
        <v>End_year</v>
      </c>
      <c r="J145" s="66">
        <f>Calc_EB_NS!J$45</f>
        <v>1.6495126616015657E-2</v>
      </c>
      <c r="K145" s="67">
        <f>Calc_EB_NS!K$45</f>
        <v>1.4433235789013591E-2</v>
      </c>
      <c r="L145" s="67">
        <f>Calc_EB_NS!L$45</f>
        <v>2.5429986866357425E-2</v>
      </c>
      <c r="M145" s="67">
        <f>Calc_EB_NS!M$45</f>
        <v>2.8204292314971471E-2</v>
      </c>
      <c r="N145" s="67">
        <f>Calc_EB_NS!N$45</f>
        <v>4.2369559278410879E-2</v>
      </c>
      <c r="O145" s="67">
        <f>Calc_EB_NS!O$45</f>
        <v>4.8646531023360584E-2</v>
      </c>
      <c r="P145" s="67">
        <f>Calc_EB_NS!P$45</f>
        <v>2.5107886979799324E-2</v>
      </c>
      <c r="Q145" s="67">
        <f>Calc_EB_NS!Q$45</f>
        <v>3.9231073405936089E-2</v>
      </c>
      <c r="R145" s="68">
        <f>Calc_EB_NS!R$45</f>
        <v>3.9367377358081462E-2</v>
      </c>
      <c r="S145" s="66">
        <f>Calc_EB_NS!S$45</f>
        <v>2.3067794461687021E-2</v>
      </c>
      <c r="T145" s="67">
        <f>Calc_EB_NS!T$45</f>
        <v>2.497277829752418E-2</v>
      </c>
      <c r="U145" s="67">
        <f>Calc_EB_NS!U$45</f>
        <v>5.2132153054946145E-2</v>
      </c>
      <c r="V145" s="67">
        <f>Calc_EB_NS!V$45</f>
        <v>0.11821525791032891</v>
      </c>
      <c r="W145" s="68">
        <f>Calc_EB_NS!W$45</f>
        <v>0.22147155540677785</v>
      </c>
      <c r="X145" s="66">
        <f>Calc_EB_NS!X$45</f>
        <v>0.60819291824711619</v>
      </c>
      <c r="Y145" s="67">
        <f>Calc_EB_NS!Y$45</f>
        <v>1.0485025638346008</v>
      </c>
      <c r="Z145" s="67">
        <f>Calc_EB_NS!Z$45</f>
        <v>1.2828819275647434</v>
      </c>
      <c r="AA145" s="67">
        <f>Calc_EB_NS!AA$45</f>
        <v>1.6060907613253774</v>
      </c>
      <c r="AB145" s="68">
        <f>Calc_EB_NS!AB$45</f>
        <v>1.6742238992447047</v>
      </c>
    </row>
    <row r="146" spans="1:28" ht="12.3" x14ac:dyDescent="0.35">
      <c r="D146" s="15" t="str">
        <f>Calc_EB_ACS!$C$52</f>
        <v>Straight Line Depreciation</v>
      </c>
      <c r="E146" s="52" t="str">
        <f>$E$34</f>
        <v>Calc_EB_NS</v>
      </c>
      <c r="F146" s="52" t="str">
        <f>Dollars</f>
        <v>Dollars</v>
      </c>
      <c r="G146" s="52" t="str">
        <f>Nominal</f>
        <v>Nominal</v>
      </c>
      <c r="H146" s="52" t="str">
        <f>End_year</f>
        <v>End_year</v>
      </c>
      <c r="J146" s="66">
        <f>Calc_EB_NS!J$64</f>
        <v>-9.1570493467389755E-2</v>
      </c>
      <c r="K146" s="67">
        <f>Calc_EB_NS!K$64</f>
        <v>-0.11548749468336357</v>
      </c>
      <c r="L146" s="67">
        <f>Calc_EB_NS!L$64</f>
        <v>-1.2503114474974337</v>
      </c>
      <c r="M146" s="67">
        <f>Calc_EB_NS!M$64</f>
        <v>-8.3950888300187862E-2</v>
      </c>
      <c r="N146" s="67">
        <f>Calc_EB_NS!N$64</f>
        <v>0</v>
      </c>
      <c r="O146" s="67">
        <f>Calc_EB_NS!O$64</f>
        <v>0</v>
      </c>
      <c r="P146" s="67">
        <f>Calc_EB_NS!P$64</f>
        <v>0</v>
      </c>
      <c r="Q146" s="67">
        <f>Calc_EB_NS!Q$64</f>
        <v>0</v>
      </c>
      <c r="R146" s="68">
        <f>Calc_EB_NS!R$64</f>
        <v>-0.16906791567837032</v>
      </c>
      <c r="S146" s="66">
        <f>Calc_EB_NS!S$64</f>
        <v>-0.30093023473039737</v>
      </c>
      <c r="T146" s="67">
        <f>Calc_EB_NS!T$64</f>
        <v>-0.43524835611150758</v>
      </c>
      <c r="U146" s="67">
        <f>Calc_EB_NS!U$64</f>
        <v>-0.49744561920134001</v>
      </c>
      <c r="V146" s="67">
        <f>Calc_EB_NS!V$64</f>
        <v>-0.46788995268681888</v>
      </c>
      <c r="W146" s="68">
        <f>Calc_EB_NS!W$64</f>
        <v>-0.50382598056122074</v>
      </c>
      <c r="X146" s="66">
        <f>Calc_EB_NS!X$64</f>
        <v>-4.1340733371536311</v>
      </c>
      <c r="Y146" s="67">
        <f>Calc_EB_NS!Y$64</f>
        <v>-5.1752824901651957</v>
      </c>
      <c r="Z146" s="67">
        <f>Calc_EB_NS!Z$64</f>
        <v>-6.0108933437519667</v>
      </c>
      <c r="AA146" s="67">
        <f>Calc_EB_NS!AA$64</f>
        <v>-7.7019300231853514</v>
      </c>
      <c r="AB146" s="68">
        <f>Calc_EB_NS!AB$64</f>
        <v>-8.6433116174808102</v>
      </c>
    </row>
    <row r="147" spans="1:28" ht="12.3" x14ac:dyDescent="0.35">
      <c r="D147" s="15" t="str">
        <f>Calc_EB_ACS!$C$71</f>
        <v>RAB Additions</v>
      </c>
      <c r="E147" s="52" t="str">
        <f>$E$35</f>
        <v>Calc_EB_NS</v>
      </c>
      <c r="F147" s="52" t="str">
        <f>Dollars</f>
        <v>Dollars</v>
      </c>
      <c r="G147" s="52" t="str">
        <f>Nominal</f>
        <v>Nominal</v>
      </c>
      <c r="H147" s="52" t="str">
        <f>End_year</f>
        <v>End_year</v>
      </c>
      <c r="J147" s="66">
        <f>Calc_EB_NS!J$83+Calc_EB_NS!J$140</f>
        <v>9.1570493467389755E-2</v>
      </c>
      <c r="K147" s="67">
        <f>Calc_EB_NS!K$83+Calc_EB_NS!K$140</f>
        <v>0.11548749468336357</v>
      </c>
      <c r="L147" s="67">
        <f>Calc_EB_NS!L$83+Calc_EB_NS!L$140</f>
        <v>1.7873403067707199</v>
      </c>
      <c r="M147" s="67">
        <f>Calc_EB_NS!M$83+Calc_EB_NS!M$140</f>
        <v>0.3496383138039782</v>
      </c>
      <c r="N147" s="67">
        <f>Calc_EB_NS!N$83+Calc_EB_NS!N$140</f>
        <v>0</v>
      </c>
      <c r="O147" s="67">
        <f>Calc_EB_NS!O$83+Calc_EB_NS!O$140</f>
        <v>0</v>
      </c>
      <c r="P147" s="67">
        <f>Calc_EB_NS!P$83+Calc_EB_NS!P$140</f>
        <v>0</v>
      </c>
      <c r="Q147" s="67">
        <f>Calc_EB_NS!Q$83+Calc_EB_NS!Q$140</f>
        <v>0</v>
      </c>
      <c r="R147" s="68">
        <f>Calc_EB_NS!R$83+Calc_EB_NS!R$140</f>
        <v>0.25947115465730947</v>
      </c>
      <c r="S147" s="66">
        <f>Calc_EB_NS!S$83+Calc_EB_NS!S$140</f>
        <v>0.44625328734994235</v>
      </c>
      <c r="T147" s="67">
        <f>Calc_EB_NS!T$83+Calc_EB_NS!T$140</f>
        <v>0.96675587955678721</v>
      </c>
      <c r="U147" s="67">
        <f>Calc_EB_NS!U$83+Calc_EB_NS!U$140</f>
        <v>2.8679436362080821</v>
      </c>
      <c r="V147" s="67">
        <f>Calc_EB_NS!V$83+Calc_EB_NS!V$140</f>
        <v>4.6078864409133056</v>
      </c>
      <c r="W147" s="68">
        <f>Calc_EB_NS!W$83+Calc_EB_NS!W$140</f>
        <v>16.230451438660069</v>
      </c>
      <c r="X147" s="66">
        <f>Calc_EB_NS!X$83+Calc_EB_NS!X$140</f>
        <v>21.683917751616853</v>
      </c>
      <c r="Y147" s="67">
        <f>Calc_EB_NS!Y$83+Calc_EB_NS!Y$140</f>
        <v>13.792407920808021</v>
      </c>
      <c r="Z147" s="67">
        <f>Calc_EB_NS!Z$83+Calc_EB_NS!Z$140</f>
        <v>18.056899684934656</v>
      </c>
      <c r="AA147" s="67">
        <f>Calc_EB_NS!AA$83+Calc_EB_NS!AA$140</f>
        <v>8.9055984264205215</v>
      </c>
      <c r="AB147" s="68">
        <f>Calc_EB_NS!AB$83+Calc_EB_NS!AB$140</f>
        <v>8.3052628888635347</v>
      </c>
    </row>
    <row r="148" spans="1:28" ht="12.3" x14ac:dyDescent="0.35">
      <c r="D148" s="15" t="str">
        <f>Calc_EB_ACS!$C$90</f>
        <v>Disposals</v>
      </c>
      <c r="E148" s="52" t="str">
        <f>$E$36</f>
        <v>Calc_EB_NS</v>
      </c>
      <c r="F148" s="52" t="str">
        <f>Dollars</f>
        <v>Dollars</v>
      </c>
      <c r="G148" s="52" t="str">
        <f>Nominal</f>
        <v>Nominal</v>
      </c>
      <c r="H148" s="52" t="str">
        <f>End_year</f>
        <v>End_year</v>
      </c>
      <c r="J148" s="66">
        <f>Calc_EB_NS!J$102</f>
        <v>0</v>
      </c>
      <c r="K148" s="67">
        <f>Calc_EB_NS!K$102</f>
        <v>0</v>
      </c>
      <c r="L148" s="67">
        <f>Calc_EB_NS!L$102</f>
        <v>0</v>
      </c>
      <c r="M148" s="67">
        <f>Calc_EB_NS!M$102</f>
        <v>0</v>
      </c>
      <c r="N148" s="67">
        <f>Calc_EB_NS!N$102</f>
        <v>0</v>
      </c>
      <c r="O148" s="67">
        <f>Calc_EB_NS!O$102</f>
        <v>0</v>
      </c>
      <c r="P148" s="67">
        <f>Calc_EB_NS!P$102</f>
        <v>0</v>
      </c>
      <c r="Q148" s="67">
        <f>Calc_EB_NS!Q$102</f>
        <v>0</v>
      </c>
      <c r="R148" s="68">
        <f>Calc_EB_NS!R$102</f>
        <v>0</v>
      </c>
      <c r="S148" s="66">
        <f>Calc_EB_NS!S$102</f>
        <v>0</v>
      </c>
      <c r="T148" s="67">
        <f>Calc_EB_NS!T$102</f>
        <v>-9.0687229355076848E-3</v>
      </c>
      <c r="U148" s="67">
        <f>Calc_EB_NS!U$102</f>
        <v>0</v>
      </c>
      <c r="V148" s="67">
        <f>Calc_EB_NS!V$102</f>
        <v>0</v>
      </c>
      <c r="W148" s="68">
        <f>Calc_EB_NS!W$102</f>
        <v>0</v>
      </c>
      <c r="X148" s="66">
        <f>Calc_EB_NS!X$102</f>
        <v>0</v>
      </c>
      <c r="Y148" s="67">
        <f>Calc_EB_NS!Y$102</f>
        <v>0</v>
      </c>
      <c r="Z148" s="67">
        <f>Calc_EB_NS!Z$102</f>
        <v>0</v>
      </c>
      <c r="AA148" s="67">
        <f>Calc_EB_NS!AA$102</f>
        <v>0</v>
      </c>
      <c r="AB148" s="68">
        <f>Calc_EB_NS!AB$102</f>
        <v>0</v>
      </c>
    </row>
    <row r="149" spans="1:28" x14ac:dyDescent="0.35">
      <c r="J149" s="56"/>
      <c r="K149" s="57"/>
      <c r="L149" s="57"/>
      <c r="M149" s="57"/>
      <c r="N149" s="57"/>
      <c r="O149" s="57"/>
      <c r="P149" s="57"/>
      <c r="Q149" s="57"/>
      <c r="R149" s="58"/>
      <c r="S149" s="56"/>
      <c r="T149" s="57"/>
      <c r="U149" s="57"/>
      <c r="V149" s="57"/>
      <c r="W149" s="58"/>
      <c r="X149" s="56"/>
      <c r="Y149" s="57"/>
      <c r="Z149" s="57"/>
      <c r="AA149" s="57"/>
      <c r="AB149" s="58"/>
    </row>
    <row r="150" spans="1:28" ht="12.3" x14ac:dyDescent="0.35">
      <c r="D150" s="51" t="s">
        <v>152</v>
      </c>
      <c r="E150" s="47" t="s">
        <v>111</v>
      </c>
      <c r="F150" s="47" t="str">
        <f>F144</f>
        <v>Dollars</v>
      </c>
      <c r="G150" s="47" t="str">
        <f>G144</f>
        <v>Nominal</v>
      </c>
      <c r="H150" s="47" t="str">
        <f>H144</f>
        <v>Start year</v>
      </c>
      <c r="J150" s="62">
        <f>SUM(J144:J148)</f>
        <v>0.58076591627221685</v>
      </c>
      <c r="K150" s="46">
        <f t="shared" ref="K150:AB150" si="24">SUM(K144:K148)</f>
        <v>0.59519915206123042</v>
      </c>
      <c r="L150" s="46">
        <f t="shared" si="24"/>
        <v>1.1576579982008739</v>
      </c>
      <c r="M150" s="46">
        <f t="shared" si="24"/>
        <v>1.4515497160196358</v>
      </c>
      <c r="N150" s="46">
        <f t="shared" si="24"/>
        <v>1.4939192752980466</v>
      </c>
      <c r="O150" s="46">
        <f t="shared" si="24"/>
        <v>1.5425658063214072</v>
      </c>
      <c r="P150" s="46">
        <f t="shared" si="24"/>
        <v>1.5676736933012065</v>
      </c>
      <c r="Q150" s="46">
        <f t="shared" si="24"/>
        <v>1.6069047667071426</v>
      </c>
      <c r="R150" s="63">
        <f t="shared" si="24"/>
        <v>1.736675383044163</v>
      </c>
      <c r="S150" s="62">
        <f t="shared" si="24"/>
        <v>1.9050662301253951</v>
      </c>
      <c r="T150" s="46">
        <f t="shared" si="24"/>
        <v>2.4524778089326911</v>
      </c>
      <c r="U150" s="46">
        <f t="shared" si="24"/>
        <v>4.8751079789943796</v>
      </c>
      <c r="V150" s="46">
        <f t="shared" si="24"/>
        <v>9.1333197251311944</v>
      </c>
      <c r="W150" s="63">
        <f t="shared" si="24"/>
        <v>25.081416738636818</v>
      </c>
      <c r="X150" s="62">
        <f t="shared" si="24"/>
        <v>43.239454071347161</v>
      </c>
      <c r="Y150" s="46">
        <f t="shared" si="24"/>
        <v>52.905082065824587</v>
      </c>
      <c r="Z150" s="46">
        <f t="shared" si="24"/>
        <v>66.233970334572021</v>
      </c>
      <c r="AA150" s="46">
        <f t="shared" si="24"/>
        <v>69.043729499132567</v>
      </c>
      <c r="AB150" s="63">
        <f t="shared" si="24"/>
        <v>70.379904669759995</v>
      </c>
    </row>
    <row r="151" spans="1:28" s="6" customFormat="1" ht="11.25" customHeight="1" x14ac:dyDescent="0.35"/>
    <row r="152" spans="1:28" s="6" customFormat="1" ht="11.25" customHeight="1" x14ac:dyDescent="0.35">
      <c r="A152" s="49">
        <f>IF(SUM($J152:$AB152)&lt;&gt;0,1,0)</f>
        <v>0</v>
      </c>
      <c r="D152" s="15" t="s">
        <v>114</v>
      </c>
      <c r="J152" s="70">
        <f>IF(J150&lt;&gt;Calc_EB_NS!J$159,1,0)</f>
        <v>0</v>
      </c>
      <c r="K152" s="70">
        <f>IF(K150&lt;&gt;Calc_EB_NS!K$159,1,0)</f>
        <v>0</v>
      </c>
      <c r="L152" s="70">
        <f>IF(L150&lt;&gt;Calc_EB_NS!L$159,1,0)</f>
        <v>0</v>
      </c>
      <c r="M152" s="70">
        <f>IF(M150&lt;&gt;Calc_EB_NS!M$159,1,0)</f>
        <v>0</v>
      </c>
      <c r="N152" s="70">
        <f>IF(N150&lt;&gt;Calc_EB_NS!N$159,1,0)</f>
        <v>0</v>
      </c>
      <c r="O152" s="70">
        <f>IF(O150&lt;&gt;Calc_EB_NS!O$159,1,0)</f>
        <v>0</v>
      </c>
      <c r="P152" s="70">
        <f>IF(P150&lt;&gt;Calc_EB_NS!P$159,1,0)</f>
        <v>0</v>
      </c>
      <c r="Q152" s="70">
        <f>IF(Q150&lt;&gt;Calc_EB_NS!Q$159,1,0)</f>
        <v>0</v>
      </c>
      <c r="R152" s="70">
        <f>IF(R150&lt;&gt;Calc_EB_NS!R$159,1,0)</f>
        <v>0</v>
      </c>
      <c r="S152" s="70">
        <f>IF(S150&lt;&gt;Calc_EB_NS!S$159,1,0)</f>
        <v>0</v>
      </c>
      <c r="T152" s="70">
        <f>IF(T150&lt;&gt;Calc_EB_NS!T$159,1,0)</f>
        <v>0</v>
      </c>
      <c r="U152" s="70">
        <f>IF(U150&lt;&gt;Calc_EB_NS!U$159,1,0)</f>
        <v>0</v>
      </c>
      <c r="V152" s="70">
        <f>IF(V150&lt;&gt;Calc_EB_NS!V$159,1,0)</f>
        <v>0</v>
      </c>
      <c r="W152" s="70">
        <f>IF(W150&lt;&gt;Calc_EB_NS!W$159,1,0)</f>
        <v>0</v>
      </c>
      <c r="X152" s="70">
        <f>IF(X150&lt;&gt;Calc_EB_NS!X$159,1,0)</f>
        <v>0</v>
      </c>
      <c r="Y152" s="70">
        <f>IF(Y150&lt;&gt;Calc_EB_NS!Y$159,1,0)</f>
        <v>0</v>
      </c>
      <c r="Z152" s="70">
        <f>IF(Z150&lt;&gt;Calc_EB_NS!Z$159,1,0)</f>
        <v>0</v>
      </c>
      <c r="AA152" s="70">
        <f>IF(AA150&lt;&gt;Calc_EB_NS!AA$159,1,0)</f>
        <v>0</v>
      </c>
      <c r="AB152" s="70">
        <f>IF(AB150&lt;&gt;Calc_EB_NS!AB$159,1,0)</f>
        <v>0</v>
      </c>
    </row>
    <row r="154" spans="1:28" s="13" customFormat="1" ht="14.1" x14ac:dyDescent="0.35">
      <c r="C154" s="13" t="str">
        <f>Lookup!$D$112</f>
        <v>“Other” asset items with short lives</v>
      </c>
    </row>
    <row r="155" spans="1:28" s="6" customFormat="1" ht="11.25" customHeight="1" x14ac:dyDescent="0.35"/>
    <row r="156" spans="1:28" ht="12.3" x14ac:dyDescent="0.35">
      <c r="D156" s="50" t="s">
        <v>109</v>
      </c>
      <c r="E156" s="45" t="str">
        <f>Lookup!E$20</f>
        <v>Source</v>
      </c>
      <c r="F156" s="45" t="str">
        <f>Lookup!F$20</f>
        <v>Unit</v>
      </c>
      <c r="G156" s="45" t="str">
        <f>Lookup!G$20</f>
        <v>Basis</v>
      </c>
      <c r="H156" s="45" t="str">
        <f>Lookup!H$20</f>
        <v>Timing</v>
      </c>
      <c r="J156" s="54" t="str">
        <f>J$10</f>
        <v>RY06</v>
      </c>
      <c r="K156" s="45" t="str">
        <f t="shared" ref="K156:AB156" si="25">K$10</f>
        <v>RY07</v>
      </c>
      <c r="L156" s="45" t="str">
        <f t="shared" si="25"/>
        <v>RY08</v>
      </c>
      <c r="M156" s="45" t="str">
        <f t="shared" si="25"/>
        <v>RY09</v>
      </c>
      <c r="N156" s="45" t="str">
        <f t="shared" si="25"/>
        <v>RY10</v>
      </c>
      <c r="O156" s="45" t="str">
        <f>O$10</f>
        <v>RY11</v>
      </c>
      <c r="P156" s="45" t="str">
        <f t="shared" si="25"/>
        <v>RY12</v>
      </c>
      <c r="Q156" s="45" t="str">
        <f t="shared" si="25"/>
        <v>RY13</v>
      </c>
      <c r="R156" s="55" t="str">
        <f t="shared" si="25"/>
        <v>RY14</v>
      </c>
      <c r="S156" s="54" t="str">
        <f t="shared" si="25"/>
        <v>RY15</v>
      </c>
      <c r="T156" s="45" t="str">
        <f>T$10</f>
        <v>RY16</v>
      </c>
      <c r="U156" s="45" t="str">
        <f t="shared" si="25"/>
        <v>RY17</v>
      </c>
      <c r="V156" s="45" t="str">
        <f t="shared" si="25"/>
        <v>RY18</v>
      </c>
      <c r="W156" s="55" t="str">
        <f t="shared" si="25"/>
        <v>RY19</v>
      </c>
      <c r="X156" s="54" t="str">
        <f t="shared" si="25"/>
        <v>RY20</v>
      </c>
      <c r="Y156" s="45" t="str">
        <f>Y$10</f>
        <v>RY21</v>
      </c>
      <c r="Z156" s="45" t="str">
        <f t="shared" si="25"/>
        <v>RY22</v>
      </c>
      <c r="AA156" s="45" t="str">
        <f t="shared" si="25"/>
        <v>RY23</v>
      </c>
      <c r="AB156" s="55" t="str">
        <f t="shared" si="25"/>
        <v>RY24</v>
      </c>
    </row>
    <row r="157" spans="1:28" x14ac:dyDescent="0.35">
      <c r="J157" s="56"/>
      <c r="K157" s="57"/>
      <c r="L157" s="57"/>
      <c r="M157" s="57"/>
      <c r="N157" s="57"/>
      <c r="O157" s="57"/>
      <c r="P157" s="57"/>
      <c r="Q157" s="57"/>
      <c r="R157" s="58"/>
      <c r="S157" s="56"/>
      <c r="T157" s="57"/>
      <c r="U157" s="57"/>
      <c r="V157" s="57"/>
      <c r="W157" s="58"/>
      <c r="X157" s="56"/>
      <c r="Y157" s="57"/>
      <c r="Z157" s="57"/>
      <c r="AA157" s="57"/>
      <c r="AB157" s="58"/>
    </row>
    <row r="158" spans="1:28" ht="12.3" x14ac:dyDescent="0.35">
      <c r="D158" s="15" t="str">
        <f>Calc_EB_ACS!$C$14</f>
        <v>Opening Balance</v>
      </c>
      <c r="E158" s="52" t="str">
        <f>$E$32</f>
        <v>Calc_EB_NS</v>
      </c>
      <c r="F158" s="52" t="str">
        <f>Dollars</f>
        <v>Dollars</v>
      </c>
      <c r="G158" s="52" t="str">
        <f>Nominal</f>
        <v>Nominal</v>
      </c>
      <c r="H158" s="52" t="str">
        <f>Start_year</f>
        <v>Start year</v>
      </c>
      <c r="J158" s="66">
        <f>Calc_EB_NS!J$27</f>
        <v>2.0885146676098501</v>
      </c>
      <c r="K158" s="67">
        <f>Calc_EB_NS!K$27</f>
        <v>0.82091709057313911</v>
      </c>
      <c r="L158" s="67">
        <f>Calc_EB_NS!L$27</f>
        <v>0.60044477799461515</v>
      </c>
      <c r="M158" s="67">
        <f>Calc_EB_NS!M$27</f>
        <v>0.29246182684719696</v>
      </c>
      <c r="N158" s="67">
        <f>Calc_EB_NS!N$27</f>
        <v>3.9470165527343323E-2</v>
      </c>
      <c r="O158" s="67">
        <f>Calc_EB_NS!O$27</f>
        <v>4.0622267656249544E-2</v>
      </c>
      <c r="P158" s="67">
        <f>Calc_EB_NS!P$27</f>
        <v>0.31592684001872451</v>
      </c>
      <c r="Q158" s="67">
        <f>Calc_EB_NS!Q$27</f>
        <v>2.8181106960225857</v>
      </c>
      <c r="R158" s="68">
        <f>Calc_EB_NS!R$27</f>
        <v>7.2490899399153559</v>
      </c>
      <c r="S158" s="66">
        <f>Calc_EB_NS!S$27</f>
        <v>8.1706924591252257</v>
      </c>
      <c r="T158" s="67">
        <f>Calc_EB_NS!T$27</f>
        <v>7.5405950108274276</v>
      </c>
      <c r="U158" s="67">
        <f>Calc_EB_NS!U$27</f>
        <v>6.0591650950727729</v>
      </c>
      <c r="V158" s="67">
        <f>Calc_EB_NS!V$27</f>
        <v>4.4831236140217596</v>
      </c>
      <c r="W158" s="68">
        <f>Calc_EB_NS!W$27</f>
        <v>3.1603810910413817</v>
      </c>
      <c r="X158" s="66">
        <f>Calc_EB_NS!X$27</f>
        <v>0.75889239587925938</v>
      </c>
      <c r="Y158" s="67">
        <f>Calc_EB_NS!Y$27</f>
        <v>26.318022251292152</v>
      </c>
      <c r="Z158" s="67">
        <f>Calc_EB_NS!Z$27</f>
        <v>29.12275370556188</v>
      </c>
      <c r="AA158" s="67">
        <f>Calc_EB_NS!AA$27</f>
        <v>55.125597468258384</v>
      </c>
      <c r="AB158" s="68">
        <f>Calc_EB_NS!AB$27</f>
        <v>55.583814809038977</v>
      </c>
    </row>
    <row r="159" spans="1:28" ht="12.3" x14ac:dyDescent="0.35">
      <c r="D159" s="15" t="str">
        <f>Calc_EB_ACS!$C$33</f>
        <v>Inflation</v>
      </c>
      <c r="E159" s="52" t="str">
        <f>$E$33</f>
        <v>Calc_EB_NS</v>
      </c>
      <c r="F159" s="52" t="str">
        <f>Dollars</f>
        <v>Dollars</v>
      </c>
      <c r="G159" s="52" t="str">
        <f>Nominal</f>
        <v>Nominal</v>
      </c>
      <c r="H159" s="52" t="str">
        <f>End_year</f>
        <v>End_year</v>
      </c>
      <c r="J159" s="66">
        <f>Calc_EB_NS!J$46</f>
        <v>6.1052803925257623E-2</v>
      </c>
      <c r="K159" s="67">
        <f>Calc_EB_NS!K$46</f>
        <v>2.0401489824894477E-2</v>
      </c>
      <c r="L159" s="67">
        <f>Calc_EB_NS!L$46</f>
        <v>2.565410714295702E-2</v>
      </c>
      <c r="M159" s="67">
        <f>Calc_EB_NS!M$46</f>
        <v>7.1253158257346015E-3</v>
      </c>
      <c r="N159" s="67">
        <f>Calc_EB_NS!N$46</f>
        <v>1.1521021289062471E-3</v>
      </c>
      <c r="O159" s="67">
        <f>Calc_EB_NS!O$46</f>
        <v>1.3227839257812454E-3</v>
      </c>
      <c r="P159" s="67">
        <f>Calc_EB_NS!P$46</f>
        <v>5.142247650355692E-3</v>
      </c>
      <c r="Q159" s="67">
        <f>Calc_EB_NS!Q$46</f>
        <v>7.0523290691255888E-2</v>
      </c>
      <c r="R159" s="68">
        <f>Calc_EB_NS!R$46</f>
        <v>0.177594631044697</v>
      </c>
      <c r="S159" s="66">
        <f>Calc_EB_NS!S$46</f>
        <v>0.1085291218479624</v>
      </c>
      <c r="T159" s="67">
        <f>Calc_EB_NS!T$46</f>
        <v>9.8846751078263226E-2</v>
      </c>
      <c r="U159" s="67">
        <f>Calc_EB_NS!U$46</f>
        <v>0.12879925802834874</v>
      </c>
      <c r="V159" s="67">
        <f>Calc_EB_NS!V$46</f>
        <v>0.10871012838259</v>
      </c>
      <c r="W159" s="68">
        <f>Calc_EB_NS!W$46</f>
        <v>7.6635280158338023E-2</v>
      </c>
      <c r="X159" s="66">
        <f>Calc_EB_NS!X$46</f>
        <v>1.8402189385671713E-2</v>
      </c>
      <c r="Y159" s="67">
        <f>Calc_EB_NS!Y$46</f>
        <v>0.63817905193723368</v>
      </c>
      <c r="Z159" s="67">
        <f>Calc_EB_NS!Z$46</f>
        <v>0.70619027418386404</v>
      </c>
      <c r="AA159" s="67">
        <f>Calc_EB_NS!AA$46</f>
        <v>1.3367266428251252</v>
      </c>
      <c r="AB159" s="68">
        <f>Calc_EB_NS!AB$46</f>
        <v>1.3478378389981658</v>
      </c>
    </row>
    <row r="160" spans="1:28" ht="12.3" x14ac:dyDescent="0.35">
      <c r="D160" s="15" t="str">
        <f>Calc_EB_ACS!$C$52</f>
        <v>Straight Line Depreciation</v>
      </c>
      <c r="E160" s="52" t="str">
        <f>$E$34</f>
        <v>Calc_EB_NS</v>
      </c>
      <c r="F160" s="52" t="str">
        <f>Dollars</f>
        <v>Dollars</v>
      </c>
      <c r="G160" s="52" t="str">
        <f>Nominal</f>
        <v>Nominal</v>
      </c>
      <c r="H160" s="52" t="str">
        <f>End_year</f>
        <v>End_year</v>
      </c>
      <c r="J160" s="66">
        <f>Calc_EB_NS!J$65</f>
        <v>-1.6866154201882169</v>
      </c>
      <c r="K160" s="67">
        <f>Calc_EB_NS!K$65</f>
        <v>-0.69233457321594694</v>
      </c>
      <c r="L160" s="67">
        <f>Calc_EB_NS!L$65</f>
        <v>-0.33882921743439359</v>
      </c>
      <c r="M160" s="67">
        <f>Calc_EB_NS!M$65</f>
        <v>-0.27596460609987622</v>
      </c>
      <c r="N160" s="67">
        <f>Calc_EB_NS!N$65</f>
        <v>-2.7903342389835935</v>
      </c>
      <c r="O160" s="67">
        <f>Calc_EB_NS!O$65</f>
        <v>-1.9341440812118655</v>
      </c>
      <c r="P160" s="67">
        <f>Calc_EB_NS!P$65</f>
        <v>-0.66186864003919288</v>
      </c>
      <c r="Q160" s="67">
        <f>Calc_EB_NS!Q$65</f>
        <v>-0.77404867680624723</v>
      </c>
      <c r="R160" s="68">
        <f>Calc_EB_NS!R$65</f>
        <v>-0.70957194848141658</v>
      </c>
      <c r="S160" s="66">
        <f>Calc_EB_NS!S$65</f>
        <v>-1.4273517799783406</v>
      </c>
      <c r="T160" s="67">
        <f>Calc_EB_NS!T$65</f>
        <v>-1.9095853253764445</v>
      </c>
      <c r="U160" s="67">
        <f>Calc_EB_NS!U$65</f>
        <v>-2.1689376661917517</v>
      </c>
      <c r="V160" s="67">
        <f>Calc_EB_NS!V$65</f>
        <v>-1.990231826884308</v>
      </c>
      <c r="W160" s="68">
        <f>Calc_EB_NS!W$65</f>
        <v>-2.1762493449145106</v>
      </c>
      <c r="X160" s="66">
        <f>Calc_EB_NS!X$65</f>
        <v>-9.8162455094707946E-2</v>
      </c>
      <c r="Y160" s="67">
        <f>Calc_EB_NS!Y$65</f>
        <v>-3.9774643030981189</v>
      </c>
      <c r="Z160" s="67">
        <f>Calc_EB_NS!Z$65</f>
        <v>-5.0430031851621786</v>
      </c>
      <c r="AA160" s="67">
        <f>Calc_EB_NS!AA$65</f>
        <v>-7.6461620146669143</v>
      </c>
      <c r="AB160" s="68">
        <f>Calc_EB_NS!AB$65</f>
        <v>-8.8791900819803793</v>
      </c>
    </row>
    <row r="161" spans="1:28" ht="12.3" x14ac:dyDescent="0.35">
      <c r="D161" s="15" t="str">
        <f>Calc_EB_ACS!$C$71</f>
        <v>RAB Additions</v>
      </c>
      <c r="E161" s="52" t="str">
        <f>$E$35</f>
        <v>Calc_EB_NS</v>
      </c>
      <c r="F161" s="52" t="str">
        <f>Dollars</f>
        <v>Dollars</v>
      </c>
      <c r="G161" s="52" t="str">
        <f>Nominal</f>
        <v>Nominal</v>
      </c>
      <c r="H161" s="52" t="str">
        <f>End_year</f>
        <v>End_year</v>
      </c>
      <c r="J161" s="66">
        <f>Calc_EB_NS!J$84+Calc_EB_NS!J$141</f>
        <v>0.35796503922624839</v>
      </c>
      <c r="K161" s="67">
        <f>Calc_EB_NS!K$84+Calc_EB_NS!K$141</f>
        <v>0.45146077081252856</v>
      </c>
      <c r="L161" s="67">
        <f>Calc_EB_NS!L$84+Calc_EB_NS!L$141</f>
        <v>5.1921591440183806E-3</v>
      </c>
      <c r="M161" s="67">
        <f>Calc_EB_NS!M$84+Calc_EB_NS!M$141</f>
        <v>1.5847628954287967E-2</v>
      </c>
      <c r="N161" s="67">
        <f>Calc_EB_NS!N$84+Calc_EB_NS!N$141</f>
        <v>2.7903342389835935</v>
      </c>
      <c r="O161" s="67">
        <f>Calc_EB_NS!O$84+Calc_EB_NS!O$141</f>
        <v>2.2081258696485593</v>
      </c>
      <c r="P161" s="67">
        <f>Calc_EB_NS!P$84+Calc_EB_NS!P$141</f>
        <v>3.1589102483926985</v>
      </c>
      <c r="Q161" s="67">
        <f>Calc_EB_NS!Q$84+Calc_EB_NS!Q$141</f>
        <v>5.1414366399532092</v>
      </c>
      <c r="R161" s="68">
        <f>Calc_EB_NS!R$84+Calc_EB_NS!R$141</f>
        <v>1.4535798366465891</v>
      </c>
      <c r="S161" s="66">
        <f>Calc_EB_NS!S$84+Calc_EB_NS!S$141</f>
        <v>0.69151177578155665</v>
      </c>
      <c r="T161" s="67">
        <f>Calc_EB_NS!T$84+Calc_EB_NS!T$141</f>
        <v>0.33153977242198368</v>
      </c>
      <c r="U161" s="67">
        <f>Calc_EB_NS!U$84+Calc_EB_NS!U$141</f>
        <v>0.46898279470098703</v>
      </c>
      <c r="V161" s="67">
        <f>Calc_EB_NS!V$84+Calc_EB_NS!V$141</f>
        <v>0.55877917552134027</v>
      </c>
      <c r="W161" s="68">
        <f>Calc_EB_NS!W$84+Calc_EB_NS!W$141</f>
        <v>-0.30187463040594953</v>
      </c>
      <c r="X161" s="66">
        <f>Calc_EB_NS!X$84+Calc_EB_NS!X$141</f>
        <v>25.638890121121928</v>
      </c>
      <c r="Y161" s="67">
        <f>Calc_EB_NS!Y$84+Calc_EB_NS!Y$141</f>
        <v>6.1440167054306158</v>
      </c>
      <c r="Z161" s="67">
        <f>Calc_EB_NS!Z$84+Calc_EB_NS!Z$141</f>
        <v>30.339656673674817</v>
      </c>
      <c r="AA161" s="67">
        <f>Calc_EB_NS!AA$84+Calc_EB_NS!AA$141</f>
        <v>6.7676527126223807</v>
      </c>
      <c r="AB161" s="68">
        <f>Calc_EB_NS!AB$84+Calc_EB_NS!AB$141</f>
        <v>6.618819442423364</v>
      </c>
    </row>
    <row r="162" spans="1:28" ht="12.3" x14ac:dyDescent="0.35">
      <c r="D162" s="15" t="str">
        <f>Calc_EB_ACS!$C$90</f>
        <v>Disposals</v>
      </c>
      <c r="E162" s="52" t="str">
        <f>$E$36</f>
        <v>Calc_EB_NS</v>
      </c>
      <c r="F162" s="52" t="str">
        <f>Dollars</f>
        <v>Dollars</v>
      </c>
      <c r="G162" s="52" t="str">
        <f>Nominal</f>
        <v>Nominal</v>
      </c>
      <c r="H162" s="52" t="str">
        <f>End_year</f>
        <v>End_year</v>
      </c>
      <c r="J162" s="66">
        <f>Calc_EB_NS!J$103</f>
        <v>0</v>
      </c>
      <c r="K162" s="67">
        <f>Calc_EB_NS!K$103</f>
        <v>0</v>
      </c>
      <c r="L162" s="67">
        <f>Calc_EB_NS!L$103</f>
        <v>0</v>
      </c>
      <c r="M162" s="67">
        <f>Calc_EB_NS!M$103</f>
        <v>0</v>
      </c>
      <c r="N162" s="67">
        <f>Calc_EB_NS!N$103</f>
        <v>0</v>
      </c>
      <c r="O162" s="67">
        <f>Calc_EB_NS!O$103</f>
        <v>0</v>
      </c>
      <c r="P162" s="67">
        <f>Calc_EB_NS!P$103</f>
        <v>0</v>
      </c>
      <c r="Q162" s="67">
        <f>Calc_EB_NS!Q$103</f>
        <v>-6.9320099454478904E-3</v>
      </c>
      <c r="R162" s="68">
        <f>Calc_EB_NS!R$103</f>
        <v>0</v>
      </c>
      <c r="S162" s="66">
        <f>Calc_EB_NS!S$103</f>
        <v>-2.7865659489757339E-3</v>
      </c>
      <c r="T162" s="67">
        <f>Calc_EB_NS!T$103</f>
        <v>-2.2311138784566007E-3</v>
      </c>
      <c r="U162" s="67">
        <f>Calc_EB_NS!U$103</f>
        <v>-4.8858675885982156E-3</v>
      </c>
      <c r="V162" s="67">
        <f>Calc_EB_NS!V$103</f>
        <v>0</v>
      </c>
      <c r="W162" s="68">
        <f>Calc_EB_NS!W$103</f>
        <v>0</v>
      </c>
      <c r="X162" s="66">
        <f>Calc_EB_NS!X$103</f>
        <v>0</v>
      </c>
      <c r="Y162" s="67">
        <f>Calc_EB_NS!Y$103</f>
        <v>0</v>
      </c>
      <c r="Z162" s="67">
        <f>Calc_EB_NS!Z$103</f>
        <v>0</v>
      </c>
      <c r="AA162" s="67">
        <f>Calc_EB_NS!AA$103</f>
        <v>0</v>
      </c>
      <c r="AB162" s="68">
        <f>Calc_EB_NS!AB$103</f>
        <v>0</v>
      </c>
    </row>
    <row r="163" spans="1:28" x14ac:dyDescent="0.35">
      <c r="J163" s="56"/>
      <c r="K163" s="57"/>
      <c r="L163" s="57"/>
      <c r="M163" s="57"/>
      <c r="N163" s="57"/>
      <c r="O163" s="57"/>
      <c r="P163" s="57"/>
      <c r="Q163" s="57"/>
      <c r="R163" s="58"/>
      <c r="S163" s="56"/>
      <c r="T163" s="57"/>
      <c r="U163" s="57"/>
      <c r="V163" s="57"/>
      <c r="W163" s="58"/>
      <c r="X163" s="56"/>
      <c r="Y163" s="57"/>
      <c r="Z163" s="57"/>
      <c r="AA163" s="57"/>
      <c r="AB163" s="58"/>
    </row>
    <row r="164" spans="1:28" ht="12.3" x14ac:dyDescent="0.35">
      <c r="D164" s="51" t="s">
        <v>152</v>
      </c>
      <c r="E164" s="47" t="s">
        <v>111</v>
      </c>
      <c r="F164" s="47" t="str">
        <f>F158</f>
        <v>Dollars</v>
      </c>
      <c r="G164" s="47" t="str">
        <f>G158</f>
        <v>Nominal</v>
      </c>
      <c r="H164" s="47" t="str">
        <f>H158</f>
        <v>Start year</v>
      </c>
      <c r="J164" s="62">
        <f>SUM(J158:J162)</f>
        <v>0.82091709057313911</v>
      </c>
      <c r="K164" s="46">
        <f t="shared" ref="K164:AB164" si="26">SUM(K158:K162)</f>
        <v>0.60044477799461515</v>
      </c>
      <c r="L164" s="46">
        <f t="shared" si="26"/>
        <v>0.29246182684719696</v>
      </c>
      <c r="M164" s="46">
        <f t="shared" si="26"/>
        <v>3.9470165527343323E-2</v>
      </c>
      <c r="N164" s="46">
        <f t="shared" si="26"/>
        <v>4.0622267656249544E-2</v>
      </c>
      <c r="O164" s="46">
        <f t="shared" si="26"/>
        <v>0.31592684001872451</v>
      </c>
      <c r="P164" s="46">
        <f t="shared" si="26"/>
        <v>2.8181106960225857</v>
      </c>
      <c r="Q164" s="46">
        <f t="shared" si="26"/>
        <v>7.2490899399153559</v>
      </c>
      <c r="R164" s="63">
        <f t="shared" si="26"/>
        <v>8.1706924591252257</v>
      </c>
      <c r="S164" s="62">
        <f t="shared" si="26"/>
        <v>7.5405950108274276</v>
      </c>
      <c r="T164" s="46">
        <f t="shared" si="26"/>
        <v>6.0591650950727729</v>
      </c>
      <c r="U164" s="46">
        <f t="shared" si="26"/>
        <v>4.4831236140217596</v>
      </c>
      <c r="V164" s="46">
        <f t="shared" si="26"/>
        <v>3.1603810910413817</v>
      </c>
      <c r="W164" s="63">
        <f t="shared" si="26"/>
        <v>0.75889239587925938</v>
      </c>
      <c r="X164" s="62">
        <f t="shared" si="26"/>
        <v>26.318022251292152</v>
      </c>
      <c r="Y164" s="46">
        <f t="shared" si="26"/>
        <v>29.12275370556188</v>
      </c>
      <c r="Z164" s="46">
        <f t="shared" si="26"/>
        <v>55.125597468258384</v>
      </c>
      <c r="AA164" s="46">
        <f t="shared" si="26"/>
        <v>55.583814809038977</v>
      </c>
      <c r="AB164" s="63">
        <f t="shared" si="26"/>
        <v>54.671282008480127</v>
      </c>
    </row>
    <row r="165" spans="1:28" s="6" customFormat="1" ht="11.25" customHeight="1" x14ac:dyDescent="0.35"/>
    <row r="166" spans="1:28" s="6" customFormat="1" ht="11.25" customHeight="1" x14ac:dyDescent="0.35">
      <c r="A166" s="49">
        <f>IF(SUM($J166:$AB166)&lt;&gt;0,1,0)</f>
        <v>0</v>
      </c>
      <c r="D166" s="15" t="s">
        <v>114</v>
      </c>
      <c r="J166" s="70">
        <f>IF(J164&lt;&gt;Calc_EB_NS!J$160,1,0)</f>
        <v>0</v>
      </c>
      <c r="K166" s="70">
        <f>IF(K164&lt;&gt;Calc_EB_NS!K$160,1,0)</f>
        <v>0</v>
      </c>
      <c r="L166" s="70">
        <f>IF(L164&lt;&gt;Calc_EB_NS!L$160,1,0)</f>
        <v>0</v>
      </c>
      <c r="M166" s="70">
        <f>IF(M164&lt;&gt;Calc_EB_NS!M$160,1,0)</f>
        <v>0</v>
      </c>
      <c r="N166" s="70">
        <f>IF(N164&lt;&gt;Calc_EB_NS!N$160,1,0)</f>
        <v>0</v>
      </c>
      <c r="O166" s="70">
        <f>IF(O164&lt;&gt;Calc_EB_NS!O$160,1,0)</f>
        <v>0</v>
      </c>
      <c r="P166" s="70">
        <f>IF(P164&lt;&gt;Calc_EB_NS!P$160,1,0)</f>
        <v>0</v>
      </c>
      <c r="Q166" s="70">
        <f>IF(Q164&lt;&gt;Calc_EB_NS!Q$160,1,0)</f>
        <v>0</v>
      </c>
      <c r="R166" s="70">
        <f>IF(R164&lt;&gt;Calc_EB_NS!R$160,1,0)</f>
        <v>0</v>
      </c>
      <c r="S166" s="70">
        <f>IF(S164&lt;&gt;Calc_EB_NS!S$160,1,0)</f>
        <v>0</v>
      </c>
      <c r="T166" s="70">
        <f>IF(T164&lt;&gt;Calc_EB_NS!T$160,1,0)</f>
        <v>0</v>
      </c>
      <c r="U166" s="70">
        <f>IF(U164&lt;&gt;Calc_EB_NS!U$160,1,0)</f>
        <v>0</v>
      </c>
      <c r="V166" s="70">
        <f>IF(V164&lt;&gt;Calc_EB_NS!V$160,1,0)</f>
        <v>0</v>
      </c>
      <c r="W166" s="70">
        <f>IF(W164&lt;&gt;Calc_EB_NS!W$160,1,0)</f>
        <v>0</v>
      </c>
      <c r="X166" s="70">
        <f>IF(X164&lt;&gt;Calc_EB_NS!X$160,1,0)</f>
        <v>0</v>
      </c>
      <c r="Y166" s="70">
        <f>IF(Y164&lt;&gt;Calc_EB_NS!Y$160,1,0)</f>
        <v>0</v>
      </c>
      <c r="Z166" s="70">
        <f>IF(Z164&lt;&gt;Calc_EB_NS!Z$160,1,0)</f>
        <v>0</v>
      </c>
      <c r="AA166" s="70">
        <f>IF(AA164&lt;&gt;Calc_EB_NS!AA$160,1,0)</f>
        <v>0</v>
      </c>
      <c r="AB166" s="70">
        <f>IF(AB164&lt;&gt;Calc_EB_NS!AB$160,1,0)</f>
        <v>0</v>
      </c>
    </row>
    <row r="168" spans="1:28" s="4" customFormat="1" ht="15" x14ac:dyDescent="0.35">
      <c r="B168" s="4" t="s">
        <v>33</v>
      </c>
    </row>
  </sheetData>
  <conditionalFormatting sqref="B2">
    <cfRule type="cellIs" dxfId="8" priority="1" operator="notEqual">
      <formula>"No Errors Found"</formula>
    </cfRule>
  </conditionalFormatting>
  <hyperlinks>
    <hyperlink ref="B3:E3" location="TOC!A1" display="TOC!A1" xr:uid="{00000000-0004-0000-0F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249977111117893"/>
  </sheetPr>
  <dimension ref="A1:AB168"/>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33203125" defaultRowHeight="10.199999999999999" outlineLevelRow="1" x14ac:dyDescent="0.35"/>
  <cols>
    <col min="1" max="1" width="3.33203125" style="7" customWidth="1"/>
    <col min="2" max="3" width="2.796875" style="7" customWidth="1"/>
    <col min="4" max="4" width="47.46484375" style="7" customWidth="1"/>
    <col min="5" max="5" width="14.33203125" style="7" bestFit="1" customWidth="1"/>
    <col min="6" max="6" width="9.1328125" style="7" customWidth="1"/>
    <col min="7" max="7" width="12" style="7" customWidth="1"/>
    <col min="8" max="8" width="10" style="7" customWidth="1"/>
    <col min="9" max="9" width="4.46484375" style="7" customWidth="1"/>
    <col min="10" max="28" width="12.796875" style="7" customWidth="1"/>
    <col min="29" max="29" width="4.33203125" style="7" customWidth="1"/>
    <col min="30" max="31" width="10.796875" style="7" customWidth="1"/>
    <col min="32" max="16384" width="9.33203125" style="7"/>
  </cols>
  <sheetData>
    <row r="1" spans="1:28" ht="18.899999999999999" x14ac:dyDescent="0.35">
      <c r="A1" s="49">
        <f>IF(SUM($A11:$A168)&gt;0,1,0)</f>
        <v>0</v>
      </c>
      <c r="B1" s="5" t="s">
        <v>161</v>
      </c>
    </row>
    <row r="2" spans="1:28" x14ac:dyDescent="0.35">
      <c r="B2" s="18" t="str">
        <f>Title_Msg</f>
        <v>No Errors Found</v>
      </c>
    </row>
    <row r="3" spans="1:28" x14ac:dyDescent="0.35">
      <c r="B3" s="37" t="str">
        <f>TOC!B1</f>
        <v>Table of Contents</v>
      </c>
      <c r="C3" s="35"/>
      <c r="D3" s="35"/>
      <c r="E3" s="35"/>
    </row>
    <row r="4" spans="1:28" ht="12.3" x14ac:dyDescent="0.35">
      <c r="B4" s="34" t="str">
        <f>Model_Name</f>
        <v>Power and Water Corporation (PWC) - RAB Allocation - EB RIN - DRAFT</v>
      </c>
    </row>
    <row r="5" spans="1:28" ht="12.3" hidden="1" outlineLevel="1" x14ac:dyDescent="0.35">
      <c r="B5" s="15" t="str">
        <f>Lookup!B15</f>
        <v>Period Start Date</v>
      </c>
      <c r="J5" s="42">
        <f>Lookup!J15</f>
        <v>38534</v>
      </c>
      <c r="K5" s="42">
        <f>Lookup!K15</f>
        <v>38899</v>
      </c>
      <c r="L5" s="42">
        <f>Lookup!L15</f>
        <v>39264</v>
      </c>
      <c r="M5" s="42">
        <f>Lookup!M15</f>
        <v>39630</v>
      </c>
      <c r="N5" s="42">
        <f>Lookup!N15</f>
        <v>39995</v>
      </c>
      <c r="O5" s="42">
        <f>Lookup!O15</f>
        <v>40360</v>
      </c>
      <c r="P5" s="42">
        <f>Lookup!P15</f>
        <v>40725</v>
      </c>
      <c r="Q5" s="42">
        <f>Lookup!Q15</f>
        <v>41091</v>
      </c>
      <c r="R5" s="42">
        <f>Lookup!R15</f>
        <v>41456</v>
      </c>
      <c r="S5" s="42">
        <f>Lookup!S15</f>
        <v>41821</v>
      </c>
      <c r="T5" s="42">
        <f>Lookup!T15</f>
        <v>42186</v>
      </c>
      <c r="U5" s="42">
        <f>Lookup!U15</f>
        <v>42552</v>
      </c>
      <c r="V5" s="42">
        <f>Lookup!V15</f>
        <v>42917</v>
      </c>
      <c r="W5" s="42">
        <f>Lookup!W15</f>
        <v>43282</v>
      </c>
      <c r="X5" s="42">
        <f>Lookup!X15</f>
        <v>43647</v>
      </c>
      <c r="Y5" s="42">
        <f>Lookup!Y15</f>
        <v>44013</v>
      </c>
      <c r="Z5" s="42">
        <f>Lookup!Z15</f>
        <v>44378</v>
      </c>
      <c r="AA5" s="42">
        <f>Lookup!AA15</f>
        <v>44743</v>
      </c>
      <c r="AB5" s="42">
        <f>Lookup!AB15</f>
        <v>45108</v>
      </c>
    </row>
    <row r="6" spans="1:28" ht="12.3" hidden="1" outlineLevel="1" x14ac:dyDescent="0.35">
      <c r="B6" s="15" t="str">
        <f>Lookup!B16</f>
        <v>Period End Date</v>
      </c>
      <c r="J6" s="42">
        <f>Lookup!J16</f>
        <v>38898</v>
      </c>
      <c r="K6" s="42">
        <f>Lookup!K16</f>
        <v>39263</v>
      </c>
      <c r="L6" s="42">
        <f>Lookup!L16</f>
        <v>39629</v>
      </c>
      <c r="M6" s="42">
        <f>Lookup!M16</f>
        <v>39994</v>
      </c>
      <c r="N6" s="42">
        <f>Lookup!N16</f>
        <v>40359</v>
      </c>
      <c r="O6" s="42">
        <f>Lookup!O16</f>
        <v>40724</v>
      </c>
      <c r="P6" s="42">
        <f>Lookup!P16</f>
        <v>41090</v>
      </c>
      <c r="Q6" s="42">
        <f>Lookup!Q16</f>
        <v>41455</v>
      </c>
      <c r="R6" s="42">
        <f>Lookup!R16</f>
        <v>41820</v>
      </c>
      <c r="S6" s="42">
        <f>Lookup!S16</f>
        <v>42185</v>
      </c>
      <c r="T6" s="42">
        <f>Lookup!T16</f>
        <v>42551</v>
      </c>
      <c r="U6" s="42">
        <f>Lookup!U16</f>
        <v>42916</v>
      </c>
      <c r="V6" s="42">
        <f>Lookup!V16</f>
        <v>43281</v>
      </c>
      <c r="W6" s="42">
        <f>Lookup!W16</f>
        <v>43646</v>
      </c>
      <c r="X6" s="42">
        <f>Lookup!X16</f>
        <v>44012</v>
      </c>
      <c r="Y6" s="42">
        <f>Lookup!Y16</f>
        <v>44377</v>
      </c>
      <c r="Z6" s="42">
        <f>Lookup!Z16</f>
        <v>44742</v>
      </c>
      <c r="AA6" s="42">
        <f>Lookup!AA16</f>
        <v>45107</v>
      </c>
      <c r="AB6" s="42">
        <f>Lookup!AB16</f>
        <v>45473</v>
      </c>
    </row>
    <row r="7" spans="1:28" ht="12.3" hidden="1" outlineLevel="1" x14ac:dyDescent="0.35">
      <c r="B7" s="15" t="str">
        <f>Lookup!B17</f>
        <v>Period Counter</v>
      </c>
      <c r="J7" s="43">
        <f>Lookup!J17</f>
        <v>1</v>
      </c>
      <c r="K7" s="43">
        <f>Lookup!K17</f>
        <v>2</v>
      </c>
      <c r="L7" s="43">
        <f>Lookup!L17</f>
        <v>3</v>
      </c>
      <c r="M7" s="43">
        <f>Lookup!M17</f>
        <v>4</v>
      </c>
      <c r="N7" s="43">
        <f>Lookup!N17</f>
        <v>5</v>
      </c>
      <c r="O7" s="43">
        <f>Lookup!O17</f>
        <v>6</v>
      </c>
      <c r="P7" s="43">
        <f>Lookup!P17</f>
        <v>7</v>
      </c>
      <c r="Q7" s="43">
        <f>Lookup!Q17</f>
        <v>8</v>
      </c>
      <c r="R7" s="43">
        <f>Lookup!R17</f>
        <v>9</v>
      </c>
      <c r="S7" s="43">
        <f>Lookup!S17</f>
        <v>10</v>
      </c>
      <c r="T7" s="43">
        <f>Lookup!T17</f>
        <v>11</v>
      </c>
      <c r="U7" s="43">
        <f>Lookup!U17</f>
        <v>12</v>
      </c>
      <c r="V7" s="43">
        <f>Lookup!V17</f>
        <v>13</v>
      </c>
      <c r="W7" s="43">
        <f>Lookup!W17</f>
        <v>14</v>
      </c>
      <c r="X7" s="43">
        <f>Lookup!X17</f>
        <v>15</v>
      </c>
      <c r="Y7" s="43">
        <f>Lookup!Y17</f>
        <v>16</v>
      </c>
      <c r="Z7" s="43">
        <f>Lookup!Z17</f>
        <v>17</v>
      </c>
      <c r="AA7" s="43">
        <f>Lookup!AA17</f>
        <v>18</v>
      </c>
      <c r="AB7" s="43">
        <f>Lookup!AB17</f>
        <v>19</v>
      </c>
    </row>
    <row r="8" spans="1:28" ht="12.3" hidden="1" outlineLevel="1" x14ac:dyDescent="0.35">
      <c r="B8" s="15" t="str">
        <f>Lookup!B18</f>
        <v>Year</v>
      </c>
      <c r="J8" s="44">
        <f>Lookup!J18</f>
        <v>2006</v>
      </c>
      <c r="K8" s="44">
        <f>Lookup!K18</f>
        <v>2007</v>
      </c>
      <c r="L8" s="44">
        <f>Lookup!L18</f>
        <v>2008</v>
      </c>
      <c r="M8" s="44">
        <f>Lookup!M18</f>
        <v>2009</v>
      </c>
      <c r="N8" s="44">
        <f>Lookup!N18</f>
        <v>2010</v>
      </c>
      <c r="O8" s="44">
        <f>Lookup!O18</f>
        <v>2011</v>
      </c>
      <c r="P8" s="44">
        <f>Lookup!P18</f>
        <v>2012</v>
      </c>
      <c r="Q8" s="44">
        <f>Lookup!Q18</f>
        <v>2013</v>
      </c>
      <c r="R8" s="44">
        <f>Lookup!R18</f>
        <v>2014</v>
      </c>
      <c r="S8" s="44">
        <f>Lookup!S18</f>
        <v>2015</v>
      </c>
      <c r="T8" s="44">
        <f>Lookup!T18</f>
        <v>2016</v>
      </c>
      <c r="U8" s="44">
        <f>Lookup!U18</f>
        <v>2017</v>
      </c>
      <c r="V8" s="44">
        <f>Lookup!V18</f>
        <v>2018</v>
      </c>
      <c r="W8" s="44">
        <f>Lookup!W18</f>
        <v>2019</v>
      </c>
      <c r="X8" s="44">
        <f>Lookup!X18</f>
        <v>2020</v>
      </c>
      <c r="Y8" s="44">
        <f>Lookup!Y18</f>
        <v>2021</v>
      </c>
      <c r="Z8" s="44">
        <f>Lookup!Z18</f>
        <v>2022</v>
      </c>
      <c r="AA8" s="44">
        <f>Lookup!AA18</f>
        <v>2023</v>
      </c>
      <c r="AB8" s="44">
        <f>Lookup!AB18</f>
        <v>2024</v>
      </c>
    </row>
    <row r="9" spans="1:28" ht="12.3" hidden="1" outlineLevel="1" x14ac:dyDescent="0.35">
      <c r="B9" s="15" t="str">
        <f>Lookup!B19</f>
        <v>Period Type</v>
      </c>
      <c r="J9" s="44" t="str">
        <f>Lookup!J19</f>
        <v>Actual</v>
      </c>
      <c r="K9" s="44" t="str">
        <f>Lookup!K19</f>
        <v>Actual</v>
      </c>
      <c r="L9" s="44" t="str">
        <f>Lookup!L19</f>
        <v>Actual</v>
      </c>
      <c r="M9" s="44" t="str">
        <f>Lookup!M19</f>
        <v>Base Year</v>
      </c>
      <c r="N9" s="44" t="str">
        <f>Lookup!N19</f>
        <v>Forecast</v>
      </c>
      <c r="O9" s="44" t="str">
        <f>Lookup!O19</f>
        <v>Forecast</v>
      </c>
      <c r="P9" s="44" t="str">
        <f>Lookup!P19</f>
        <v>Forecast</v>
      </c>
      <c r="Q9" s="44" t="str">
        <f>Lookup!Q19</f>
        <v>Forecast</v>
      </c>
      <c r="R9" s="44" t="str">
        <f>Lookup!R19</f>
        <v>Forecast</v>
      </c>
      <c r="S9" s="44" t="str">
        <f>Lookup!S19</f>
        <v>Forecast</v>
      </c>
      <c r="T9" s="44" t="str">
        <f>Lookup!T19</f>
        <v>Forecast</v>
      </c>
      <c r="U9" s="44" t="str">
        <f>Lookup!U19</f>
        <v>Forecast</v>
      </c>
      <c r="V9" s="44" t="str">
        <f>Lookup!V19</f>
        <v>Forecast</v>
      </c>
      <c r="W9" s="44" t="str">
        <f>Lookup!W19</f>
        <v>Forecast</v>
      </c>
      <c r="X9" s="44" t="str">
        <f>Lookup!X19</f>
        <v>Forecast</v>
      </c>
      <c r="Y9" s="44" t="str">
        <f>Lookup!Y19</f>
        <v>Forecast</v>
      </c>
      <c r="Z9" s="44" t="str">
        <f>Lookup!Z19</f>
        <v>Forecast</v>
      </c>
      <c r="AA9" s="44" t="str">
        <f>Lookup!AA19</f>
        <v>Forecast</v>
      </c>
      <c r="AB9" s="44" t="str">
        <f>Lookup!AB19</f>
        <v>Forecast</v>
      </c>
    </row>
    <row r="10" spans="1:28" ht="12.3" collapsed="1" x14ac:dyDescent="0.35">
      <c r="B10" s="10" t="str">
        <f>Lookup!B20</f>
        <v>Regulatory Year</v>
      </c>
      <c r="E10" s="41" t="str">
        <f>Lookup!E20</f>
        <v>Source</v>
      </c>
      <c r="F10" s="41" t="str">
        <f>Lookup!F20</f>
        <v>Unit</v>
      </c>
      <c r="G10" s="41" t="str">
        <f>Lookup!G20</f>
        <v>Basis</v>
      </c>
      <c r="H10" s="41" t="str">
        <f>Lookup!H20</f>
        <v>Timing</v>
      </c>
      <c r="I10" s="41"/>
      <c r="J10" s="41" t="str">
        <f>Lookup!J20</f>
        <v>RY06</v>
      </c>
      <c r="K10" s="41" t="str">
        <f>Lookup!K20</f>
        <v>RY07</v>
      </c>
      <c r="L10" s="41" t="str">
        <f>Lookup!L20</f>
        <v>RY08</v>
      </c>
      <c r="M10" s="41" t="str">
        <f>Lookup!M20</f>
        <v>RY09</v>
      </c>
      <c r="N10" s="41" t="str">
        <f>Lookup!N20</f>
        <v>RY10</v>
      </c>
      <c r="O10" s="41" t="str">
        <f>Lookup!O20</f>
        <v>RY11</v>
      </c>
      <c r="P10" s="41" t="str">
        <f>Lookup!P20</f>
        <v>RY12</v>
      </c>
      <c r="Q10" s="41" t="str">
        <f>Lookup!Q20</f>
        <v>RY13</v>
      </c>
      <c r="R10" s="41" t="str">
        <f>Lookup!R20</f>
        <v>RY14</v>
      </c>
      <c r="S10" s="41" t="str">
        <f>Lookup!S20</f>
        <v>RY15</v>
      </c>
      <c r="T10" s="41" t="str">
        <f>Lookup!T20</f>
        <v>RY16</v>
      </c>
      <c r="U10" s="41" t="str">
        <f>Lookup!U20</f>
        <v>RY17</v>
      </c>
      <c r="V10" s="41" t="str">
        <f>Lookup!V20</f>
        <v>RY18</v>
      </c>
      <c r="W10" s="41" t="str">
        <f>Lookup!W20</f>
        <v>RY19</v>
      </c>
      <c r="X10" s="41" t="str">
        <f>Lookup!X20</f>
        <v>RY20</v>
      </c>
      <c r="Y10" s="41" t="str">
        <f>Lookup!Y20</f>
        <v>RY21</v>
      </c>
      <c r="Z10" s="41" t="str">
        <f>Lookup!Z20</f>
        <v>RY22</v>
      </c>
      <c r="AA10" s="41" t="str">
        <f>Lookup!AA20</f>
        <v>RY23</v>
      </c>
      <c r="AB10" s="41" t="str">
        <f>Lookup!AB20</f>
        <v>RY24</v>
      </c>
    </row>
    <row r="12" spans="1:28" s="4" customFormat="1" ht="15" x14ac:dyDescent="0.35">
      <c r="B12" s="4" t="s">
        <v>265</v>
      </c>
    </row>
    <row r="14" spans="1:28" ht="12.3" x14ac:dyDescent="0.35">
      <c r="D14" s="50" t="s">
        <v>109</v>
      </c>
      <c r="E14" s="45" t="str">
        <f>Lookup!E$20</f>
        <v>Source</v>
      </c>
      <c r="F14" s="45" t="str">
        <f>Lookup!F$20</f>
        <v>Unit</v>
      </c>
      <c r="G14" s="45" t="str">
        <f>Lookup!G$20</f>
        <v>Basis</v>
      </c>
      <c r="H14" s="45" t="str">
        <f>Lookup!H$20</f>
        <v>Timing</v>
      </c>
      <c r="J14" s="54" t="str">
        <f>J$10</f>
        <v>RY06</v>
      </c>
      <c r="K14" s="45" t="str">
        <f t="shared" ref="K14:AB14" si="0">K$10</f>
        <v>RY07</v>
      </c>
      <c r="L14" s="45" t="str">
        <f t="shared" si="0"/>
        <v>RY08</v>
      </c>
      <c r="M14" s="45" t="str">
        <f t="shared" si="0"/>
        <v>RY09</v>
      </c>
      <c r="N14" s="45" t="str">
        <f t="shared" si="0"/>
        <v>RY10</v>
      </c>
      <c r="O14" s="45" t="str">
        <f>O$10</f>
        <v>RY11</v>
      </c>
      <c r="P14" s="45" t="str">
        <f t="shared" si="0"/>
        <v>RY12</v>
      </c>
      <c r="Q14" s="45" t="str">
        <f t="shared" si="0"/>
        <v>RY13</v>
      </c>
      <c r="R14" s="55" t="str">
        <f t="shared" si="0"/>
        <v>RY14</v>
      </c>
      <c r="S14" s="54" t="str">
        <f t="shared" si="0"/>
        <v>RY15</v>
      </c>
      <c r="T14" s="45" t="str">
        <f>T$10</f>
        <v>RY16</v>
      </c>
      <c r="U14" s="45" t="str">
        <f t="shared" si="0"/>
        <v>RY17</v>
      </c>
      <c r="V14" s="45" t="str">
        <f t="shared" si="0"/>
        <v>RY18</v>
      </c>
      <c r="W14" s="55" t="str">
        <f t="shared" si="0"/>
        <v>RY19</v>
      </c>
      <c r="X14" s="54" t="str">
        <f t="shared" si="0"/>
        <v>RY20</v>
      </c>
      <c r="Y14" s="45" t="str">
        <f>Y$10</f>
        <v>RY21</v>
      </c>
      <c r="Z14" s="45" t="str">
        <f t="shared" si="0"/>
        <v>RY22</v>
      </c>
      <c r="AA14" s="45" t="str">
        <f t="shared" si="0"/>
        <v>RY23</v>
      </c>
      <c r="AB14" s="55" t="str">
        <f t="shared" si="0"/>
        <v>RY24</v>
      </c>
    </row>
    <row r="15" spans="1:28" x14ac:dyDescent="0.35">
      <c r="J15" s="56"/>
      <c r="K15" s="57"/>
      <c r="L15" s="57"/>
      <c r="M15" s="57"/>
      <c r="N15" s="57"/>
      <c r="O15" s="57"/>
      <c r="P15" s="57"/>
      <c r="Q15" s="57"/>
      <c r="R15" s="58"/>
      <c r="S15" s="56"/>
      <c r="T15" s="57"/>
      <c r="U15" s="57"/>
      <c r="V15" s="57"/>
      <c r="W15" s="58"/>
      <c r="X15" s="56"/>
      <c r="Y15" s="57"/>
      <c r="Z15" s="57"/>
      <c r="AA15" s="57"/>
      <c r="AB15" s="58"/>
    </row>
    <row r="16" spans="1:28" ht="12.3" x14ac:dyDescent="0.35">
      <c r="D16" s="15" t="str">
        <f>Calc_EB_ACS!$C$14</f>
        <v>Opening Balance</v>
      </c>
      <c r="E16" s="52" t="s">
        <v>111</v>
      </c>
      <c r="F16" s="52" t="str">
        <f>Dollars</f>
        <v>Dollars</v>
      </c>
      <c r="G16" s="52" t="str">
        <f>Nominal</f>
        <v>Nominal</v>
      </c>
      <c r="H16" s="52" t="str">
        <f>Start_year</f>
        <v>Start year</v>
      </c>
      <c r="J16" s="66">
        <f>J32+J46+J60+J74+J88+J102+J116+J130+J144+J158</f>
        <v>346.09776574165613</v>
      </c>
      <c r="K16" s="67">
        <f t="shared" ref="K16:AB16" si="1">K32+K46+K60+K74+K88+K102+K116+K130+K144+K158</f>
        <v>361.29910007209708</v>
      </c>
      <c r="L16" s="67">
        <f t="shared" si="1"/>
        <v>381.26717653788955</v>
      </c>
      <c r="M16" s="67">
        <f t="shared" si="1"/>
        <v>426.23191748430435</v>
      </c>
      <c r="N16" s="67">
        <f t="shared" si="1"/>
        <v>476.54653007073171</v>
      </c>
      <c r="O16" s="67">
        <f t="shared" si="1"/>
        <v>545.18108755768151</v>
      </c>
      <c r="P16" s="67">
        <f t="shared" si="1"/>
        <v>627.0405387842261</v>
      </c>
      <c r="Q16" s="67">
        <f t="shared" si="1"/>
        <v>685.44809762150362</v>
      </c>
      <c r="R16" s="68">
        <f t="shared" si="1"/>
        <v>780.34731061589059</v>
      </c>
      <c r="S16" s="66">
        <f t="shared" si="1"/>
        <v>853.14139286484385</v>
      </c>
      <c r="T16" s="67">
        <f t="shared" si="1"/>
        <v>893.02269564344124</v>
      </c>
      <c r="U16" s="67">
        <f t="shared" si="1"/>
        <v>918.52746292279005</v>
      </c>
      <c r="V16" s="67">
        <f t="shared" si="1"/>
        <v>937.04991301476161</v>
      </c>
      <c r="W16" s="68">
        <f t="shared" si="1"/>
        <v>950.29432108004471</v>
      </c>
      <c r="X16" s="66">
        <f t="shared" si="1"/>
        <v>973.50319741571764</v>
      </c>
      <c r="Y16" s="67">
        <f t="shared" si="1"/>
        <v>1048.3937643590532</v>
      </c>
      <c r="Z16" s="67">
        <f t="shared" si="1"/>
        <v>1096.5249850968946</v>
      </c>
      <c r="AA16" s="67">
        <f t="shared" si="1"/>
        <v>1168.7634131433192</v>
      </c>
      <c r="AB16" s="68">
        <f t="shared" si="1"/>
        <v>1204.488747149552</v>
      </c>
    </row>
    <row r="17" spans="1:28" ht="12.3" x14ac:dyDescent="0.35">
      <c r="D17" s="15" t="str">
        <f>Calc_EB_ACS!$C$33</f>
        <v>Inflation</v>
      </c>
      <c r="E17" s="52" t="s">
        <v>111</v>
      </c>
      <c r="F17" s="52" t="str">
        <f>Dollars</f>
        <v>Dollars</v>
      </c>
      <c r="G17" s="52" t="str">
        <f>Nominal</f>
        <v>Nominal</v>
      </c>
      <c r="H17" s="52" t="str">
        <f>End_year</f>
        <v>End_year</v>
      </c>
      <c r="J17" s="66">
        <f t="shared" ref="J17:AB20" si="2">J33+J47+J61+J75+J89+J103+J117+J131+J145+J159</f>
        <v>10.117352469914453</v>
      </c>
      <c r="K17" s="67">
        <f t="shared" si="2"/>
        <v>8.9790308893656778</v>
      </c>
      <c r="L17" s="67">
        <f t="shared" si="2"/>
        <v>16.28970615693062</v>
      </c>
      <c r="M17" s="67">
        <f t="shared" si="2"/>
        <v>10.384387801389478</v>
      </c>
      <c r="N17" s="67">
        <f t="shared" si="2"/>
        <v>13.910006823686189</v>
      </c>
      <c r="O17" s="67">
        <f t="shared" si="2"/>
        <v>17.752745498201758</v>
      </c>
      <c r="P17" s="67">
        <f t="shared" si="2"/>
        <v>10.206153225379156</v>
      </c>
      <c r="Q17" s="67">
        <f t="shared" si="2"/>
        <v>17.153355796333919</v>
      </c>
      <c r="R17" s="68">
        <f t="shared" si="2"/>
        <v>19.117640126447213</v>
      </c>
      <c r="S17" s="66">
        <f t="shared" si="2"/>
        <v>11.33204886158229</v>
      </c>
      <c r="T17" s="67">
        <f t="shared" si="2"/>
        <v>11.706290017798043</v>
      </c>
      <c r="U17" s="67">
        <f t="shared" si="2"/>
        <v>19.525075459541686</v>
      </c>
      <c r="V17" s="67">
        <f t="shared" si="2"/>
        <v>22.722285869192437</v>
      </c>
      <c r="W17" s="68">
        <f t="shared" si="2"/>
        <v>23.04344616390863</v>
      </c>
      <c r="X17" s="66">
        <f t="shared" si="2"/>
        <v>23.606232324472078</v>
      </c>
      <c r="Y17" s="67">
        <f t="shared" si="2"/>
        <v>25.422234703168801</v>
      </c>
      <c r="Z17" s="67">
        <f t="shared" si="2"/>
        <v>26.58935647720519</v>
      </c>
      <c r="AA17" s="67">
        <f t="shared" si="2"/>
        <v>28.341047811907963</v>
      </c>
      <c r="AB17" s="68">
        <f t="shared" si="2"/>
        <v>29.207342382546507</v>
      </c>
    </row>
    <row r="18" spans="1:28" ht="12.3" x14ac:dyDescent="0.35">
      <c r="D18" s="15" t="str">
        <f>Calc_EB_ACS!$C$52</f>
        <v>Straight Line Depreciation</v>
      </c>
      <c r="E18" s="52" t="s">
        <v>111</v>
      </c>
      <c r="F18" s="52" t="str">
        <f>Dollars</f>
        <v>Dollars</v>
      </c>
      <c r="G18" s="52" t="str">
        <f>Nominal</f>
        <v>Nominal</v>
      </c>
      <c r="H18" s="52" t="str">
        <f>End_year</f>
        <v>End_year</v>
      </c>
      <c r="J18" s="66">
        <f t="shared" si="2"/>
        <v>-17.153578383936953</v>
      </c>
      <c r="K18" s="67">
        <f t="shared" si="2"/>
        <v>-17.056671152379824</v>
      </c>
      <c r="L18" s="67">
        <f t="shared" si="2"/>
        <v>-15.592848237576151</v>
      </c>
      <c r="M18" s="67">
        <f t="shared" si="2"/>
        <v>-15.329940349669648</v>
      </c>
      <c r="N18" s="67">
        <f t="shared" si="2"/>
        <v>-24.442307815297269</v>
      </c>
      <c r="O18" s="67">
        <f t="shared" si="2"/>
        <v>-26.171129797235448</v>
      </c>
      <c r="P18" s="67">
        <f t="shared" si="2"/>
        <v>-27.373761018476404</v>
      </c>
      <c r="Q18" s="67">
        <f t="shared" si="2"/>
        <v>-23.254974461592258</v>
      </c>
      <c r="R18" s="68">
        <f t="shared" si="2"/>
        <v>-38.588206637791266</v>
      </c>
      <c r="S18" s="66">
        <f t="shared" si="2"/>
        <v>-50.511200833938879</v>
      </c>
      <c r="T18" s="67">
        <f t="shared" si="2"/>
        <v>-53.382339338863261</v>
      </c>
      <c r="U18" s="67">
        <f t="shared" si="2"/>
        <v>-49.016950414294655</v>
      </c>
      <c r="V18" s="67">
        <f t="shared" si="2"/>
        <v>-50.47998215315571</v>
      </c>
      <c r="W18" s="68">
        <f t="shared" si="2"/>
        <v>-52.733312350742231</v>
      </c>
      <c r="X18" s="66">
        <f t="shared" si="2"/>
        <v>-48.214976114744054</v>
      </c>
      <c r="Y18" s="67">
        <f t="shared" si="2"/>
        <v>-54.849067606206738</v>
      </c>
      <c r="Z18" s="67">
        <f t="shared" si="2"/>
        <v>-58.079724518933176</v>
      </c>
      <c r="AA18" s="67">
        <f t="shared" si="2"/>
        <v>-64.145863249408151</v>
      </c>
      <c r="AB18" s="68">
        <f t="shared" si="2"/>
        <v>-68.887032353106164</v>
      </c>
    </row>
    <row r="19" spans="1:28" ht="12.3" x14ac:dyDescent="0.35">
      <c r="D19" s="15" t="str">
        <f>Calc_EB_ACS!$C$71</f>
        <v>RAB Additions</v>
      </c>
      <c r="E19" s="52" t="s">
        <v>111</v>
      </c>
      <c r="F19" s="52" t="str">
        <f>Dollars</f>
        <v>Dollars</v>
      </c>
      <c r="G19" s="52" t="str">
        <f>Nominal</f>
        <v>Nominal</v>
      </c>
      <c r="H19" s="52" t="str">
        <f>End_year</f>
        <v>End_year</v>
      </c>
      <c r="J19" s="66">
        <f t="shared" si="2"/>
        <v>22.237560244463445</v>
      </c>
      <c r="K19" s="67">
        <f t="shared" si="2"/>
        <v>28.0457167288066</v>
      </c>
      <c r="L19" s="67">
        <f t="shared" si="2"/>
        <v>44.2678830270603</v>
      </c>
      <c r="M19" s="67">
        <f t="shared" si="2"/>
        <v>55.260165134707499</v>
      </c>
      <c r="N19" s="67">
        <f t="shared" si="2"/>
        <v>79.349455433060101</v>
      </c>
      <c r="O19" s="67">
        <f t="shared" si="2"/>
        <v>91.116657061168084</v>
      </c>
      <c r="P19" s="67">
        <f t="shared" si="2"/>
        <v>76.249952585470112</v>
      </c>
      <c r="Q19" s="67">
        <f t="shared" si="2"/>
        <v>105.95395927811795</v>
      </c>
      <c r="R19" s="68">
        <f t="shared" si="2"/>
        <v>93.106985594359671</v>
      </c>
      <c r="S19" s="66">
        <f t="shared" si="2"/>
        <v>79.178547145714887</v>
      </c>
      <c r="T19" s="67">
        <f t="shared" si="2"/>
        <v>67.30043947945363</v>
      </c>
      <c r="U19" s="67">
        <f t="shared" si="2"/>
        <v>48.311973484403786</v>
      </c>
      <c r="V19" s="67">
        <f t="shared" si="2"/>
        <v>41.002104349246508</v>
      </c>
      <c r="W19" s="68">
        <f t="shared" si="2"/>
        <v>52.898742522506481</v>
      </c>
      <c r="X19" s="66">
        <f t="shared" si="2"/>
        <v>99.49931073360753</v>
      </c>
      <c r="Y19" s="67">
        <f t="shared" si="2"/>
        <v>77.558053640879052</v>
      </c>
      <c r="Z19" s="67">
        <f t="shared" si="2"/>
        <v>103.72879608815285</v>
      </c>
      <c r="AA19" s="67">
        <f t="shared" si="2"/>
        <v>71.530149443732867</v>
      </c>
      <c r="AB19" s="68">
        <f t="shared" si="2"/>
        <v>66.954832012316743</v>
      </c>
    </row>
    <row r="20" spans="1:28" ht="12.3" x14ac:dyDescent="0.35">
      <c r="D20" s="15" t="str">
        <f>Calc_EB_ACS!$C$90</f>
        <v>Disposals</v>
      </c>
      <c r="E20" s="52" t="s">
        <v>111</v>
      </c>
      <c r="F20" s="52" t="str">
        <f>Dollars</f>
        <v>Dollars</v>
      </c>
      <c r="G20" s="52" t="str">
        <f>Nominal</f>
        <v>Nominal</v>
      </c>
      <c r="H20" s="52" t="str">
        <f>End_year</f>
        <v>End_year</v>
      </c>
      <c r="J20" s="66">
        <f t="shared" si="2"/>
        <v>0</v>
      </c>
      <c r="K20" s="67">
        <f t="shared" si="2"/>
        <v>0</v>
      </c>
      <c r="L20" s="67">
        <f t="shared" si="2"/>
        <v>0</v>
      </c>
      <c r="M20" s="67">
        <f t="shared" si="2"/>
        <v>0</v>
      </c>
      <c r="N20" s="67">
        <f t="shared" si="2"/>
        <v>-0.18259695449911931</v>
      </c>
      <c r="O20" s="67">
        <f t="shared" si="2"/>
        <v>-0.83882153558966255</v>
      </c>
      <c r="P20" s="67">
        <f t="shared" si="2"/>
        <v>-0.674785955095627</v>
      </c>
      <c r="Q20" s="67">
        <f t="shared" si="2"/>
        <v>-4.9531276184725597</v>
      </c>
      <c r="R20" s="68">
        <f t="shared" si="2"/>
        <v>-0.84233683406233317</v>
      </c>
      <c r="S20" s="66">
        <f t="shared" si="2"/>
        <v>-0.11809239476111207</v>
      </c>
      <c r="T20" s="67">
        <f t="shared" si="2"/>
        <v>-0.11962287903959043</v>
      </c>
      <c r="U20" s="67">
        <f t="shared" si="2"/>
        <v>-0.29764843767930005</v>
      </c>
      <c r="V20" s="67">
        <f t="shared" si="2"/>
        <v>0</v>
      </c>
      <c r="W20" s="68">
        <f t="shared" si="2"/>
        <v>0</v>
      </c>
      <c r="X20" s="66">
        <f t="shared" si="2"/>
        <v>0</v>
      </c>
      <c r="Y20" s="67">
        <f t="shared" si="2"/>
        <v>0</v>
      </c>
      <c r="Z20" s="67">
        <f t="shared" si="2"/>
        <v>0</v>
      </c>
      <c r="AA20" s="67">
        <f t="shared" si="2"/>
        <v>0</v>
      </c>
      <c r="AB20" s="68">
        <f t="shared" si="2"/>
        <v>0</v>
      </c>
    </row>
    <row r="21" spans="1:28" x14ac:dyDescent="0.35">
      <c r="J21" s="56"/>
      <c r="K21" s="57"/>
      <c r="L21" s="57"/>
      <c r="M21" s="57"/>
      <c r="N21" s="57"/>
      <c r="O21" s="57"/>
      <c r="P21" s="57"/>
      <c r="Q21" s="57"/>
      <c r="R21" s="58"/>
      <c r="S21" s="56"/>
      <c r="T21" s="57"/>
      <c r="U21" s="57"/>
      <c r="V21" s="57"/>
      <c r="W21" s="58"/>
      <c r="X21" s="56"/>
      <c r="Y21" s="57"/>
      <c r="Z21" s="57"/>
      <c r="AA21" s="57"/>
      <c r="AB21" s="58"/>
    </row>
    <row r="22" spans="1:28" ht="12.3" x14ac:dyDescent="0.35">
      <c r="D22" s="51" t="s">
        <v>152</v>
      </c>
      <c r="E22" s="47" t="s">
        <v>111</v>
      </c>
      <c r="F22" s="47" t="str">
        <f>F16</f>
        <v>Dollars</v>
      </c>
      <c r="G22" s="47" t="str">
        <f>G16</f>
        <v>Nominal</v>
      </c>
      <c r="H22" s="47" t="str">
        <f>H16</f>
        <v>Start year</v>
      </c>
      <c r="J22" s="62">
        <f t="shared" ref="J22:AB22" si="3">J38+J52+J66+J80+J94+J108+J122+J136+J150+J164</f>
        <v>361.29910007209708</v>
      </c>
      <c r="K22" s="46">
        <f t="shared" si="3"/>
        <v>381.26717653788955</v>
      </c>
      <c r="L22" s="46">
        <f t="shared" si="3"/>
        <v>426.23191748430435</v>
      </c>
      <c r="M22" s="46">
        <f t="shared" si="3"/>
        <v>476.54653007073171</v>
      </c>
      <c r="N22" s="46">
        <f t="shared" si="3"/>
        <v>545.18108755768151</v>
      </c>
      <c r="O22" s="46">
        <f t="shared" si="3"/>
        <v>627.0405387842261</v>
      </c>
      <c r="P22" s="46">
        <f t="shared" si="3"/>
        <v>685.44809762150362</v>
      </c>
      <c r="Q22" s="46">
        <f t="shared" si="3"/>
        <v>780.34731061589059</v>
      </c>
      <c r="R22" s="63">
        <f t="shared" si="3"/>
        <v>853.14139286484385</v>
      </c>
      <c r="S22" s="62">
        <f t="shared" si="3"/>
        <v>893.02269564344124</v>
      </c>
      <c r="T22" s="46">
        <f t="shared" si="3"/>
        <v>918.52746292279005</v>
      </c>
      <c r="U22" s="46">
        <f t="shared" si="3"/>
        <v>937.04991301476161</v>
      </c>
      <c r="V22" s="46">
        <f t="shared" si="3"/>
        <v>950.29432108004471</v>
      </c>
      <c r="W22" s="63">
        <f t="shared" si="3"/>
        <v>973.50319741571764</v>
      </c>
      <c r="X22" s="62">
        <f t="shared" si="3"/>
        <v>1048.3937643590532</v>
      </c>
      <c r="Y22" s="46">
        <f t="shared" si="3"/>
        <v>1096.5249850968946</v>
      </c>
      <c r="Z22" s="46">
        <f t="shared" si="3"/>
        <v>1168.7634131433192</v>
      </c>
      <c r="AA22" s="46">
        <f t="shared" si="3"/>
        <v>1204.488747149552</v>
      </c>
      <c r="AB22" s="63">
        <f t="shared" si="3"/>
        <v>1231.7638891913091</v>
      </c>
    </row>
    <row r="23" spans="1:28" s="6" customFormat="1" ht="11.25" customHeight="1" x14ac:dyDescent="0.35"/>
    <row r="24" spans="1:28" s="6" customFormat="1" ht="11.25" customHeight="1" x14ac:dyDescent="0.35">
      <c r="A24" s="49">
        <f>IF(SUM($J24:$AB24)&lt;&gt;0,1,0)</f>
        <v>0</v>
      </c>
      <c r="D24" s="15" t="s">
        <v>114</v>
      </c>
      <c r="J24" s="70">
        <f>IF(J22&lt;&gt;Calc_EB_SCS!J$162,1,0)</f>
        <v>0</v>
      </c>
      <c r="K24" s="70">
        <f>IF(K22&lt;&gt;Calc_EB_SCS!K$162,1,0)</f>
        <v>0</v>
      </c>
      <c r="L24" s="70">
        <f>IF(L22&lt;&gt;Calc_EB_SCS!L$162,1,0)</f>
        <v>0</v>
      </c>
      <c r="M24" s="70">
        <f>IF(M22&lt;&gt;Calc_EB_SCS!M$162,1,0)</f>
        <v>0</v>
      </c>
      <c r="N24" s="70">
        <f>IF(N22&lt;&gt;Calc_EB_SCS!N$162,1,0)</f>
        <v>0</v>
      </c>
      <c r="O24" s="70">
        <f>IF(O22&lt;&gt;Calc_EB_SCS!O$162,1,0)</f>
        <v>0</v>
      </c>
      <c r="P24" s="70">
        <f>IF(P22&lt;&gt;Calc_EB_SCS!P$162,1,0)</f>
        <v>0</v>
      </c>
      <c r="Q24" s="70">
        <f>IF(Q22&lt;&gt;Calc_EB_SCS!Q$162,1,0)</f>
        <v>0</v>
      </c>
      <c r="R24" s="70">
        <f>IF(R22&lt;&gt;Calc_EB_SCS!R$162,1,0)</f>
        <v>0</v>
      </c>
      <c r="S24" s="70">
        <f>IF(S22&lt;&gt;Calc_EB_SCS!S$162,1,0)</f>
        <v>0</v>
      </c>
      <c r="T24" s="70">
        <f>IF(T22&lt;&gt;Calc_EB_SCS!T$162,1,0)</f>
        <v>0</v>
      </c>
      <c r="U24" s="70">
        <f>IF(U22&lt;&gt;Calc_EB_SCS!U$162,1,0)</f>
        <v>0</v>
      </c>
      <c r="V24" s="70">
        <f>IF(V22&lt;&gt;Calc_EB_SCS!V$162,1,0)</f>
        <v>0</v>
      </c>
      <c r="W24" s="70">
        <f>IF(W22&lt;&gt;Calc_EB_SCS!W$162,1,0)</f>
        <v>0</v>
      </c>
      <c r="X24" s="70">
        <f>IF(X22&lt;&gt;Calc_EB_SCS!X$162,1,0)</f>
        <v>0</v>
      </c>
      <c r="Y24" s="70">
        <f>IF(Y22&lt;&gt;Calc_EB_SCS!Y$162,1,0)</f>
        <v>0</v>
      </c>
      <c r="Z24" s="70">
        <f>IF(Z22&lt;&gt;Calc_EB_SCS!Z$162,1,0)</f>
        <v>0</v>
      </c>
      <c r="AA24" s="70">
        <f>IF(AA22&lt;&gt;Calc_EB_SCS!AA$162,1,0)</f>
        <v>0</v>
      </c>
      <c r="AB24" s="70">
        <f>IF(AB22&lt;&gt;Calc_EB_SCS!AB$162,1,0)</f>
        <v>0</v>
      </c>
    </row>
    <row r="26" spans="1:28" s="4" customFormat="1" ht="15" x14ac:dyDescent="0.35">
      <c r="B26" s="4" t="s">
        <v>155</v>
      </c>
    </row>
    <row r="27" spans="1:28" s="6" customFormat="1" ht="4.5" customHeight="1" x14ac:dyDescent="0.35"/>
    <row r="28" spans="1:28" s="13" customFormat="1" ht="14.1" x14ac:dyDescent="0.35">
      <c r="C28" s="13" t="str">
        <f>Lookup!$D$103</f>
        <v>Overhead network assets less than 33kV</v>
      </c>
    </row>
    <row r="29" spans="1:28" s="6" customFormat="1" ht="11.25" customHeight="1" x14ac:dyDescent="0.35"/>
    <row r="30" spans="1:28" ht="12.3" x14ac:dyDescent="0.35">
      <c r="D30" s="50" t="s">
        <v>109</v>
      </c>
      <c r="E30" s="45" t="str">
        <f>Lookup!E$20</f>
        <v>Source</v>
      </c>
      <c r="F30" s="45" t="str">
        <f>Lookup!F$20</f>
        <v>Unit</v>
      </c>
      <c r="G30" s="45" t="str">
        <f>Lookup!G$20</f>
        <v>Basis</v>
      </c>
      <c r="H30" s="45" t="str">
        <f>Lookup!H$20</f>
        <v>Timing</v>
      </c>
      <c r="J30" s="54" t="str">
        <f>J$10</f>
        <v>RY06</v>
      </c>
      <c r="K30" s="45" t="str">
        <f t="shared" ref="K30:AB30" si="4">K$10</f>
        <v>RY07</v>
      </c>
      <c r="L30" s="45" t="str">
        <f t="shared" si="4"/>
        <v>RY08</v>
      </c>
      <c r="M30" s="45" t="str">
        <f t="shared" si="4"/>
        <v>RY09</v>
      </c>
      <c r="N30" s="45" t="str">
        <f t="shared" si="4"/>
        <v>RY10</v>
      </c>
      <c r="O30" s="45" t="str">
        <f>O$10</f>
        <v>RY11</v>
      </c>
      <c r="P30" s="45" t="str">
        <f t="shared" si="4"/>
        <v>RY12</v>
      </c>
      <c r="Q30" s="45" t="str">
        <f t="shared" si="4"/>
        <v>RY13</v>
      </c>
      <c r="R30" s="55" t="str">
        <f t="shared" si="4"/>
        <v>RY14</v>
      </c>
      <c r="S30" s="54" t="str">
        <f t="shared" si="4"/>
        <v>RY15</v>
      </c>
      <c r="T30" s="45" t="str">
        <f>T$10</f>
        <v>RY16</v>
      </c>
      <c r="U30" s="45" t="str">
        <f t="shared" si="4"/>
        <v>RY17</v>
      </c>
      <c r="V30" s="45" t="str">
        <f t="shared" si="4"/>
        <v>RY18</v>
      </c>
      <c r="W30" s="55" t="str">
        <f t="shared" si="4"/>
        <v>RY19</v>
      </c>
      <c r="X30" s="54" t="str">
        <f t="shared" si="4"/>
        <v>RY20</v>
      </c>
      <c r="Y30" s="45" t="str">
        <f>Y$10</f>
        <v>RY21</v>
      </c>
      <c r="Z30" s="45" t="str">
        <f t="shared" si="4"/>
        <v>RY22</v>
      </c>
      <c r="AA30" s="45" t="str">
        <f t="shared" si="4"/>
        <v>RY23</v>
      </c>
      <c r="AB30" s="55" t="str">
        <f t="shared" si="4"/>
        <v>RY24</v>
      </c>
    </row>
    <row r="31" spans="1:28" x14ac:dyDescent="0.35">
      <c r="J31" s="56"/>
      <c r="K31" s="57"/>
      <c r="L31" s="57"/>
      <c r="M31" s="57"/>
      <c r="N31" s="57"/>
      <c r="O31" s="57"/>
      <c r="P31" s="57"/>
      <c r="Q31" s="57"/>
      <c r="R31" s="58"/>
      <c r="S31" s="56"/>
      <c r="T31" s="57"/>
      <c r="U31" s="57"/>
      <c r="V31" s="57"/>
      <c r="W31" s="58"/>
      <c r="X31" s="56"/>
      <c r="Y31" s="57"/>
      <c r="Z31" s="57"/>
      <c r="AA31" s="57"/>
      <c r="AB31" s="58"/>
    </row>
    <row r="32" spans="1:28" ht="12.3" x14ac:dyDescent="0.35">
      <c r="D32" s="15" t="str">
        <f>Calc_EB_SCS!$C$14</f>
        <v>Opening Balance</v>
      </c>
      <c r="E32" s="52" t="s">
        <v>163</v>
      </c>
      <c r="F32" s="52" t="str">
        <f>Dollars</f>
        <v>Dollars</v>
      </c>
      <c r="G32" s="52" t="str">
        <f>Nominal</f>
        <v>Nominal</v>
      </c>
      <c r="H32" s="52" t="str">
        <f>Start_year</f>
        <v>Start year</v>
      </c>
      <c r="J32" s="66">
        <f>Calc_EB_SCS!J$18</f>
        <v>36.812235077201727</v>
      </c>
      <c r="K32" s="67">
        <f>Calc_EB_SCS!K$18</f>
        <v>39.530378195940614</v>
      </c>
      <c r="L32" s="67">
        <f>Calc_EB_SCS!L$18</f>
        <v>42.859401197492588</v>
      </c>
      <c r="M32" s="67">
        <f>Calc_EB_SCS!M$18</f>
        <v>47.321570244019213</v>
      </c>
      <c r="N32" s="67">
        <f>Calc_EB_SCS!N$18</f>
        <v>50.670476566610887</v>
      </c>
      <c r="O32" s="67">
        <f>Calc_EB_SCS!O$18</f>
        <v>54.233171117951258</v>
      </c>
      <c r="P32" s="67">
        <f>Calc_EB_SCS!P$18</f>
        <v>58.023453706653321</v>
      </c>
      <c r="Q32" s="67">
        <f>Calc_EB_SCS!Q$18</f>
        <v>61.534804740488809</v>
      </c>
      <c r="R32" s="68">
        <f>Calc_EB_SCS!R$18</f>
        <v>68.950202217090307</v>
      </c>
      <c r="S32" s="66">
        <f>Calc_EB_SCS!S$18</f>
        <v>73.847985614290039</v>
      </c>
      <c r="T32" s="67">
        <f>Calc_EB_SCS!T$18</f>
        <v>77.13450057099179</v>
      </c>
      <c r="U32" s="67">
        <f>Calc_EB_SCS!U$18</f>
        <v>78.803421770456936</v>
      </c>
      <c r="V32" s="67">
        <f>Calc_EB_SCS!V$18</f>
        <v>80.810394707005656</v>
      </c>
      <c r="W32" s="68">
        <f>Calc_EB_SCS!W$18</f>
        <v>81.312375627561508</v>
      </c>
      <c r="X32" s="66">
        <f>Calc_EB_SCS!X$18</f>
        <v>81.867018243478739</v>
      </c>
      <c r="Y32" s="67">
        <f>Calc_EB_SCS!Y$18</f>
        <v>87.258942114446597</v>
      </c>
      <c r="Z32" s="67">
        <f>Calc_EB_SCS!Z$18</f>
        <v>93.993061593803645</v>
      </c>
      <c r="AA32" s="67">
        <f>Calc_EB_SCS!AA$18</f>
        <v>98.902910423450351</v>
      </c>
      <c r="AB32" s="68">
        <f>Calc_EB_SCS!AB$18</f>
        <v>103.17149675663056</v>
      </c>
    </row>
    <row r="33" spans="1:28" ht="12.3" x14ac:dyDescent="0.35">
      <c r="D33" s="15" t="str">
        <f>Calc_EB_SCS!$C$33</f>
        <v>Inflation</v>
      </c>
      <c r="E33" s="52" t="s">
        <v>163</v>
      </c>
      <c r="F33" s="52" t="str">
        <f>Dollars</f>
        <v>Dollars</v>
      </c>
      <c r="G33" s="52" t="str">
        <f>Nominal</f>
        <v>Nominal</v>
      </c>
      <c r="H33" s="52" t="str">
        <f>End_year</f>
        <v>End_year</v>
      </c>
      <c r="J33" s="66">
        <f>Calc_EB_SCS!J$37</f>
        <v>1.0761189303932317</v>
      </c>
      <c r="K33" s="67">
        <f>Calc_EB_SCS!K$37</f>
        <v>0.98241176581627043</v>
      </c>
      <c r="L33" s="67">
        <f>Calc_EB_SCS!L$37</f>
        <v>1.8311753398466812</v>
      </c>
      <c r="M33" s="67">
        <f>Calc_EB_SCS!M$37</f>
        <v>1.1529064732762162</v>
      </c>
      <c r="N33" s="67">
        <f>Calc_EB_SCS!N$37</f>
        <v>1.4790301268091786</v>
      </c>
      <c r="O33" s="67">
        <f>Calc_EB_SCS!O$37</f>
        <v>1.7659961183366419</v>
      </c>
      <c r="P33" s="67">
        <f>Calc_EB_SCS!P$37</f>
        <v>0.94443057915204642</v>
      </c>
      <c r="Q33" s="67">
        <f>Calc_EB_SCS!Q$37</f>
        <v>1.5399100285407605</v>
      </c>
      <c r="R33" s="68">
        <f>Calc_EB_SCS!R$37</f>
        <v>1.6892031723563332</v>
      </c>
      <c r="S33" s="66">
        <f>Calc_EB_SCS!S$37</f>
        <v>0.98090303472490847</v>
      </c>
      <c r="T33" s="67">
        <f>Calc_EB_SCS!T$37</f>
        <v>1.0111264119793042</v>
      </c>
      <c r="U33" s="67">
        <f>Calc_EB_SCS!U$37</f>
        <v>1.675118947061464</v>
      </c>
      <c r="V33" s="67">
        <f>Calc_EB_SCS!V$37</f>
        <v>1.9595507819079558</v>
      </c>
      <c r="W33" s="68">
        <f>Calc_EB_SCS!W$37</f>
        <v>1.9717231900361996</v>
      </c>
      <c r="X33" s="66">
        <f>Calc_EB_SCS!X$37</f>
        <v>1.9851725782694916</v>
      </c>
      <c r="Y33" s="67">
        <f>Calc_EB_SCS!Y$37</f>
        <v>2.115919973770422</v>
      </c>
      <c r="Z33" s="67">
        <f>Calc_EB_SCS!Z$37</f>
        <v>2.2792139304337935</v>
      </c>
      <c r="AA33" s="67">
        <f>Calc_EB_SCS!AA$37</f>
        <v>2.3982716104274049</v>
      </c>
      <c r="AB33" s="68">
        <f>Calc_EB_SCS!AB$37</f>
        <v>2.5017794786558931</v>
      </c>
    </row>
    <row r="34" spans="1:28" ht="12.3" x14ac:dyDescent="0.35">
      <c r="D34" s="15" t="str">
        <f>Calc_EB_SCS!$C$52</f>
        <v>Straight Line Depreciation</v>
      </c>
      <c r="E34" s="52" t="s">
        <v>163</v>
      </c>
      <c r="F34" s="52" t="str">
        <f>Dollars</f>
        <v>Dollars</v>
      </c>
      <c r="G34" s="52" t="str">
        <f>Nominal</f>
        <v>Nominal</v>
      </c>
      <c r="H34" s="52" t="str">
        <f>End_year</f>
        <v>End_year</v>
      </c>
      <c r="J34" s="66">
        <f>Calc_EB_SCS!J$56</f>
        <v>-1.4241015115463305</v>
      </c>
      <c r="K34" s="67">
        <f>Calc_EB_SCS!K$56</f>
        <v>-1.5203459254256473</v>
      </c>
      <c r="L34" s="67">
        <f>Calc_EB_SCS!L$56</f>
        <v>-1.6569768757129681</v>
      </c>
      <c r="M34" s="67">
        <f>Calc_EB_SCS!M$56</f>
        <v>-1.7699759684561818</v>
      </c>
      <c r="N34" s="67">
        <f>Calc_EB_SCS!N$56</f>
        <v>-1.955672169497342</v>
      </c>
      <c r="O34" s="67">
        <f>Calc_EB_SCS!O$56</f>
        <v>-2.0915453876303305</v>
      </c>
      <c r="P34" s="67">
        <f>Calc_EB_SCS!P$56</f>
        <v>-2.1979863792919825</v>
      </c>
      <c r="Q34" s="67">
        <f>Calc_EB_SCS!Q$56</f>
        <v>-2.3375273006760167</v>
      </c>
      <c r="R34" s="68">
        <f>Calc_EB_SCS!R$56</f>
        <v>-2.1168505731180254</v>
      </c>
      <c r="S34" s="66">
        <f>Calc_EB_SCS!S$56</f>
        <v>-3.1799513404441493</v>
      </c>
      <c r="T34" s="67">
        <f>Calc_EB_SCS!T$56</f>
        <v>-3.2492662618054031</v>
      </c>
      <c r="U34" s="67">
        <f>Calc_EB_SCS!U$56</f>
        <v>-3.3225855478538437</v>
      </c>
      <c r="V34" s="67">
        <f>Calc_EB_SCS!V$56</f>
        <v>-3.4082673397635079</v>
      </c>
      <c r="W34" s="68">
        <f>Calc_EB_SCS!W$56</f>
        <v>-3.5099287451744767</v>
      </c>
      <c r="X34" s="66">
        <f>Calc_EB_SCS!X$56</f>
        <v>-2.8447338622652767</v>
      </c>
      <c r="Y34" s="67">
        <f>Calc_EB_SCS!Y$56</f>
        <v>-3.0281194118242492</v>
      </c>
      <c r="Z34" s="67">
        <f>Calc_EB_SCS!Z$56</f>
        <v>-3.2414776512425925</v>
      </c>
      <c r="AA34" s="67">
        <f>Calc_EB_SCS!AA$56</f>
        <v>-3.427540924267666</v>
      </c>
      <c r="AB34" s="68">
        <f>Calc_EB_SCS!AB$56</f>
        <v>-3.6076069351061624</v>
      </c>
    </row>
    <row r="35" spans="1:28" ht="12.3" x14ac:dyDescent="0.35">
      <c r="D35" s="15" t="str">
        <f>Calc_EB_SCS!$C$71</f>
        <v>RAB Additions</v>
      </c>
      <c r="E35" s="52" t="s">
        <v>163</v>
      </c>
      <c r="F35" s="52" t="str">
        <f>Dollars</f>
        <v>Dollars</v>
      </c>
      <c r="G35" s="52" t="str">
        <f>Nominal</f>
        <v>Nominal</v>
      </c>
      <c r="H35" s="52" t="str">
        <f>End_year</f>
        <v>End_year</v>
      </c>
      <c r="J35" s="66">
        <f>Calc_EB_SCS!J$75+Calc_EB_SCS!J$132</f>
        <v>3.0661256998919928</v>
      </c>
      <c r="K35" s="67">
        <f>Calc_EB_SCS!K$75+Calc_EB_SCS!K$132</f>
        <v>3.8669571611613436</v>
      </c>
      <c r="L35" s="67">
        <f>Calc_EB_SCS!L$75+Calc_EB_SCS!L$132</f>
        <v>4.287970582392914</v>
      </c>
      <c r="M35" s="67">
        <f>Calc_EB_SCS!M$75+Calc_EB_SCS!M$132</f>
        <v>3.9659758177716355</v>
      </c>
      <c r="N35" s="67">
        <f>Calc_EB_SCS!N$75+Calc_EB_SCS!N$132</f>
        <v>4.0393365940285353</v>
      </c>
      <c r="O35" s="67">
        <f>Calc_EB_SCS!O$75+Calc_EB_SCS!O$132</f>
        <v>4.1967386341191153</v>
      </c>
      <c r="P35" s="67">
        <f>Calc_EB_SCS!P$75+Calc_EB_SCS!P$132</f>
        <v>4.7714758535625865</v>
      </c>
      <c r="Q35" s="67">
        <f>Calc_EB_SCS!Q$75+Calc_EB_SCS!Q$132</f>
        <v>8.4592781121478158</v>
      </c>
      <c r="R35" s="68">
        <f>Calc_EB_SCS!R$75+Calc_EB_SCS!R$132</f>
        <v>5.4079657208797096</v>
      </c>
      <c r="S35" s="66">
        <f>Calc_EB_SCS!S$75+Calc_EB_SCS!S$132</f>
        <v>5.5065561049215743</v>
      </c>
      <c r="T35" s="67">
        <f>Calc_EB_SCS!T$75+Calc_EB_SCS!T$132</f>
        <v>3.9279914647699261</v>
      </c>
      <c r="U35" s="67">
        <f>Calc_EB_SCS!U$75+Calc_EB_SCS!U$132</f>
        <v>3.6943572580752662</v>
      </c>
      <c r="V35" s="67">
        <f>Calc_EB_SCS!V$75+Calc_EB_SCS!V$132</f>
        <v>1.9506974784114204</v>
      </c>
      <c r="W35" s="68">
        <f>Calc_EB_SCS!W$75+Calc_EB_SCS!W$132</f>
        <v>2.0928481710555102</v>
      </c>
      <c r="X35" s="66">
        <f>Calc_EB_SCS!X$75+Calc_EB_SCS!X$132</f>
        <v>6.2514851549636248</v>
      </c>
      <c r="Y35" s="67">
        <f>Calc_EB_SCS!Y$75+Calc_EB_SCS!Y$132</f>
        <v>7.6463189174108797</v>
      </c>
      <c r="Z35" s="67">
        <f>Calc_EB_SCS!Z$75+Calc_EB_SCS!Z$132</f>
        <v>5.8721125504555038</v>
      </c>
      <c r="AA35" s="67">
        <f>Calc_EB_SCS!AA$75+Calc_EB_SCS!AA$132</f>
        <v>5.2978556470204667</v>
      </c>
      <c r="AB35" s="68">
        <f>Calc_EB_SCS!AB$75+Calc_EB_SCS!AB$132</f>
        <v>6.0937241926624104</v>
      </c>
    </row>
    <row r="36" spans="1:28" ht="12.3" x14ac:dyDescent="0.35">
      <c r="D36" s="15" t="str">
        <f>Calc_EB_SCS!$C$90</f>
        <v>Disposals</v>
      </c>
      <c r="E36" s="52" t="s">
        <v>163</v>
      </c>
      <c r="F36" s="52" t="str">
        <f>Dollars</f>
        <v>Dollars</v>
      </c>
      <c r="G36" s="52" t="str">
        <f>Nominal</f>
        <v>Nominal</v>
      </c>
      <c r="H36" s="52" t="str">
        <f>End_year</f>
        <v>End_year</v>
      </c>
      <c r="J36" s="66">
        <f>Calc_EB_SCS!J$94</f>
        <v>0</v>
      </c>
      <c r="K36" s="67">
        <f>Calc_EB_SCS!K$94</f>
        <v>0</v>
      </c>
      <c r="L36" s="67">
        <f>Calc_EB_SCS!L$94</f>
        <v>0</v>
      </c>
      <c r="M36" s="67">
        <f>Calc_EB_SCS!M$94</f>
        <v>0</v>
      </c>
      <c r="N36" s="67">
        <f>Calc_EB_SCS!N$94</f>
        <v>0</v>
      </c>
      <c r="O36" s="67">
        <f>Calc_EB_SCS!O$94</f>
        <v>-8.0906776123361376E-2</v>
      </c>
      <c r="P36" s="67">
        <f>Calc_EB_SCS!P$94</f>
        <v>-6.5690195871628389E-3</v>
      </c>
      <c r="Q36" s="67">
        <f>Calc_EB_SCS!Q$94</f>
        <v>-0.24626336341105828</v>
      </c>
      <c r="R36" s="68">
        <f>Calc_EB_SCS!R$94</f>
        <v>-8.2534922918283016E-2</v>
      </c>
      <c r="S36" s="66">
        <f>Calc_EB_SCS!S$94</f>
        <v>-2.0992842500579791E-2</v>
      </c>
      <c r="T36" s="67">
        <f>Calc_EB_SCS!T$94</f>
        <v>-2.0930415478691029E-2</v>
      </c>
      <c r="U36" s="67">
        <f>Calc_EB_SCS!U$94</f>
        <v>-3.9917720734167411E-2</v>
      </c>
      <c r="V36" s="67">
        <f>Calc_EB_SCS!V$94</f>
        <v>0</v>
      </c>
      <c r="W36" s="68">
        <f>Calc_EB_SCS!W$94</f>
        <v>0</v>
      </c>
      <c r="X36" s="66">
        <f>Calc_EB_SCS!X$94</f>
        <v>0</v>
      </c>
      <c r="Y36" s="67">
        <f>Calc_EB_SCS!Y$94</f>
        <v>0</v>
      </c>
      <c r="Z36" s="67">
        <f>Calc_EB_SCS!Z$94</f>
        <v>0</v>
      </c>
      <c r="AA36" s="67">
        <f>Calc_EB_SCS!AA$94</f>
        <v>0</v>
      </c>
      <c r="AB36" s="68">
        <f>Calc_EB_SCS!AB$94</f>
        <v>0</v>
      </c>
    </row>
    <row r="37" spans="1:28" x14ac:dyDescent="0.35">
      <c r="J37" s="56"/>
      <c r="K37" s="57"/>
      <c r="L37" s="57"/>
      <c r="M37" s="57"/>
      <c r="N37" s="57"/>
      <c r="O37" s="57"/>
      <c r="P37" s="57"/>
      <c r="Q37" s="57"/>
      <c r="R37" s="58"/>
      <c r="S37" s="56"/>
      <c r="T37" s="57"/>
      <c r="U37" s="57"/>
      <c r="V37" s="57"/>
      <c r="W37" s="58"/>
      <c r="X37" s="56"/>
      <c r="Y37" s="57"/>
      <c r="Z37" s="57"/>
      <c r="AA37" s="57"/>
      <c r="AB37" s="58"/>
    </row>
    <row r="38" spans="1:28" ht="12.3" x14ac:dyDescent="0.35">
      <c r="D38" s="51" t="s">
        <v>152</v>
      </c>
      <c r="E38" s="47" t="s">
        <v>111</v>
      </c>
      <c r="F38" s="47" t="str">
        <f>F32</f>
        <v>Dollars</v>
      </c>
      <c r="G38" s="47" t="str">
        <f>G32</f>
        <v>Nominal</v>
      </c>
      <c r="H38" s="47" t="str">
        <f>H32</f>
        <v>Start year</v>
      </c>
      <c r="J38" s="62">
        <f>SUM(J32:J36)</f>
        <v>39.530378195940614</v>
      </c>
      <c r="K38" s="46">
        <f t="shared" ref="K38:AB38" si="5">SUM(K32:K36)</f>
        <v>42.859401197492588</v>
      </c>
      <c r="L38" s="46">
        <f t="shared" si="5"/>
        <v>47.321570244019213</v>
      </c>
      <c r="M38" s="46">
        <f t="shared" si="5"/>
        <v>50.670476566610887</v>
      </c>
      <c r="N38" s="46">
        <f t="shared" si="5"/>
        <v>54.233171117951258</v>
      </c>
      <c r="O38" s="46">
        <f t="shared" si="5"/>
        <v>58.023453706653321</v>
      </c>
      <c r="P38" s="46">
        <f t="shared" si="5"/>
        <v>61.534804740488809</v>
      </c>
      <c r="Q38" s="46">
        <f t="shared" si="5"/>
        <v>68.950202217090307</v>
      </c>
      <c r="R38" s="63">
        <f t="shared" si="5"/>
        <v>73.847985614290039</v>
      </c>
      <c r="S38" s="62">
        <f t="shared" si="5"/>
        <v>77.13450057099179</v>
      </c>
      <c r="T38" s="46">
        <f t="shared" si="5"/>
        <v>78.803421770456936</v>
      </c>
      <c r="U38" s="46">
        <f t="shared" si="5"/>
        <v>80.810394707005656</v>
      </c>
      <c r="V38" s="46">
        <f t="shared" si="5"/>
        <v>81.312375627561508</v>
      </c>
      <c r="W38" s="63">
        <f t="shared" si="5"/>
        <v>81.867018243478739</v>
      </c>
      <c r="X38" s="62">
        <f t="shared" si="5"/>
        <v>87.258942114446597</v>
      </c>
      <c r="Y38" s="46">
        <f t="shared" si="5"/>
        <v>93.993061593803645</v>
      </c>
      <c r="Z38" s="46">
        <f t="shared" si="5"/>
        <v>98.902910423450351</v>
      </c>
      <c r="AA38" s="46">
        <f t="shared" si="5"/>
        <v>103.17149675663056</v>
      </c>
      <c r="AB38" s="63">
        <f t="shared" si="5"/>
        <v>108.1593934928427</v>
      </c>
    </row>
    <row r="39" spans="1:28" s="6" customFormat="1" ht="11.25" customHeight="1" x14ac:dyDescent="0.35"/>
    <row r="40" spans="1:28" s="6" customFormat="1" ht="11.25" customHeight="1" x14ac:dyDescent="0.35">
      <c r="A40" s="49">
        <f>IF(SUM($J40:$AB40)&lt;&gt;0,1,0)</f>
        <v>0</v>
      </c>
      <c r="D40" s="15" t="s">
        <v>114</v>
      </c>
      <c r="J40" s="70">
        <f>IF(J38&lt;&gt;Calc_EB_SCS!J$151,1,0)</f>
        <v>0</v>
      </c>
      <c r="K40" s="70">
        <f>IF(K38&lt;&gt;Calc_EB_SCS!K$151,1,0)</f>
        <v>0</v>
      </c>
      <c r="L40" s="70">
        <f>IF(L38&lt;&gt;Calc_EB_SCS!L$151,1,0)</f>
        <v>0</v>
      </c>
      <c r="M40" s="70">
        <f>IF(M38&lt;&gt;Calc_EB_SCS!M$151,1,0)</f>
        <v>0</v>
      </c>
      <c r="N40" s="70">
        <f>IF(N38&lt;&gt;Calc_EB_SCS!N$151,1,0)</f>
        <v>0</v>
      </c>
      <c r="O40" s="70">
        <f>IF(O38&lt;&gt;Calc_EB_SCS!O$151,1,0)</f>
        <v>0</v>
      </c>
      <c r="P40" s="70">
        <f>IF(P38&lt;&gt;Calc_EB_SCS!P$151,1,0)</f>
        <v>0</v>
      </c>
      <c r="Q40" s="70">
        <f>IF(Q38&lt;&gt;Calc_EB_SCS!Q$151,1,0)</f>
        <v>0</v>
      </c>
      <c r="R40" s="70">
        <f>IF(R38&lt;&gt;Calc_EB_SCS!R$151,1,0)</f>
        <v>0</v>
      </c>
      <c r="S40" s="70">
        <f>IF(S38&lt;&gt;Calc_EB_SCS!S$151,1,0)</f>
        <v>0</v>
      </c>
      <c r="T40" s="70">
        <f>IF(T38&lt;&gt;Calc_EB_SCS!T$151,1,0)</f>
        <v>0</v>
      </c>
      <c r="U40" s="70">
        <f>IF(U38&lt;&gt;Calc_EB_SCS!U$151,1,0)</f>
        <v>0</v>
      </c>
      <c r="V40" s="70">
        <f>IF(V38&lt;&gt;Calc_EB_SCS!V$151,1,0)</f>
        <v>0</v>
      </c>
      <c r="W40" s="70">
        <f>IF(W38&lt;&gt;Calc_EB_SCS!W$151,1,0)</f>
        <v>0</v>
      </c>
      <c r="X40" s="70">
        <f>IF(X38&lt;&gt;Calc_EB_SCS!X$151,1,0)</f>
        <v>0</v>
      </c>
      <c r="Y40" s="70">
        <f>IF(Y38&lt;&gt;Calc_EB_SCS!Y$151,1,0)</f>
        <v>0</v>
      </c>
      <c r="Z40" s="70">
        <f>IF(Z38&lt;&gt;Calc_EB_SCS!Z$151,1,0)</f>
        <v>0</v>
      </c>
      <c r="AA40" s="70">
        <f>IF(AA38&lt;&gt;Calc_EB_SCS!AA$151,1,0)</f>
        <v>0</v>
      </c>
      <c r="AB40" s="70">
        <f>IF(AB38&lt;&gt;Calc_EB_SCS!AB$151,1,0)</f>
        <v>0</v>
      </c>
    </row>
    <row r="41" spans="1:28" s="6" customFormat="1" ht="11.25" customHeight="1" x14ac:dyDescent="0.35">
      <c r="L41" s="10"/>
      <c r="Q41" s="10"/>
      <c r="V41" s="10"/>
      <c r="AA41" s="10"/>
    </row>
    <row r="42" spans="1:28" s="13" customFormat="1" ht="14.1" x14ac:dyDescent="0.35">
      <c r="C42" s="13" t="str">
        <f>Lookup!$D$104</f>
        <v>Underground network assets less than 33kV</v>
      </c>
    </row>
    <row r="43" spans="1:28" s="6" customFormat="1" ht="11.25" customHeight="1" x14ac:dyDescent="0.35"/>
    <row r="44" spans="1:28" ht="12.3" x14ac:dyDescent="0.35">
      <c r="D44" s="50" t="s">
        <v>109</v>
      </c>
      <c r="E44" s="45" t="str">
        <f>Lookup!E$20</f>
        <v>Source</v>
      </c>
      <c r="F44" s="45" t="str">
        <f>Lookup!F$20</f>
        <v>Unit</v>
      </c>
      <c r="G44" s="45" t="str">
        <f>Lookup!G$20</f>
        <v>Basis</v>
      </c>
      <c r="H44" s="45" t="str">
        <f>Lookup!H$20</f>
        <v>Timing</v>
      </c>
      <c r="J44" s="54" t="str">
        <f>J$10</f>
        <v>RY06</v>
      </c>
      <c r="K44" s="45" t="str">
        <f t="shared" ref="K44:AB44" si="6">K$10</f>
        <v>RY07</v>
      </c>
      <c r="L44" s="45" t="str">
        <f t="shared" si="6"/>
        <v>RY08</v>
      </c>
      <c r="M44" s="45" t="str">
        <f t="shared" si="6"/>
        <v>RY09</v>
      </c>
      <c r="N44" s="45" t="str">
        <f t="shared" si="6"/>
        <v>RY10</v>
      </c>
      <c r="O44" s="45" t="str">
        <f>O$10</f>
        <v>RY11</v>
      </c>
      <c r="P44" s="45" t="str">
        <f t="shared" si="6"/>
        <v>RY12</v>
      </c>
      <c r="Q44" s="45" t="str">
        <f t="shared" si="6"/>
        <v>RY13</v>
      </c>
      <c r="R44" s="55" t="str">
        <f t="shared" si="6"/>
        <v>RY14</v>
      </c>
      <c r="S44" s="54" t="str">
        <f t="shared" si="6"/>
        <v>RY15</v>
      </c>
      <c r="T44" s="45" t="str">
        <f>T$10</f>
        <v>RY16</v>
      </c>
      <c r="U44" s="45" t="str">
        <f t="shared" si="6"/>
        <v>RY17</v>
      </c>
      <c r="V44" s="45" t="str">
        <f t="shared" si="6"/>
        <v>RY18</v>
      </c>
      <c r="W44" s="55" t="str">
        <f t="shared" si="6"/>
        <v>RY19</v>
      </c>
      <c r="X44" s="54" t="str">
        <f t="shared" si="6"/>
        <v>RY20</v>
      </c>
      <c r="Y44" s="45" t="str">
        <f>Y$10</f>
        <v>RY21</v>
      </c>
      <c r="Z44" s="45" t="str">
        <f t="shared" si="6"/>
        <v>RY22</v>
      </c>
      <c r="AA44" s="45" t="str">
        <f t="shared" si="6"/>
        <v>RY23</v>
      </c>
      <c r="AB44" s="55" t="str">
        <f t="shared" si="6"/>
        <v>RY24</v>
      </c>
    </row>
    <row r="45" spans="1:28" x14ac:dyDescent="0.35">
      <c r="J45" s="56"/>
      <c r="K45" s="57"/>
      <c r="L45" s="57"/>
      <c r="M45" s="57"/>
      <c r="N45" s="57"/>
      <c r="O45" s="57"/>
      <c r="P45" s="57"/>
      <c r="Q45" s="57"/>
      <c r="R45" s="58"/>
      <c r="S45" s="56"/>
      <c r="T45" s="57"/>
      <c r="U45" s="57"/>
      <c r="V45" s="57"/>
      <c r="W45" s="58"/>
      <c r="X45" s="56"/>
      <c r="Y45" s="57"/>
      <c r="Z45" s="57"/>
      <c r="AA45" s="57"/>
      <c r="AB45" s="58"/>
    </row>
    <row r="46" spans="1:28" ht="12.3" x14ac:dyDescent="0.35">
      <c r="D46" s="15" t="str">
        <f>Calc_EB_SCS!$C$14</f>
        <v>Opening Balance</v>
      </c>
      <c r="E46" s="52" t="str">
        <f>$E$32</f>
        <v>Calc_EB_SCS</v>
      </c>
      <c r="F46" s="52" t="str">
        <f>Dollars</f>
        <v>Dollars</v>
      </c>
      <c r="G46" s="52" t="str">
        <f>Nominal</f>
        <v>Nominal</v>
      </c>
      <c r="H46" s="52" t="str">
        <f>Start_year</f>
        <v>Start year</v>
      </c>
      <c r="J46" s="66">
        <f>Calc_EB_SCS!J$19</f>
        <v>76.255193125098188</v>
      </c>
      <c r="K46" s="67">
        <f>Calc_EB_SCS!K$19</f>
        <v>81.885727290221723</v>
      </c>
      <c r="L46" s="67">
        <f>Calc_EB_SCS!L$19</f>
        <v>88.781676931826823</v>
      </c>
      <c r="M46" s="67">
        <f>Calc_EB_SCS!M$19</f>
        <v>98.024897123186577</v>
      </c>
      <c r="N46" s="67">
        <f>Calc_EB_SCS!N$19</f>
        <v>104.96203432638399</v>
      </c>
      <c r="O46" s="67">
        <f>Calc_EB_SCS!O$19</f>
        <v>112.34202599135423</v>
      </c>
      <c r="P46" s="67">
        <f>Calc_EB_SCS!P$19</f>
        <v>120.19345793314777</v>
      </c>
      <c r="Q46" s="67">
        <f>Calc_EB_SCS!Q$19</f>
        <v>127.46709352476172</v>
      </c>
      <c r="R46" s="68">
        <f>Calc_EB_SCS!R$19</f>
        <v>142.82781904700283</v>
      </c>
      <c r="S46" s="66">
        <f>Calc_EB_SCS!S$19</f>
        <v>152.97339838789335</v>
      </c>
      <c r="T46" s="67">
        <f>Calc_EB_SCS!T$19</f>
        <v>159.78115642336564</v>
      </c>
      <c r="U46" s="67">
        <f>Calc_EB_SCS!U$19</f>
        <v>163.23812353288056</v>
      </c>
      <c r="V46" s="67">
        <f>Calc_EB_SCS!V$19</f>
        <v>167.39536014863893</v>
      </c>
      <c r="W46" s="68">
        <f>Calc_EB_SCS!W$19</f>
        <v>168.43518376723807</v>
      </c>
      <c r="X46" s="66">
        <f>Calc_EB_SCS!X$19</f>
        <v>169.58397346568381</v>
      </c>
      <c r="Y46" s="67">
        <f>Calc_EB_SCS!Y$19</f>
        <v>180.75313316218052</v>
      </c>
      <c r="Z46" s="67">
        <f>Calc_EB_SCS!Z$19</f>
        <v>194.70259382863824</v>
      </c>
      <c r="AA46" s="67">
        <f>Calc_EB_SCS!AA$19</f>
        <v>204.87314883887046</v>
      </c>
      <c r="AB46" s="68">
        <f>Calc_EB_SCS!AB$19</f>
        <v>213.7153557138825</v>
      </c>
    </row>
    <row r="47" spans="1:28" ht="12.3" x14ac:dyDescent="0.35">
      <c r="D47" s="15" t="str">
        <f>Calc_EB_SCS!$C$33</f>
        <v>Inflation</v>
      </c>
      <c r="E47" s="52" t="str">
        <f>$E$33</f>
        <v>Calc_EB_SCS</v>
      </c>
      <c r="F47" s="52" t="str">
        <f>Dollars</f>
        <v>Dollars</v>
      </c>
      <c r="G47" s="52" t="str">
        <f>Nominal</f>
        <v>Nominal</v>
      </c>
      <c r="H47" s="52" t="str">
        <f>End_year</f>
        <v>End_year</v>
      </c>
      <c r="J47" s="66">
        <f>Calc_EB_SCS!J$38</f>
        <v>2.2291408465314984</v>
      </c>
      <c r="K47" s="67">
        <f>Calc_EB_SCS!K$38</f>
        <v>2.0350299089877475</v>
      </c>
      <c r="L47" s="67">
        <f>Calc_EB_SCS!L$38</f>
        <v>3.7932125248009156</v>
      </c>
      <c r="M47" s="67">
        <f>Calc_EB_SCS!M$38</f>
        <v>2.3882034736546021</v>
      </c>
      <c r="N47" s="67">
        <f>Calc_EB_SCS!N$38</f>
        <v>3.0637566776349834</v>
      </c>
      <c r="O47" s="67">
        <f>Calc_EB_SCS!O$38</f>
        <v>3.6581962245083699</v>
      </c>
      <c r="P47" s="67">
        <f>Calc_EB_SCS!P$38</f>
        <v>1.9563533336016088</v>
      </c>
      <c r="Q47" s="67">
        <f>Calc_EB_SCS!Q$38</f>
        <v>3.189867205324366</v>
      </c>
      <c r="R47" s="68">
        <f>Calc_EB_SCS!R$38</f>
        <v>3.499122515628132</v>
      </c>
      <c r="S47" s="66">
        <f>Calc_EB_SCS!S$38</f>
        <v>2.0319047224198217</v>
      </c>
      <c r="T47" s="67">
        <f>Calc_EB_SCS!T$38</f>
        <v>2.0945095411302832</v>
      </c>
      <c r="U47" s="67">
        <f>Calc_EB_SCS!U$38</f>
        <v>3.4699416277784101</v>
      </c>
      <c r="V47" s="67">
        <f>Calc_EB_SCS!V$38</f>
        <v>4.0591276661415971</v>
      </c>
      <c r="W47" s="68">
        <f>Calc_EB_SCS!W$38</f>
        <v>4.0843420855521195</v>
      </c>
      <c r="X47" s="66">
        <f>Calc_EB_SCS!X$38</f>
        <v>4.1121987958181556</v>
      </c>
      <c r="Y47" s="67">
        <f>Calc_EB_SCS!Y$38</f>
        <v>4.3830369187586395</v>
      </c>
      <c r="Z47" s="67">
        <f>Calc_EB_SCS!Z$38</f>
        <v>4.7212938553230357</v>
      </c>
      <c r="AA47" s="67">
        <f>Calc_EB_SCS!AA$38</f>
        <v>4.9679170662972876</v>
      </c>
      <c r="AB47" s="68">
        <f>Calc_EB_SCS!AB$38</f>
        <v>5.1823294999766851</v>
      </c>
    </row>
    <row r="48" spans="1:28" ht="12.3" x14ac:dyDescent="0.35">
      <c r="D48" s="15" t="str">
        <f>Calc_EB_SCS!$C$52</f>
        <v>Straight Line Depreciation</v>
      </c>
      <c r="E48" s="52" t="str">
        <f>$E$34</f>
        <v>Calc_EB_SCS</v>
      </c>
      <c r="F48" s="52" t="str">
        <f>Dollars</f>
        <v>Dollars</v>
      </c>
      <c r="G48" s="52" t="str">
        <f>Nominal</f>
        <v>Nominal</v>
      </c>
      <c r="H48" s="52" t="str">
        <f>End_year</f>
        <v>End_year</v>
      </c>
      <c r="J48" s="66">
        <f>Calc_EB_SCS!J$57</f>
        <v>-2.9499744283613603</v>
      </c>
      <c r="K48" s="67">
        <f>Calc_EB_SCS!K$57</f>
        <v>-3.1493412273673695</v>
      </c>
      <c r="L48" s="67">
        <f>Calc_EB_SCS!L$57</f>
        <v>-3.4323672660327293</v>
      </c>
      <c r="M48" s="67">
        <f>Calc_EB_SCS!M$57</f>
        <v>-3.6664407722524923</v>
      </c>
      <c r="N48" s="67">
        <f>Calc_EB_SCS!N$57</f>
        <v>-4.0511036913448653</v>
      </c>
      <c r="O48" s="67">
        <f>Calc_EB_SCS!O$57</f>
        <v>-4.3325601154422291</v>
      </c>
      <c r="P48" s="67">
        <f>Calc_EB_SCS!P$57</f>
        <v>-4.5530487540578504</v>
      </c>
      <c r="Q48" s="67">
        <f>Calc_EB_SCS!Q$57</f>
        <v>-4.8421026918954073</v>
      </c>
      <c r="R48" s="68">
        <f>Calc_EB_SCS!R$57</f>
        <v>-4.3849784466700026</v>
      </c>
      <c r="S48" s="66">
        <f>Calc_EB_SCS!S$57</f>
        <v>-6.5871529857938453</v>
      </c>
      <c r="T48" s="67">
        <f>Calc_EB_SCS!T$57</f>
        <v>-6.7307363123158241</v>
      </c>
      <c r="U48" s="67">
        <f>Calc_EB_SCS!U$57</f>
        <v>-6.8826145339442748</v>
      </c>
      <c r="V48" s="67">
        <f>Calc_EB_SCS!V$57</f>
        <v>-7.0601012342651339</v>
      </c>
      <c r="W48" s="68">
        <f>Calc_EB_SCS!W$57</f>
        <v>-7.2706891203593633</v>
      </c>
      <c r="X48" s="66">
        <f>Calc_EB_SCS!X$57</f>
        <v>-5.8927419775978258</v>
      </c>
      <c r="Y48" s="67">
        <f>Calc_EB_SCS!Y$57</f>
        <v>-6.2726175816713159</v>
      </c>
      <c r="Z48" s="67">
        <f>Calc_EB_SCS!Z$57</f>
        <v>-6.7145803371753674</v>
      </c>
      <c r="AA48" s="67">
        <f>Calc_EB_SCS!AA$57</f>
        <v>-7.1000026118279989</v>
      </c>
      <c r="AB48" s="68">
        <f>Calc_EB_SCS!AB$57</f>
        <v>-7.4730018099209774</v>
      </c>
    </row>
    <row r="49" spans="1:28" ht="12.3" x14ac:dyDescent="0.35">
      <c r="D49" s="15" t="str">
        <f>Calc_EB_SCS!$C$71</f>
        <v>RAB Additions</v>
      </c>
      <c r="E49" s="52" t="str">
        <f>$E$35</f>
        <v>Calc_EB_SCS</v>
      </c>
      <c r="F49" s="52" t="str">
        <f>Dollars</f>
        <v>Dollars</v>
      </c>
      <c r="G49" s="52" t="str">
        <f>Nominal</f>
        <v>Nominal</v>
      </c>
      <c r="H49" s="52" t="str">
        <f>End_year</f>
        <v>End_year</v>
      </c>
      <c r="J49" s="66">
        <f>Calc_EB_SCS!J$76+Calc_EB_SCS!J$133</f>
        <v>6.3513677469534056</v>
      </c>
      <c r="K49" s="67">
        <f>Calc_EB_SCS!K$76+Calc_EB_SCS!K$133</f>
        <v>8.0102609599847217</v>
      </c>
      <c r="L49" s="67">
        <f>Calc_EB_SCS!L$76+Calc_EB_SCS!L$133</f>
        <v>8.8823749325915529</v>
      </c>
      <c r="M49" s="67">
        <f>Calc_EB_SCS!M$76+Calc_EB_SCS!M$133</f>
        <v>8.2153745017952922</v>
      </c>
      <c r="N49" s="67">
        <f>Calc_EB_SCS!N$76+Calc_EB_SCS!N$133</f>
        <v>8.3673386786801309</v>
      </c>
      <c r="O49" s="67">
        <f>Calc_EB_SCS!O$76+Calc_EB_SCS!O$133</f>
        <v>8.693391273579028</v>
      </c>
      <c r="P49" s="67">
        <f>Calc_EB_SCS!P$76+Calc_EB_SCS!P$133</f>
        <v>9.8839384969611395</v>
      </c>
      <c r="Q49" s="67">
        <f>Calc_EB_SCS!Q$76+Calc_EB_SCS!Q$133</f>
        <v>17.523086599449314</v>
      </c>
      <c r="R49" s="68">
        <f>Calc_EB_SCS!R$76+Calc_EB_SCS!R$133</f>
        <v>11.202403348366641</v>
      </c>
      <c r="S49" s="66">
        <f>Calc_EB_SCS!S$76+Calc_EB_SCS!S$133</f>
        <v>11.406492207718106</v>
      </c>
      <c r="T49" s="67">
        <f>Calc_EB_SCS!T$76+Calc_EB_SCS!T$133</f>
        <v>8.1365504742694537</v>
      </c>
      <c r="U49" s="67">
        <f>Calc_EB_SCS!U$76+Calc_EB_SCS!U$133</f>
        <v>7.6525976269851981</v>
      </c>
      <c r="V49" s="67">
        <f>Calc_EB_SCS!V$76+Calc_EB_SCS!V$133</f>
        <v>4.0407971867226884</v>
      </c>
      <c r="W49" s="68">
        <f>Calc_EB_SCS!W$76+Calc_EB_SCS!W$133</f>
        <v>4.3351367332529538</v>
      </c>
      <c r="X49" s="66">
        <f>Calc_EB_SCS!X$76+Calc_EB_SCS!X$133</f>
        <v>12.949702878276398</v>
      </c>
      <c r="Y49" s="67">
        <f>Calc_EB_SCS!Y$76+Calc_EB_SCS!Y$133</f>
        <v>15.839041329370385</v>
      </c>
      <c r="Z49" s="67">
        <f>Calc_EB_SCS!Z$76+Calc_EB_SCS!Z$133</f>
        <v>12.163841492084542</v>
      </c>
      <c r="AA49" s="67">
        <f>Calc_EB_SCS!AA$76+Calc_EB_SCS!AA$133</f>
        <v>10.974292420542765</v>
      </c>
      <c r="AB49" s="68">
        <f>Calc_EB_SCS!AB$76+Calc_EB_SCS!AB$133</f>
        <v>12.622902447372512</v>
      </c>
    </row>
    <row r="50" spans="1:28" ht="12.3" x14ac:dyDescent="0.35">
      <c r="D50" s="15" t="str">
        <f>Calc_EB_SCS!$C$90</f>
        <v>Disposals</v>
      </c>
      <c r="E50" s="52" t="str">
        <f>$E$36</f>
        <v>Calc_EB_SCS</v>
      </c>
      <c r="F50" s="52" t="str">
        <f>Dollars</f>
        <v>Dollars</v>
      </c>
      <c r="G50" s="52" t="str">
        <f>Nominal</f>
        <v>Nominal</v>
      </c>
      <c r="H50" s="52" t="str">
        <f>End_year</f>
        <v>End_year</v>
      </c>
      <c r="J50" s="66">
        <f>Calc_EB_SCS!J$95</f>
        <v>0</v>
      </c>
      <c r="K50" s="67">
        <f>Calc_EB_SCS!K$95</f>
        <v>0</v>
      </c>
      <c r="L50" s="67">
        <f>Calc_EB_SCS!L$95</f>
        <v>0</v>
      </c>
      <c r="M50" s="67">
        <f>Calc_EB_SCS!M$95</f>
        <v>0</v>
      </c>
      <c r="N50" s="67">
        <f>Calc_EB_SCS!N$95</f>
        <v>0</v>
      </c>
      <c r="O50" s="67">
        <f>Calc_EB_SCS!O$95</f>
        <v>-0.1675954408516255</v>
      </c>
      <c r="P50" s="67">
        <f>Calc_EB_SCS!P$95</f>
        <v>-1.3607484890942644E-2</v>
      </c>
      <c r="Q50" s="67">
        <f>Calc_EB_SCS!Q$95</f>
        <v>-0.51012559063718699</v>
      </c>
      <c r="R50" s="68">
        <f>Calc_EB_SCS!R$95</f>
        <v>-0.17096807643424305</v>
      </c>
      <c r="S50" s="66">
        <f>Calc_EB_SCS!S$95</f>
        <v>-4.3485908871822167E-2</v>
      </c>
      <c r="T50" s="67">
        <f>Calc_EB_SCS!T$95</f>
        <v>-4.335659356900317E-2</v>
      </c>
      <c r="U50" s="67">
        <f>Calc_EB_SCS!U$95</f>
        <v>-8.2688105060994402E-2</v>
      </c>
      <c r="V50" s="67">
        <f>Calc_EB_SCS!V$95</f>
        <v>0</v>
      </c>
      <c r="W50" s="68">
        <f>Calc_EB_SCS!W$95</f>
        <v>0</v>
      </c>
      <c r="X50" s="66">
        <f>Calc_EB_SCS!X$95</f>
        <v>0</v>
      </c>
      <c r="Y50" s="67">
        <f>Calc_EB_SCS!Y$95</f>
        <v>0</v>
      </c>
      <c r="Z50" s="67">
        <f>Calc_EB_SCS!Z$95</f>
        <v>0</v>
      </c>
      <c r="AA50" s="67">
        <f>Calc_EB_SCS!AA$95</f>
        <v>0</v>
      </c>
      <c r="AB50" s="68">
        <f>Calc_EB_SCS!AB$95</f>
        <v>0</v>
      </c>
    </row>
    <row r="51" spans="1:28" x14ac:dyDescent="0.35">
      <c r="J51" s="56"/>
      <c r="K51" s="57"/>
      <c r="L51" s="57"/>
      <c r="M51" s="57"/>
      <c r="N51" s="57"/>
      <c r="O51" s="57"/>
      <c r="P51" s="57"/>
      <c r="Q51" s="57"/>
      <c r="R51" s="58"/>
      <c r="S51" s="56"/>
      <c r="T51" s="57"/>
      <c r="U51" s="57"/>
      <c r="V51" s="57"/>
      <c r="W51" s="58"/>
      <c r="X51" s="56"/>
      <c r="Y51" s="57"/>
      <c r="Z51" s="57"/>
      <c r="AA51" s="57"/>
      <c r="AB51" s="58"/>
    </row>
    <row r="52" spans="1:28" ht="12.3" x14ac:dyDescent="0.35">
      <c r="D52" s="51" t="s">
        <v>152</v>
      </c>
      <c r="E52" s="47" t="s">
        <v>111</v>
      </c>
      <c r="F52" s="47" t="str">
        <f>F46</f>
        <v>Dollars</v>
      </c>
      <c r="G52" s="47" t="str">
        <f>G46</f>
        <v>Nominal</v>
      </c>
      <c r="H52" s="47" t="str">
        <f>H46</f>
        <v>Start year</v>
      </c>
      <c r="J52" s="62">
        <f>SUM(J46:J50)</f>
        <v>81.885727290221723</v>
      </c>
      <c r="K52" s="46">
        <f t="shared" ref="K52:AB52" si="7">SUM(K46:K50)</f>
        <v>88.781676931826823</v>
      </c>
      <c r="L52" s="46">
        <f t="shared" si="7"/>
        <v>98.024897123186577</v>
      </c>
      <c r="M52" s="46">
        <f t="shared" si="7"/>
        <v>104.96203432638399</v>
      </c>
      <c r="N52" s="46">
        <f t="shared" si="7"/>
        <v>112.34202599135423</v>
      </c>
      <c r="O52" s="46">
        <f t="shared" si="7"/>
        <v>120.19345793314777</v>
      </c>
      <c r="P52" s="46">
        <f t="shared" si="7"/>
        <v>127.46709352476172</v>
      </c>
      <c r="Q52" s="46">
        <f t="shared" si="7"/>
        <v>142.82781904700283</v>
      </c>
      <c r="R52" s="63">
        <f t="shared" si="7"/>
        <v>152.97339838789335</v>
      </c>
      <c r="S52" s="62">
        <f t="shared" si="7"/>
        <v>159.78115642336564</v>
      </c>
      <c r="T52" s="46">
        <f t="shared" si="7"/>
        <v>163.23812353288056</v>
      </c>
      <c r="U52" s="46">
        <f t="shared" si="7"/>
        <v>167.39536014863893</v>
      </c>
      <c r="V52" s="46">
        <f t="shared" si="7"/>
        <v>168.43518376723807</v>
      </c>
      <c r="W52" s="63">
        <f t="shared" si="7"/>
        <v>169.58397346568381</v>
      </c>
      <c r="X52" s="62">
        <f t="shared" si="7"/>
        <v>180.75313316218052</v>
      </c>
      <c r="Y52" s="46">
        <f t="shared" si="7"/>
        <v>194.70259382863824</v>
      </c>
      <c r="Z52" s="46">
        <f t="shared" si="7"/>
        <v>204.87314883887046</v>
      </c>
      <c r="AA52" s="46">
        <f t="shared" si="7"/>
        <v>213.7153557138825</v>
      </c>
      <c r="AB52" s="63">
        <f t="shared" si="7"/>
        <v>224.04758585131071</v>
      </c>
    </row>
    <row r="53" spans="1:28" s="6" customFormat="1" ht="11.25" customHeight="1" x14ac:dyDescent="0.35"/>
    <row r="54" spans="1:28" s="6" customFormat="1" ht="11.25" customHeight="1" x14ac:dyDescent="0.35">
      <c r="A54" s="49">
        <f>IF(SUM($J54:$AB54)&lt;&gt;0,1,0)</f>
        <v>0</v>
      </c>
      <c r="D54" s="15" t="s">
        <v>114</v>
      </c>
      <c r="J54" s="70">
        <f>IF(J52&lt;&gt;Calc_EB_SCS!J$152,1,0)</f>
        <v>0</v>
      </c>
      <c r="K54" s="70">
        <f>IF(K52&lt;&gt;Calc_EB_SCS!K$152,1,0)</f>
        <v>0</v>
      </c>
      <c r="L54" s="70">
        <f>IF(L52&lt;&gt;Calc_EB_SCS!L$152,1,0)</f>
        <v>0</v>
      </c>
      <c r="M54" s="70">
        <f>IF(M52&lt;&gt;Calc_EB_SCS!M$152,1,0)</f>
        <v>0</v>
      </c>
      <c r="N54" s="70">
        <f>IF(N52&lt;&gt;Calc_EB_SCS!N$152,1,0)</f>
        <v>0</v>
      </c>
      <c r="O54" s="70">
        <f>IF(O52&lt;&gt;Calc_EB_SCS!O$152,1,0)</f>
        <v>0</v>
      </c>
      <c r="P54" s="70">
        <f>IF(P52&lt;&gt;Calc_EB_SCS!P$152,1,0)</f>
        <v>0</v>
      </c>
      <c r="Q54" s="70">
        <f>IF(Q52&lt;&gt;Calc_EB_SCS!Q$152,1,0)</f>
        <v>0</v>
      </c>
      <c r="R54" s="70">
        <f>IF(R52&lt;&gt;Calc_EB_SCS!R$152,1,0)</f>
        <v>0</v>
      </c>
      <c r="S54" s="70">
        <f>IF(S52&lt;&gt;Calc_EB_SCS!S$152,1,0)</f>
        <v>0</v>
      </c>
      <c r="T54" s="70">
        <f>IF(T52&lt;&gt;Calc_EB_SCS!T$152,1,0)</f>
        <v>0</v>
      </c>
      <c r="U54" s="70">
        <f>IF(U52&lt;&gt;Calc_EB_SCS!U$152,1,0)</f>
        <v>0</v>
      </c>
      <c r="V54" s="70">
        <f>IF(V52&lt;&gt;Calc_EB_SCS!V$152,1,0)</f>
        <v>0</v>
      </c>
      <c r="W54" s="70">
        <f>IF(W52&lt;&gt;Calc_EB_SCS!W$152,1,0)</f>
        <v>0</v>
      </c>
      <c r="X54" s="70">
        <f>IF(X52&lt;&gt;Calc_EB_SCS!X$152,1,0)</f>
        <v>0</v>
      </c>
      <c r="Y54" s="70">
        <f>IF(Y52&lt;&gt;Calc_EB_SCS!Y$152,1,0)</f>
        <v>0</v>
      </c>
      <c r="Z54" s="70">
        <f>IF(Z52&lt;&gt;Calc_EB_SCS!Z$152,1,0)</f>
        <v>0</v>
      </c>
      <c r="AA54" s="70">
        <f>IF(AA52&lt;&gt;Calc_EB_SCS!AA$152,1,0)</f>
        <v>0</v>
      </c>
      <c r="AB54" s="70">
        <f>IF(AB52&lt;&gt;Calc_EB_SCS!AB$152,1,0)</f>
        <v>0</v>
      </c>
    </row>
    <row r="55" spans="1:28" s="6" customFormat="1" ht="11.25" customHeight="1" x14ac:dyDescent="0.35">
      <c r="L55" s="10"/>
      <c r="Q55" s="10"/>
      <c r="V55" s="10"/>
      <c r="AA55" s="10"/>
    </row>
    <row r="56" spans="1:28" s="13" customFormat="1" ht="14.1" x14ac:dyDescent="0.35">
      <c r="C56" s="13" t="str">
        <f>Lookup!$D$105</f>
        <v>Distribution substations and transformers</v>
      </c>
    </row>
    <row r="57" spans="1:28" s="6" customFormat="1" ht="11.25" customHeight="1" x14ac:dyDescent="0.35"/>
    <row r="58" spans="1:28" ht="12.3" x14ac:dyDescent="0.35">
      <c r="D58" s="50" t="s">
        <v>109</v>
      </c>
      <c r="E58" s="45" t="str">
        <f>Lookup!E$20</f>
        <v>Source</v>
      </c>
      <c r="F58" s="45" t="str">
        <f>Lookup!F$20</f>
        <v>Unit</v>
      </c>
      <c r="G58" s="45" t="str">
        <f>Lookup!G$20</f>
        <v>Basis</v>
      </c>
      <c r="H58" s="45" t="str">
        <f>Lookup!H$20</f>
        <v>Timing</v>
      </c>
      <c r="J58" s="54" t="str">
        <f>J$10</f>
        <v>RY06</v>
      </c>
      <c r="K58" s="45" t="str">
        <f t="shared" ref="K58:AB58" si="8">K$10</f>
        <v>RY07</v>
      </c>
      <c r="L58" s="45" t="str">
        <f t="shared" si="8"/>
        <v>RY08</v>
      </c>
      <c r="M58" s="45" t="str">
        <f t="shared" si="8"/>
        <v>RY09</v>
      </c>
      <c r="N58" s="45" t="str">
        <f t="shared" si="8"/>
        <v>RY10</v>
      </c>
      <c r="O58" s="45" t="str">
        <f>O$10</f>
        <v>RY11</v>
      </c>
      <c r="P58" s="45" t="str">
        <f t="shared" si="8"/>
        <v>RY12</v>
      </c>
      <c r="Q58" s="45" t="str">
        <f t="shared" si="8"/>
        <v>RY13</v>
      </c>
      <c r="R58" s="55" t="str">
        <f t="shared" si="8"/>
        <v>RY14</v>
      </c>
      <c r="S58" s="54" t="str">
        <f t="shared" si="8"/>
        <v>RY15</v>
      </c>
      <c r="T58" s="45" t="str">
        <f>T$10</f>
        <v>RY16</v>
      </c>
      <c r="U58" s="45" t="str">
        <f t="shared" si="8"/>
        <v>RY17</v>
      </c>
      <c r="V58" s="45" t="str">
        <f t="shared" si="8"/>
        <v>RY18</v>
      </c>
      <c r="W58" s="55" t="str">
        <f t="shared" si="8"/>
        <v>RY19</v>
      </c>
      <c r="X58" s="54" t="str">
        <f t="shared" si="8"/>
        <v>RY20</v>
      </c>
      <c r="Y58" s="45" t="str">
        <f>Y$10</f>
        <v>RY21</v>
      </c>
      <c r="Z58" s="45" t="str">
        <f t="shared" si="8"/>
        <v>RY22</v>
      </c>
      <c r="AA58" s="45" t="str">
        <f t="shared" si="8"/>
        <v>RY23</v>
      </c>
      <c r="AB58" s="55" t="str">
        <f t="shared" si="8"/>
        <v>RY24</v>
      </c>
    </row>
    <row r="59" spans="1:28" x14ac:dyDescent="0.35">
      <c r="J59" s="56"/>
      <c r="K59" s="57"/>
      <c r="L59" s="57"/>
      <c r="M59" s="57"/>
      <c r="N59" s="57"/>
      <c r="O59" s="57"/>
      <c r="P59" s="57"/>
      <c r="Q59" s="57"/>
      <c r="R59" s="58"/>
      <c r="S59" s="56"/>
      <c r="T59" s="57"/>
      <c r="U59" s="57"/>
      <c r="V59" s="57"/>
      <c r="W59" s="58"/>
      <c r="X59" s="56"/>
      <c r="Y59" s="57"/>
      <c r="Z59" s="57"/>
      <c r="AA59" s="57"/>
      <c r="AB59" s="58"/>
    </row>
    <row r="60" spans="1:28" ht="12.3" x14ac:dyDescent="0.35">
      <c r="D60" s="15" t="str">
        <f>Calc_EB_SCS!$C$14</f>
        <v>Opening Balance</v>
      </c>
      <c r="E60" s="52" t="str">
        <f>$E$32</f>
        <v>Calc_EB_SCS</v>
      </c>
      <c r="F60" s="52" t="str">
        <f>Dollars</f>
        <v>Dollars</v>
      </c>
      <c r="G60" s="52" t="str">
        <f>Nominal</f>
        <v>Nominal</v>
      </c>
      <c r="H60" s="52" t="str">
        <f>Start_year</f>
        <v>Start year</v>
      </c>
      <c r="J60" s="66">
        <f>Calc_EB_SCS!J$20</f>
        <v>55.044502921415621</v>
      </c>
      <c r="K60" s="67">
        <f>Calc_EB_SCS!K$20</f>
        <v>53.641318105318</v>
      </c>
      <c r="L60" s="67">
        <f>Calc_EB_SCS!L$20</f>
        <v>52.126765758952928</v>
      </c>
      <c r="M60" s="67">
        <f>Calc_EB_SCS!M$20</f>
        <v>58.249076507805782</v>
      </c>
      <c r="N60" s="67">
        <f>Calc_EB_SCS!N$20</f>
        <v>66.514098662941777</v>
      </c>
      <c r="O60" s="67">
        <f>Calc_EB_SCS!O$20</f>
        <v>78.303384492724888</v>
      </c>
      <c r="P60" s="67">
        <f>Calc_EB_SCS!P$20</f>
        <v>89.548152584566452</v>
      </c>
      <c r="Q60" s="67">
        <f>Calc_EB_SCS!Q$20</f>
        <v>91.925418321244251</v>
      </c>
      <c r="R60" s="68">
        <f>Calc_EB_SCS!R$20</f>
        <v>94.751991446455591</v>
      </c>
      <c r="S60" s="66">
        <f>Calc_EB_SCS!S$20</f>
        <v>97.873568916674429</v>
      </c>
      <c r="T60" s="67">
        <f>Calc_EB_SCS!T$20</f>
        <v>108.4150511046913</v>
      </c>
      <c r="U60" s="67">
        <f>Calc_EB_SCS!U$20</f>
        <v>117.1357853660836</v>
      </c>
      <c r="V60" s="67">
        <f>Calc_EB_SCS!V$20</f>
        <v>123.77965850981232</v>
      </c>
      <c r="W60" s="68">
        <f>Calc_EB_SCS!W$20</f>
        <v>128.54129185851647</v>
      </c>
      <c r="X60" s="66">
        <f>Calc_EB_SCS!X$20</f>
        <v>143.42176279410162</v>
      </c>
      <c r="Y60" s="67">
        <f>Calc_EB_SCS!Y$20</f>
        <v>149.37347095955261</v>
      </c>
      <c r="Z60" s="67">
        <f>Calc_EB_SCS!Z$20</f>
        <v>156.26013837692975</v>
      </c>
      <c r="AA60" s="67">
        <f>Calc_EB_SCS!AA$20</f>
        <v>162.9073927741035</v>
      </c>
      <c r="AB60" s="68">
        <f>Calc_EB_SCS!AB$20</f>
        <v>170.92977789652599</v>
      </c>
    </row>
    <row r="61" spans="1:28" ht="12.3" x14ac:dyDescent="0.35">
      <c r="D61" s="15" t="str">
        <f>Calc_EB_SCS!$C$33</f>
        <v>Inflation</v>
      </c>
      <c r="E61" s="52" t="str">
        <f>$E$33</f>
        <v>Calc_EB_SCS</v>
      </c>
      <c r="F61" s="52" t="str">
        <f>Dollars</f>
        <v>Dollars</v>
      </c>
      <c r="G61" s="52" t="str">
        <f>Nominal</f>
        <v>Nominal</v>
      </c>
      <c r="H61" s="52" t="str">
        <f>End_year</f>
        <v>End_year</v>
      </c>
      <c r="J61" s="66">
        <f>Calc_EB_SCS!J$39</f>
        <v>1.6090963095176343</v>
      </c>
      <c r="K61" s="67">
        <f>Calc_EB_SCS!K$39</f>
        <v>1.3330978464043453</v>
      </c>
      <c r="L61" s="67">
        <f>Calc_EB_SCS!L$39</f>
        <v>2.2271250959367883</v>
      </c>
      <c r="M61" s="67">
        <f>Calc_EB_SCS!M$39</f>
        <v>1.419135861762711</v>
      </c>
      <c r="N61" s="67">
        <f>Calc_EB_SCS!N$39</f>
        <v>1.9414926096209983</v>
      </c>
      <c r="O61" s="67">
        <f>Calc_EB_SCS!O$39</f>
        <v>2.5497950832714946</v>
      </c>
      <c r="P61" s="67">
        <f>Calc_EB_SCS!P$39</f>
        <v>1.4575487704507384</v>
      </c>
      <c r="Q61" s="67">
        <f>Calc_EB_SCS!Q$39</f>
        <v>2.3004358939250302</v>
      </c>
      <c r="R61" s="68">
        <f>Calc_EB_SCS!R$39</f>
        <v>2.3213182759710724</v>
      </c>
      <c r="S61" s="66">
        <f>Calc_EB_SCS!S$39</f>
        <v>1.3000284296332376</v>
      </c>
      <c r="T61" s="67">
        <f>Calc_EB_SCS!T$39</f>
        <v>1.421171081896718</v>
      </c>
      <c r="U61" s="67">
        <f>Calc_EB_SCS!U$39</f>
        <v>2.489947378391788</v>
      </c>
      <c r="V61" s="67">
        <f>Calc_EB_SCS!V$39</f>
        <v>3.0015015703935797</v>
      </c>
      <c r="W61" s="68">
        <f>Calc_EB_SCS!W$39</f>
        <v>3.116965210751264</v>
      </c>
      <c r="X61" s="66">
        <f>Calc_EB_SCS!X$39</f>
        <v>3.4777979793908242</v>
      </c>
      <c r="Y61" s="67">
        <f>Calc_EB_SCS!Y$39</f>
        <v>3.6221194423855634</v>
      </c>
      <c r="Z61" s="67">
        <f>Calc_EB_SCS!Z$39</f>
        <v>3.7891124953385833</v>
      </c>
      <c r="AA61" s="67">
        <f>Calc_EB_SCS!AA$39</f>
        <v>3.9503000826378405</v>
      </c>
      <c r="AB61" s="68">
        <f>Calc_EB_SCS!AB$39</f>
        <v>4.1448328664016953</v>
      </c>
    </row>
    <row r="62" spans="1:28" ht="12.3" x14ac:dyDescent="0.35">
      <c r="D62" s="15" t="str">
        <f>Calc_EB_SCS!$C$52</f>
        <v>Straight Line Depreciation</v>
      </c>
      <c r="E62" s="52" t="str">
        <f>$E$34</f>
        <v>Calc_EB_SCS</v>
      </c>
      <c r="F62" s="52" t="str">
        <f>Dollars</f>
        <v>Dollars</v>
      </c>
      <c r="G62" s="52" t="str">
        <f>Nominal</f>
        <v>Nominal</v>
      </c>
      <c r="H62" s="52" t="str">
        <f>End_year</f>
        <v>End_year</v>
      </c>
      <c r="J62" s="66">
        <f>Calc_EB_SCS!J$58</f>
        <v>-4.1881250270570378</v>
      </c>
      <c r="K62" s="67">
        <f>Calc_EB_SCS!K$58</f>
        <v>-4.3306089622837822</v>
      </c>
      <c r="L62" s="67">
        <f>Calc_EB_SCS!L$58</f>
        <v>-0.21212411942352455</v>
      </c>
      <c r="M62" s="67">
        <f>Calc_EB_SCS!M$58</f>
        <v>-0.36330411799732648</v>
      </c>
      <c r="N62" s="67">
        <f>Calc_EB_SCS!N$58</f>
        <v>-2.7825022381599682</v>
      </c>
      <c r="O62" s="67">
        <f>Calc_EB_SCS!O$58</f>
        <v>-3.1853435277694628</v>
      </c>
      <c r="P62" s="67">
        <f>Calc_EB_SCS!P$58</f>
        <v>-3.5122309342234006</v>
      </c>
      <c r="Q62" s="67">
        <f>Calc_EB_SCS!Q$58</f>
        <v>-3.7166732243992118</v>
      </c>
      <c r="R62" s="68">
        <f>Calc_EB_SCS!R$58</f>
        <v>-3.9148637783913003</v>
      </c>
      <c r="S62" s="66">
        <f>Calc_EB_SCS!S$58</f>
        <v>-4.2805694274194162</v>
      </c>
      <c r="T62" s="67">
        <f>Calc_EB_SCS!T$58</f>
        <v>-4.3847408124133667</v>
      </c>
      <c r="U62" s="67">
        <f>Calc_EB_SCS!U$58</f>
        <v>-4.4805500177859567</v>
      </c>
      <c r="V62" s="67">
        <f>Calc_EB_SCS!V$58</f>
        <v>-4.6178915194108177</v>
      </c>
      <c r="W62" s="68">
        <f>Calc_EB_SCS!W$58</f>
        <v>-4.8031545504177444</v>
      </c>
      <c r="X62" s="66">
        <f>Calc_EB_SCS!X$58</f>
        <v>-6.9607656374702458</v>
      </c>
      <c r="Y62" s="67">
        <f>Calc_EB_SCS!Y$58</f>
        <v>-7.3236591052581819</v>
      </c>
      <c r="Z62" s="67">
        <f>Calc_EB_SCS!Z$58</f>
        <v>-7.7198300096509671</v>
      </c>
      <c r="AA62" s="67">
        <f>Calc_EB_SCS!AA$58</f>
        <v>-8.1261879054519977</v>
      </c>
      <c r="AB62" s="68">
        <f>Calc_EB_SCS!AB$58</f>
        <v>-8.576702712573411</v>
      </c>
    </row>
    <row r="63" spans="1:28" ht="12.3" x14ac:dyDescent="0.35">
      <c r="D63" s="15" t="str">
        <f>Calc_EB_SCS!$C$71</f>
        <v>RAB Additions</v>
      </c>
      <c r="E63" s="52" t="str">
        <f>$E$35</f>
        <v>Calc_EB_SCS</v>
      </c>
      <c r="F63" s="52" t="str">
        <f>Dollars</f>
        <v>Dollars</v>
      </c>
      <c r="G63" s="52" t="str">
        <f>Nominal</f>
        <v>Nominal</v>
      </c>
      <c r="H63" s="52" t="str">
        <f>End_year</f>
        <v>End_year</v>
      </c>
      <c r="J63" s="66">
        <f>Calc_EB_SCS!J$77+Calc_EB_SCS!J$134</f>
        <v>1.1758439014417859</v>
      </c>
      <c r="K63" s="67">
        <f>Calc_EB_SCS!K$77+Calc_EB_SCS!K$134</f>
        <v>1.4829587695143671</v>
      </c>
      <c r="L63" s="67">
        <f>Calc_EB_SCS!L$77+Calc_EB_SCS!L$134</f>
        <v>4.1073097723395895</v>
      </c>
      <c r="M63" s="67">
        <f>Calc_EB_SCS!M$77+Calc_EB_SCS!M$134</f>
        <v>7.2091904113706065</v>
      </c>
      <c r="N63" s="67">
        <f>Calc_EB_SCS!N$77+Calc_EB_SCS!N$134</f>
        <v>12.630295458322083</v>
      </c>
      <c r="O63" s="67">
        <f>Calc_EB_SCS!O$77+Calc_EB_SCS!O$134</f>
        <v>12.284275029227013</v>
      </c>
      <c r="P63" s="67">
        <f>Calc_EB_SCS!P$77+Calc_EB_SCS!P$134</f>
        <v>4.9790162049504652</v>
      </c>
      <c r="Q63" s="67">
        <f>Calc_EB_SCS!Q$77+Calc_EB_SCS!Q$134</f>
        <v>4.9195138669814025</v>
      </c>
      <c r="R63" s="68">
        <f>Calc_EB_SCS!R$77+Calc_EB_SCS!R$134</f>
        <v>5.1655288281582523</v>
      </c>
      <c r="S63" s="66">
        <f>Calc_EB_SCS!S$77+Calc_EB_SCS!S$134</f>
        <v>13.529864428994518</v>
      </c>
      <c r="T63" s="67">
        <f>Calc_EB_SCS!T$77+Calc_EB_SCS!T$134</f>
        <v>11.684303991908944</v>
      </c>
      <c r="U63" s="67">
        <f>Calc_EB_SCS!U$77+Calc_EB_SCS!U$134</f>
        <v>8.6344757831228982</v>
      </c>
      <c r="V63" s="67">
        <f>Calc_EB_SCS!V$77+Calc_EB_SCS!V$134</f>
        <v>6.378023297721386</v>
      </c>
      <c r="W63" s="68">
        <f>Calc_EB_SCS!W$77+Calc_EB_SCS!W$134</f>
        <v>16.566660275251635</v>
      </c>
      <c r="X63" s="66">
        <f>Calc_EB_SCS!X$77+Calc_EB_SCS!X$134</f>
        <v>9.434675823530398</v>
      </c>
      <c r="Y63" s="67">
        <f>Calc_EB_SCS!Y$77+Calc_EB_SCS!Y$134</f>
        <v>10.588207080249749</v>
      </c>
      <c r="Z63" s="67">
        <f>Calc_EB_SCS!Z$77+Calc_EB_SCS!Z$134</f>
        <v>10.577971911486134</v>
      </c>
      <c r="AA63" s="67">
        <f>Calc_EB_SCS!AA$77+Calc_EB_SCS!AA$134</f>
        <v>12.19827294523661</v>
      </c>
      <c r="AB63" s="68">
        <f>Calc_EB_SCS!AB$77+Calc_EB_SCS!AB$134</f>
        <v>13.075091</v>
      </c>
    </row>
    <row r="64" spans="1:28" ht="12.3" x14ac:dyDescent="0.35">
      <c r="D64" s="15" t="str">
        <f>Calc_EB_SCS!$C$90</f>
        <v>Disposals</v>
      </c>
      <c r="E64" s="52" t="str">
        <f>$E$36</f>
        <v>Calc_EB_SCS</v>
      </c>
      <c r="F64" s="52" t="str">
        <f>Dollars</f>
        <v>Dollars</v>
      </c>
      <c r="G64" s="52" t="str">
        <f>Nominal</f>
        <v>Nominal</v>
      </c>
      <c r="H64" s="52" t="str">
        <f>End_year</f>
        <v>End_year</v>
      </c>
      <c r="J64" s="66">
        <f>Calc_EB_SCS!J$96</f>
        <v>0</v>
      </c>
      <c r="K64" s="67">
        <f>Calc_EB_SCS!K$96</f>
        <v>0</v>
      </c>
      <c r="L64" s="67">
        <f>Calc_EB_SCS!L$96</f>
        <v>0</v>
      </c>
      <c r="M64" s="67">
        <f>Calc_EB_SCS!M$96</f>
        <v>0</v>
      </c>
      <c r="N64" s="67">
        <f>Calc_EB_SCS!N$96</f>
        <v>0</v>
      </c>
      <c r="O64" s="67">
        <f>Calc_EB_SCS!O$96</f>
        <v>-0.40395849288747782</v>
      </c>
      <c r="P64" s="67">
        <f>Calc_EB_SCS!P$96</f>
        <v>-0.54706830450001331</v>
      </c>
      <c r="Q64" s="67">
        <f>Calc_EB_SCS!Q$96</f>
        <v>-0.67670341129587697</v>
      </c>
      <c r="R64" s="68">
        <f>Calc_EB_SCS!R$96</f>
        <v>-0.45040585551917622</v>
      </c>
      <c r="S64" s="66">
        <f>Calc_EB_SCS!S$96</f>
        <v>-7.841243191466396E-3</v>
      </c>
      <c r="T64" s="67">
        <f>Calc_EB_SCS!T$96</f>
        <v>0</v>
      </c>
      <c r="U64" s="67">
        <f>Calc_EB_SCS!U$96</f>
        <v>0</v>
      </c>
      <c r="V64" s="67">
        <f>Calc_EB_SCS!V$96</f>
        <v>0</v>
      </c>
      <c r="W64" s="68">
        <f>Calc_EB_SCS!W$96</f>
        <v>0</v>
      </c>
      <c r="X64" s="66">
        <f>Calc_EB_SCS!X$96</f>
        <v>0</v>
      </c>
      <c r="Y64" s="67">
        <f>Calc_EB_SCS!Y$96</f>
        <v>0</v>
      </c>
      <c r="Z64" s="67">
        <f>Calc_EB_SCS!Z$96</f>
        <v>0</v>
      </c>
      <c r="AA64" s="67">
        <f>Calc_EB_SCS!AA$96</f>
        <v>0</v>
      </c>
      <c r="AB64" s="68">
        <f>Calc_EB_SCS!AB$96</f>
        <v>0</v>
      </c>
    </row>
    <row r="65" spans="1:28" x14ac:dyDescent="0.35">
      <c r="J65" s="56"/>
      <c r="K65" s="57"/>
      <c r="L65" s="57"/>
      <c r="M65" s="57"/>
      <c r="N65" s="57"/>
      <c r="O65" s="57"/>
      <c r="P65" s="57"/>
      <c r="Q65" s="57"/>
      <c r="R65" s="58"/>
      <c r="S65" s="56"/>
      <c r="T65" s="57"/>
      <c r="U65" s="57"/>
      <c r="V65" s="57"/>
      <c r="W65" s="58"/>
      <c r="X65" s="56"/>
      <c r="Y65" s="57"/>
      <c r="Z65" s="57"/>
      <c r="AA65" s="57"/>
      <c r="AB65" s="58"/>
    </row>
    <row r="66" spans="1:28" ht="12.3" x14ac:dyDescent="0.35">
      <c r="D66" s="51" t="s">
        <v>152</v>
      </c>
      <c r="E66" s="47" t="s">
        <v>111</v>
      </c>
      <c r="F66" s="47" t="str">
        <f>F60</f>
        <v>Dollars</v>
      </c>
      <c r="G66" s="47" t="str">
        <f>G60</f>
        <v>Nominal</v>
      </c>
      <c r="H66" s="47" t="str">
        <f>H60</f>
        <v>Start year</v>
      </c>
      <c r="J66" s="62">
        <f>SUM(J60:J64)</f>
        <v>53.641318105318</v>
      </c>
      <c r="K66" s="46">
        <f t="shared" ref="K66:AB66" si="9">SUM(K60:K64)</f>
        <v>52.126765758952928</v>
      </c>
      <c r="L66" s="46">
        <f t="shared" si="9"/>
        <v>58.249076507805782</v>
      </c>
      <c r="M66" s="46">
        <f t="shared" si="9"/>
        <v>66.514098662941777</v>
      </c>
      <c r="N66" s="46">
        <f t="shared" si="9"/>
        <v>78.303384492724888</v>
      </c>
      <c r="O66" s="46">
        <f t="shared" si="9"/>
        <v>89.548152584566452</v>
      </c>
      <c r="P66" s="46">
        <f t="shared" si="9"/>
        <v>91.925418321244251</v>
      </c>
      <c r="Q66" s="46">
        <f t="shared" si="9"/>
        <v>94.751991446455591</v>
      </c>
      <c r="R66" s="63">
        <f t="shared" si="9"/>
        <v>97.873568916674429</v>
      </c>
      <c r="S66" s="62">
        <f t="shared" si="9"/>
        <v>108.4150511046913</v>
      </c>
      <c r="T66" s="46">
        <f t="shared" si="9"/>
        <v>117.1357853660836</v>
      </c>
      <c r="U66" s="46">
        <f t="shared" si="9"/>
        <v>123.77965850981232</v>
      </c>
      <c r="V66" s="46">
        <f t="shared" si="9"/>
        <v>128.54129185851647</v>
      </c>
      <c r="W66" s="63">
        <f t="shared" si="9"/>
        <v>143.42176279410162</v>
      </c>
      <c r="X66" s="62">
        <f t="shared" si="9"/>
        <v>149.37347095955261</v>
      </c>
      <c r="Y66" s="46">
        <f t="shared" si="9"/>
        <v>156.26013837692975</v>
      </c>
      <c r="Z66" s="46">
        <f t="shared" si="9"/>
        <v>162.9073927741035</v>
      </c>
      <c r="AA66" s="46">
        <f t="shared" si="9"/>
        <v>170.92977789652599</v>
      </c>
      <c r="AB66" s="63">
        <f t="shared" si="9"/>
        <v>179.57299905035427</v>
      </c>
    </row>
    <row r="67" spans="1:28" s="6" customFormat="1" ht="11.25" customHeight="1" x14ac:dyDescent="0.35"/>
    <row r="68" spans="1:28" s="6" customFormat="1" ht="11.25" customHeight="1" x14ac:dyDescent="0.35">
      <c r="A68" s="49">
        <f>IF(SUM($J68:$AB68)&lt;&gt;0,1,0)</f>
        <v>0</v>
      </c>
      <c r="D68" s="15" t="s">
        <v>114</v>
      </c>
      <c r="J68" s="70">
        <f>IF(J66&lt;&gt;Calc_EB_SCS!J$153,1,0)</f>
        <v>0</v>
      </c>
      <c r="K68" s="70">
        <f>IF(K66&lt;&gt;Calc_EB_SCS!K$153,1,0)</f>
        <v>0</v>
      </c>
      <c r="L68" s="70">
        <f>IF(L66&lt;&gt;Calc_EB_SCS!L$153,1,0)</f>
        <v>0</v>
      </c>
      <c r="M68" s="70">
        <f>IF(M66&lt;&gt;Calc_EB_SCS!M$153,1,0)</f>
        <v>0</v>
      </c>
      <c r="N68" s="70">
        <f>IF(N66&lt;&gt;Calc_EB_SCS!N$153,1,0)</f>
        <v>0</v>
      </c>
      <c r="O68" s="70">
        <f>IF(O66&lt;&gt;Calc_EB_SCS!O$153,1,0)</f>
        <v>0</v>
      </c>
      <c r="P68" s="70">
        <f>IF(P66&lt;&gt;Calc_EB_SCS!P$153,1,0)</f>
        <v>0</v>
      </c>
      <c r="Q68" s="70">
        <f>IF(Q66&lt;&gt;Calc_EB_SCS!Q$153,1,0)</f>
        <v>0</v>
      </c>
      <c r="R68" s="70">
        <f>IF(R66&lt;&gt;Calc_EB_SCS!R$153,1,0)</f>
        <v>0</v>
      </c>
      <c r="S68" s="70">
        <f>IF(S66&lt;&gt;Calc_EB_SCS!S$153,1,0)</f>
        <v>0</v>
      </c>
      <c r="T68" s="70">
        <f>IF(T66&lt;&gt;Calc_EB_SCS!T$153,1,0)</f>
        <v>0</v>
      </c>
      <c r="U68" s="70">
        <f>IF(U66&lt;&gt;Calc_EB_SCS!U$153,1,0)</f>
        <v>0</v>
      </c>
      <c r="V68" s="70">
        <f>IF(V66&lt;&gt;Calc_EB_SCS!V$153,1,0)</f>
        <v>0</v>
      </c>
      <c r="W68" s="70">
        <f>IF(W66&lt;&gt;Calc_EB_SCS!W$153,1,0)</f>
        <v>0</v>
      </c>
      <c r="X68" s="70">
        <f>IF(X66&lt;&gt;Calc_EB_SCS!X$153,1,0)</f>
        <v>0</v>
      </c>
      <c r="Y68" s="70">
        <f>IF(Y66&lt;&gt;Calc_EB_SCS!Y$153,1,0)</f>
        <v>0</v>
      </c>
      <c r="Z68" s="70">
        <f>IF(Z66&lt;&gt;Calc_EB_SCS!Z$153,1,0)</f>
        <v>0</v>
      </c>
      <c r="AA68" s="70">
        <f>IF(AA66&lt;&gt;Calc_EB_SCS!AA$153,1,0)</f>
        <v>0</v>
      </c>
      <c r="AB68" s="70">
        <f>IF(AB66&lt;&gt;Calc_EB_SCS!AB$153,1,0)</f>
        <v>0</v>
      </c>
    </row>
    <row r="69" spans="1:28" s="6" customFormat="1" ht="11.25" customHeight="1" x14ac:dyDescent="0.35">
      <c r="L69" s="10"/>
      <c r="Q69" s="10"/>
      <c r="V69" s="10"/>
      <c r="AA69" s="10"/>
    </row>
    <row r="70" spans="1:28" s="13" customFormat="1" ht="14.1" x14ac:dyDescent="0.35">
      <c r="C70" s="13" t="str">
        <f>Lookup!$D$106</f>
        <v>Overhead network assets 33kV and above</v>
      </c>
    </row>
    <row r="71" spans="1:28" s="6" customFormat="1" ht="11.25" customHeight="1" x14ac:dyDescent="0.35"/>
    <row r="72" spans="1:28" ht="12.3" x14ac:dyDescent="0.35">
      <c r="D72" s="50" t="s">
        <v>109</v>
      </c>
      <c r="E72" s="45" t="str">
        <f>Lookup!E$20</f>
        <v>Source</v>
      </c>
      <c r="F72" s="45" t="str">
        <f>Lookup!F$20</f>
        <v>Unit</v>
      </c>
      <c r="G72" s="45" t="str">
        <f>Lookup!G$20</f>
        <v>Basis</v>
      </c>
      <c r="H72" s="45" t="str">
        <f>Lookup!H$20</f>
        <v>Timing</v>
      </c>
      <c r="J72" s="54" t="str">
        <f>J$10</f>
        <v>RY06</v>
      </c>
      <c r="K72" s="45" t="str">
        <f t="shared" ref="K72:AB72" si="10">K$10</f>
        <v>RY07</v>
      </c>
      <c r="L72" s="45" t="str">
        <f t="shared" si="10"/>
        <v>RY08</v>
      </c>
      <c r="M72" s="45" t="str">
        <f t="shared" si="10"/>
        <v>RY09</v>
      </c>
      <c r="N72" s="45" t="str">
        <f t="shared" si="10"/>
        <v>RY10</v>
      </c>
      <c r="O72" s="45" t="str">
        <f>O$10</f>
        <v>RY11</v>
      </c>
      <c r="P72" s="45" t="str">
        <f t="shared" si="10"/>
        <v>RY12</v>
      </c>
      <c r="Q72" s="45" t="str">
        <f t="shared" si="10"/>
        <v>RY13</v>
      </c>
      <c r="R72" s="55" t="str">
        <f t="shared" si="10"/>
        <v>RY14</v>
      </c>
      <c r="S72" s="54" t="str">
        <f t="shared" si="10"/>
        <v>RY15</v>
      </c>
      <c r="T72" s="45" t="str">
        <f>T$10</f>
        <v>RY16</v>
      </c>
      <c r="U72" s="45" t="str">
        <f t="shared" si="10"/>
        <v>RY17</v>
      </c>
      <c r="V72" s="45" t="str">
        <f t="shared" si="10"/>
        <v>RY18</v>
      </c>
      <c r="W72" s="55" t="str">
        <f t="shared" si="10"/>
        <v>RY19</v>
      </c>
      <c r="X72" s="54" t="str">
        <f t="shared" si="10"/>
        <v>RY20</v>
      </c>
      <c r="Y72" s="45" t="str">
        <f>Y$10</f>
        <v>RY21</v>
      </c>
      <c r="Z72" s="45" t="str">
        <f t="shared" si="10"/>
        <v>RY22</v>
      </c>
      <c r="AA72" s="45" t="str">
        <f t="shared" si="10"/>
        <v>RY23</v>
      </c>
      <c r="AB72" s="55" t="str">
        <f t="shared" si="10"/>
        <v>RY24</v>
      </c>
    </row>
    <row r="73" spans="1:28" x14ac:dyDescent="0.35">
      <c r="J73" s="56"/>
      <c r="K73" s="57"/>
      <c r="L73" s="57"/>
      <c r="M73" s="57"/>
      <c r="N73" s="57"/>
      <c r="O73" s="57"/>
      <c r="P73" s="57"/>
      <c r="Q73" s="57"/>
      <c r="R73" s="58"/>
      <c r="S73" s="56"/>
      <c r="T73" s="57"/>
      <c r="U73" s="57"/>
      <c r="V73" s="57"/>
      <c r="W73" s="58"/>
      <c r="X73" s="56"/>
      <c r="Y73" s="57"/>
      <c r="Z73" s="57"/>
      <c r="AA73" s="57"/>
      <c r="AB73" s="58"/>
    </row>
    <row r="74" spans="1:28" ht="12.3" x14ac:dyDescent="0.35">
      <c r="D74" s="15" t="str">
        <f>Calc_EB_SCS!$C$14</f>
        <v>Opening Balance</v>
      </c>
      <c r="E74" s="52" t="str">
        <f>$E$32</f>
        <v>Calc_EB_SCS</v>
      </c>
      <c r="F74" s="52" t="str">
        <f>Dollars</f>
        <v>Dollars</v>
      </c>
      <c r="G74" s="52" t="str">
        <f>Nominal</f>
        <v>Nominal</v>
      </c>
      <c r="H74" s="52" t="str">
        <f>Start_year</f>
        <v>Start year</v>
      </c>
      <c r="J74" s="66">
        <f>Calc_EB_SCS!J$21</f>
        <v>66.801062937318775</v>
      </c>
      <c r="K74" s="67">
        <f>Calc_EB_SCS!K$21</f>
        <v>70.740199656719199</v>
      </c>
      <c r="L74" s="67">
        <f>Calc_EB_SCS!L$21</f>
        <v>75.612645019104377</v>
      </c>
      <c r="M74" s="67">
        <f>Calc_EB_SCS!M$21</f>
        <v>76.897616946939394</v>
      </c>
      <c r="N74" s="67">
        <f>Calc_EB_SCS!N$21</f>
        <v>76.242035307053598</v>
      </c>
      <c r="O74" s="67">
        <f>Calc_EB_SCS!O$21</f>
        <v>86.989103942939948</v>
      </c>
      <c r="P74" s="67">
        <f>Calc_EB_SCS!P$21</f>
        <v>97.554269173773747</v>
      </c>
      <c r="Q74" s="67">
        <f>Calc_EB_SCS!Q$21</f>
        <v>101.94955559821641</v>
      </c>
      <c r="R74" s="68">
        <f>Calc_EB_SCS!R$21</f>
        <v>111.32195664985137</v>
      </c>
      <c r="S74" s="66">
        <f>Calc_EB_SCS!S$21</f>
        <v>112.69114532304692</v>
      </c>
      <c r="T74" s="67">
        <f>Calc_EB_SCS!T$21</f>
        <v>112.64394026495373</v>
      </c>
      <c r="U74" s="67">
        <f>Calc_EB_SCS!U$21</f>
        <v>114.13606717696348</v>
      </c>
      <c r="V74" s="67">
        <f>Calc_EB_SCS!V$21</f>
        <v>116.39551161419392</v>
      </c>
      <c r="W74" s="68">
        <f>Calc_EB_SCS!W$21</f>
        <v>120.67292872717621</v>
      </c>
      <c r="X74" s="66">
        <f>Calc_EB_SCS!X$21</f>
        <v>120.32531256962051</v>
      </c>
      <c r="Y74" s="67">
        <f>Calc_EB_SCS!Y$21</f>
        <v>120.91444021703823</v>
      </c>
      <c r="Z74" s="67">
        <f>Calc_EB_SCS!Z$21</f>
        <v>121.35502625510428</v>
      </c>
      <c r="AA74" s="67">
        <f>Calc_EB_SCS!AA$21</f>
        <v>121.65446115412682</v>
      </c>
      <c r="AB74" s="68">
        <f>Calc_EB_SCS!AB$21</f>
        <v>122.01797211602037</v>
      </c>
    </row>
    <row r="75" spans="1:28" ht="12.3" x14ac:dyDescent="0.35">
      <c r="D75" s="15" t="str">
        <f>Calc_EB_SCS!$C$33</f>
        <v>Inflation</v>
      </c>
      <c r="E75" s="52" t="str">
        <f>$E$33</f>
        <v>Calc_EB_SCS</v>
      </c>
      <c r="F75" s="52" t="str">
        <f>Dollars</f>
        <v>Dollars</v>
      </c>
      <c r="G75" s="52" t="str">
        <f>Nominal</f>
        <v>Nominal</v>
      </c>
      <c r="H75" s="52" t="str">
        <f>End_year</f>
        <v>End_year</v>
      </c>
      <c r="J75" s="66">
        <f>Calc_EB_SCS!J$40</f>
        <v>1.9527716327596272</v>
      </c>
      <c r="K75" s="67">
        <f>Calc_EB_SCS!K$40</f>
        <v>1.7580404648415324</v>
      </c>
      <c r="L75" s="67">
        <f>Calc_EB_SCS!L$40</f>
        <v>3.2305633553197026</v>
      </c>
      <c r="M75" s="67">
        <f>Calc_EB_SCS!M$40</f>
        <v>1.8734746100029538</v>
      </c>
      <c r="N75" s="67">
        <f>Calc_EB_SCS!N$40</f>
        <v>2.2254431927464235</v>
      </c>
      <c r="O75" s="67">
        <f>Calc_EB_SCS!O$40</f>
        <v>2.8326283846965632</v>
      </c>
      <c r="P75" s="67">
        <f>Calc_EB_SCS!P$40</f>
        <v>1.58786196010213</v>
      </c>
      <c r="Q75" s="67">
        <f>Calc_EB_SCS!Q$40</f>
        <v>2.5512901801355445</v>
      </c>
      <c r="R75" s="68">
        <f>Calc_EB_SCS!R$40</f>
        <v>2.7272639713772056</v>
      </c>
      <c r="S75" s="66">
        <f>Calc_EB_SCS!S$40</f>
        <v>1.4968463325641803</v>
      </c>
      <c r="T75" s="67">
        <f>Calc_EB_SCS!T$40</f>
        <v>1.4766059585293716</v>
      </c>
      <c r="U75" s="67">
        <f>Calc_EB_SCS!U$40</f>
        <v>2.426182574001988</v>
      </c>
      <c r="V75" s="67">
        <f>Calc_EB_SCS!V$40</f>
        <v>2.8224452636462258</v>
      </c>
      <c r="W75" s="68">
        <f>Calc_EB_SCS!W$40</f>
        <v>2.9261672672161985</v>
      </c>
      <c r="X75" s="66">
        <f>Calc_EB_SCS!X$40</f>
        <v>2.9177380111061169</v>
      </c>
      <c r="Y75" s="67">
        <f>Calc_EB_SCS!Y$40</f>
        <v>2.9320236181289085</v>
      </c>
      <c r="Z75" s="67">
        <f>Calc_EB_SCS!Z$40</f>
        <v>2.94270727731063</v>
      </c>
      <c r="AA75" s="67">
        <f>Calc_EB_SCS!AA$40</f>
        <v>2.9499681982928565</v>
      </c>
      <c r="AB75" s="68">
        <f>Calc_EB_SCS!AB$40</f>
        <v>2.9587828834851924</v>
      </c>
    </row>
    <row r="76" spans="1:28" ht="12.3" x14ac:dyDescent="0.35">
      <c r="D76" s="15" t="str">
        <f>Calc_EB_SCS!$C$52</f>
        <v>Straight Line Depreciation</v>
      </c>
      <c r="E76" s="52" t="str">
        <f>$E$34</f>
        <v>Calc_EB_SCS</v>
      </c>
      <c r="F76" s="52" t="str">
        <f>Dollars</f>
        <v>Dollars</v>
      </c>
      <c r="G76" s="52" t="str">
        <f>Nominal</f>
        <v>Nominal</v>
      </c>
      <c r="H76" s="52" t="str">
        <f>End_year</f>
        <v>End_year</v>
      </c>
      <c r="J76" s="66">
        <f>Calc_EB_SCS!J$59</f>
        <v>-3.069692345818392</v>
      </c>
      <c r="K76" s="67">
        <f>Calc_EB_SCS!K$59</f>
        <v>-3.2622278335866701</v>
      </c>
      <c r="L76" s="67">
        <f>Calc_EB_SCS!L$59</f>
        <v>-3.4843697962262716</v>
      </c>
      <c r="M76" s="67">
        <f>Calc_EB_SCS!M$59</f>
        <v>-3.5964106323108624</v>
      </c>
      <c r="N76" s="67">
        <f>Calc_EB_SCS!N$59</f>
        <v>-2.1421803856213066</v>
      </c>
      <c r="O76" s="67">
        <f>Calc_EB_SCS!O$59</f>
        <v>-2.4278392322051658</v>
      </c>
      <c r="P76" s="67">
        <f>Calc_EB_SCS!P$59</f>
        <v>-2.6698222078049403</v>
      </c>
      <c r="Q76" s="67">
        <f>Calc_EB_SCS!Q$59</f>
        <v>-2.8467191813908448</v>
      </c>
      <c r="R76" s="68">
        <f>Calc_EB_SCS!R$59</f>
        <v>-3.5251645088707861</v>
      </c>
      <c r="S76" s="66">
        <f>Calc_EB_SCS!S$59</f>
        <v>-3.8255604657202351</v>
      </c>
      <c r="T76" s="67">
        <f>Calc_EB_SCS!T$59</f>
        <v>-4.027415961167609</v>
      </c>
      <c r="U76" s="67">
        <f>Calc_EB_SCS!U$59</f>
        <v>-4.1520955439456566</v>
      </c>
      <c r="V76" s="67">
        <f>Calc_EB_SCS!V$59</f>
        <v>-4.2617544921939441</v>
      </c>
      <c r="W76" s="68">
        <f>Calc_EB_SCS!W$59</f>
        <v>-4.463459731527025</v>
      </c>
      <c r="X76" s="66">
        <f>Calc_EB_SCS!X$59</f>
        <v>-4.3397975083535583</v>
      </c>
      <c r="Y76" s="67">
        <f>Calc_EB_SCS!Y$59</f>
        <v>-4.4814588596811582</v>
      </c>
      <c r="Z76" s="67">
        <f>Calc_EB_SCS!Z$59</f>
        <v>-4.6261719642291341</v>
      </c>
      <c r="AA76" s="67">
        <f>Calc_EB_SCS!AA$59</f>
        <v>-4.7742651917769932</v>
      </c>
      <c r="AB76" s="68">
        <f>Calc_EB_SCS!AB$59</f>
        <v>-4.9296608029862687</v>
      </c>
    </row>
    <row r="77" spans="1:28" ht="12.3" x14ac:dyDescent="0.35">
      <c r="D77" s="15" t="str">
        <f>Calc_EB_SCS!$C$71</f>
        <v>RAB Additions</v>
      </c>
      <c r="E77" s="52" t="str">
        <f>$E$35</f>
        <v>Calc_EB_SCS</v>
      </c>
      <c r="F77" s="52" t="str">
        <f>Dollars</f>
        <v>Dollars</v>
      </c>
      <c r="G77" s="52" t="str">
        <f>Nominal</f>
        <v>Nominal</v>
      </c>
      <c r="H77" s="52" t="str">
        <f>End_year</f>
        <v>End_year</v>
      </c>
      <c r="J77" s="66">
        <f>Calc_EB_SCS!J$78+Calc_EB_SCS!J$135</f>
        <v>5.0560574324591929</v>
      </c>
      <c r="K77" s="67">
        <f>Calc_EB_SCS!K$78+Calc_EB_SCS!K$135</f>
        <v>6.3766327311303108</v>
      </c>
      <c r="L77" s="67">
        <f>Calc_EB_SCS!L$78+Calc_EB_SCS!L$135</f>
        <v>1.538778368741589</v>
      </c>
      <c r="M77" s="67">
        <f>Calc_EB_SCS!M$78+Calc_EB_SCS!M$135</f>
        <v>1.067354382422105</v>
      </c>
      <c r="N77" s="67">
        <f>Calc_EB_SCS!N$78+Calc_EB_SCS!N$135</f>
        <v>10.66380582876123</v>
      </c>
      <c r="O77" s="67">
        <f>Calc_EB_SCS!O$78+Calc_EB_SCS!O$135</f>
        <v>10.160376078342406</v>
      </c>
      <c r="P77" s="67">
        <f>Calc_EB_SCS!P$78+Calc_EB_SCS!P$135</f>
        <v>5.4772466721454673</v>
      </c>
      <c r="Q77" s="67">
        <f>Calc_EB_SCS!Q$78+Calc_EB_SCS!Q$135</f>
        <v>9.6678300528902685</v>
      </c>
      <c r="R77" s="68">
        <f>Calc_EB_SCS!R$78+Calc_EB_SCS!R$135</f>
        <v>2.1695681224965604</v>
      </c>
      <c r="S77" s="66">
        <f>Calc_EB_SCS!S$78+Calc_EB_SCS!S$135</f>
        <v>2.2886715378856559</v>
      </c>
      <c r="T77" s="67">
        <f>Calc_EB_SCS!T$78+Calc_EB_SCS!T$135</f>
        <v>4.0500780782482932</v>
      </c>
      <c r="U77" s="67">
        <f>Calc_EB_SCS!U$78+Calc_EB_SCS!U$135</f>
        <v>3.9989767724754963</v>
      </c>
      <c r="V77" s="67">
        <f>Calc_EB_SCS!V$78+Calc_EB_SCS!V$135</f>
        <v>5.7167263415300029</v>
      </c>
      <c r="W77" s="68">
        <f>Calc_EB_SCS!W$78+Calc_EB_SCS!W$135</f>
        <v>1.1896763067551221</v>
      </c>
      <c r="X77" s="66">
        <f>Calc_EB_SCS!X$78+Calc_EB_SCS!X$135</f>
        <v>2.0111871446651679</v>
      </c>
      <c r="Y77" s="67">
        <f>Calc_EB_SCS!Y$78+Calc_EB_SCS!Y$135</f>
        <v>1.9900212796182835</v>
      </c>
      <c r="Z77" s="67">
        <f>Calc_EB_SCS!Z$78+Calc_EB_SCS!Z$135</f>
        <v>1.9828995859410365</v>
      </c>
      <c r="AA77" s="67">
        <f>Calc_EB_SCS!AA$78+Calc_EB_SCS!AA$135</f>
        <v>2.1878079553776932</v>
      </c>
      <c r="AB77" s="68">
        <f>Calc_EB_SCS!AB$78+Calc_EB_SCS!AB$135</f>
        <v>2.2711954802205772</v>
      </c>
    </row>
    <row r="78" spans="1:28" ht="12.3" x14ac:dyDescent="0.35">
      <c r="D78" s="15" t="str">
        <f>Calc_EB_SCS!$C$90</f>
        <v>Disposals</v>
      </c>
      <c r="E78" s="52" t="str">
        <f>$E$36</f>
        <v>Calc_EB_SCS</v>
      </c>
      <c r="F78" s="52" t="str">
        <f>Dollars</f>
        <v>Dollars</v>
      </c>
      <c r="G78" s="52" t="str">
        <f>Nominal</f>
        <v>Nominal</v>
      </c>
      <c r="H78" s="52" t="str">
        <f>End_year</f>
        <v>End_year</v>
      </c>
      <c r="J78" s="66">
        <f>Calc_EB_SCS!J$97</f>
        <v>0</v>
      </c>
      <c r="K78" s="67">
        <f>Calc_EB_SCS!K$97</f>
        <v>0</v>
      </c>
      <c r="L78" s="67">
        <f>Calc_EB_SCS!L$97</f>
        <v>0</v>
      </c>
      <c r="M78" s="67">
        <f>Calc_EB_SCS!M$97</f>
        <v>0</v>
      </c>
      <c r="N78" s="67">
        <f>Calc_EB_SCS!N$97</f>
        <v>0</v>
      </c>
      <c r="O78" s="67">
        <f>Calc_EB_SCS!O$97</f>
        <v>0</v>
      </c>
      <c r="P78" s="67">
        <f>Calc_EB_SCS!P$97</f>
        <v>0</v>
      </c>
      <c r="Q78" s="67">
        <f>Calc_EB_SCS!Q$97</f>
        <v>0</v>
      </c>
      <c r="R78" s="68">
        <f>Calc_EB_SCS!R$97</f>
        <v>-2.4789118074350306E-3</v>
      </c>
      <c r="S78" s="66">
        <f>Calc_EB_SCS!S$97</f>
        <v>-7.1624628228102475E-3</v>
      </c>
      <c r="T78" s="67">
        <f>Calc_EB_SCS!T$97</f>
        <v>-7.1411636003059749E-3</v>
      </c>
      <c r="U78" s="67">
        <f>Calc_EB_SCS!U$97</f>
        <v>-1.3619365301383054E-2</v>
      </c>
      <c r="V78" s="67">
        <f>Calc_EB_SCS!V$97</f>
        <v>0</v>
      </c>
      <c r="W78" s="68">
        <f>Calc_EB_SCS!W$97</f>
        <v>0</v>
      </c>
      <c r="X78" s="66">
        <f>Calc_EB_SCS!X$97</f>
        <v>0</v>
      </c>
      <c r="Y78" s="67">
        <f>Calc_EB_SCS!Y$97</f>
        <v>0</v>
      </c>
      <c r="Z78" s="67">
        <f>Calc_EB_SCS!Z$97</f>
        <v>0</v>
      </c>
      <c r="AA78" s="67">
        <f>Calc_EB_SCS!AA$97</f>
        <v>0</v>
      </c>
      <c r="AB78" s="68">
        <f>Calc_EB_SCS!AB$97</f>
        <v>0</v>
      </c>
    </row>
    <row r="79" spans="1:28" x14ac:dyDescent="0.35">
      <c r="J79" s="56"/>
      <c r="K79" s="57"/>
      <c r="L79" s="57"/>
      <c r="M79" s="57"/>
      <c r="N79" s="57"/>
      <c r="O79" s="57"/>
      <c r="P79" s="57"/>
      <c r="Q79" s="57"/>
      <c r="R79" s="58"/>
      <c r="S79" s="56"/>
      <c r="T79" s="57"/>
      <c r="U79" s="57"/>
      <c r="V79" s="57"/>
      <c r="W79" s="58"/>
      <c r="X79" s="56"/>
      <c r="Y79" s="57"/>
      <c r="Z79" s="57"/>
      <c r="AA79" s="57"/>
      <c r="AB79" s="58"/>
    </row>
    <row r="80" spans="1:28" ht="12.3" x14ac:dyDescent="0.35">
      <c r="D80" s="51" t="s">
        <v>152</v>
      </c>
      <c r="E80" s="47" t="s">
        <v>111</v>
      </c>
      <c r="F80" s="47" t="str">
        <f>F74</f>
        <v>Dollars</v>
      </c>
      <c r="G80" s="47" t="str">
        <f>G74</f>
        <v>Nominal</v>
      </c>
      <c r="H80" s="47" t="str">
        <f>H74</f>
        <v>Start year</v>
      </c>
      <c r="J80" s="62">
        <f>SUM(J74:J78)</f>
        <v>70.740199656719199</v>
      </c>
      <c r="K80" s="46">
        <f t="shared" ref="K80:AB80" si="11">SUM(K74:K78)</f>
        <v>75.612645019104377</v>
      </c>
      <c r="L80" s="46">
        <f t="shared" si="11"/>
        <v>76.897616946939394</v>
      </c>
      <c r="M80" s="46">
        <f t="shared" si="11"/>
        <v>76.242035307053598</v>
      </c>
      <c r="N80" s="46">
        <f t="shared" si="11"/>
        <v>86.989103942939948</v>
      </c>
      <c r="O80" s="46">
        <f t="shared" si="11"/>
        <v>97.554269173773747</v>
      </c>
      <c r="P80" s="46">
        <f t="shared" si="11"/>
        <v>101.94955559821641</v>
      </c>
      <c r="Q80" s="46">
        <f t="shared" si="11"/>
        <v>111.32195664985137</v>
      </c>
      <c r="R80" s="63">
        <f t="shared" si="11"/>
        <v>112.69114532304692</v>
      </c>
      <c r="S80" s="62">
        <f t="shared" si="11"/>
        <v>112.64394026495373</v>
      </c>
      <c r="T80" s="46">
        <f t="shared" si="11"/>
        <v>114.13606717696348</v>
      </c>
      <c r="U80" s="46">
        <f t="shared" si="11"/>
        <v>116.39551161419392</v>
      </c>
      <c r="V80" s="46">
        <f t="shared" si="11"/>
        <v>120.67292872717621</v>
      </c>
      <c r="W80" s="63">
        <f t="shared" si="11"/>
        <v>120.32531256962051</v>
      </c>
      <c r="X80" s="62">
        <f t="shared" si="11"/>
        <v>120.91444021703823</v>
      </c>
      <c r="Y80" s="46">
        <f t="shared" si="11"/>
        <v>121.35502625510428</v>
      </c>
      <c r="Z80" s="46">
        <f t="shared" si="11"/>
        <v>121.65446115412682</v>
      </c>
      <c r="AA80" s="46">
        <f t="shared" si="11"/>
        <v>122.01797211602037</v>
      </c>
      <c r="AB80" s="63">
        <f t="shared" si="11"/>
        <v>122.31828967673989</v>
      </c>
    </row>
    <row r="81" spans="1:28" s="6" customFormat="1" ht="11.25" customHeight="1" x14ac:dyDescent="0.35"/>
    <row r="82" spans="1:28" s="6" customFormat="1" ht="11.25" customHeight="1" x14ac:dyDescent="0.35">
      <c r="A82" s="49">
        <f>IF(SUM($J82:$AB82)&lt;&gt;0,1,0)</f>
        <v>0</v>
      </c>
      <c r="D82" s="15" t="s">
        <v>114</v>
      </c>
      <c r="J82" s="70">
        <f>IF(J80&lt;&gt;Calc_EB_SCS!J$154,1,0)</f>
        <v>0</v>
      </c>
      <c r="K82" s="70">
        <f>IF(K80&lt;&gt;Calc_EB_SCS!K$154,1,0)</f>
        <v>0</v>
      </c>
      <c r="L82" s="70">
        <f>IF(L80&lt;&gt;Calc_EB_SCS!L$154,1,0)</f>
        <v>0</v>
      </c>
      <c r="M82" s="70">
        <f>IF(M80&lt;&gt;Calc_EB_SCS!M$154,1,0)</f>
        <v>0</v>
      </c>
      <c r="N82" s="70">
        <f>IF(N80&lt;&gt;Calc_EB_SCS!N$154,1,0)</f>
        <v>0</v>
      </c>
      <c r="O82" s="70">
        <f>IF(O80&lt;&gt;Calc_EB_SCS!O$154,1,0)</f>
        <v>0</v>
      </c>
      <c r="P82" s="70">
        <f>IF(P80&lt;&gt;Calc_EB_SCS!P$154,1,0)</f>
        <v>0</v>
      </c>
      <c r="Q82" s="70">
        <f>IF(Q80&lt;&gt;Calc_EB_SCS!Q$154,1,0)</f>
        <v>0</v>
      </c>
      <c r="R82" s="70">
        <f>IF(R80&lt;&gt;Calc_EB_SCS!R$154,1,0)</f>
        <v>0</v>
      </c>
      <c r="S82" s="70">
        <f>IF(S80&lt;&gt;Calc_EB_SCS!S$154,1,0)</f>
        <v>0</v>
      </c>
      <c r="T82" s="70">
        <f>IF(T80&lt;&gt;Calc_EB_SCS!T$154,1,0)</f>
        <v>0</v>
      </c>
      <c r="U82" s="70">
        <f>IF(U80&lt;&gt;Calc_EB_SCS!U$154,1,0)</f>
        <v>0</v>
      </c>
      <c r="V82" s="70">
        <f>IF(V80&lt;&gt;Calc_EB_SCS!V$154,1,0)</f>
        <v>0</v>
      </c>
      <c r="W82" s="70">
        <f>IF(W80&lt;&gt;Calc_EB_SCS!W$154,1,0)</f>
        <v>0</v>
      </c>
      <c r="X82" s="70">
        <f>IF(X80&lt;&gt;Calc_EB_SCS!X$154,1,0)</f>
        <v>0</v>
      </c>
      <c r="Y82" s="70">
        <f>IF(Y80&lt;&gt;Calc_EB_SCS!Y$154,1,0)</f>
        <v>0</v>
      </c>
      <c r="Z82" s="70">
        <f>IF(Z80&lt;&gt;Calc_EB_SCS!Z$154,1,0)</f>
        <v>0</v>
      </c>
      <c r="AA82" s="70">
        <f>IF(AA80&lt;&gt;Calc_EB_SCS!AA$154,1,0)</f>
        <v>0</v>
      </c>
      <c r="AB82" s="70">
        <f>IF(AB80&lt;&gt;Calc_EB_SCS!AB$154,1,0)</f>
        <v>0</v>
      </c>
    </row>
    <row r="83" spans="1:28" s="6" customFormat="1" ht="11.25" customHeight="1" x14ac:dyDescent="0.35">
      <c r="L83" s="10"/>
      <c r="Q83" s="10"/>
      <c r="V83" s="10"/>
      <c r="AA83" s="10"/>
    </row>
    <row r="84" spans="1:28" s="13" customFormat="1" ht="14.1" x14ac:dyDescent="0.35">
      <c r="C84" s="13" t="str">
        <f>Lookup!$D$107</f>
        <v>Underground network assets 33kV and above</v>
      </c>
    </row>
    <row r="85" spans="1:28" s="6" customFormat="1" ht="11.25" customHeight="1" x14ac:dyDescent="0.35"/>
    <row r="86" spans="1:28" ht="12.3" x14ac:dyDescent="0.35">
      <c r="D86" s="50" t="s">
        <v>109</v>
      </c>
      <c r="E86" s="45" t="str">
        <f>Lookup!E$20</f>
        <v>Source</v>
      </c>
      <c r="F86" s="45" t="str">
        <f>Lookup!F$20</f>
        <v>Unit</v>
      </c>
      <c r="G86" s="45" t="str">
        <f>Lookup!G$20</f>
        <v>Basis</v>
      </c>
      <c r="H86" s="45" t="str">
        <f>Lookup!H$20</f>
        <v>Timing</v>
      </c>
      <c r="J86" s="54" t="str">
        <f>J$10</f>
        <v>RY06</v>
      </c>
      <c r="K86" s="45" t="str">
        <f t="shared" ref="K86:AB86" si="12">K$10</f>
        <v>RY07</v>
      </c>
      <c r="L86" s="45" t="str">
        <f t="shared" si="12"/>
        <v>RY08</v>
      </c>
      <c r="M86" s="45" t="str">
        <f t="shared" si="12"/>
        <v>RY09</v>
      </c>
      <c r="N86" s="45" t="str">
        <f t="shared" si="12"/>
        <v>RY10</v>
      </c>
      <c r="O86" s="45" t="str">
        <f>O$10</f>
        <v>RY11</v>
      </c>
      <c r="P86" s="45" t="str">
        <f t="shared" si="12"/>
        <v>RY12</v>
      </c>
      <c r="Q86" s="45" t="str">
        <f t="shared" si="12"/>
        <v>RY13</v>
      </c>
      <c r="R86" s="55" t="str">
        <f t="shared" si="12"/>
        <v>RY14</v>
      </c>
      <c r="S86" s="54" t="str">
        <f t="shared" si="12"/>
        <v>RY15</v>
      </c>
      <c r="T86" s="45" t="str">
        <f>T$10</f>
        <v>RY16</v>
      </c>
      <c r="U86" s="45" t="str">
        <f t="shared" si="12"/>
        <v>RY17</v>
      </c>
      <c r="V86" s="45" t="str">
        <f t="shared" si="12"/>
        <v>RY18</v>
      </c>
      <c r="W86" s="55" t="str">
        <f t="shared" si="12"/>
        <v>RY19</v>
      </c>
      <c r="X86" s="54" t="str">
        <f t="shared" si="12"/>
        <v>RY20</v>
      </c>
      <c r="Y86" s="45" t="str">
        <f>Y$10</f>
        <v>RY21</v>
      </c>
      <c r="Z86" s="45" t="str">
        <f t="shared" si="12"/>
        <v>RY22</v>
      </c>
      <c r="AA86" s="45" t="str">
        <f t="shared" si="12"/>
        <v>RY23</v>
      </c>
      <c r="AB86" s="55" t="str">
        <f t="shared" si="12"/>
        <v>RY24</v>
      </c>
    </row>
    <row r="87" spans="1:28" x14ac:dyDescent="0.35">
      <c r="J87" s="56"/>
      <c r="K87" s="57"/>
      <c r="L87" s="57"/>
      <c r="M87" s="57"/>
      <c r="N87" s="57"/>
      <c r="O87" s="57"/>
      <c r="P87" s="57"/>
      <c r="Q87" s="57"/>
      <c r="R87" s="58"/>
      <c r="S87" s="56"/>
      <c r="T87" s="57"/>
      <c r="U87" s="57"/>
      <c r="V87" s="57"/>
      <c r="W87" s="58"/>
      <c r="X87" s="56"/>
      <c r="Y87" s="57"/>
      <c r="Z87" s="57"/>
      <c r="AA87" s="57"/>
      <c r="AB87" s="58"/>
    </row>
    <row r="88" spans="1:28" ht="12.3" x14ac:dyDescent="0.35">
      <c r="D88" s="15" t="str">
        <f>Calc_EB_SCS!$C$14</f>
        <v>Opening Balance</v>
      </c>
      <c r="E88" s="52" t="str">
        <f>$E$32</f>
        <v>Calc_EB_SCS</v>
      </c>
      <c r="F88" s="52" t="str">
        <f>Dollars</f>
        <v>Dollars</v>
      </c>
      <c r="G88" s="52" t="str">
        <f>Nominal</f>
        <v>Nominal</v>
      </c>
      <c r="H88" s="52" t="str">
        <f>Start_year</f>
        <v>Start year</v>
      </c>
      <c r="J88" s="66">
        <f>Calc_EB_SCS!J$22</f>
        <v>33.426313108768937</v>
      </c>
      <c r="K88" s="67">
        <f>Calc_EB_SCS!K$22</f>
        <v>35.397401764715589</v>
      </c>
      <c r="L88" s="67">
        <f>Calc_EB_SCS!L$22</f>
        <v>37.835504949410108</v>
      </c>
      <c r="M88" s="67">
        <f>Calc_EB_SCS!M$22</f>
        <v>38.478486843816412</v>
      </c>
      <c r="N88" s="67">
        <f>Calc_EB_SCS!N$22</f>
        <v>38.150443004398092</v>
      </c>
      <c r="O88" s="67">
        <f>Calc_EB_SCS!O$22</f>
        <v>43.528125116457396</v>
      </c>
      <c r="P88" s="67">
        <f>Calc_EB_SCS!P$22</f>
        <v>48.814785320997913</v>
      </c>
      <c r="Q88" s="67">
        <f>Calc_EB_SCS!Q$22</f>
        <v>51.014124878872899</v>
      </c>
      <c r="R88" s="68">
        <f>Calc_EB_SCS!R$22</f>
        <v>55.703942650588139</v>
      </c>
      <c r="S88" s="66">
        <f>Calc_EB_SCS!S$22</f>
        <v>56.389065420837447</v>
      </c>
      <c r="T88" s="67">
        <f>Calc_EB_SCS!T$22</f>
        <v>56.365444673161299</v>
      </c>
      <c r="U88" s="67">
        <f>Calc_EB_SCS!U$22</f>
        <v>57.11208401040745</v>
      </c>
      <c r="V88" s="67">
        <f>Calc_EB_SCS!V$22</f>
        <v>58.242678253819385</v>
      </c>
      <c r="W88" s="68">
        <f>Calc_EB_SCS!W$22</f>
        <v>60.383037664709491</v>
      </c>
      <c r="X88" s="66">
        <f>Calc_EB_SCS!X$22</f>
        <v>60.20909542467318</v>
      </c>
      <c r="Y88" s="67">
        <f>Calc_EB_SCS!Y$22</f>
        <v>60.503886620168004</v>
      </c>
      <c r="Z88" s="67">
        <f>Calc_EB_SCS!Z$22</f>
        <v>60.724349681864581</v>
      </c>
      <c r="AA88" s="67">
        <f>Calc_EB_SCS!AA$22</f>
        <v>60.874182697243562</v>
      </c>
      <c r="AB88" s="68">
        <f>Calc_EB_SCS!AB$22</f>
        <v>61.056078473993779</v>
      </c>
    </row>
    <row r="89" spans="1:28" ht="12.3" x14ac:dyDescent="0.35">
      <c r="D89" s="15" t="str">
        <f>Calc_EB_SCS!$C$33</f>
        <v>Inflation</v>
      </c>
      <c r="E89" s="52" t="str">
        <f>$E$33</f>
        <v>Calc_EB_SCS</v>
      </c>
      <c r="F89" s="52" t="str">
        <f>Dollars</f>
        <v>Dollars</v>
      </c>
      <c r="G89" s="52" t="str">
        <f>Nominal</f>
        <v>Nominal</v>
      </c>
      <c r="H89" s="52" t="str">
        <f>End_year</f>
        <v>End_year</v>
      </c>
      <c r="J89" s="66">
        <f>Calc_EB_SCS!J$41</f>
        <v>0.97713948186413657</v>
      </c>
      <c r="K89" s="67">
        <f>Calc_EB_SCS!K$41</f>
        <v>0.87969874208168441</v>
      </c>
      <c r="L89" s="67">
        <f>Calc_EB_SCS!L$41</f>
        <v>1.616528502457476</v>
      </c>
      <c r="M89" s="67">
        <f>Calc_EB_SCS!M$41</f>
        <v>0.93746036607304695</v>
      </c>
      <c r="N89" s="67">
        <f>Calc_EB_SCS!N$41</f>
        <v>1.1135804985067521</v>
      </c>
      <c r="O89" s="67">
        <f>Calc_EB_SCS!O$41</f>
        <v>1.4174074355148891</v>
      </c>
      <c r="P89" s="67">
        <f>Calc_EB_SCS!P$41</f>
        <v>0.79454380990434748</v>
      </c>
      <c r="Q89" s="67">
        <f>Calc_EB_SCS!Q$41</f>
        <v>1.2766297517235456</v>
      </c>
      <c r="R89" s="68">
        <f>Calc_EB_SCS!R$41</f>
        <v>1.3646845638228724</v>
      </c>
      <c r="S89" s="66">
        <f>Calc_EB_SCS!S$41</f>
        <v>0.74900086896747531</v>
      </c>
      <c r="T89" s="67">
        <f>Calc_EB_SCS!T$41</f>
        <v>0.73887287024744075</v>
      </c>
      <c r="U89" s="67">
        <f>Calc_EB_SCS!U$41</f>
        <v>1.2140276638071785</v>
      </c>
      <c r="V89" s="67">
        <f>Calc_EB_SCS!V$41</f>
        <v>1.4123119448492321</v>
      </c>
      <c r="W89" s="68">
        <f>Calc_EB_SCS!W$41</f>
        <v>1.4642129777841717</v>
      </c>
      <c r="X89" s="66">
        <f>Calc_EB_SCS!X$41</f>
        <v>1.4599950964867741</v>
      </c>
      <c r="Y89" s="67">
        <f>Calc_EB_SCS!Y$41</f>
        <v>1.4671434134789862</v>
      </c>
      <c r="Z89" s="67">
        <f>Calc_EB_SCS!Z$41</f>
        <v>1.4724893663913028</v>
      </c>
      <c r="AA89" s="67">
        <f>Calc_EB_SCS!AA$41</f>
        <v>1.476122629209855</v>
      </c>
      <c r="AB89" s="68">
        <f>Calc_EB_SCS!AB$41</f>
        <v>1.4805333738034063</v>
      </c>
    </row>
    <row r="90" spans="1:28" ht="12.3" x14ac:dyDescent="0.35">
      <c r="D90" s="15" t="str">
        <f>Calc_EB_SCS!$C$52</f>
        <v>Straight Line Depreciation</v>
      </c>
      <c r="E90" s="52" t="str">
        <f>$E$34</f>
        <v>Calc_EB_SCS</v>
      </c>
      <c r="F90" s="52" t="str">
        <f>Dollars</f>
        <v>Dollars</v>
      </c>
      <c r="G90" s="52" t="str">
        <f>Nominal</f>
        <v>Nominal</v>
      </c>
      <c r="H90" s="52" t="str">
        <f>End_year</f>
        <v>End_year</v>
      </c>
      <c r="J90" s="66">
        <f>Calc_EB_SCS!J$60</f>
        <v>-1.5360309100949081</v>
      </c>
      <c r="K90" s="67">
        <f>Calc_EB_SCS!K$60</f>
        <v>-1.6323729623872623</v>
      </c>
      <c r="L90" s="67">
        <f>Calc_EB_SCS!L$60</f>
        <v>-1.74352967863226</v>
      </c>
      <c r="M90" s="67">
        <f>Calc_EB_SCS!M$60</f>
        <v>-1.7995933384492591</v>
      </c>
      <c r="N90" s="67">
        <f>Calc_EB_SCS!N$60</f>
        <v>-1.071916959950626</v>
      </c>
      <c r="O90" s="67">
        <f>Calc_EB_SCS!O$60</f>
        <v>-1.2148566322902938</v>
      </c>
      <c r="P90" s="67">
        <f>Calc_EB_SCS!P$60</f>
        <v>-1.335941512585977</v>
      </c>
      <c r="Q90" s="67">
        <f>Calc_EB_SCS!Q$60</f>
        <v>-1.4244582721564709</v>
      </c>
      <c r="R90" s="68">
        <f>Calc_EB_SCS!R$60</f>
        <v>-1.7639427795333236</v>
      </c>
      <c r="S90" s="66">
        <f>Calc_EB_SCS!S$60</f>
        <v>-1.9142566947427235</v>
      </c>
      <c r="T90" s="67">
        <f>Calc_EB_SCS!T$60</f>
        <v>-2.015262347899482</v>
      </c>
      <c r="U90" s="67">
        <f>Calc_EB_SCS!U$60</f>
        <v>-2.0776502589439549</v>
      </c>
      <c r="V90" s="67">
        <f>Calc_EB_SCS!V$60</f>
        <v>-2.132522055561398</v>
      </c>
      <c r="W90" s="68">
        <f>Calc_EB_SCS!W$60</f>
        <v>-2.2334525226701798</v>
      </c>
      <c r="X90" s="66">
        <f>Calc_EB_SCS!X$60</f>
        <v>-2.1715736840744317</v>
      </c>
      <c r="Y90" s="67">
        <f>Calc_EB_SCS!Y$60</f>
        <v>-2.2424590334487502</v>
      </c>
      <c r="Z90" s="67">
        <f>Calc_EB_SCS!Z$60</f>
        <v>-2.3148714372468984</v>
      </c>
      <c r="AA90" s="67">
        <f>Calc_EB_SCS!AA$60</f>
        <v>-2.388975207091816</v>
      </c>
      <c r="AB90" s="68">
        <f>Calc_EB_SCS!AB$60</f>
        <v>-2.4667329870972585</v>
      </c>
    </row>
    <row r="91" spans="1:28" ht="12.3" x14ac:dyDescent="0.35">
      <c r="D91" s="15" t="str">
        <f>Calc_EB_SCS!$C$71</f>
        <v>RAB Additions</v>
      </c>
      <c r="E91" s="52" t="str">
        <f>$E$35</f>
        <v>Calc_EB_SCS</v>
      </c>
      <c r="F91" s="52" t="str">
        <f>Dollars</f>
        <v>Dollars</v>
      </c>
      <c r="G91" s="52" t="str">
        <f>Nominal</f>
        <v>Nominal</v>
      </c>
      <c r="H91" s="52" t="str">
        <f>End_year</f>
        <v>End_year</v>
      </c>
      <c r="J91" s="66">
        <f>Calc_EB_SCS!J$79+Calc_EB_SCS!J$136</f>
        <v>2.5299800841774269</v>
      </c>
      <c r="K91" s="67">
        <f>Calc_EB_SCS!K$79+Calc_EB_SCS!K$136</f>
        <v>3.1907774050000972</v>
      </c>
      <c r="L91" s="67">
        <f>Calc_EB_SCS!L$79+Calc_EB_SCS!L$136</f>
        <v>0.7699830705810855</v>
      </c>
      <c r="M91" s="67">
        <f>Calc_EB_SCS!M$79+Calc_EB_SCS!M$136</f>
        <v>0.5340891329578894</v>
      </c>
      <c r="N91" s="67">
        <f>Calc_EB_SCS!N$79+Calc_EB_SCS!N$136</f>
        <v>5.3360185735031838</v>
      </c>
      <c r="O91" s="67">
        <f>Calc_EB_SCS!O$79+Calc_EB_SCS!O$136</f>
        <v>5.0841094013159234</v>
      </c>
      <c r="P91" s="67">
        <f>Calc_EB_SCS!P$79+Calc_EB_SCS!P$136</f>
        <v>2.7407372605566147</v>
      </c>
      <c r="Q91" s="67">
        <f>Calc_EB_SCS!Q$79+Calc_EB_SCS!Q$136</f>
        <v>4.8376462921481629</v>
      </c>
      <c r="R91" s="68">
        <f>Calc_EB_SCS!R$79+Calc_EB_SCS!R$136</f>
        <v>1.0856213985909486</v>
      </c>
      <c r="S91" s="66">
        <f>Calc_EB_SCS!S$79+Calc_EB_SCS!S$136</f>
        <v>1.1452190738383519</v>
      </c>
      <c r="T91" s="67">
        <f>Calc_EB_SCS!T$79+Calc_EB_SCS!T$136</f>
        <v>2.0266021528058396</v>
      </c>
      <c r="U91" s="67">
        <f>Calc_EB_SCS!U$79+Calc_EB_SCS!U$136</f>
        <v>2.0010317775465234</v>
      </c>
      <c r="V91" s="67">
        <f>Calc_EB_SCS!V$79+Calc_EB_SCS!V$136</f>
        <v>2.8605695216022688</v>
      </c>
      <c r="W91" s="68">
        <f>Calc_EB_SCS!W$79+Calc_EB_SCS!W$136</f>
        <v>0.59529730484969268</v>
      </c>
      <c r="X91" s="66">
        <f>Calc_EB_SCS!X$79+Calc_EB_SCS!X$136</f>
        <v>1.0063697830824843</v>
      </c>
      <c r="Y91" s="67">
        <f>Calc_EB_SCS!Y$79+Calc_EB_SCS!Y$136</f>
        <v>0.99577868166634398</v>
      </c>
      <c r="Z91" s="67">
        <f>Calc_EB_SCS!Z$79+Calc_EB_SCS!Z$136</f>
        <v>0.99221508623458021</v>
      </c>
      <c r="AA91" s="67">
        <f>Calc_EB_SCS!AA$79+Calc_EB_SCS!AA$136</f>
        <v>1.0947483546321788</v>
      </c>
      <c r="AB91" s="68">
        <f>Calc_EB_SCS!AB$79+Calc_EB_SCS!AB$136</f>
        <v>1.136474300181562</v>
      </c>
    </row>
    <row r="92" spans="1:28" ht="12.3" x14ac:dyDescent="0.35">
      <c r="D92" s="15" t="str">
        <f>Calc_EB_SCS!$C$90</f>
        <v>Disposals</v>
      </c>
      <c r="E92" s="52" t="str">
        <f>$E$36</f>
        <v>Calc_EB_SCS</v>
      </c>
      <c r="F92" s="52" t="str">
        <f>Dollars</f>
        <v>Dollars</v>
      </c>
      <c r="G92" s="52" t="str">
        <f>Nominal</f>
        <v>Nominal</v>
      </c>
      <c r="H92" s="52" t="str">
        <f>End_year</f>
        <v>End_year</v>
      </c>
      <c r="J92" s="66">
        <f>Calc_EB_SCS!J$98</f>
        <v>0</v>
      </c>
      <c r="K92" s="67">
        <f>Calc_EB_SCS!K$98</f>
        <v>0</v>
      </c>
      <c r="L92" s="67">
        <f>Calc_EB_SCS!L$98</f>
        <v>0</v>
      </c>
      <c r="M92" s="67">
        <f>Calc_EB_SCS!M$98</f>
        <v>0</v>
      </c>
      <c r="N92" s="67">
        <f>Calc_EB_SCS!N$98</f>
        <v>0</v>
      </c>
      <c r="O92" s="67">
        <f>Calc_EB_SCS!O$98</f>
        <v>0</v>
      </c>
      <c r="P92" s="67">
        <f>Calc_EB_SCS!P$98</f>
        <v>0</v>
      </c>
      <c r="Q92" s="67">
        <f>Calc_EB_SCS!Q$98</f>
        <v>0</v>
      </c>
      <c r="R92" s="68">
        <f>Calc_EB_SCS!R$98</f>
        <v>-1.2404126311896901E-3</v>
      </c>
      <c r="S92" s="66">
        <f>Calc_EB_SCS!S$98</f>
        <v>-3.5839957392567478E-3</v>
      </c>
      <c r="T92" s="67">
        <f>Calc_EB_SCS!T$98</f>
        <v>-3.5733379076430625E-3</v>
      </c>
      <c r="U92" s="67">
        <f>Calc_EB_SCS!U$98</f>
        <v>-6.8149389978105872E-3</v>
      </c>
      <c r="V92" s="67">
        <f>Calc_EB_SCS!V$98</f>
        <v>0</v>
      </c>
      <c r="W92" s="68">
        <f>Calc_EB_SCS!W$98</f>
        <v>0</v>
      </c>
      <c r="X92" s="66">
        <f>Calc_EB_SCS!X$98</f>
        <v>0</v>
      </c>
      <c r="Y92" s="67">
        <f>Calc_EB_SCS!Y$98</f>
        <v>0</v>
      </c>
      <c r="Z92" s="67">
        <f>Calc_EB_SCS!Z$98</f>
        <v>0</v>
      </c>
      <c r="AA92" s="67">
        <f>Calc_EB_SCS!AA$98</f>
        <v>0</v>
      </c>
      <c r="AB92" s="68">
        <f>Calc_EB_SCS!AB$98</f>
        <v>0</v>
      </c>
    </row>
    <row r="93" spans="1:28" x14ac:dyDescent="0.35">
      <c r="J93" s="56"/>
      <c r="K93" s="57"/>
      <c r="L93" s="57"/>
      <c r="M93" s="57"/>
      <c r="N93" s="57"/>
      <c r="O93" s="57"/>
      <c r="P93" s="57"/>
      <c r="Q93" s="57"/>
      <c r="R93" s="58"/>
      <c r="S93" s="56"/>
      <c r="T93" s="57"/>
      <c r="U93" s="57"/>
      <c r="V93" s="57"/>
      <c r="W93" s="58"/>
      <c r="X93" s="56"/>
      <c r="Y93" s="57"/>
      <c r="Z93" s="57"/>
      <c r="AA93" s="57"/>
      <c r="AB93" s="58"/>
    </row>
    <row r="94" spans="1:28" ht="12.3" x14ac:dyDescent="0.35">
      <c r="D94" s="51" t="s">
        <v>152</v>
      </c>
      <c r="E94" s="47" t="s">
        <v>111</v>
      </c>
      <c r="F94" s="47" t="str">
        <f>F88</f>
        <v>Dollars</v>
      </c>
      <c r="G94" s="47" t="str">
        <f>G88</f>
        <v>Nominal</v>
      </c>
      <c r="H94" s="47" t="str">
        <f>H88</f>
        <v>Start year</v>
      </c>
      <c r="J94" s="62">
        <f>SUM(J88:J92)</f>
        <v>35.397401764715589</v>
      </c>
      <c r="K94" s="46">
        <f t="shared" ref="K94:AB94" si="13">SUM(K88:K92)</f>
        <v>37.835504949410108</v>
      </c>
      <c r="L94" s="46">
        <f t="shared" si="13"/>
        <v>38.478486843816412</v>
      </c>
      <c r="M94" s="46">
        <f t="shared" si="13"/>
        <v>38.150443004398092</v>
      </c>
      <c r="N94" s="46">
        <f t="shared" si="13"/>
        <v>43.528125116457396</v>
      </c>
      <c r="O94" s="46">
        <f t="shared" si="13"/>
        <v>48.814785320997913</v>
      </c>
      <c r="P94" s="46">
        <f t="shared" si="13"/>
        <v>51.014124878872899</v>
      </c>
      <c r="Q94" s="46">
        <f t="shared" si="13"/>
        <v>55.703942650588139</v>
      </c>
      <c r="R94" s="63">
        <f t="shared" si="13"/>
        <v>56.389065420837447</v>
      </c>
      <c r="S94" s="62">
        <f t="shared" si="13"/>
        <v>56.365444673161299</v>
      </c>
      <c r="T94" s="46">
        <f t="shared" si="13"/>
        <v>57.11208401040745</v>
      </c>
      <c r="U94" s="46">
        <f t="shared" si="13"/>
        <v>58.242678253819385</v>
      </c>
      <c r="V94" s="46">
        <f t="shared" si="13"/>
        <v>60.383037664709491</v>
      </c>
      <c r="W94" s="63">
        <f t="shared" si="13"/>
        <v>60.20909542467318</v>
      </c>
      <c r="X94" s="62">
        <f t="shared" si="13"/>
        <v>60.503886620168004</v>
      </c>
      <c r="Y94" s="46">
        <f t="shared" si="13"/>
        <v>60.724349681864581</v>
      </c>
      <c r="Z94" s="46">
        <f t="shared" si="13"/>
        <v>60.874182697243562</v>
      </c>
      <c r="AA94" s="46">
        <f t="shared" si="13"/>
        <v>61.056078473993779</v>
      </c>
      <c r="AB94" s="63">
        <f t="shared" si="13"/>
        <v>61.206353160881484</v>
      </c>
    </row>
    <row r="95" spans="1:28" s="6" customFormat="1" ht="11.25" customHeight="1" x14ac:dyDescent="0.35"/>
    <row r="96" spans="1:28" s="6" customFormat="1" ht="11.25" customHeight="1" x14ac:dyDescent="0.35">
      <c r="A96" s="49">
        <f>IF(SUM($J96:$AB96)&lt;&gt;0,1,0)</f>
        <v>0</v>
      </c>
      <c r="D96" s="15" t="s">
        <v>114</v>
      </c>
      <c r="J96" s="70">
        <f>IF(J94&lt;&gt;Calc_EB_SCS!J$155,1,0)</f>
        <v>0</v>
      </c>
      <c r="K96" s="70">
        <f>IF(K94&lt;&gt;Calc_EB_SCS!K$155,1,0)</f>
        <v>0</v>
      </c>
      <c r="L96" s="70">
        <f>IF(L94&lt;&gt;Calc_EB_SCS!L$155,1,0)</f>
        <v>0</v>
      </c>
      <c r="M96" s="70">
        <f>IF(M94&lt;&gt;Calc_EB_SCS!M$155,1,0)</f>
        <v>0</v>
      </c>
      <c r="N96" s="70">
        <f>IF(N94&lt;&gt;Calc_EB_SCS!N$155,1,0)</f>
        <v>0</v>
      </c>
      <c r="O96" s="70">
        <f>IF(O94&lt;&gt;Calc_EB_SCS!O$155,1,0)</f>
        <v>0</v>
      </c>
      <c r="P96" s="70">
        <f>IF(P94&lt;&gt;Calc_EB_SCS!P$155,1,0)</f>
        <v>0</v>
      </c>
      <c r="Q96" s="70">
        <f>IF(Q94&lt;&gt;Calc_EB_SCS!Q$155,1,0)</f>
        <v>0</v>
      </c>
      <c r="R96" s="70">
        <f>IF(R94&lt;&gt;Calc_EB_SCS!R$155,1,0)</f>
        <v>0</v>
      </c>
      <c r="S96" s="70">
        <f>IF(S94&lt;&gt;Calc_EB_SCS!S$155,1,0)</f>
        <v>0</v>
      </c>
      <c r="T96" s="70">
        <f>IF(T94&lt;&gt;Calc_EB_SCS!T$155,1,0)</f>
        <v>0</v>
      </c>
      <c r="U96" s="70">
        <f>IF(U94&lt;&gt;Calc_EB_SCS!U$155,1,0)</f>
        <v>0</v>
      </c>
      <c r="V96" s="70">
        <f>IF(V94&lt;&gt;Calc_EB_SCS!V$155,1,0)</f>
        <v>0</v>
      </c>
      <c r="W96" s="70">
        <f>IF(W94&lt;&gt;Calc_EB_SCS!W$155,1,0)</f>
        <v>0</v>
      </c>
      <c r="X96" s="70">
        <f>IF(X94&lt;&gt;Calc_EB_SCS!X$155,1,0)</f>
        <v>0</v>
      </c>
      <c r="Y96" s="70">
        <f>IF(Y94&lt;&gt;Calc_EB_SCS!Y$155,1,0)</f>
        <v>0</v>
      </c>
      <c r="Z96" s="70">
        <f>IF(Z94&lt;&gt;Calc_EB_SCS!Z$155,1,0)</f>
        <v>0</v>
      </c>
      <c r="AA96" s="70">
        <f>IF(AA94&lt;&gt;Calc_EB_SCS!AA$155,1,0)</f>
        <v>0</v>
      </c>
      <c r="AB96" s="70">
        <f>IF(AB94&lt;&gt;Calc_EB_SCS!AB$155,1,0)</f>
        <v>0</v>
      </c>
    </row>
    <row r="97" spans="1:28" s="6" customFormat="1" ht="11.25" customHeight="1" x14ac:dyDescent="0.35">
      <c r="L97" s="10"/>
      <c r="Q97" s="10"/>
      <c r="V97" s="10"/>
      <c r="AA97" s="10"/>
    </row>
    <row r="98" spans="1:28" s="13" customFormat="1" ht="14.1" x14ac:dyDescent="0.35">
      <c r="C98" s="13" t="str">
        <f>Lookup!$D$108</f>
        <v>Zone substations and transformers</v>
      </c>
    </row>
    <row r="99" spans="1:28" s="6" customFormat="1" ht="11.25" customHeight="1" x14ac:dyDescent="0.35"/>
    <row r="100" spans="1:28" ht="12.3" x14ac:dyDescent="0.35">
      <c r="D100" s="50" t="s">
        <v>109</v>
      </c>
      <c r="E100" s="45" t="str">
        <f>Lookup!E$20</f>
        <v>Source</v>
      </c>
      <c r="F100" s="45" t="str">
        <f>Lookup!F$20</f>
        <v>Unit</v>
      </c>
      <c r="G100" s="45" t="str">
        <f>Lookup!G$20</f>
        <v>Basis</v>
      </c>
      <c r="H100" s="45" t="str">
        <f>Lookup!H$20</f>
        <v>Timing</v>
      </c>
      <c r="J100" s="54" t="str">
        <f>J$10</f>
        <v>RY06</v>
      </c>
      <c r="K100" s="45" t="str">
        <f t="shared" ref="K100:AB100" si="14">K$10</f>
        <v>RY07</v>
      </c>
      <c r="L100" s="45" t="str">
        <f t="shared" si="14"/>
        <v>RY08</v>
      </c>
      <c r="M100" s="45" t="str">
        <f t="shared" si="14"/>
        <v>RY09</v>
      </c>
      <c r="N100" s="45" t="str">
        <f t="shared" si="14"/>
        <v>RY10</v>
      </c>
      <c r="O100" s="45" t="str">
        <f>O$10</f>
        <v>RY11</v>
      </c>
      <c r="P100" s="45" t="str">
        <f t="shared" si="14"/>
        <v>RY12</v>
      </c>
      <c r="Q100" s="45" t="str">
        <f t="shared" si="14"/>
        <v>RY13</v>
      </c>
      <c r="R100" s="55" t="str">
        <f t="shared" si="14"/>
        <v>RY14</v>
      </c>
      <c r="S100" s="54" t="str">
        <f t="shared" si="14"/>
        <v>RY15</v>
      </c>
      <c r="T100" s="45" t="str">
        <f>T$10</f>
        <v>RY16</v>
      </c>
      <c r="U100" s="45" t="str">
        <f t="shared" si="14"/>
        <v>RY17</v>
      </c>
      <c r="V100" s="45" t="str">
        <f t="shared" si="14"/>
        <v>RY18</v>
      </c>
      <c r="W100" s="55" t="str">
        <f t="shared" si="14"/>
        <v>RY19</v>
      </c>
      <c r="X100" s="54" t="str">
        <f t="shared" si="14"/>
        <v>RY20</v>
      </c>
      <c r="Y100" s="45" t="str">
        <f>Y$10</f>
        <v>RY21</v>
      </c>
      <c r="Z100" s="45" t="str">
        <f t="shared" si="14"/>
        <v>RY22</v>
      </c>
      <c r="AA100" s="45" t="str">
        <f t="shared" si="14"/>
        <v>RY23</v>
      </c>
      <c r="AB100" s="55" t="str">
        <f t="shared" si="14"/>
        <v>RY24</v>
      </c>
    </row>
    <row r="101" spans="1:28" x14ac:dyDescent="0.35">
      <c r="J101" s="56"/>
      <c r="K101" s="57"/>
      <c r="L101" s="57"/>
      <c r="M101" s="57"/>
      <c r="N101" s="57"/>
      <c r="O101" s="57"/>
      <c r="P101" s="57"/>
      <c r="Q101" s="57"/>
      <c r="R101" s="58"/>
      <c r="S101" s="56"/>
      <c r="T101" s="57"/>
      <c r="U101" s="57"/>
      <c r="V101" s="57"/>
      <c r="W101" s="58"/>
      <c r="X101" s="56"/>
      <c r="Y101" s="57"/>
      <c r="Z101" s="57"/>
      <c r="AA101" s="57"/>
      <c r="AB101" s="58"/>
    </row>
    <row r="102" spans="1:28" ht="12.3" x14ac:dyDescent="0.35">
      <c r="D102" s="15" t="str">
        <f>Calc_EB_SCS!$C$14</f>
        <v>Opening Balance</v>
      </c>
      <c r="E102" s="52" t="str">
        <f>$E$32</f>
        <v>Calc_EB_SCS</v>
      </c>
      <c r="F102" s="52" t="str">
        <f>Dollars</f>
        <v>Dollars</v>
      </c>
      <c r="G102" s="52" t="str">
        <f>Nominal</f>
        <v>Nominal</v>
      </c>
      <c r="H102" s="52" t="str">
        <f>Start_year</f>
        <v>Start year</v>
      </c>
      <c r="J102" s="66">
        <f>Calc_EB_SCS!J$23</f>
        <v>47.071726111497853</v>
      </c>
      <c r="K102" s="67">
        <f>Calc_EB_SCS!K$23</f>
        <v>49.257548154962308</v>
      </c>
      <c r="L102" s="67">
        <f>Calc_EB_SCS!L$23</f>
        <v>51.93307559593201</v>
      </c>
      <c r="M102" s="67">
        <f>Calc_EB_SCS!M$23</f>
        <v>73.566519243986875</v>
      </c>
      <c r="N102" s="67">
        <f>Calc_EB_SCS!N$23</f>
        <v>105.48723246211824</v>
      </c>
      <c r="O102" s="67">
        <f>Calc_EB_SCS!O$23</f>
        <v>134.25745022204163</v>
      </c>
      <c r="P102" s="67">
        <f>Calc_EB_SCS!P$23</f>
        <v>175.9477180867863</v>
      </c>
      <c r="Q102" s="67">
        <f>Calc_EB_SCS!Q$23</f>
        <v>211.49979112014324</v>
      </c>
      <c r="R102" s="68">
        <f>Calc_EB_SCS!R$23</f>
        <v>264.91040389827987</v>
      </c>
      <c r="S102" s="66">
        <f>Calc_EB_SCS!S$23</f>
        <v>314.98760845090567</v>
      </c>
      <c r="T102" s="67">
        <f>Calc_EB_SCS!T$23</f>
        <v>334.30781602676626</v>
      </c>
      <c r="U102" s="67">
        <f>Calc_EB_SCS!U$23</f>
        <v>344.20334039390258</v>
      </c>
      <c r="V102" s="67">
        <f>Calc_EB_SCS!V$23</f>
        <v>344.93919547332405</v>
      </c>
      <c r="W102" s="68">
        <f>Calc_EB_SCS!W$23</f>
        <v>341.65083978271218</v>
      </c>
      <c r="X102" s="66">
        <f>Calc_EB_SCS!X$23</f>
        <v>325.90080806224711</v>
      </c>
      <c r="Y102" s="67">
        <f>Calc_EB_SCS!Y$23</f>
        <v>332.5534485892818</v>
      </c>
      <c r="Z102" s="67">
        <f>Calc_EB_SCS!Z$23</f>
        <v>338.83170779216249</v>
      </c>
      <c r="AA102" s="67">
        <f>Calc_EB_SCS!AA$23</f>
        <v>348.38225451899098</v>
      </c>
      <c r="AB102" s="68">
        <f>Calc_EB_SCS!AB$23</f>
        <v>357.95320913092814</v>
      </c>
    </row>
    <row r="103" spans="1:28" ht="12.3" x14ac:dyDescent="0.35">
      <c r="D103" s="15" t="str">
        <f>Calc_EB_SCS!$C$33</f>
        <v>Inflation</v>
      </c>
      <c r="E103" s="52" t="str">
        <f>$E$33</f>
        <v>Calc_EB_SCS</v>
      </c>
      <c r="F103" s="52" t="str">
        <f>Dollars</f>
        <v>Dollars</v>
      </c>
      <c r="G103" s="52" t="str">
        <f>Nominal</f>
        <v>Nominal</v>
      </c>
      <c r="H103" s="52" t="str">
        <f>End_year</f>
        <v>End_year</v>
      </c>
      <c r="J103" s="66">
        <f>Calc_EB_SCS!J$42</f>
        <v>1.3760309703726563</v>
      </c>
      <c r="K103" s="67">
        <f>Calc_EB_SCS!K$42</f>
        <v>1.2241520843245004</v>
      </c>
      <c r="L103" s="67">
        <f>Calc_EB_SCS!L$42</f>
        <v>2.2188496501726154</v>
      </c>
      <c r="M103" s="67">
        <f>Calc_EB_SCS!M$42</f>
        <v>1.7923182983031143</v>
      </c>
      <c r="N103" s="67">
        <f>Calc_EB_SCS!N$42</f>
        <v>3.0790867853807411</v>
      </c>
      <c r="O103" s="67">
        <f>Calc_EB_SCS!O$42</f>
        <v>4.3718287362219286</v>
      </c>
      <c r="P103" s="67">
        <f>Calc_EB_SCS!P$42</f>
        <v>2.8638489210463947</v>
      </c>
      <c r="Q103" s="67">
        <f>Calc_EB_SCS!Q$42</f>
        <v>5.2927875655691494</v>
      </c>
      <c r="R103" s="68">
        <f>Calc_EB_SCS!R$42</f>
        <v>6.4900098950580842</v>
      </c>
      <c r="S103" s="66">
        <f>Calc_EB_SCS!S$42</f>
        <v>4.1838961274313569</v>
      </c>
      <c r="T103" s="67">
        <f>Calc_EB_SCS!T$42</f>
        <v>4.3823121951074695</v>
      </c>
      <c r="U103" s="67">
        <f>Calc_EB_SCS!U$42</f>
        <v>7.3167068660441172</v>
      </c>
      <c r="V103" s="67">
        <f>Calc_EB_SCS!V$42</f>
        <v>8.3643431349538453</v>
      </c>
      <c r="W103" s="68">
        <f>Calc_EB_SCS!W$42</f>
        <v>8.2846046311624342</v>
      </c>
      <c r="X103" s="66">
        <f>Calc_EB_SCS!X$42</f>
        <v>7.902686103418417</v>
      </c>
      <c r="Y103" s="67">
        <f>Calc_EB_SCS!Y$42</f>
        <v>8.0640042976156963</v>
      </c>
      <c r="Z103" s="67">
        <f>Calc_EB_SCS!Z$42</f>
        <v>8.2162442139610032</v>
      </c>
      <c r="AA103" s="67">
        <f>Calc_EB_SCS!AA$42</f>
        <v>8.4478330011963489</v>
      </c>
      <c r="AB103" s="68">
        <f>Calc_EB_SCS!AB$42</f>
        <v>8.6799166540658383</v>
      </c>
    </row>
    <row r="104" spans="1:28" ht="12.3" x14ac:dyDescent="0.35">
      <c r="D104" s="15" t="str">
        <f>Calc_EB_SCS!$C$52</f>
        <v>Straight Line Depreciation</v>
      </c>
      <c r="E104" s="52" t="str">
        <f>$E$34</f>
        <v>Calc_EB_SCS</v>
      </c>
      <c r="F104" s="52" t="str">
        <f>Dollars</f>
        <v>Dollars</v>
      </c>
      <c r="G104" s="52" t="str">
        <f>Nominal</f>
        <v>Nominal</v>
      </c>
      <c r="H104" s="52" t="str">
        <f>End_year</f>
        <v>End_year</v>
      </c>
      <c r="J104" s="66">
        <f>Calc_EB_SCS!J$61</f>
        <v>-2.2074682474033178</v>
      </c>
      <c r="K104" s="67">
        <f>Calc_EB_SCS!K$61</f>
        <v>-2.3539521734297795</v>
      </c>
      <c r="L104" s="67">
        <f>Calc_EB_SCS!L$61</f>
        <v>-3.4743398366165703</v>
      </c>
      <c r="M104" s="67">
        <f>Calc_EB_SCS!M$61</f>
        <v>-3.7743000258034614</v>
      </c>
      <c r="N104" s="67">
        <f>Calc_EB_SCS!N$61</f>
        <v>-9.6485981317395684</v>
      </c>
      <c r="O104" s="67">
        <f>Calc_EB_SCS!O$61</f>
        <v>-10.984840820686102</v>
      </c>
      <c r="P104" s="67">
        <f>Calc_EB_SCS!P$61</f>
        <v>-12.442862590473061</v>
      </c>
      <c r="Q104" s="67">
        <f>Calc_EB_SCS!Q$61</f>
        <v>-7.3134451142680543</v>
      </c>
      <c r="R104" s="68">
        <f>Calc_EB_SCS!R$61</f>
        <v>-21.91293772800579</v>
      </c>
      <c r="S104" s="66">
        <f>Calc_EB_SCS!S$61</f>
        <v>-28.995427905109779</v>
      </c>
      <c r="T104" s="67">
        <f>Calc_EB_SCS!T$61</f>
        <v>-30.630083961773614</v>
      </c>
      <c r="U104" s="67">
        <f>Calc_EB_SCS!U$61</f>
        <v>-25.435071226427869</v>
      </c>
      <c r="V104" s="67">
        <f>Calc_EB_SCS!V$61</f>
        <v>-26.541323732389785</v>
      </c>
      <c r="W104" s="68">
        <f>Calc_EB_SCS!W$61</f>
        <v>-27.77255235511771</v>
      </c>
      <c r="X104" s="66">
        <f>Calc_EB_SCS!X$61</f>
        <v>-21.773127652734381</v>
      </c>
      <c r="Y104" s="67">
        <f>Calc_EB_SCS!Y$61</f>
        <v>-22.348006821059766</v>
      </c>
      <c r="Z104" s="67">
        <f>Calc_EB_SCS!Z$61</f>
        <v>-22.408896590474072</v>
      </c>
      <c r="AA104" s="67">
        <f>Calc_EB_SCS!AA$61</f>
        <v>-22.980799371139419</v>
      </c>
      <c r="AB104" s="68">
        <f>Calc_EB_SCS!AB$61</f>
        <v>-24.310825405960902</v>
      </c>
    </row>
    <row r="105" spans="1:28" ht="12.3" x14ac:dyDescent="0.35">
      <c r="D105" s="15" t="str">
        <f>Calc_EB_SCS!$C$71</f>
        <v>RAB Additions</v>
      </c>
      <c r="E105" s="52" t="str">
        <f>$E$35</f>
        <v>Calc_EB_SCS</v>
      </c>
      <c r="F105" s="52" t="str">
        <f>Dollars</f>
        <v>Dollars</v>
      </c>
      <c r="G105" s="52" t="str">
        <f>Nominal</f>
        <v>Nominal</v>
      </c>
      <c r="H105" s="52" t="str">
        <f>End_year</f>
        <v>End_year</v>
      </c>
      <c r="J105" s="66">
        <f>Calc_EB_SCS!J$80+Calc_EB_SCS!J$137</f>
        <v>3.017259320495123</v>
      </c>
      <c r="K105" s="67">
        <f>Calc_EB_SCS!K$80+Calc_EB_SCS!K$137</f>
        <v>3.8053275300749831</v>
      </c>
      <c r="L105" s="67">
        <f>Calc_EB_SCS!L$80+Calc_EB_SCS!L$137</f>
        <v>22.888933834498829</v>
      </c>
      <c r="M105" s="67">
        <f>Calc_EB_SCS!M$80+Calc_EB_SCS!M$137</f>
        <v>33.902694945631701</v>
      </c>
      <c r="N105" s="67">
        <f>Calc_EB_SCS!N$80+Calc_EB_SCS!N$137</f>
        <v>35.522326060781353</v>
      </c>
      <c r="O105" s="67">
        <f>Calc_EB_SCS!O$80+Calc_EB_SCS!O$137</f>
        <v>48.489640774936042</v>
      </c>
      <c r="P105" s="67">
        <f>Calc_EB_SCS!P$80+Calc_EB_SCS!P$137</f>
        <v>45.238627848901139</v>
      </c>
      <c r="Q105" s="67">
        <f>Calc_EB_SCS!Q$80+Calc_EB_SCS!Q$137</f>
        <v>55.44977546794528</v>
      </c>
      <c r="R105" s="68">
        <f>Calc_EB_SCS!R$80+Calc_EB_SCS!R$137</f>
        <v>65.634841040325497</v>
      </c>
      <c r="S105" s="66">
        <f>Calc_EB_SCS!S$80+Calc_EB_SCS!S$137</f>
        <v>44.163978729225157</v>
      </c>
      <c r="T105" s="67">
        <f>Calc_EB_SCS!T$80+Calc_EB_SCS!T$137</f>
        <v>36.176617665472392</v>
      </c>
      <c r="U105" s="67">
        <f>Calc_EB_SCS!U$80+Calc_EB_SCS!U$137</f>
        <v>18.993715949713604</v>
      </c>
      <c r="V105" s="67">
        <f>Calc_EB_SCS!V$80+Calc_EB_SCS!V$137</f>
        <v>14.888624906824095</v>
      </c>
      <c r="W105" s="68">
        <f>Calc_EB_SCS!W$80+Calc_EB_SCS!W$137</f>
        <v>3.7379160034901542</v>
      </c>
      <c r="X105" s="66">
        <f>Calc_EB_SCS!X$80+Calc_EB_SCS!X$137</f>
        <v>20.523082076350665</v>
      </c>
      <c r="Y105" s="67">
        <f>Calc_EB_SCS!Y$80+Calc_EB_SCS!Y$137</f>
        <v>20.562261726324778</v>
      </c>
      <c r="Z105" s="67">
        <f>Calc_EB_SCS!Z$80+Calc_EB_SCS!Z$137</f>
        <v>23.743199103341563</v>
      </c>
      <c r="AA105" s="67">
        <f>Calc_EB_SCS!AA$80+Calc_EB_SCS!AA$137</f>
        <v>24.103920981880247</v>
      </c>
      <c r="AB105" s="68">
        <f>Calc_EB_SCS!AB$80+Calc_EB_SCS!AB$137</f>
        <v>16.83136226059279</v>
      </c>
    </row>
    <row r="106" spans="1:28" ht="12.3" x14ac:dyDescent="0.35">
      <c r="D106" s="15" t="str">
        <f>Calc_EB_SCS!$C$90</f>
        <v>Disposals</v>
      </c>
      <c r="E106" s="52" t="str">
        <f>$E$36</f>
        <v>Calc_EB_SCS</v>
      </c>
      <c r="F106" s="52" t="str">
        <f>Dollars</f>
        <v>Dollars</v>
      </c>
      <c r="G106" s="52" t="str">
        <f>Nominal</f>
        <v>Nominal</v>
      </c>
      <c r="H106" s="52" t="str">
        <f>End_year</f>
        <v>End_year</v>
      </c>
      <c r="J106" s="66">
        <f>Calc_EB_SCS!J$99</f>
        <v>0</v>
      </c>
      <c r="K106" s="67">
        <f>Calc_EB_SCS!K$99</f>
        <v>0</v>
      </c>
      <c r="L106" s="67">
        <f>Calc_EB_SCS!L$99</f>
        <v>0</v>
      </c>
      <c r="M106" s="67">
        <f>Calc_EB_SCS!M$99</f>
        <v>0</v>
      </c>
      <c r="N106" s="67">
        <f>Calc_EB_SCS!N$99</f>
        <v>-0.18259695449911931</v>
      </c>
      <c r="O106" s="67">
        <f>Calc_EB_SCS!O$99</f>
        <v>-0.18636082572719792</v>
      </c>
      <c r="P106" s="67">
        <f>Calc_EB_SCS!P$99</f>
        <v>-0.10754114611750819</v>
      </c>
      <c r="Q106" s="67">
        <f>Calc_EB_SCS!Q$99</f>
        <v>-1.8505141109755419E-2</v>
      </c>
      <c r="R106" s="68">
        <f>Calc_EB_SCS!R$99</f>
        <v>-0.13470865475200619</v>
      </c>
      <c r="S106" s="66">
        <f>Calc_EB_SCS!S$99</f>
        <v>-3.2239375686200979E-2</v>
      </c>
      <c r="T106" s="67">
        <f>Calc_EB_SCS!T$99</f>
        <v>-3.3321531669982897E-2</v>
      </c>
      <c r="U106" s="67">
        <f>Calc_EB_SCS!U$99</f>
        <v>-0.13949650990836202</v>
      </c>
      <c r="V106" s="67">
        <f>Calc_EB_SCS!V$99</f>
        <v>0</v>
      </c>
      <c r="W106" s="68">
        <f>Calc_EB_SCS!W$99</f>
        <v>0</v>
      </c>
      <c r="X106" s="66">
        <f>Calc_EB_SCS!X$99</f>
        <v>0</v>
      </c>
      <c r="Y106" s="67">
        <f>Calc_EB_SCS!Y$99</f>
        <v>0</v>
      </c>
      <c r="Z106" s="67">
        <f>Calc_EB_SCS!Z$99</f>
        <v>0</v>
      </c>
      <c r="AA106" s="67">
        <f>Calc_EB_SCS!AA$99</f>
        <v>0</v>
      </c>
      <c r="AB106" s="68">
        <f>Calc_EB_SCS!AB$99</f>
        <v>0</v>
      </c>
    </row>
    <row r="107" spans="1:28" x14ac:dyDescent="0.35">
      <c r="J107" s="56"/>
      <c r="K107" s="57"/>
      <c r="L107" s="57"/>
      <c r="M107" s="57"/>
      <c r="N107" s="57"/>
      <c r="O107" s="57"/>
      <c r="P107" s="57"/>
      <c r="Q107" s="57"/>
      <c r="R107" s="58"/>
      <c r="S107" s="56"/>
      <c r="T107" s="57"/>
      <c r="U107" s="57"/>
      <c r="V107" s="57"/>
      <c r="W107" s="58"/>
      <c r="X107" s="56"/>
      <c r="Y107" s="57"/>
      <c r="Z107" s="57"/>
      <c r="AA107" s="57"/>
      <c r="AB107" s="58"/>
    </row>
    <row r="108" spans="1:28" ht="12.3" x14ac:dyDescent="0.35">
      <c r="D108" s="51" t="s">
        <v>152</v>
      </c>
      <c r="E108" s="47" t="s">
        <v>111</v>
      </c>
      <c r="F108" s="47" t="str">
        <f>F102</f>
        <v>Dollars</v>
      </c>
      <c r="G108" s="47" t="str">
        <f>G102</f>
        <v>Nominal</v>
      </c>
      <c r="H108" s="47" t="str">
        <f>H102</f>
        <v>Start year</v>
      </c>
      <c r="J108" s="62">
        <f>SUM(J102:J106)</f>
        <v>49.257548154962308</v>
      </c>
      <c r="K108" s="46">
        <f t="shared" ref="K108:AB108" si="15">SUM(K102:K106)</f>
        <v>51.93307559593201</v>
      </c>
      <c r="L108" s="46">
        <f t="shared" si="15"/>
        <v>73.566519243986875</v>
      </c>
      <c r="M108" s="46">
        <f t="shared" si="15"/>
        <v>105.48723246211824</v>
      </c>
      <c r="N108" s="46">
        <f t="shared" si="15"/>
        <v>134.25745022204163</v>
      </c>
      <c r="O108" s="46">
        <f t="shared" si="15"/>
        <v>175.9477180867863</v>
      </c>
      <c r="P108" s="46">
        <f t="shared" si="15"/>
        <v>211.49979112014324</v>
      </c>
      <c r="Q108" s="46">
        <f t="shared" si="15"/>
        <v>264.91040389827987</v>
      </c>
      <c r="R108" s="63">
        <f t="shared" si="15"/>
        <v>314.98760845090567</v>
      </c>
      <c r="S108" s="62">
        <f t="shared" si="15"/>
        <v>334.30781602676626</v>
      </c>
      <c r="T108" s="46">
        <f t="shared" si="15"/>
        <v>344.20334039390258</v>
      </c>
      <c r="U108" s="46">
        <f t="shared" si="15"/>
        <v>344.93919547332405</v>
      </c>
      <c r="V108" s="46">
        <f t="shared" si="15"/>
        <v>341.65083978271218</v>
      </c>
      <c r="W108" s="63">
        <f t="shared" si="15"/>
        <v>325.90080806224711</v>
      </c>
      <c r="X108" s="62">
        <f t="shared" si="15"/>
        <v>332.5534485892818</v>
      </c>
      <c r="Y108" s="46">
        <f t="shared" si="15"/>
        <v>338.83170779216249</v>
      </c>
      <c r="Z108" s="46">
        <f t="shared" si="15"/>
        <v>348.38225451899098</v>
      </c>
      <c r="AA108" s="46">
        <f t="shared" si="15"/>
        <v>357.95320913092814</v>
      </c>
      <c r="AB108" s="63">
        <f t="shared" si="15"/>
        <v>359.15366263962591</v>
      </c>
    </row>
    <row r="109" spans="1:28" s="6" customFormat="1" ht="11.25" customHeight="1" x14ac:dyDescent="0.35"/>
    <row r="110" spans="1:28" s="6" customFormat="1" ht="11.25" customHeight="1" x14ac:dyDescent="0.35">
      <c r="A110" s="49">
        <f>IF(SUM($J110:$AB110)&lt;&gt;0,1,0)</f>
        <v>0</v>
      </c>
      <c r="D110" s="15" t="s">
        <v>114</v>
      </c>
      <c r="J110" s="70">
        <f>IF(J108&lt;&gt;Calc_EB_SCS!J$156,1,0)</f>
        <v>0</v>
      </c>
      <c r="K110" s="70">
        <f>IF(K108&lt;&gt;Calc_EB_SCS!K$156,1,0)</f>
        <v>0</v>
      </c>
      <c r="L110" s="70">
        <f>IF(L108&lt;&gt;Calc_EB_SCS!L$156,1,0)</f>
        <v>0</v>
      </c>
      <c r="M110" s="70">
        <f>IF(M108&lt;&gt;Calc_EB_SCS!M$156,1,0)</f>
        <v>0</v>
      </c>
      <c r="N110" s="70">
        <f>IF(N108&lt;&gt;Calc_EB_SCS!N$156,1,0)</f>
        <v>0</v>
      </c>
      <c r="O110" s="70">
        <f>IF(O108&lt;&gt;Calc_EB_SCS!O$156,1,0)</f>
        <v>0</v>
      </c>
      <c r="P110" s="70">
        <f>IF(P108&lt;&gt;Calc_EB_SCS!P$156,1,0)</f>
        <v>0</v>
      </c>
      <c r="Q110" s="70">
        <f>IF(Q108&lt;&gt;Calc_EB_SCS!Q$156,1,0)</f>
        <v>0</v>
      </c>
      <c r="R110" s="70">
        <f>IF(R108&lt;&gt;Calc_EB_SCS!R$156,1,0)</f>
        <v>0</v>
      </c>
      <c r="S110" s="70">
        <f>IF(S108&lt;&gt;Calc_EB_SCS!S$156,1,0)</f>
        <v>0</v>
      </c>
      <c r="T110" s="70">
        <f>IF(T108&lt;&gt;Calc_EB_SCS!T$156,1,0)</f>
        <v>0</v>
      </c>
      <c r="U110" s="70">
        <f>IF(U108&lt;&gt;Calc_EB_SCS!U$156,1,0)</f>
        <v>0</v>
      </c>
      <c r="V110" s="70">
        <f>IF(V108&lt;&gt;Calc_EB_SCS!V$156,1,0)</f>
        <v>0</v>
      </c>
      <c r="W110" s="70">
        <f>IF(W108&lt;&gt;Calc_EB_SCS!W$156,1,0)</f>
        <v>0</v>
      </c>
      <c r="X110" s="70">
        <f>IF(X108&lt;&gt;Calc_EB_SCS!X$156,1,0)</f>
        <v>0</v>
      </c>
      <c r="Y110" s="70">
        <f>IF(Y108&lt;&gt;Calc_EB_SCS!Y$156,1,0)</f>
        <v>0</v>
      </c>
      <c r="Z110" s="70">
        <f>IF(Z108&lt;&gt;Calc_EB_SCS!Z$156,1,0)</f>
        <v>0</v>
      </c>
      <c r="AA110" s="70">
        <f>IF(AA108&lt;&gt;Calc_EB_SCS!AA$156,1,0)</f>
        <v>0</v>
      </c>
      <c r="AB110" s="70">
        <f>IF(AB108&lt;&gt;Calc_EB_SCS!AB$156,1,0)</f>
        <v>0</v>
      </c>
    </row>
    <row r="111" spans="1:28" s="6" customFormat="1" ht="11.25" customHeight="1" x14ac:dyDescent="0.35">
      <c r="L111" s="10"/>
      <c r="Q111" s="10"/>
      <c r="V111" s="10"/>
      <c r="AA111" s="10"/>
    </row>
    <row r="112" spans="1:28" s="13" customFormat="1" ht="14.1" x14ac:dyDescent="0.35">
      <c r="C112" s="13" t="str">
        <f>Lookup!$D$109</f>
        <v>Easements</v>
      </c>
    </row>
    <row r="113" spans="1:28" s="6" customFormat="1" ht="11.25" customHeight="1" x14ac:dyDescent="0.35"/>
    <row r="114" spans="1:28" ht="12.3" x14ac:dyDescent="0.35">
      <c r="D114" s="50" t="s">
        <v>109</v>
      </c>
      <c r="E114" s="45" t="str">
        <f>Lookup!E$20</f>
        <v>Source</v>
      </c>
      <c r="F114" s="45" t="str">
        <f>Lookup!F$20</f>
        <v>Unit</v>
      </c>
      <c r="G114" s="45" t="str">
        <f>Lookup!G$20</f>
        <v>Basis</v>
      </c>
      <c r="H114" s="45" t="str">
        <f>Lookup!H$20</f>
        <v>Timing</v>
      </c>
      <c r="J114" s="54" t="str">
        <f>J$10</f>
        <v>RY06</v>
      </c>
      <c r="K114" s="45" t="str">
        <f t="shared" ref="K114:AB114" si="16">K$10</f>
        <v>RY07</v>
      </c>
      <c r="L114" s="45" t="str">
        <f t="shared" si="16"/>
        <v>RY08</v>
      </c>
      <c r="M114" s="45" t="str">
        <f t="shared" si="16"/>
        <v>RY09</v>
      </c>
      <c r="N114" s="45" t="str">
        <f t="shared" si="16"/>
        <v>RY10</v>
      </c>
      <c r="O114" s="45" t="str">
        <f>O$10</f>
        <v>RY11</v>
      </c>
      <c r="P114" s="45" t="str">
        <f t="shared" si="16"/>
        <v>RY12</v>
      </c>
      <c r="Q114" s="45" t="str">
        <f t="shared" si="16"/>
        <v>RY13</v>
      </c>
      <c r="R114" s="55" t="str">
        <f t="shared" si="16"/>
        <v>RY14</v>
      </c>
      <c r="S114" s="54" t="str">
        <f t="shared" si="16"/>
        <v>RY15</v>
      </c>
      <c r="T114" s="45" t="str">
        <f>T$10</f>
        <v>RY16</v>
      </c>
      <c r="U114" s="45" t="str">
        <f t="shared" si="16"/>
        <v>RY17</v>
      </c>
      <c r="V114" s="45" t="str">
        <f t="shared" si="16"/>
        <v>RY18</v>
      </c>
      <c r="W114" s="55" t="str">
        <f t="shared" si="16"/>
        <v>RY19</v>
      </c>
      <c r="X114" s="54" t="str">
        <f t="shared" si="16"/>
        <v>RY20</v>
      </c>
      <c r="Y114" s="45" t="str">
        <f>Y$10</f>
        <v>RY21</v>
      </c>
      <c r="Z114" s="45" t="str">
        <f t="shared" si="16"/>
        <v>RY22</v>
      </c>
      <c r="AA114" s="45" t="str">
        <f t="shared" si="16"/>
        <v>RY23</v>
      </c>
      <c r="AB114" s="55" t="str">
        <f t="shared" si="16"/>
        <v>RY24</v>
      </c>
    </row>
    <row r="115" spans="1:28" x14ac:dyDescent="0.35">
      <c r="J115" s="56"/>
      <c r="K115" s="57"/>
      <c r="L115" s="57"/>
      <c r="M115" s="57"/>
      <c r="N115" s="57"/>
      <c r="O115" s="57"/>
      <c r="P115" s="57"/>
      <c r="Q115" s="57"/>
      <c r="R115" s="58"/>
      <c r="S115" s="56"/>
      <c r="T115" s="57"/>
      <c r="U115" s="57"/>
      <c r="V115" s="57"/>
      <c r="W115" s="58"/>
      <c r="X115" s="56"/>
      <c r="Y115" s="57"/>
      <c r="Z115" s="57"/>
      <c r="AA115" s="57"/>
      <c r="AB115" s="58"/>
    </row>
    <row r="116" spans="1:28" ht="12.3" x14ac:dyDescent="0.35">
      <c r="D116" s="15" t="str">
        <f>Calc_EB_SCS!$C$14</f>
        <v>Opening Balance</v>
      </c>
      <c r="E116" s="52" t="str">
        <f>$E$32</f>
        <v>Calc_EB_SCS</v>
      </c>
      <c r="F116" s="52" t="str">
        <f>Dollars</f>
        <v>Dollars</v>
      </c>
      <c r="G116" s="52" t="str">
        <f>Nominal</f>
        <v>Nominal</v>
      </c>
      <c r="H116" s="52" t="str">
        <f>Start_year</f>
        <v>Start year</v>
      </c>
      <c r="J116" s="66">
        <f>Calc_EB_SCS!J$24</f>
        <v>28.03394700308905</v>
      </c>
      <c r="K116" s="67">
        <f>Calc_EB_SCS!K$24</f>
        <v>29.444843897374323</v>
      </c>
      <c r="L116" s="67">
        <f>Calc_EB_SCS!L$24</f>
        <v>30.922463155114897</v>
      </c>
      <c r="M116" s="67">
        <f>Calc_EB_SCS!M$24</f>
        <v>32.243630749502024</v>
      </c>
      <c r="N116" s="67">
        <f>Calc_EB_SCS!N$24</f>
        <v>33.029189859678155</v>
      </c>
      <c r="O116" s="67">
        <f>Calc_EB_SCS!O$24</f>
        <v>33.993285131257949</v>
      </c>
      <c r="P116" s="67">
        <f>Calc_EB_SCS!P$24</f>
        <v>35.10020933196067</v>
      </c>
      <c r="Q116" s="67">
        <f>Calc_EB_SCS!Q$24</f>
        <v>35.671525048452402</v>
      </c>
      <c r="R116" s="68">
        <f>Calc_EB_SCS!R$24</f>
        <v>33.024999999999999</v>
      </c>
      <c r="S116" s="66">
        <f>Calc_EB_SCS!S$24</f>
        <v>34.47125290902666</v>
      </c>
      <c r="T116" s="67">
        <f>Calc_EB_SCS!T$24</f>
        <v>34.929125338558322</v>
      </c>
      <c r="U116" s="67">
        <f>Calc_EB_SCS!U$24</f>
        <v>35.386997768089991</v>
      </c>
      <c r="V116" s="67">
        <f>Calc_EB_SCS!V$24</f>
        <v>36.128882714951189</v>
      </c>
      <c r="W116" s="68">
        <f>Calc_EB_SCS!W$24</f>
        <v>37.004962835958267</v>
      </c>
      <c r="X116" s="66">
        <f>Calc_EB_SCS!X$24</f>
        <v>46.354917721396681</v>
      </c>
      <c r="Y116" s="67">
        <f>Calc_EB_SCS!Y$24</f>
        <v>47.478966373746196</v>
      </c>
      <c r="Z116" s="67">
        <f>Calc_EB_SCS!Z$24</f>
        <v>48.630271797004951</v>
      </c>
      <c r="AA116" s="67">
        <f>Calc_EB_SCS!AA$24</f>
        <v>49.809494933703185</v>
      </c>
      <c r="AB116" s="68">
        <f>Calc_EB_SCS!AB$24</f>
        <v>51.017312753399054</v>
      </c>
    </row>
    <row r="117" spans="1:28" ht="12.3" x14ac:dyDescent="0.35">
      <c r="D117" s="15" t="str">
        <f>Calc_EB_SCS!$C$33</f>
        <v>Inflation</v>
      </c>
      <c r="E117" s="52" t="str">
        <f>$E$33</f>
        <v>Calc_EB_SCS</v>
      </c>
      <c r="F117" s="52" t="str">
        <f>Dollars</f>
        <v>Dollars</v>
      </c>
      <c r="G117" s="52" t="str">
        <f>Nominal</f>
        <v>Nominal</v>
      </c>
      <c r="H117" s="52" t="str">
        <f>End_year</f>
        <v>End_year</v>
      </c>
      <c r="J117" s="66">
        <f>Calc_EB_SCS!J$43</f>
        <v>0.81950636793439535</v>
      </c>
      <c r="K117" s="67">
        <f>Calc_EB_SCS!K$43</f>
        <v>0.73176535129568909</v>
      </c>
      <c r="L117" s="67">
        <f>Calc_EB_SCS!L$43</f>
        <v>1.3211675943871264</v>
      </c>
      <c r="M117" s="67">
        <f>Calc_EB_SCS!M$43</f>
        <v>0.78555911017612945</v>
      </c>
      <c r="N117" s="67">
        <f>Calc_EB_SCS!N$43</f>
        <v>0.96409527157979225</v>
      </c>
      <c r="O117" s="67">
        <f>Calc_EB_SCS!O$43</f>
        <v>1.1069242007027233</v>
      </c>
      <c r="P117" s="67">
        <f>Calc_EB_SCS!P$43</f>
        <v>0.57131571649173518</v>
      </c>
      <c r="Q117" s="67">
        <f>Calc_EB_SCS!Q$43</f>
        <v>0.89268080701832808</v>
      </c>
      <c r="R117" s="68">
        <f>Calc_EB_SCS!R$43</f>
        <v>0.80907572383073523</v>
      </c>
      <c r="S117" s="66">
        <f>Calc_EB_SCS!S$43</f>
        <v>0.4578724295316603</v>
      </c>
      <c r="T117" s="67">
        <f>Calc_EB_SCS!T$43</f>
        <v>0.4578724295316684</v>
      </c>
      <c r="U117" s="67">
        <f>Calc_EB_SCS!U$43</f>
        <v>0.75221899137344483</v>
      </c>
      <c r="V117" s="67">
        <f>Calc_EB_SCS!V$43</f>
        <v>0.87608012100708033</v>
      </c>
      <c r="W117" s="68">
        <f>Calc_EB_SCS!W$43</f>
        <v>0.89732396584112384</v>
      </c>
      <c r="X117" s="66">
        <f>Calc_EB_SCS!X$43</f>
        <v>1.1240486523495119</v>
      </c>
      <c r="Y117" s="67">
        <f>Calc_EB_SCS!Y$43</f>
        <v>1.1513054232587514</v>
      </c>
      <c r="Z117" s="67">
        <f>Calc_EB_SCS!Z$43</f>
        <v>1.1792231366982326</v>
      </c>
      <c r="AA117" s="67">
        <f>Calc_EB_SCS!AA$43</f>
        <v>1.2078178196958724</v>
      </c>
      <c r="AB117" s="68">
        <f>Calc_EB_SCS!AB$43</f>
        <v>1.2371058879149257</v>
      </c>
    </row>
    <row r="118" spans="1:28" ht="12.3" x14ac:dyDescent="0.35">
      <c r="D118" s="15" t="str">
        <f>Calc_EB_SCS!$C$52</f>
        <v>Straight Line Depreciation</v>
      </c>
      <c r="E118" s="52" t="str">
        <f>$E$34</f>
        <v>Calc_EB_SCS</v>
      </c>
      <c r="F118" s="52" t="str">
        <f>Dollars</f>
        <v>Dollars</v>
      </c>
      <c r="G118" s="52" t="str">
        <f>Nominal</f>
        <v>Nominal</v>
      </c>
      <c r="H118" s="52" t="str">
        <f>End_year</f>
        <v>End_year</v>
      </c>
      <c r="J118" s="66">
        <f>Calc_EB_SCS!J$62</f>
        <v>0</v>
      </c>
      <c r="K118" s="67">
        <f>Calc_EB_SCS!K$62</f>
        <v>0</v>
      </c>
      <c r="L118" s="67">
        <f>Calc_EB_SCS!L$62</f>
        <v>0</v>
      </c>
      <c r="M118" s="67">
        <f>Calc_EB_SCS!M$62</f>
        <v>0</v>
      </c>
      <c r="N118" s="67">
        <f>Calc_EB_SCS!N$62</f>
        <v>0</v>
      </c>
      <c r="O118" s="67">
        <f>Calc_EB_SCS!O$62</f>
        <v>0</v>
      </c>
      <c r="P118" s="67">
        <f>Calc_EB_SCS!P$62</f>
        <v>0</v>
      </c>
      <c r="Q118" s="67">
        <f>Calc_EB_SCS!Q$62</f>
        <v>0</v>
      </c>
      <c r="R118" s="68">
        <f>Calc_EB_SCS!R$62</f>
        <v>-9.0828959042256185E-2</v>
      </c>
      <c r="S118" s="66">
        <f>Calc_EB_SCS!S$62</f>
        <v>0</v>
      </c>
      <c r="T118" s="67">
        <f>Calc_EB_SCS!T$62</f>
        <v>0</v>
      </c>
      <c r="U118" s="67">
        <f>Calc_EB_SCS!U$62</f>
        <v>0</v>
      </c>
      <c r="V118" s="67">
        <f>Calc_EB_SCS!V$62</f>
        <v>0</v>
      </c>
      <c r="W118" s="68">
        <f>Calc_EB_SCS!W$62</f>
        <v>0</v>
      </c>
      <c r="X118" s="66">
        <f>Calc_EB_SCS!X$62</f>
        <v>0</v>
      </c>
      <c r="Y118" s="67">
        <f>Calc_EB_SCS!Y$62</f>
        <v>0</v>
      </c>
      <c r="Z118" s="67">
        <f>Calc_EB_SCS!Z$62</f>
        <v>0</v>
      </c>
      <c r="AA118" s="67">
        <f>Calc_EB_SCS!AA$62</f>
        <v>0</v>
      </c>
      <c r="AB118" s="68">
        <f>Calc_EB_SCS!AB$62</f>
        <v>0</v>
      </c>
    </row>
    <row r="119" spans="1:28" ht="12.3" x14ac:dyDescent="0.35">
      <c r="D119" s="15" t="str">
        <f>Calc_EB_SCS!$C$71</f>
        <v>RAB Additions</v>
      </c>
      <c r="E119" s="52" t="str">
        <f>$E$35</f>
        <v>Calc_EB_SCS</v>
      </c>
      <c r="F119" s="52" t="str">
        <f>Dollars</f>
        <v>Dollars</v>
      </c>
      <c r="G119" s="52" t="str">
        <f>Nominal</f>
        <v>Nominal</v>
      </c>
      <c r="H119" s="52" t="str">
        <f>End_year</f>
        <v>End_year</v>
      </c>
      <c r="J119" s="66">
        <f>Calc_EB_SCS!J$81+Calc_EB_SCS!J$138</f>
        <v>0.59139052635087741</v>
      </c>
      <c r="K119" s="67">
        <f>Calc_EB_SCS!K$81+Calc_EB_SCS!K$138</f>
        <v>0.74585390644488558</v>
      </c>
      <c r="L119" s="67">
        <f>Calc_EB_SCS!L$81+Calc_EB_SCS!L$138</f>
        <v>0</v>
      </c>
      <c r="M119" s="67">
        <f>Calc_EB_SCS!M$81+Calc_EB_SCS!M$138</f>
        <v>0</v>
      </c>
      <c r="N119" s="67">
        <f>Calc_EB_SCS!N$81+Calc_EB_SCS!N$138</f>
        <v>0</v>
      </c>
      <c r="O119" s="67">
        <f>Calc_EB_SCS!O$81+Calc_EB_SCS!O$138</f>
        <v>0</v>
      </c>
      <c r="P119" s="67">
        <f>Calc_EB_SCS!P$81+Calc_EB_SCS!P$138</f>
        <v>0</v>
      </c>
      <c r="Q119" s="67">
        <f>Calc_EB_SCS!Q$81+Calc_EB_SCS!Q$138</f>
        <v>-4.4607753397497785E-2</v>
      </c>
      <c r="R119" s="68">
        <f>Calc_EB_SCS!R$81+Calc_EB_SCS!R$138</f>
        <v>0.72800614423817966</v>
      </c>
      <c r="S119" s="66">
        <f>Calc_EB_SCS!S$81+Calc_EB_SCS!S$138</f>
        <v>0</v>
      </c>
      <c r="T119" s="67">
        <f>Calc_EB_SCS!T$81+Calc_EB_SCS!T$138</f>
        <v>0</v>
      </c>
      <c r="U119" s="67">
        <f>Calc_EB_SCS!U$81+Calc_EB_SCS!U$138</f>
        <v>-1.081144242647495E-4</v>
      </c>
      <c r="V119" s="67">
        <f>Calc_EB_SCS!V$81+Calc_EB_SCS!V$138</f>
        <v>0</v>
      </c>
      <c r="W119" s="68">
        <f>Calc_EB_SCS!W$81+Calc_EB_SCS!W$138</f>
        <v>8.4526309195972882</v>
      </c>
      <c r="X119" s="66">
        <f>Calc_EB_SCS!X$81+Calc_EB_SCS!X$138</f>
        <v>0</v>
      </c>
      <c r="Y119" s="67">
        <f>Calc_EB_SCS!Y$81+Calc_EB_SCS!Y$138</f>
        <v>0</v>
      </c>
      <c r="Z119" s="67">
        <f>Calc_EB_SCS!Z$81+Calc_EB_SCS!Z$138</f>
        <v>0</v>
      </c>
      <c r="AA119" s="67">
        <f>Calc_EB_SCS!AA$81+Calc_EB_SCS!AA$138</f>
        <v>0</v>
      </c>
      <c r="AB119" s="68">
        <f>Calc_EB_SCS!AB$81+Calc_EB_SCS!AB$138</f>
        <v>0</v>
      </c>
    </row>
    <row r="120" spans="1:28" ht="12.3" x14ac:dyDescent="0.35">
      <c r="D120" s="15" t="str">
        <f>Calc_EB_SCS!$C$90</f>
        <v>Disposals</v>
      </c>
      <c r="E120" s="52" t="str">
        <f>$E$36</f>
        <v>Calc_EB_SCS</v>
      </c>
      <c r="F120" s="52" t="str">
        <f>Dollars</f>
        <v>Dollars</v>
      </c>
      <c r="G120" s="52" t="str">
        <f>Nominal</f>
        <v>Nominal</v>
      </c>
      <c r="H120" s="52" t="str">
        <f>End_year</f>
        <v>End_year</v>
      </c>
      <c r="J120" s="66">
        <f>Calc_EB_SCS!J$100</f>
        <v>0</v>
      </c>
      <c r="K120" s="67">
        <f>Calc_EB_SCS!K$100</f>
        <v>0</v>
      </c>
      <c r="L120" s="67">
        <f>Calc_EB_SCS!L$100</f>
        <v>0</v>
      </c>
      <c r="M120" s="67">
        <f>Calc_EB_SCS!M$100</f>
        <v>0</v>
      </c>
      <c r="N120" s="67">
        <f>Calc_EB_SCS!N$100</f>
        <v>0</v>
      </c>
      <c r="O120" s="67">
        <f>Calc_EB_SCS!O$100</f>
        <v>0</v>
      </c>
      <c r="P120" s="67">
        <f>Calc_EB_SCS!P$100</f>
        <v>0</v>
      </c>
      <c r="Q120" s="67">
        <f>Calc_EB_SCS!Q$100</f>
        <v>-3.4945981020732342</v>
      </c>
      <c r="R120" s="68">
        <f>Calc_EB_SCS!R$100</f>
        <v>0</v>
      </c>
      <c r="S120" s="66">
        <f>Calc_EB_SCS!S$100</f>
        <v>0</v>
      </c>
      <c r="T120" s="67">
        <f>Calc_EB_SCS!T$100</f>
        <v>0</v>
      </c>
      <c r="U120" s="67">
        <f>Calc_EB_SCS!U$100</f>
        <v>-1.0225930087984345E-2</v>
      </c>
      <c r="V120" s="67">
        <f>Calc_EB_SCS!V$100</f>
        <v>0</v>
      </c>
      <c r="W120" s="68">
        <f>Calc_EB_SCS!W$100</f>
        <v>0</v>
      </c>
      <c r="X120" s="66">
        <f>Calc_EB_SCS!X$100</f>
        <v>0</v>
      </c>
      <c r="Y120" s="67">
        <f>Calc_EB_SCS!Y$100</f>
        <v>0</v>
      </c>
      <c r="Z120" s="67">
        <f>Calc_EB_SCS!Z$100</f>
        <v>0</v>
      </c>
      <c r="AA120" s="67">
        <f>Calc_EB_SCS!AA$100</f>
        <v>0</v>
      </c>
      <c r="AB120" s="68">
        <f>Calc_EB_SCS!AB$100</f>
        <v>0</v>
      </c>
    </row>
    <row r="121" spans="1:28" x14ac:dyDescent="0.35">
      <c r="J121" s="56"/>
      <c r="K121" s="57"/>
      <c r="L121" s="57"/>
      <c r="M121" s="57"/>
      <c r="N121" s="57"/>
      <c r="O121" s="57"/>
      <c r="P121" s="57"/>
      <c r="Q121" s="57"/>
      <c r="R121" s="58"/>
      <c r="S121" s="56"/>
      <c r="T121" s="57"/>
      <c r="U121" s="57"/>
      <c r="V121" s="57"/>
      <c r="W121" s="58"/>
      <c r="X121" s="56"/>
      <c r="Y121" s="57"/>
      <c r="Z121" s="57"/>
      <c r="AA121" s="57"/>
      <c r="AB121" s="58"/>
    </row>
    <row r="122" spans="1:28" ht="12.3" x14ac:dyDescent="0.35">
      <c r="D122" s="51" t="s">
        <v>152</v>
      </c>
      <c r="E122" s="47" t="s">
        <v>111</v>
      </c>
      <c r="F122" s="47" t="str">
        <f>F116</f>
        <v>Dollars</v>
      </c>
      <c r="G122" s="47" t="str">
        <f>G116</f>
        <v>Nominal</v>
      </c>
      <c r="H122" s="47" t="str">
        <f>H116</f>
        <v>Start year</v>
      </c>
      <c r="J122" s="62">
        <f>SUM(J116:J120)</f>
        <v>29.444843897374323</v>
      </c>
      <c r="K122" s="46">
        <f t="shared" ref="K122:AB122" si="17">SUM(K116:K120)</f>
        <v>30.922463155114897</v>
      </c>
      <c r="L122" s="46">
        <f t="shared" si="17"/>
        <v>32.243630749502024</v>
      </c>
      <c r="M122" s="46">
        <f t="shared" si="17"/>
        <v>33.029189859678155</v>
      </c>
      <c r="N122" s="46">
        <f t="shared" si="17"/>
        <v>33.993285131257949</v>
      </c>
      <c r="O122" s="46">
        <f t="shared" si="17"/>
        <v>35.10020933196067</v>
      </c>
      <c r="P122" s="46">
        <f t="shared" si="17"/>
        <v>35.671525048452402</v>
      </c>
      <c r="Q122" s="46">
        <f t="shared" si="17"/>
        <v>33.024999999999999</v>
      </c>
      <c r="R122" s="63">
        <f t="shared" si="17"/>
        <v>34.47125290902666</v>
      </c>
      <c r="S122" s="62">
        <f t="shared" si="17"/>
        <v>34.929125338558322</v>
      </c>
      <c r="T122" s="46">
        <f t="shared" si="17"/>
        <v>35.386997768089991</v>
      </c>
      <c r="U122" s="46">
        <f t="shared" si="17"/>
        <v>36.128882714951189</v>
      </c>
      <c r="V122" s="46">
        <f t="shared" si="17"/>
        <v>37.004962835958267</v>
      </c>
      <c r="W122" s="63">
        <f t="shared" si="17"/>
        <v>46.354917721396681</v>
      </c>
      <c r="X122" s="62">
        <f t="shared" si="17"/>
        <v>47.478966373746196</v>
      </c>
      <c r="Y122" s="46">
        <f t="shared" si="17"/>
        <v>48.630271797004951</v>
      </c>
      <c r="Z122" s="46">
        <f t="shared" si="17"/>
        <v>49.809494933703185</v>
      </c>
      <c r="AA122" s="46">
        <f t="shared" si="17"/>
        <v>51.017312753399054</v>
      </c>
      <c r="AB122" s="63">
        <f t="shared" si="17"/>
        <v>52.254418641313983</v>
      </c>
    </row>
    <row r="123" spans="1:28" s="6" customFormat="1" ht="11.25" customHeight="1" x14ac:dyDescent="0.35"/>
    <row r="124" spans="1:28" s="6" customFormat="1" ht="11.25" customHeight="1" x14ac:dyDescent="0.35">
      <c r="A124" s="49">
        <f>IF(SUM($J124:$AB124)&lt;&gt;0,1,0)</f>
        <v>0</v>
      </c>
      <c r="D124" s="15" t="s">
        <v>114</v>
      </c>
      <c r="J124" s="70">
        <f>IF(J122&lt;&gt;Calc_EB_SCS!J$157,1,0)</f>
        <v>0</v>
      </c>
      <c r="K124" s="70">
        <f>IF(K122&lt;&gt;Calc_EB_SCS!K$157,1,0)</f>
        <v>0</v>
      </c>
      <c r="L124" s="70">
        <f>IF(L122&lt;&gt;Calc_EB_SCS!L$157,1,0)</f>
        <v>0</v>
      </c>
      <c r="M124" s="70">
        <f>IF(M122&lt;&gt;Calc_EB_SCS!M$157,1,0)</f>
        <v>0</v>
      </c>
      <c r="N124" s="70">
        <f>IF(N122&lt;&gt;Calc_EB_SCS!N$157,1,0)</f>
        <v>0</v>
      </c>
      <c r="O124" s="70">
        <f>IF(O122&lt;&gt;Calc_EB_SCS!O$157,1,0)</f>
        <v>0</v>
      </c>
      <c r="P124" s="70">
        <f>IF(P122&lt;&gt;Calc_EB_SCS!P$157,1,0)</f>
        <v>0</v>
      </c>
      <c r="Q124" s="70">
        <f>IF(Q122&lt;&gt;Calc_EB_SCS!Q$157,1,0)</f>
        <v>0</v>
      </c>
      <c r="R124" s="70">
        <f>IF(R122&lt;&gt;Calc_EB_SCS!R$157,1,0)</f>
        <v>0</v>
      </c>
      <c r="S124" s="70">
        <f>IF(S122&lt;&gt;Calc_EB_SCS!S$157,1,0)</f>
        <v>0</v>
      </c>
      <c r="T124" s="70">
        <f>IF(T122&lt;&gt;Calc_EB_SCS!T$157,1,0)</f>
        <v>0</v>
      </c>
      <c r="U124" s="70">
        <f>IF(U122&lt;&gt;Calc_EB_SCS!U$157,1,0)</f>
        <v>0</v>
      </c>
      <c r="V124" s="70">
        <f>IF(V122&lt;&gt;Calc_EB_SCS!V$157,1,0)</f>
        <v>0</v>
      </c>
      <c r="W124" s="70">
        <f>IF(W122&lt;&gt;Calc_EB_SCS!W$157,1,0)</f>
        <v>0</v>
      </c>
      <c r="X124" s="70">
        <f>IF(X122&lt;&gt;Calc_EB_SCS!X$157,1,0)</f>
        <v>0</v>
      </c>
      <c r="Y124" s="70">
        <f>IF(Y122&lt;&gt;Calc_EB_SCS!Y$157,1,0)</f>
        <v>0</v>
      </c>
      <c r="Z124" s="70">
        <f>IF(Z122&lt;&gt;Calc_EB_SCS!Z$157,1,0)</f>
        <v>0</v>
      </c>
      <c r="AA124" s="70">
        <f>IF(AA122&lt;&gt;Calc_EB_SCS!AA$157,1,0)</f>
        <v>0</v>
      </c>
      <c r="AB124" s="70">
        <f>IF(AB122&lt;&gt;Calc_EB_SCS!AB$157,1,0)</f>
        <v>0</v>
      </c>
    </row>
    <row r="125" spans="1:28" s="6" customFormat="1" ht="11.25" customHeight="1" x14ac:dyDescent="0.35">
      <c r="L125" s="10"/>
      <c r="Q125" s="10"/>
      <c r="V125" s="10"/>
      <c r="AA125" s="10"/>
    </row>
    <row r="126" spans="1:28" s="13" customFormat="1" ht="14.1" x14ac:dyDescent="0.35">
      <c r="C126" s="13" t="str">
        <f>Lookup!$D$110</f>
        <v>Meters</v>
      </c>
    </row>
    <row r="127" spans="1:28" s="6" customFormat="1" ht="11.25" customHeight="1" x14ac:dyDescent="0.35"/>
    <row r="128" spans="1:28" ht="12.3" x14ac:dyDescent="0.35">
      <c r="D128" s="50" t="s">
        <v>109</v>
      </c>
      <c r="E128" s="45" t="str">
        <f>Lookup!E$20</f>
        <v>Source</v>
      </c>
      <c r="F128" s="45" t="str">
        <f>Lookup!F$20</f>
        <v>Unit</v>
      </c>
      <c r="G128" s="45" t="str">
        <f>Lookup!G$20</f>
        <v>Basis</v>
      </c>
      <c r="H128" s="45" t="str">
        <f>Lookup!H$20</f>
        <v>Timing</v>
      </c>
      <c r="J128" s="54" t="str">
        <f>J$10</f>
        <v>RY06</v>
      </c>
      <c r="K128" s="45" t="str">
        <f t="shared" ref="K128:AB128" si="18">K$10</f>
        <v>RY07</v>
      </c>
      <c r="L128" s="45" t="str">
        <f t="shared" si="18"/>
        <v>RY08</v>
      </c>
      <c r="M128" s="45" t="str">
        <f t="shared" si="18"/>
        <v>RY09</v>
      </c>
      <c r="N128" s="45" t="str">
        <f t="shared" si="18"/>
        <v>RY10</v>
      </c>
      <c r="O128" s="45" t="str">
        <f>O$10</f>
        <v>RY11</v>
      </c>
      <c r="P128" s="45" t="str">
        <f t="shared" si="18"/>
        <v>RY12</v>
      </c>
      <c r="Q128" s="45" t="str">
        <f t="shared" si="18"/>
        <v>RY13</v>
      </c>
      <c r="R128" s="55" t="str">
        <f t="shared" si="18"/>
        <v>RY14</v>
      </c>
      <c r="S128" s="54" t="str">
        <f t="shared" si="18"/>
        <v>RY15</v>
      </c>
      <c r="T128" s="45" t="str">
        <f>T$10</f>
        <v>RY16</v>
      </c>
      <c r="U128" s="45" t="str">
        <f t="shared" si="18"/>
        <v>RY17</v>
      </c>
      <c r="V128" s="45" t="str">
        <f t="shared" si="18"/>
        <v>RY18</v>
      </c>
      <c r="W128" s="55" t="str">
        <f t="shared" si="18"/>
        <v>RY19</v>
      </c>
      <c r="X128" s="54" t="str">
        <f t="shared" si="18"/>
        <v>RY20</v>
      </c>
      <c r="Y128" s="45" t="str">
        <f>Y$10</f>
        <v>RY21</v>
      </c>
      <c r="Z128" s="45" t="str">
        <f t="shared" si="18"/>
        <v>RY22</v>
      </c>
      <c r="AA128" s="45" t="str">
        <f t="shared" si="18"/>
        <v>RY23</v>
      </c>
      <c r="AB128" s="55" t="str">
        <f t="shared" si="18"/>
        <v>RY24</v>
      </c>
    </row>
    <row r="129" spans="1:28" x14ac:dyDescent="0.35">
      <c r="J129" s="56"/>
      <c r="K129" s="57"/>
      <c r="L129" s="57"/>
      <c r="M129" s="57"/>
      <c r="N129" s="57"/>
      <c r="O129" s="57"/>
      <c r="P129" s="57"/>
      <c r="Q129" s="57"/>
      <c r="R129" s="58"/>
      <c r="S129" s="56"/>
      <c r="T129" s="57"/>
      <c r="U129" s="57"/>
      <c r="V129" s="57"/>
      <c r="W129" s="58"/>
      <c r="X129" s="56"/>
      <c r="Y129" s="57"/>
      <c r="Z129" s="57"/>
      <c r="AA129" s="57"/>
      <c r="AB129" s="58"/>
    </row>
    <row r="130" spans="1:28" ht="12.3" x14ac:dyDescent="0.35">
      <c r="D130" s="15" t="str">
        <f>Calc_EB_SCS!$C$14</f>
        <v>Opening Balance</v>
      </c>
      <c r="E130" s="52" t="str">
        <f>$E$32</f>
        <v>Calc_EB_SCS</v>
      </c>
      <c r="F130" s="52" t="str">
        <f>Dollars</f>
        <v>Dollars</v>
      </c>
      <c r="G130" s="52" t="str">
        <f>Nominal</f>
        <v>Nominal</v>
      </c>
      <c r="H130" s="52" t="str">
        <f>Start_year</f>
        <v>Start year</v>
      </c>
      <c r="J130" s="66">
        <f>Calc_EB_SCS!J$25</f>
        <v>0</v>
      </c>
      <c r="K130" s="67">
        <f>Calc_EB_SCS!K$25</f>
        <v>0</v>
      </c>
      <c r="L130" s="67">
        <f>Calc_EB_SCS!L$25</f>
        <v>0</v>
      </c>
      <c r="M130" s="67">
        <f>Calc_EB_SCS!M$25</f>
        <v>0</v>
      </c>
      <c r="N130" s="67">
        <f>Calc_EB_SCS!N$25</f>
        <v>0</v>
      </c>
      <c r="O130" s="67">
        <f>Calc_EB_SCS!O$25</f>
        <v>0</v>
      </c>
      <c r="P130" s="67">
        <f>Calc_EB_SCS!P$25</f>
        <v>0</v>
      </c>
      <c r="Q130" s="67">
        <f>Calc_EB_SCS!Q$25</f>
        <v>0</v>
      </c>
      <c r="R130" s="68">
        <f>Calc_EB_SCS!R$25</f>
        <v>0</v>
      </c>
      <c r="S130" s="66">
        <f>Calc_EB_SCS!S$25</f>
        <v>0</v>
      </c>
      <c r="T130" s="67">
        <f>Calc_EB_SCS!T$25</f>
        <v>0</v>
      </c>
      <c r="U130" s="67">
        <f>Calc_EB_SCS!U$25</f>
        <v>0</v>
      </c>
      <c r="V130" s="67">
        <f>Calc_EB_SCS!V$25</f>
        <v>0</v>
      </c>
      <c r="W130" s="68">
        <f>Calc_EB_SCS!W$25</f>
        <v>0</v>
      </c>
      <c r="X130" s="66">
        <f>Calc_EB_SCS!X$25</f>
        <v>0</v>
      </c>
      <c r="Y130" s="67">
        <f>Calc_EB_SCS!Y$25</f>
        <v>0</v>
      </c>
      <c r="Z130" s="67">
        <f>Calc_EB_SCS!Z$25</f>
        <v>0</v>
      </c>
      <c r="AA130" s="67">
        <f>Calc_EB_SCS!AA$25</f>
        <v>0</v>
      </c>
      <c r="AB130" s="68">
        <f>Calc_EB_SCS!AB$25</f>
        <v>0</v>
      </c>
    </row>
    <row r="131" spans="1:28" ht="12.3" x14ac:dyDescent="0.35">
      <c r="D131" s="15" t="str">
        <f>Calc_EB_SCS!$C$33</f>
        <v>Inflation</v>
      </c>
      <c r="E131" s="52" t="str">
        <f>$E$33</f>
        <v>Calc_EB_SCS</v>
      </c>
      <c r="F131" s="52" t="str">
        <f>Dollars</f>
        <v>Dollars</v>
      </c>
      <c r="G131" s="52" t="str">
        <f>Nominal</f>
        <v>Nominal</v>
      </c>
      <c r="H131" s="52" t="str">
        <f>End_year</f>
        <v>End_year</v>
      </c>
      <c r="J131" s="66">
        <f>Calc_EB_SCS!J$44</f>
        <v>0</v>
      </c>
      <c r="K131" s="67">
        <f>Calc_EB_SCS!K$44</f>
        <v>0</v>
      </c>
      <c r="L131" s="67">
        <f>Calc_EB_SCS!L$44</f>
        <v>0</v>
      </c>
      <c r="M131" s="67">
        <f>Calc_EB_SCS!M$44</f>
        <v>0</v>
      </c>
      <c r="N131" s="67">
        <f>Calc_EB_SCS!N$44</f>
        <v>0</v>
      </c>
      <c r="O131" s="67">
        <f>Calc_EB_SCS!O$44</f>
        <v>0</v>
      </c>
      <c r="P131" s="67">
        <f>Calc_EB_SCS!P$44</f>
        <v>0</v>
      </c>
      <c r="Q131" s="67">
        <f>Calc_EB_SCS!Q$44</f>
        <v>0</v>
      </c>
      <c r="R131" s="68">
        <f>Calc_EB_SCS!R$44</f>
        <v>0</v>
      </c>
      <c r="S131" s="66">
        <f>Calc_EB_SCS!S$44</f>
        <v>0</v>
      </c>
      <c r="T131" s="67">
        <f>Calc_EB_SCS!T$44</f>
        <v>0</v>
      </c>
      <c r="U131" s="67">
        <f>Calc_EB_SCS!U$44</f>
        <v>0</v>
      </c>
      <c r="V131" s="67">
        <f>Calc_EB_SCS!V$44</f>
        <v>0</v>
      </c>
      <c r="W131" s="68">
        <f>Calc_EB_SCS!W$44</f>
        <v>0</v>
      </c>
      <c r="X131" s="66">
        <f>Calc_EB_SCS!X$44</f>
        <v>0</v>
      </c>
      <c r="Y131" s="67">
        <f>Calc_EB_SCS!Y$44</f>
        <v>0</v>
      </c>
      <c r="Z131" s="67">
        <f>Calc_EB_SCS!Z$44</f>
        <v>0</v>
      </c>
      <c r="AA131" s="67">
        <f>Calc_EB_SCS!AA$44</f>
        <v>0</v>
      </c>
      <c r="AB131" s="68">
        <f>Calc_EB_SCS!AB$44</f>
        <v>0</v>
      </c>
    </row>
    <row r="132" spans="1:28" ht="12.3" x14ac:dyDescent="0.35">
      <c r="D132" s="15" t="str">
        <f>Calc_EB_SCS!$C$52</f>
        <v>Straight Line Depreciation</v>
      </c>
      <c r="E132" s="52" t="str">
        <f>$E$34</f>
        <v>Calc_EB_SCS</v>
      </c>
      <c r="F132" s="52" t="str">
        <f>Dollars</f>
        <v>Dollars</v>
      </c>
      <c r="G132" s="52" t="str">
        <f>Nominal</f>
        <v>Nominal</v>
      </c>
      <c r="H132" s="52" t="str">
        <f>End_year</f>
        <v>End_year</v>
      </c>
      <c r="J132" s="66">
        <f>Calc_EB_SCS!J$63</f>
        <v>0</v>
      </c>
      <c r="K132" s="67">
        <f>Calc_EB_SCS!K$63</f>
        <v>0</v>
      </c>
      <c r="L132" s="67">
        <f>Calc_EB_SCS!L$63</f>
        <v>0</v>
      </c>
      <c r="M132" s="67">
        <f>Calc_EB_SCS!M$63</f>
        <v>0</v>
      </c>
      <c r="N132" s="67">
        <f>Calc_EB_SCS!N$63</f>
        <v>0</v>
      </c>
      <c r="O132" s="67">
        <f>Calc_EB_SCS!O$63</f>
        <v>0</v>
      </c>
      <c r="P132" s="67">
        <f>Calc_EB_SCS!P$63</f>
        <v>0</v>
      </c>
      <c r="Q132" s="67">
        <f>Calc_EB_SCS!Q$63</f>
        <v>0</v>
      </c>
      <c r="R132" s="68">
        <f>Calc_EB_SCS!R$63</f>
        <v>0</v>
      </c>
      <c r="S132" s="66">
        <f>Calc_EB_SCS!S$63</f>
        <v>0</v>
      </c>
      <c r="T132" s="67">
        <f>Calc_EB_SCS!T$63</f>
        <v>0</v>
      </c>
      <c r="U132" s="67">
        <f>Calc_EB_SCS!U$63</f>
        <v>0</v>
      </c>
      <c r="V132" s="67">
        <f>Calc_EB_SCS!V$63</f>
        <v>0</v>
      </c>
      <c r="W132" s="68">
        <f>Calc_EB_SCS!W$63</f>
        <v>0</v>
      </c>
      <c r="X132" s="66">
        <f>Calc_EB_SCS!X$63</f>
        <v>0</v>
      </c>
      <c r="Y132" s="67">
        <f>Calc_EB_SCS!Y$63</f>
        <v>0</v>
      </c>
      <c r="Z132" s="67">
        <f>Calc_EB_SCS!Z$63</f>
        <v>0</v>
      </c>
      <c r="AA132" s="67">
        <f>Calc_EB_SCS!AA$63</f>
        <v>0</v>
      </c>
      <c r="AB132" s="68">
        <f>Calc_EB_SCS!AB$63</f>
        <v>0</v>
      </c>
    </row>
    <row r="133" spans="1:28" ht="12.3" x14ac:dyDescent="0.35">
      <c r="D133" s="15" t="str">
        <f>Calc_EB_SCS!$C$71</f>
        <v>RAB Additions</v>
      </c>
      <c r="E133" s="52" t="str">
        <f>$E$35</f>
        <v>Calc_EB_SCS</v>
      </c>
      <c r="F133" s="52" t="str">
        <f>Dollars</f>
        <v>Dollars</v>
      </c>
      <c r="G133" s="52" t="str">
        <f>Nominal</f>
        <v>Nominal</v>
      </c>
      <c r="H133" s="52" t="str">
        <f>End_year</f>
        <v>End_year</v>
      </c>
      <c r="J133" s="66">
        <f>Calc_EB_SCS!J$82+Calc_EB_SCS!J$139</f>
        <v>0</v>
      </c>
      <c r="K133" s="67">
        <f>Calc_EB_SCS!K$82+Calc_EB_SCS!K$139</f>
        <v>0</v>
      </c>
      <c r="L133" s="67">
        <f>Calc_EB_SCS!L$82+Calc_EB_SCS!L$139</f>
        <v>0</v>
      </c>
      <c r="M133" s="67">
        <f>Calc_EB_SCS!M$82+Calc_EB_SCS!M$139</f>
        <v>0</v>
      </c>
      <c r="N133" s="67">
        <f>Calc_EB_SCS!N$82+Calc_EB_SCS!N$139</f>
        <v>0</v>
      </c>
      <c r="O133" s="67">
        <f>Calc_EB_SCS!O$82+Calc_EB_SCS!O$139</f>
        <v>0</v>
      </c>
      <c r="P133" s="67">
        <f>Calc_EB_SCS!P$82+Calc_EB_SCS!P$139</f>
        <v>0</v>
      </c>
      <c r="Q133" s="67">
        <f>Calc_EB_SCS!Q$82+Calc_EB_SCS!Q$139</f>
        <v>0</v>
      </c>
      <c r="R133" s="68">
        <f>Calc_EB_SCS!R$82+Calc_EB_SCS!R$139</f>
        <v>0</v>
      </c>
      <c r="S133" s="66">
        <f>Calc_EB_SCS!S$82+Calc_EB_SCS!S$139</f>
        <v>0</v>
      </c>
      <c r="T133" s="67">
        <f>Calc_EB_SCS!T$82+Calc_EB_SCS!T$139</f>
        <v>0</v>
      </c>
      <c r="U133" s="67">
        <f>Calc_EB_SCS!U$82+Calc_EB_SCS!U$139</f>
        <v>0</v>
      </c>
      <c r="V133" s="67">
        <f>Calc_EB_SCS!V$82+Calc_EB_SCS!V$139</f>
        <v>0</v>
      </c>
      <c r="W133" s="68">
        <f>Calc_EB_SCS!W$82+Calc_EB_SCS!W$139</f>
        <v>0</v>
      </c>
      <c r="X133" s="66">
        <f>Calc_EB_SCS!X$82+Calc_EB_SCS!X$139</f>
        <v>0</v>
      </c>
      <c r="Y133" s="67">
        <f>Calc_EB_SCS!Y$82+Calc_EB_SCS!Y$139</f>
        <v>0</v>
      </c>
      <c r="Z133" s="67">
        <f>Calc_EB_SCS!Z$82+Calc_EB_SCS!Z$139</f>
        <v>0</v>
      </c>
      <c r="AA133" s="67">
        <f>Calc_EB_SCS!AA$82+Calc_EB_SCS!AA$139</f>
        <v>0</v>
      </c>
      <c r="AB133" s="68">
        <f>Calc_EB_SCS!AB$82+Calc_EB_SCS!AB$139</f>
        <v>0</v>
      </c>
    </row>
    <row r="134" spans="1:28" ht="12.3" x14ac:dyDescent="0.35">
      <c r="D134" s="15" t="str">
        <f>Calc_EB_SCS!$C$90</f>
        <v>Disposals</v>
      </c>
      <c r="E134" s="52" t="str">
        <f>$E$36</f>
        <v>Calc_EB_SCS</v>
      </c>
      <c r="F134" s="52" t="str">
        <f>Dollars</f>
        <v>Dollars</v>
      </c>
      <c r="G134" s="52" t="str">
        <f>Nominal</f>
        <v>Nominal</v>
      </c>
      <c r="H134" s="52" t="str">
        <f>End_year</f>
        <v>End_year</v>
      </c>
      <c r="J134" s="66">
        <f>Calc_EB_SCS!J$101</f>
        <v>0</v>
      </c>
      <c r="K134" s="67">
        <f>Calc_EB_SCS!K$101</f>
        <v>0</v>
      </c>
      <c r="L134" s="67">
        <f>Calc_EB_SCS!L$101</f>
        <v>0</v>
      </c>
      <c r="M134" s="67">
        <f>Calc_EB_SCS!M$101</f>
        <v>0</v>
      </c>
      <c r="N134" s="67">
        <f>Calc_EB_SCS!N$101</f>
        <v>0</v>
      </c>
      <c r="O134" s="67">
        <f>Calc_EB_SCS!O$101</f>
        <v>0</v>
      </c>
      <c r="P134" s="67">
        <f>Calc_EB_SCS!P$101</f>
        <v>0</v>
      </c>
      <c r="Q134" s="67">
        <f>Calc_EB_SCS!Q$101</f>
        <v>0</v>
      </c>
      <c r="R134" s="68">
        <f>Calc_EB_SCS!R$101</f>
        <v>0</v>
      </c>
      <c r="S134" s="66">
        <f>Calc_EB_SCS!S$101</f>
        <v>0</v>
      </c>
      <c r="T134" s="67">
        <f>Calc_EB_SCS!T$101</f>
        <v>0</v>
      </c>
      <c r="U134" s="67">
        <f>Calc_EB_SCS!U$101</f>
        <v>0</v>
      </c>
      <c r="V134" s="67">
        <f>Calc_EB_SCS!V$101</f>
        <v>0</v>
      </c>
      <c r="W134" s="68">
        <f>Calc_EB_SCS!W$101</f>
        <v>0</v>
      </c>
      <c r="X134" s="66">
        <f>Calc_EB_SCS!X$101</f>
        <v>0</v>
      </c>
      <c r="Y134" s="67">
        <f>Calc_EB_SCS!Y$101</f>
        <v>0</v>
      </c>
      <c r="Z134" s="67">
        <f>Calc_EB_SCS!Z$101</f>
        <v>0</v>
      </c>
      <c r="AA134" s="67">
        <f>Calc_EB_SCS!AA$101</f>
        <v>0</v>
      </c>
      <c r="AB134" s="68">
        <f>Calc_EB_SCS!AB$101</f>
        <v>0</v>
      </c>
    </row>
    <row r="135" spans="1:28" x14ac:dyDescent="0.35">
      <c r="J135" s="56"/>
      <c r="K135" s="57"/>
      <c r="L135" s="57"/>
      <c r="M135" s="57"/>
      <c r="N135" s="57"/>
      <c r="O135" s="57"/>
      <c r="P135" s="57"/>
      <c r="Q135" s="57"/>
      <c r="R135" s="58"/>
      <c r="S135" s="56"/>
      <c r="T135" s="57"/>
      <c r="U135" s="57"/>
      <c r="V135" s="57"/>
      <c r="W135" s="58"/>
      <c r="X135" s="56"/>
      <c r="Y135" s="57"/>
      <c r="Z135" s="57"/>
      <c r="AA135" s="57"/>
      <c r="AB135" s="58"/>
    </row>
    <row r="136" spans="1:28" ht="12.3" x14ac:dyDescent="0.35">
      <c r="D136" s="51" t="s">
        <v>152</v>
      </c>
      <c r="E136" s="47" t="s">
        <v>111</v>
      </c>
      <c r="F136" s="47" t="str">
        <f>F130</f>
        <v>Dollars</v>
      </c>
      <c r="G136" s="47" t="str">
        <f>G130</f>
        <v>Nominal</v>
      </c>
      <c r="H136" s="47" t="str">
        <f>H130</f>
        <v>Start year</v>
      </c>
      <c r="J136" s="62">
        <f>SUM(J130:J134)</f>
        <v>0</v>
      </c>
      <c r="K136" s="46">
        <f t="shared" ref="K136:AB136" si="19">SUM(K130:K134)</f>
        <v>0</v>
      </c>
      <c r="L136" s="46">
        <f t="shared" si="19"/>
        <v>0</v>
      </c>
      <c r="M136" s="46">
        <f t="shared" si="19"/>
        <v>0</v>
      </c>
      <c r="N136" s="46">
        <f t="shared" si="19"/>
        <v>0</v>
      </c>
      <c r="O136" s="46">
        <f t="shared" si="19"/>
        <v>0</v>
      </c>
      <c r="P136" s="46">
        <f t="shared" si="19"/>
        <v>0</v>
      </c>
      <c r="Q136" s="46">
        <f t="shared" si="19"/>
        <v>0</v>
      </c>
      <c r="R136" s="63">
        <f t="shared" si="19"/>
        <v>0</v>
      </c>
      <c r="S136" s="62">
        <f t="shared" si="19"/>
        <v>0</v>
      </c>
      <c r="T136" s="46">
        <f t="shared" si="19"/>
        <v>0</v>
      </c>
      <c r="U136" s="46">
        <f t="shared" si="19"/>
        <v>0</v>
      </c>
      <c r="V136" s="46">
        <f t="shared" si="19"/>
        <v>0</v>
      </c>
      <c r="W136" s="63">
        <f t="shared" si="19"/>
        <v>0</v>
      </c>
      <c r="X136" s="62">
        <f t="shared" si="19"/>
        <v>0</v>
      </c>
      <c r="Y136" s="46">
        <f t="shared" si="19"/>
        <v>0</v>
      </c>
      <c r="Z136" s="46">
        <f t="shared" si="19"/>
        <v>0</v>
      </c>
      <c r="AA136" s="46">
        <f t="shared" si="19"/>
        <v>0</v>
      </c>
      <c r="AB136" s="63">
        <f t="shared" si="19"/>
        <v>0</v>
      </c>
    </row>
    <row r="137" spans="1:28" s="6" customFormat="1" ht="11.25" customHeight="1" x14ac:dyDescent="0.35"/>
    <row r="138" spans="1:28" s="6" customFormat="1" ht="11.25" customHeight="1" x14ac:dyDescent="0.35">
      <c r="A138" s="49">
        <f>IF(SUM($J138:$AB138)&lt;&gt;0,1,0)</f>
        <v>0</v>
      </c>
      <c r="D138" s="15" t="s">
        <v>114</v>
      </c>
      <c r="J138" s="70">
        <f>IF(J136&lt;&gt;Calc_EB_SCS!J$158,1,0)</f>
        <v>0</v>
      </c>
      <c r="K138" s="70">
        <f>IF(K136&lt;&gt;Calc_EB_SCS!K$158,1,0)</f>
        <v>0</v>
      </c>
      <c r="L138" s="70">
        <f>IF(L136&lt;&gt;Calc_EB_SCS!L$158,1,0)</f>
        <v>0</v>
      </c>
      <c r="M138" s="70">
        <f>IF(M136&lt;&gt;Calc_EB_SCS!M$158,1,0)</f>
        <v>0</v>
      </c>
      <c r="N138" s="70">
        <f>IF(N136&lt;&gt;Calc_EB_SCS!N$158,1,0)</f>
        <v>0</v>
      </c>
      <c r="O138" s="70">
        <f>IF(O136&lt;&gt;Calc_EB_SCS!O$158,1,0)</f>
        <v>0</v>
      </c>
      <c r="P138" s="70">
        <f>IF(P136&lt;&gt;Calc_EB_SCS!P$158,1,0)</f>
        <v>0</v>
      </c>
      <c r="Q138" s="70">
        <f>IF(Q136&lt;&gt;Calc_EB_SCS!Q$158,1,0)</f>
        <v>0</v>
      </c>
      <c r="R138" s="70">
        <f>IF(R136&lt;&gt;Calc_EB_SCS!R$158,1,0)</f>
        <v>0</v>
      </c>
      <c r="S138" s="70">
        <f>IF(S136&lt;&gt;Calc_EB_SCS!S$158,1,0)</f>
        <v>0</v>
      </c>
      <c r="T138" s="70">
        <f>IF(T136&lt;&gt;Calc_EB_SCS!T$158,1,0)</f>
        <v>0</v>
      </c>
      <c r="U138" s="70">
        <f>IF(U136&lt;&gt;Calc_EB_SCS!U$158,1,0)</f>
        <v>0</v>
      </c>
      <c r="V138" s="70">
        <f>IF(V136&lt;&gt;Calc_EB_SCS!V$158,1,0)</f>
        <v>0</v>
      </c>
      <c r="W138" s="70">
        <f>IF(W136&lt;&gt;Calc_EB_SCS!W$158,1,0)</f>
        <v>0</v>
      </c>
      <c r="X138" s="70">
        <f>IF(X136&lt;&gt;Calc_EB_SCS!X$158,1,0)</f>
        <v>0</v>
      </c>
      <c r="Y138" s="70">
        <f>IF(Y136&lt;&gt;Calc_EB_SCS!Y$158,1,0)</f>
        <v>0</v>
      </c>
      <c r="Z138" s="70">
        <f>IF(Z136&lt;&gt;Calc_EB_SCS!Z$158,1,0)</f>
        <v>0</v>
      </c>
      <c r="AA138" s="70">
        <f>IF(AA136&lt;&gt;Calc_EB_SCS!AA$158,1,0)</f>
        <v>0</v>
      </c>
      <c r="AB138" s="70">
        <f>IF(AB136&lt;&gt;Calc_EB_SCS!AB$158,1,0)</f>
        <v>0</v>
      </c>
    </row>
    <row r="140" spans="1:28" s="13" customFormat="1" ht="14.1" x14ac:dyDescent="0.35">
      <c r="C140" s="13" t="str">
        <f>Lookup!$D$111</f>
        <v>“Other” asset items with long lives</v>
      </c>
    </row>
    <row r="141" spans="1:28" s="6" customFormat="1" ht="11.25" customHeight="1" x14ac:dyDescent="0.35"/>
    <row r="142" spans="1:28" ht="12.3" x14ac:dyDescent="0.35">
      <c r="D142" s="50" t="s">
        <v>109</v>
      </c>
      <c r="E142" s="45" t="str">
        <f>Lookup!E$20</f>
        <v>Source</v>
      </c>
      <c r="F142" s="45" t="str">
        <f>Lookup!F$20</f>
        <v>Unit</v>
      </c>
      <c r="G142" s="45" t="str">
        <f>Lookup!G$20</f>
        <v>Basis</v>
      </c>
      <c r="H142" s="45" t="str">
        <f>Lookup!H$20</f>
        <v>Timing</v>
      </c>
      <c r="J142" s="54" t="str">
        <f>J$10</f>
        <v>RY06</v>
      </c>
      <c r="K142" s="45" t="str">
        <f t="shared" ref="K142:AB142" si="20">K$10</f>
        <v>RY07</v>
      </c>
      <c r="L142" s="45" t="str">
        <f t="shared" si="20"/>
        <v>RY08</v>
      </c>
      <c r="M142" s="45" t="str">
        <f t="shared" si="20"/>
        <v>RY09</v>
      </c>
      <c r="N142" s="45" t="str">
        <f t="shared" si="20"/>
        <v>RY10</v>
      </c>
      <c r="O142" s="45" t="str">
        <f>O$10</f>
        <v>RY11</v>
      </c>
      <c r="P142" s="45" t="str">
        <f t="shared" si="20"/>
        <v>RY12</v>
      </c>
      <c r="Q142" s="45" t="str">
        <f t="shared" si="20"/>
        <v>RY13</v>
      </c>
      <c r="R142" s="55" t="str">
        <f t="shared" si="20"/>
        <v>RY14</v>
      </c>
      <c r="S142" s="54" t="str">
        <f t="shared" si="20"/>
        <v>RY15</v>
      </c>
      <c r="T142" s="45" t="str">
        <f>T$10</f>
        <v>RY16</v>
      </c>
      <c r="U142" s="45" t="str">
        <f t="shared" si="20"/>
        <v>RY17</v>
      </c>
      <c r="V142" s="45" t="str">
        <f t="shared" si="20"/>
        <v>RY18</v>
      </c>
      <c r="W142" s="55" t="str">
        <f t="shared" si="20"/>
        <v>RY19</v>
      </c>
      <c r="X142" s="54" t="str">
        <f t="shared" si="20"/>
        <v>RY20</v>
      </c>
      <c r="Y142" s="45" t="str">
        <f>Y$10</f>
        <v>RY21</v>
      </c>
      <c r="Z142" s="45" t="str">
        <f t="shared" si="20"/>
        <v>RY22</v>
      </c>
      <c r="AA142" s="45" t="str">
        <f t="shared" si="20"/>
        <v>RY23</v>
      </c>
      <c r="AB142" s="55" t="str">
        <f t="shared" si="20"/>
        <v>RY24</v>
      </c>
    </row>
    <row r="143" spans="1:28" x14ac:dyDescent="0.35">
      <c r="J143" s="56"/>
      <c r="K143" s="57"/>
      <c r="L143" s="57"/>
      <c r="M143" s="57"/>
      <c r="N143" s="57"/>
      <c r="O143" s="57"/>
      <c r="P143" s="57"/>
      <c r="Q143" s="57"/>
      <c r="R143" s="58"/>
      <c r="S143" s="56"/>
      <c r="T143" s="57"/>
      <c r="U143" s="57"/>
      <c r="V143" s="57"/>
      <c r="W143" s="58"/>
      <c r="X143" s="56"/>
      <c r="Y143" s="57"/>
      <c r="Z143" s="57"/>
      <c r="AA143" s="57"/>
      <c r="AB143" s="58"/>
    </row>
    <row r="144" spans="1:28" ht="12.3" x14ac:dyDescent="0.35">
      <c r="D144" s="15" t="str">
        <f>Calc_EB_SCS!$C$14</f>
        <v>Opening Balance</v>
      </c>
      <c r="E144" s="52" t="str">
        <f>$E$32</f>
        <v>Calc_EB_SCS</v>
      </c>
      <c r="F144" s="52" t="str">
        <f>Dollars</f>
        <v>Dollars</v>
      </c>
      <c r="G144" s="52" t="str">
        <f>Nominal</f>
        <v>Nominal</v>
      </c>
      <c r="H144" s="52" t="str">
        <f>Start_year</f>
        <v>Start year</v>
      </c>
      <c r="J144" s="66">
        <f>Calc_EB_SCS!J$26</f>
        <v>0.56427078965620114</v>
      </c>
      <c r="K144" s="67">
        <f>Calc_EB_SCS!K$26</f>
        <v>0.58076591627221685</v>
      </c>
      <c r="L144" s="67">
        <f>Calc_EB_SCS!L$26</f>
        <v>0.59519915206123042</v>
      </c>
      <c r="M144" s="67">
        <f>Calc_EB_SCS!M$26</f>
        <v>1.1576579982008739</v>
      </c>
      <c r="N144" s="67">
        <f>Calc_EB_SCS!N$26</f>
        <v>1.4515497160196358</v>
      </c>
      <c r="O144" s="67">
        <f>Calc_EB_SCS!O$26</f>
        <v>1.4939192752980466</v>
      </c>
      <c r="P144" s="67">
        <f>Calc_EB_SCS!P$26</f>
        <v>1.5425658063214072</v>
      </c>
      <c r="Q144" s="67">
        <f>Calc_EB_SCS!Q$26</f>
        <v>1.5676736933012065</v>
      </c>
      <c r="R144" s="68">
        <f>Calc_EB_SCS!R$26</f>
        <v>1.6069047667071426</v>
      </c>
      <c r="S144" s="66">
        <f>Calc_EB_SCS!S$26</f>
        <v>1.736675383044163</v>
      </c>
      <c r="T144" s="67">
        <f>Calc_EB_SCS!T$26</f>
        <v>1.9050662301253951</v>
      </c>
      <c r="U144" s="67">
        <f>Calc_EB_SCS!U$26</f>
        <v>2.4524778089326911</v>
      </c>
      <c r="V144" s="67">
        <f>Calc_EB_SCS!V$26</f>
        <v>4.8751079789943796</v>
      </c>
      <c r="W144" s="68">
        <f>Calc_EB_SCS!W$26</f>
        <v>9.1333197251311944</v>
      </c>
      <c r="X144" s="66">
        <f>Calc_EB_SCS!X$26</f>
        <v>25.081416738636822</v>
      </c>
      <c r="Y144" s="67">
        <f>Calc_EB_SCS!Y$26</f>
        <v>43.239454071347161</v>
      </c>
      <c r="Z144" s="67">
        <f>Calc_EB_SCS!Z$26</f>
        <v>52.905082065824587</v>
      </c>
      <c r="AA144" s="67">
        <f>Calc_EB_SCS!AA$26</f>
        <v>66.233970334572021</v>
      </c>
      <c r="AB144" s="68">
        <f>Calc_EB_SCS!AB$26</f>
        <v>69.043729499132567</v>
      </c>
    </row>
    <row r="145" spans="1:28" ht="12.3" x14ac:dyDescent="0.35">
      <c r="D145" s="15" t="str">
        <f>Calc_EB_SCS!$C$33</f>
        <v>Inflation</v>
      </c>
      <c r="E145" s="52" t="str">
        <f>$E$33</f>
        <v>Calc_EB_SCS</v>
      </c>
      <c r="F145" s="52" t="str">
        <f>Dollars</f>
        <v>Dollars</v>
      </c>
      <c r="G145" s="52" t="str">
        <f>Nominal</f>
        <v>Nominal</v>
      </c>
      <c r="H145" s="52" t="str">
        <f>End_year</f>
        <v>End_year</v>
      </c>
      <c r="J145" s="66">
        <f>Calc_EB_SCS!J$45</f>
        <v>1.6495126616015657E-2</v>
      </c>
      <c r="K145" s="67">
        <f>Calc_EB_SCS!K$45</f>
        <v>1.4433235789013591E-2</v>
      </c>
      <c r="L145" s="67">
        <f>Calc_EB_SCS!L$45</f>
        <v>2.5429986866357425E-2</v>
      </c>
      <c r="M145" s="67">
        <f>Calc_EB_SCS!M$45</f>
        <v>2.8204292314971471E-2</v>
      </c>
      <c r="N145" s="67">
        <f>Calc_EB_SCS!N$45</f>
        <v>4.2369559278410879E-2</v>
      </c>
      <c r="O145" s="67">
        <f>Calc_EB_SCS!O$45</f>
        <v>4.8646531023360584E-2</v>
      </c>
      <c r="P145" s="67">
        <f>Calc_EB_SCS!P$45</f>
        <v>2.5107886979799324E-2</v>
      </c>
      <c r="Q145" s="67">
        <f>Calc_EB_SCS!Q$45</f>
        <v>3.9231073405936089E-2</v>
      </c>
      <c r="R145" s="68">
        <f>Calc_EB_SCS!R$45</f>
        <v>3.9367377358081462E-2</v>
      </c>
      <c r="S145" s="66">
        <f>Calc_EB_SCS!S$45</f>
        <v>2.3067794461687021E-2</v>
      </c>
      <c r="T145" s="67">
        <f>Calc_EB_SCS!T$45</f>
        <v>2.497277829752418E-2</v>
      </c>
      <c r="U145" s="67">
        <f>Calc_EB_SCS!U$45</f>
        <v>5.2132153054946145E-2</v>
      </c>
      <c r="V145" s="67">
        <f>Calc_EB_SCS!V$45</f>
        <v>0.11821525791032891</v>
      </c>
      <c r="W145" s="68">
        <f>Calc_EB_SCS!W$45</f>
        <v>0.22147155540677785</v>
      </c>
      <c r="X145" s="66">
        <f>Calc_EB_SCS!X$45</f>
        <v>0.60819291824711619</v>
      </c>
      <c r="Y145" s="67">
        <f>Calc_EB_SCS!Y$45</f>
        <v>1.0485025638346008</v>
      </c>
      <c r="Z145" s="67">
        <f>Calc_EB_SCS!Z$45</f>
        <v>1.2828819275647434</v>
      </c>
      <c r="AA145" s="67">
        <f>Calc_EB_SCS!AA$45</f>
        <v>1.6060907613253774</v>
      </c>
      <c r="AB145" s="68">
        <f>Calc_EB_SCS!AB$45</f>
        <v>1.6742238992447047</v>
      </c>
    </row>
    <row r="146" spans="1:28" ht="12.3" x14ac:dyDescent="0.35">
      <c r="D146" s="15" t="str">
        <f>Calc_EB_SCS!$C$52</f>
        <v>Straight Line Depreciation</v>
      </c>
      <c r="E146" s="52" t="str">
        <f>$E$34</f>
        <v>Calc_EB_SCS</v>
      </c>
      <c r="F146" s="52" t="str">
        <f>Dollars</f>
        <v>Dollars</v>
      </c>
      <c r="G146" s="52" t="str">
        <f>Nominal</f>
        <v>Nominal</v>
      </c>
      <c r="H146" s="52" t="str">
        <f>End_year</f>
        <v>End_year</v>
      </c>
      <c r="J146" s="66">
        <f>Calc_EB_SCS!J$64</f>
        <v>-9.1570493467389755E-2</v>
      </c>
      <c r="K146" s="67">
        <f>Calc_EB_SCS!K$64</f>
        <v>-0.11548749468336357</v>
      </c>
      <c r="L146" s="67">
        <f>Calc_EB_SCS!L$64</f>
        <v>-1.2503114474974337</v>
      </c>
      <c r="M146" s="67">
        <f>Calc_EB_SCS!M$64</f>
        <v>-8.3950888300187862E-2</v>
      </c>
      <c r="N146" s="67">
        <f>Calc_EB_SCS!N$64</f>
        <v>0</v>
      </c>
      <c r="O146" s="67">
        <f>Calc_EB_SCS!O$64</f>
        <v>0</v>
      </c>
      <c r="P146" s="67">
        <f>Calc_EB_SCS!P$64</f>
        <v>0</v>
      </c>
      <c r="Q146" s="67">
        <f>Calc_EB_SCS!Q$64</f>
        <v>0</v>
      </c>
      <c r="R146" s="68">
        <f>Calc_EB_SCS!R$64</f>
        <v>-0.16906791567837032</v>
      </c>
      <c r="S146" s="66">
        <f>Calc_EB_SCS!S$64</f>
        <v>-0.30093023473039737</v>
      </c>
      <c r="T146" s="67">
        <f>Calc_EB_SCS!T$64</f>
        <v>-0.43524835611150758</v>
      </c>
      <c r="U146" s="67">
        <f>Calc_EB_SCS!U$64</f>
        <v>-0.49744561920134001</v>
      </c>
      <c r="V146" s="67">
        <f>Calc_EB_SCS!V$64</f>
        <v>-0.46788995268681888</v>
      </c>
      <c r="W146" s="68">
        <f>Calc_EB_SCS!W$64</f>
        <v>-0.50382598056122074</v>
      </c>
      <c r="X146" s="66">
        <f>Calc_EB_SCS!X$64</f>
        <v>-4.1340733371536311</v>
      </c>
      <c r="Y146" s="67">
        <f>Calc_EB_SCS!Y$64</f>
        <v>-5.1752824901651957</v>
      </c>
      <c r="Z146" s="67">
        <f>Calc_EB_SCS!Z$64</f>
        <v>-6.0108933437519667</v>
      </c>
      <c r="AA146" s="67">
        <f>Calc_EB_SCS!AA$64</f>
        <v>-7.7019300231853514</v>
      </c>
      <c r="AB146" s="68">
        <f>Calc_EB_SCS!AB$64</f>
        <v>-8.6433116174808102</v>
      </c>
    </row>
    <row r="147" spans="1:28" ht="12.3" x14ac:dyDescent="0.35">
      <c r="D147" s="15" t="str">
        <f>Calc_EB_SCS!$C$71</f>
        <v>RAB Additions</v>
      </c>
      <c r="E147" s="52" t="str">
        <f>$E$35</f>
        <v>Calc_EB_SCS</v>
      </c>
      <c r="F147" s="52" t="str">
        <f>Dollars</f>
        <v>Dollars</v>
      </c>
      <c r="G147" s="52" t="str">
        <f>Nominal</f>
        <v>Nominal</v>
      </c>
      <c r="H147" s="52" t="str">
        <f>End_year</f>
        <v>End_year</v>
      </c>
      <c r="J147" s="66">
        <f>Calc_EB_SCS!J$83+Calc_EB_SCS!J$140</f>
        <v>9.1570493467389755E-2</v>
      </c>
      <c r="K147" s="67">
        <f>Calc_EB_SCS!K$83+Calc_EB_SCS!K$140</f>
        <v>0.11548749468336357</v>
      </c>
      <c r="L147" s="67">
        <f>Calc_EB_SCS!L$83+Calc_EB_SCS!L$140</f>
        <v>1.7873403067707199</v>
      </c>
      <c r="M147" s="67">
        <f>Calc_EB_SCS!M$83+Calc_EB_SCS!M$140</f>
        <v>0.3496383138039782</v>
      </c>
      <c r="N147" s="67">
        <f>Calc_EB_SCS!N$83+Calc_EB_SCS!N$140</f>
        <v>0</v>
      </c>
      <c r="O147" s="67">
        <f>Calc_EB_SCS!O$83+Calc_EB_SCS!O$140</f>
        <v>0</v>
      </c>
      <c r="P147" s="67">
        <f>Calc_EB_SCS!P$83+Calc_EB_SCS!P$140</f>
        <v>0</v>
      </c>
      <c r="Q147" s="67">
        <f>Calc_EB_SCS!Q$83+Calc_EB_SCS!Q$140</f>
        <v>0</v>
      </c>
      <c r="R147" s="68">
        <f>Calc_EB_SCS!R$83+Calc_EB_SCS!R$140</f>
        <v>0.25947115465730947</v>
      </c>
      <c r="S147" s="66">
        <f>Calc_EB_SCS!S$83+Calc_EB_SCS!S$140</f>
        <v>0.44625328734994235</v>
      </c>
      <c r="T147" s="67">
        <f>Calc_EB_SCS!T$83+Calc_EB_SCS!T$140</f>
        <v>0.96675587955678721</v>
      </c>
      <c r="U147" s="67">
        <f>Calc_EB_SCS!U$83+Calc_EB_SCS!U$140</f>
        <v>2.8679436362080821</v>
      </c>
      <c r="V147" s="67">
        <f>Calc_EB_SCS!V$83+Calc_EB_SCS!V$140</f>
        <v>4.6078864409133056</v>
      </c>
      <c r="W147" s="68">
        <f>Calc_EB_SCS!W$83+Calc_EB_SCS!W$140</f>
        <v>16.230451438660069</v>
      </c>
      <c r="X147" s="66">
        <f>Calc_EB_SCS!X$83+Calc_EB_SCS!X$140</f>
        <v>21.683917751616853</v>
      </c>
      <c r="Y147" s="67">
        <f>Calc_EB_SCS!Y$83+Calc_EB_SCS!Y$140</f>
        <v>13.792407920808021</v>
      </c>
      <c r="Z147" s="67">
        <f>Calc_EB_SCS!Z$83+Calc_EB_SCS!Z$140</f>
        <v>18.056899684934656</v>
      </c>
      <c r="AA147" s="67">
        <f>Calc_EB_SCS!AA$83+Calc_EB_SCS!AA$140</f>
        <v>8.9055984264205215</v>
      </c>
      <c r="AB147" s="68">
        <f>Calc_EB_SCS!AB$83+Calc_EB_SCS!AB$140</f>
        <v>8.3052628888635347</v>
      </c>
    </row>
    <row r="148" spans="1:28" ht="12.3" x14ac:dyDescent="0.35">
      <c r="D148" s="15" t="str">
        <f>Calc_EB_SCS!$C$90</f>
        <v>Disposals</v>
      </c>
      <c r="E148" s="52" t="str">
        <f>$E$36</f>
        <v>Calc_EB_SCS</v>
      </c>
      <c r="F148" s="52" t="str">
        <f>Dollars</f>
        <v>Dollars</v>
      </c>
      <c r="G148" s="52" t="str">
        <f>Nominal</f>
        <v>Nominal</v>
      </c>
      <c r="H148" s="52" t="str">
        <f>End_year</f>
        <v>End_year</v>
      </c>
      <c r="J148" s="66">
        <f>Calc_EB_SCS!J$102</f>
        <v>0</v>
      </c>
      <c r="K148" s="67">
        <f>Calc_EB_SCS!K$102</f>
        <v>0</v>
      </c>
      <c r="L148" s="67">
        <f>Calc_EB_SCS!L$102</f>
        <v>0</v>
      </c>
      <c r="M148" s="67">
        <f>Calc_EB_SCS!M$102</f>
        <v>0</v>
      </c>
      <c r="N148" s="67">
        <f>Calc_EB_SCS!N$102</f>
        <v>0</v>
      </c>
      <c r="O148" s="67">
        <f>Calc_EB_SCS!O$102</f>
        <v>0</v>
      </c>
      <c r="P148" s="67">
        <f>Calc_EB_SCS!P$102</f>
        <v>0</v>
      </c>
      <c r="Q148" s="67">
        <f>Calc_EB_SCS!Q$102</f>
        <v>0</v>
      </c>
      <c r="R148" s="68">
        <f>Calc_EB_SCS!R$102</f>
        <v>0</v>
      </c>
      <c r="S148" s="66">
        <f>Calc_EB_SCS!S$102</f>
        <v>0</v>
      </c>
      <c r="T148" s="67">
        <f>Calc_EB_SCS!T$102</f>
        <v>-9.0687229355076848E-3</v>
      </c>
      <c r="U148" s="67">
        <f>Calc_EB_SCS!U$102</f>
        <v>0</v>
      </c>
      <c r="V148" s="67">
        <f>Calc_EB_SCS!V$102</f>
        <v>0</v>
      </c>
      <c r="W148" s="68">
        <f>Calc_EB_SCS!W$102</f>
        <v>0</v>
      </c>
      <c r="X148" s="66">
        <f>Calc_EB_SCS!X$102</f>
        <v>0</v>
      </c>
      <c r="Y148" s="67">
        <f>Calc_EB_SCS!Y$102</f>
        <v>0</v>
      </c>
      <c r="Z148" s="67">
        <f>Calc_EB_SCS!Z$102</f>
        <v>0</v>
      </c>
      <c r="AA148" s="67">
        <f>Calc_EB_SCS!AA$102</f>
        <v>0</v>
      </c>
      <c r="AB148" s="68">
        <f>Calc_EB_SCS!AB$102</f>
        <v>0</v>
      </c>
    </row>
    <row r="149" spans="1:28" x14ac:dyDescent="0.35">
      <c r="J149" s="56"/>
      <c r="K149" s="57"/>
      <c r="L149" s="57"/>
      <c r="M149" s="57"/>
      <c r="N149" s="57"/>
      <c r="O149" s="57"/>
      <c r="P149" s="57"/>
      <c r="Q149" s="57"/>
      <c r="R149" s="58"/>
      <c r="S149" s="56"/>
      <c r="T149" s="57"/>
      <c r="U149" s="57"/>
      <c r="V149" s="57"/>
      <c r="W149" s="58"/>
      <c r="X149" s="56"/>
      <c r="Y149" s="57"/>
      <c r="Z149" s="57"/>
      <c r="AA149" s="57"/>
      <c r="AB149" s="58"/>
    </row>
    <row r="150" spans="1:28" ht="12.3" x14ac:dyDescent="0.35">
      <c r="D150" s="51" t="s">
        <v>152</v>
      </c>
      <c r="E150" s="47" t="s">
        <v>111</v>
      </c>
      <c r="F150" s="47" t="str">
        <f>F144</f>
        <v>Dollars</v>
      </c>
      <c r="G150" s="47" t="str">
        <f>G144</f>
        <v>Nominal</v>
      </c>
      <c r="H150" s="47" t="str">
        <f>H144</f>
        <v>Start year</v>
      </c>
      <c r="J150" s="62">
        <f>SUM(J144:J148)</f>
        <v>0.58076591627221685</v>
      </c>
      <c r="K150" s="46">
        <f t="shared" ref="K150:AB150" si="21">SUM(K144:K148)</f>
        <v>0.59519915206123042</v>
      </c>
      <c r="L150" s="46">
        <f t="shared" si="21"/>
        <v>1.1576579982008739</v>
      </c>
      <c r="M150" s="46">
        <f t="shared" si="21"/>
        <v>1.4515497160196358</v>
      </c>
      <c r="N150" s="46">
        <f t="shared" si="21"/>
        <v>1.4939192752980466</v>
      </c>
      <c r="O150" s="46">
        <f t="shared" si="21"/>
        <v>1.5425658063214072</v>
      </c>
      <c r="P150" s="46">
        <f t="shared" si="21"/>
        <v>1.5676736933012065</v>
      </c>
      <c r="Q150" s="46">
        <f t="shared" si="21"/>
        <v>1.6069047667071426</v>
      </c>
      <c r="R150" s="63">
        <f t="shared" si="21"/>
        <v>1.736675383044163</v>
      </c>
      <c r="S150" s="62">
        <f t="shared" si="21"/>
        <v>1.9050662301253951</v>
      </c>
      <c r="T150" s="46">
        <f t="shared" si="21"/>
        <v>2.4524778089326911</v>
      </c>
      <c r="U150" s="46">
        <f t="shared" si="21"/>
        <v>4.8751079789943796</v>
      </c>
      <c r="V150" s="46">
        <f t="shared" si="21"/>
        <v>9.1333197251311944</v>
      </c>
      <c r="W150" s="63">
        <f t="shared" si="21"/>
        <v>25.081416738636818</v>
      </c>
      <c r="X150" s="62">
        <f t="shared" si="21"/>
        <v>43.239454071347161</v>
      </c>
      <c r="Y150" s="46">
        <f t="shared" si="21"/>
        <v>52.905082065824587</v>
      </c>
      <c r="Z150" s="46">
        <f t="shared" si="21"/>
        <v>66.233970334572021</v>
      </c>
      <c r="AA150" s="46">
        <f t="shared" si="21"/>
        <v>69.043729499132567</v>
      </c>
      <c r="AB150" s="63">
        <f t="shared" si="21"/>
        <v>70.379904669759995</v>
      </c>
    </row>
    <row r="151" spans="1:28" s="6" customFormat="1" ht="11.25" customHeight="1" x14ac:dyDescent="0.35"/>
    <row r="152" spans="1:28" s="6" customFormat="1" ht="11.25" customHeight="1" x14ac:dyDescent="0.35">
      <c r="A152" s="49">
        <f>IF(SUM($J152:$AB152)&lt;&gt;0,1,0)</f>
        <v>0</v>
      </c>
      <c r="D152" s="15" t="s">
        <v>114</v>
      </c>
      <c r="J152" s="70">
        <f>IF(J150&lt;&gt;Calc_EB_SCS!J$159,1,0)</f>
        <v>0</v>
      </c>
      <c r="K152" s="70">
        <f>IF(K150&lt;&gt;Calc_EB_SCS!K$159,1,0)</f>
        <v>0</v>
      </c>
      <c r="L152" s="70">
        <f>IF(L150&lt;&gt;Calc_EB_SCS!L$159,1,0)</f>
        <v>0</v>
      </c>
      <c r="M152" s="70">
        <f>IF(M150&lt;&gt;Calc_EB_SCS!M$159,1,0)</f>
        <v>0</v>
      </c>
      <c r="N152" s="70">
        <f>IF(N150&lt;&gt;Calc_EB_SCS!N$159,1,0)</f>
        <v>0</v>
      </c>
      <c r="O152" s="70">
        <f>IF(O150&lt;&gt;Calc_EB_SCS!O$159,1,0)</f>
        <v>0</v>
      </c>
      <c r="P152" s="70">
        <f>IF(P150&lt;&gt;Calc_EB_SCS!P$159,1,0)</f>
        <v>0</v>
      </c>
      <c r="Q152" s="70">
        <f>IF(Q150&lt;&gt;Calc_EB_SCS!Q$159,1,0)</f>
        <v>0</v>
      </c>
      <c r="R152" s="70">
        <f>IF(R150&lt;&gt;Calc_EB_SCS!R$159,1,0)</f>
        <v>0</v>
      </c>
      <c r="S152" s="70">
        <f>IF(S150&lt;&gt;Calc_EB_SCS!S$159,1,0)</f>
        <v>0</v>
      </c>
      <c r="T152" s="70">
        <f>IF(T150&lt;&gt;Calc_EB_SCS!T$159,1,0)</f>
        <v>0</v>
      </c>
      <c r="U152" s="70">
        <f>IF(U150&lt;&gt;Calc_EB_SCS!U$159,1,0)</f>
        <v>0</v>
      </c>
      <c r="V152" s="70">
        <f>IF(V150&lt;&gt;Calc_EB_SCS!V$159,1,0)</f>
        <v>0</v>
      </c>
      <c r="W152" s="70">
        <f>IF(W150&lt;&gt;Calc_EB_SCS!W$159,1,0)</f>
        <v>0</v>
      </c>
      <c r="X152" s="70">
        <f>IF(X150&lt;&gt;Calc_EB_SCS!X$159,1,0)</f>
        <v>0</v>
      </c>
      <c r="Y152" s="70">
        <f>IF(Y150&lt;&gt;Calc_EB_SCS!Y$159,1,0)</f>
        <v>0</v>
      </c>
      <c r="Z152" s="70">
        <f>IF(Z150&lt;&gt;Calc_EB_SCS!Z$159,1,0)</f>
        <v>0</v>
      </c>
      <c r="AA152" s="70">
        <f>IF(AA150&lt;&gt;Calc_EB_SCS!AA$159,1,0)</f>
        <v>0</v>
      </c>
      <c r="AB152" s="70">
        <f>IF(AB150&lt;&gt;Calc_EB_SCS!AB$159,1,0)</f>
        <v>0</v>
      </c>
    </row>
    <row r="154" spans="1:28" s="13" customFormat="1" ht="14.1" x14ac:dyDescent="0.35">
      <c r="C154" s="13" t="str">
        <f>Lookup!$D$112</f>
        <v>“Other” asset items with short lives</v>
      </c>
    </row>
    <row r="155" spans="1:28" s="6" customFormat="1" ht="11.25" customHeight="1" x14ac:dyDescent="0.35"/>
    <row r="156" spans="1:28" ht="12.3" x14ac:dyDescent="0.35">
      <c r="D156" s="50" t="s">
        <v>109</v>
      </c>
      <c r="E156" s="45" t="str">
        <f>Lookup!E$20</f>
        <v>Source</v>
      </c>
      <c r="F156" s="45" t="str">
        <f>Lookup!F$20</f>
        <v>Unit</v>
      </c>
      <c r="G156" s="45" t="str">
        <f>Lookup!G$20</f>
        <v>Basis</v>
      </c>
      <c r="H156" s="45" t="str">
        <f>Lookup!H$20</f>
        <v>Timing</v>
      </c>
      <c r="J156" s="54" t="str">
        <f>J$10</f>
        <v>RY06</v>
      </c>
      <c r="K156" s="45" t="str">
        <f t="shared" ref="K156:AB156" si="22">K$10</f>
        <v>RY07</v>
      </c>
      <c r="L156" s="45" t="str">
        <f t="shared" si="22"/>
        <v>RY08</v>
      </c>
      <c r="M156" s="45" t="str">
        <f t="shared" si="22"/>
        <v>RY09</v>
      </c>
      <c r="N156" s="45" t="str">
        <f t="shared" si="22"/>
        <v>RY10</v>
      </c>
      <c r="O156" s="45" t="str">
        <f>O$10</f>
        <v>RY11</v>
      </c>
      <c r="P156" s="45" t="str">
        <f t="shared" si="22"/>
        <v>RY12</v>
      </c>
      <c r="Q156" s="45" t="str">
        <f t="shared" si="22"/>
        <v>RY13</v>
      </c>
      <c r="R156" s="55" t="str">
        <f t="shared" si="22"/>
        <v>RY14</v>
      </c>
      <c r="S156" s="54" t="str">
        <f t="shared" si="22"/>
        <v>RY15</v>
      </c>
      <c r="T156" s="45" t="str">
        <f>T$10</f>
        <v>RY16</v>
      </c>
      <c r="U156" s="45" t="str">
        <f t="shared" si="22"/>
        <v>RY17</v>
      </c>
      <c r="V156" s="45" t="str">
        <f t="shared" si="22"/>
        <v>RY18</v>
      </c>
      <c r="W156" s="55" t="str">
        <f t="shared" si="22"/>
        <v>RY19</v>
      </c>
      <c r="X156" s="54" t="str">
        <f t="shared" si="22"/>
        <v>RY20</v>
      </c>
      <c r="Y156" s="45" t="str">
        <f>Y$10</f>
        <v>RY21</v>
      </c>
      <c r="Z156" s="45" t="str">
        <f t="shared" si="22"/>
        <v>RY22</v>
      </c>
      <c r="AA156" s="45" t="str">
        <f t="shared" si="22"/>
        <v>RY23</v>
      </c>
      <c r="AB156" s="55" t="str">
        <f t="shared" si="22"/>
        <v>RY24</v>
      </c>
    </row>
    <row r="157" spans="1:28" x14ac:dyDescent="0.35">
      <c r="J157" s="56"/>
      <c r="K157" s="57"/>
      <c r="L157" s="57"/>
      <c r="M157" s="57"/>
      <c r="N157" s="57"/>
      <c r="O157" s="57"/>
      <c r="P157" s="57"/>
      <c r="Q157" s="57"/>
      <c r="R157" s="58"/>
      <c r="S157" s="56"/>
      <c r="T157" s="57"/>
      <c r="U157" s="57"/>
      <c r="V157" s="57"/>
      <c r="W157" s="58"/>
      <c r="X157" s="56"/>
      <c r="Y157" s="57"/>
      <c r="Z157" s="57"/>
      <c r="AA157" s="57"/>
      <c r="AB157" s="58"/>
    </row>
    <row r="158" spans="1:28" ht="12.3" x14ac:dyDescent="0.35">
      <c r="D158" s="15" t="str">
        <f>Calc_EB_SCS!$C$14</f>
        <v>Opening Balance</v>
      </c>
      <c r="E158" s="52" t="str">
        <f>$E$32</f>
        <v>Calc_EB_SCS</v>
      </c>
      <c r="F158" s="52" t="str">
        <f>Dollars</f>
        <v>Dollars</v>
      </c>
      <c r="G158" s="52" t="str">
        <f>Nominal</f>
        <v>Nominal</v>
      </c>
      <c r="H158" s="52" t="str">
        <f>Start_year</f>
        <v>Start year</v>
      </c>
      <c r="J158" s="66">
        <f>Calc_EB_SCS!J$27</f>
        <v>2.0885146676098501</v>
      </c>
      <c r="K158" s="67">
        <f>Calc_EB_SCS!K$27</f>
        <v>0.82091709057313911</v>
      </c>
      <c r="L158" s="67">
        <f>Calc_EB_SCS!L$27</f>
        <v>0.60044477799461515</v>
      </c>
      <c r="M158" s="67">
        <f>Calc_EB_SCS!M$27</f>
        <v>0.29246182684719696</v>
      </c>
      <c r="N158" s="67">
        <f>Calc_EB_SCS!N$27</f>
        <v>3.9470165527343323E-2</v>
      </c>
      <c r="O158" s="67">
        <f>Calc_EB_SCS!O$27</f>
        <v>4.0622267656249544E-2</v>
      </c>
      <c r="P158" s="67">
        <f>Calc_EB_SCS!P$27</f>
        <v>0.31592684001872451</v>
      </c>
      <c r="Q158" s="67">
        <f>Calc_EB_SCS!Q$27</f>
        <v>2.8181106960225857</v>
      </c>
      <c r="R158" s="68">
        <f>Calc_EB_SCS!R$27</f>
        <v>7.2490899399153559</v>
      </c>
      <c r="S158" s="66">
        <f>Calc_EB_SCS!S$27</f>
        <v>8.1706924591252257</v>
      </c>
      <c r="T158" s="67">
        <f>Calc_EB_SCS!T$27</f>
        <v>7.5405950108274276</v>
      </c>
      <c r="U158" s="67">
        <f>Calc_EB_SCS!U$27</f>
        <v>6.0591650950727729</v>
      </c>
      <c r="V158" s="67">
        <f>Calc_EB_SCS!V$27</f>
        <v>4.4831236140217596</v>
      </c>
      <c r="W158" s="68">
        <f>Calc_EB_SCS!W$27</f>
        <v>3.1603810910413817</v>
      </c>
      <c r="X158" s="66">
        <f>Calc_EB_SCS!X$27</f>
        <v>0.75889239587925938</v>
      </c>
      <c r="Y158" s="67">
        <f>Calc_EB_SCS!Y$27</f>
        <v>26.318022251292152</v>
      </c>
      <c r="Z158" s="67">
        <f>Calc_EB_SCS!Z$27</f>
        <v>29.12275370556188</v>
      </c>
      <c r="AA158" s="67">
        <f>Calc_EB_SCS!AA$27</f>
        <v>55.125597468258384</v>
      </c>
      <c r="AB158" s="68">
        <f>Calc_EB_SCS!AB$27</f>
        <v>55.583814809038977</v>
      </c>
    </row>
    <row r="159" spans="1:28" ht="12.3" x14ac:dyDescent="0.35">
      <c r="D159" s="15" t="str">
        <f>Calc_EB_SCS!$C$33</f>
        <v>Inflation</v>
      </c>
      <c r="E159" s="52" t="str">
        <f>$E$33</f>
        <v>Calc_EB_SCS</v>
      </c>
      <c r="F159" s="52" t="str">
        <f>Dollars</f>
        <v>Dollars</v>
      </c>
      <c r="G159" s="52" t="str">
        <f>Nominal</f>
        <v>Nominal</v>
      </c>
      <c r="H159" s="52" t="str">
        <f>End_year</f>
        <v>End_year</v>
      </c>
      <c r="J159" s="66">
        <f>Calc_EB_SCS!J$46</f>
        <v>6.1052803925257623E-2</v>
      </c>
      <c r="K159" s="67">
        <f>Calc_EB_SCS!K$46</f>
        <v>2.0401489824894477E-2</v>
      </c>
      <c r="L159" s="67">
        <f>Calc_EB_SCS!L$46</f>
        <v>2.565410714295702E-2</v>
      </c>
      <c r="M159" s="67">
        <f>Calc_EB_SCS!M$46</f>
        <v>7.1253158257346015E-3</v>
      </c>
      <c r="N159" s="67">
        <f>Calc_EB_SCS!N$46</f>
        <v>1.1521021289062471E-3</v>
      </c>
      <c r="O159" s="67">
        <f>Calc_EB_SCS!O$46</f>
        <v>1.3227839257812454E-3</v>
      </c>
      <c r="P159" s="67">
        <f>Calc_EB_SCS!P$46</f>
        <v>5.142247650355692E-3</v>
      </c>
      <c r="Q159" s="67">
        <f>Calc_EB_SCS!Q$46</f>
        <v>7.0523290691255888E-2</v>
      </c>
      <c r="R159" s="68">
        <f>Calc_EB_SCS!R$46</f>
        <v>0.177594631044697</v>
      </c>
      <c r="S159" s="66">
        <f>Calc_EB_SCS!S$46</f>
        <v>0.1085291218479624</v>
      </c>
      <c r="T159" s="67">
        <f>Calc_EB_SCS!T$46</f>
        <v>9.8846751078263226E-2</v>
      </c>
      <c r="U159" s="67">
        <f>Calc_EB_SCS!U$46</f>
        <v>0.12879925802834874</v>
      </c>
      <c r="V159" s="67">
        <f>Calc_EB_SCS!V$46</f>
        <v>0.10871012838259</v>
      </c>
      <c r="W159" s="68">
        <f>Calc_EB_SCS!W$46</f>
        <v>7.6635280158338023E-2</v>
      </c>
      <c r="X159" s="66">
        <f>Calc_EB_SCS!X$46</f>
        <v>1.8402189385671713E-2</v>
      </c>
      <c r="Y159" s="67">
        <f>Calc_EB_SCS!Y$46</f>
        <v>0.63817905193723368</v>
      </c>
      <c r="Z159" s="67">
        <f>Calc_EB_SCS!Z$46</f>
        <v>0.70619027418386404</v>
      </c>
      <c r="AA159" s="67">
        <f>Calc_EB_SCS!AA$46</f>
        <v>1.3367266428251252</v>
      </c>
      <c r="AB159" s="68">
        <f>Calc_EB_SCS!AB$46</f>
        <v>1.3478378389981658</v>
      </c>
    </row>
    <row r="160" spans="1:28" ht="12.3" x14ac:dyDescent="0.35">
      <c r="D160" s="15" t="str">
        <f>Calc_EB_SCS!$C$52</f>
        <v>Straight Line Depreciation</v>
      </c>
      <c r="E160" s="52" t="str">
        <f>$E$34</f>
        <v>Calc_EB_SCS</v>
      </c>
      <c r="F160" s="52" t="str">
        <f>Dollars</f>
        <v>Dollars</v>
      </c>
      <c r="G160" s="52" t="str">
        <f>Nominal</f>
        <v>Nominal</v>
      </c>
      <c r="H160" s="52" t="str">
        <f>End_year</f>
        <v>End_year</v>
      </c>
      <c r="J160" s="66">
        <f>Calc_EB_SCS!J$65</f>
        <v>-1.6866154201882169</v>
      </c>
      <c r="K160" s="67">
        <f>Calc_EB_SCS!K$65</f>
        <v>-0.69233457321594694</v>
      </c>
      <c r="L160" s="67">
        <f>Calc_EB_SCS!L$65</f>
        <v>-0.33882921743439359</v>
      </c>
      <c r="M160" s="67">
        <f>Calc_EB_SCS!M$65</f>
        <v>-0.27596460609987622</v>
      </c>
      <c r="N160" s="67">
        <f>Calc_EB_SCS!N$65</f>
        <v>-2.7903342389835935</v>
      </c>
      <c r="O160" s="67">
        <f>Calc_EB_SCS!O$65</f>
        <v>-1.9341440812118655</v>
      </c>
      <c r="P160" s="67">
        <f>Calc_EB_SCS!P$65</f>
        <v>-0.66186864003919288</v>
      </c>
      <c r="Q160" s="67">
        <f>Calc_EB_SCS!Q$65</f>
        <v>-0.77404867680624723</v>
      </c>
      <c r="R160" s="68">
        <f>Calc_EB_SCS!R$65</f>
        <v>-0.70957194848141658</v>
      </c>
      <c r="S160" s="66">
        <f>Calc_EB_SCS!S$65</f>
        <v>-1.4273517799783406</v>
      </c>
      <c r="T160" s="67">
        <f>Calc_EB_SCS!T$65</f>
        <v>-1.9095853253764445</v>
      </c>
      <c r="U160" s="67">
        <f>Calc_EB_SCS!U$65</f>
        <v>-2.1689376661917517</v>
      </c>
      <c r="V160" s="67">
        <f>Calc_EB_SCS!V$65</f>
        <v>-1.990231826884308</v>
      </c>
      <c r="W160" s="68">
        <f>Calc_EB_SCS!W$65</f>
        <v>-2.1762493449145106</v>
      </c>
      <c r="X160" s="66">
        <f>Calc_EB_SCS!X$65</f>
        <v>-9.8162455094707946E-2</v>
      </c>
      <c r="Y160" s="67">
        <f>Calc_EB_SCS!Y$65</f>
        <v>-3.9774643030981189</v>
      </c>
      <c r="Z160" s="67">
        <f>Calc_EB_SCS!Z$65</f>
        <v>-5.0430031851621786</v>
      </c>
      <c r="AA160" s="67">
        <f>Calc_EB_SCS!AA$65</f>
        <v>-7.6461620146669143</v>
      </c>
      <c r="AB160" s="68">
        <f>Calc_EB_SCS!AB$65</f>
        <v>-8.8791900819803793</v>
      </c>
    </row>
    <row r="161" spans="1:28" ht="12.3" x14ac:dyDescent="0.35">
      <c r="D161" s="15" t="str">
        <f>Calc_EB_SCS!$C$71</f>
        <v>RAB Additions</v>
      </c>
      <c r="E161" s="52" t="str">
        <f>$E$35</f>
        <v>Calc_EB_SCS</v>
      </c>
      <c r="F161" s="52" t="str">
        <f>Dollars</f>
        <v>Dollars</v>
      </c>
      <c r="G161" s="52" t="str">
        <f>Nominal</f>
        <v>Nominal</v>
      </c>
      <c r="H161" s="52" t="str">
        <f>End_year</f>
        <v>End_year</v>
      </c>
      <c r="J161" s="66">
        <f>Calc_EB_SCS!J$84+Calc_EB_SCS!J$141</f>
        <v>0.35796503922624839</v>
      </c>
      <c r="K161" s="67">
        <f>Calc_EB_SCS!K$84+Calc_EB_SCS!K$141</f>
        <v>0.45146077081252856</v>
      </c>
      <c r="L161" s="67">
        <f>Calc_EB_SCS!L$84+Calc_EB_SCS!L$141</f>
        <v>5.1921591440183806E-3</v>
      </c>
      <c r="M161" s="67">
        <f>Calc_EB_SCS!M$84+Calc_EB_SCS!M$141</f>
        <v>1.5847628954287967E-2</v>
      </c>
      <c r="N161" s="67">
        <f>Calc_EB_SCS!N$84+Calc_EB_SCS!N$141</f>
        <v>2.7903342389835935</v>
      </c>
      <c r="O161" s="67">
        <f>Calc_EB_SCS!O$84+Calc_EB_SCS!O$141</f>
        <v>2.2081258696485593</v>
      </c>
      <c r="P161" s="67">
        <f>Calc_EB_SCS!P$84+Calc_EB_SCS!P$141</f>
        <v>3.1589102483926985</v>
      </c>
      <c r="Q161" s="67">
        <f>Calc_EB_SCS!Q$84+Calc_EB_SCS!Q$141</f>
        <v>5.1414366399532092</v>
      </c>
      <c r="R161" s="68">
        <f>Calc_EB_SCS!R$84+Calc_EB_SCS!R$141</f>
        <v>1.4535798366465891</v>
      </c>
      <c r="S161" s="66">
        <f>Calc_EB_SCS!S$84+Calc_EB_SCS!S$141</f>
        <v>0.69151177578155665</v>
      </c>
      <c r="T161" s="67">
        <f>Calc_EB_SCS!T$84+Calc_EB_SCS!T$141</f>
        <v>0.33153977242198368</v>
      </c>
      <c r="U161" s="67">
        <f>Calc_EB_SCS!U$84+Calc_EB_SCS!U$141</f>
        <v>0.46898279470098703</v>
      </c>
      <c r="V161" s="67">
        <f>Calc_EB_SCS!V$84+Calc_EB_SCS!V$141</f>
        <v>0.55877917552134027</v>
      </c>
      <c r="W161" s="68">
        <f>Calc_EB_SCS!W$84+Calc_EB_SCS!W$141</f>
        <v>-0.30187463040594953</v>
      </c>
      <c r="X161" s="66">
        <f>Calc_EB_SCS!X$84+Calc_EB_SCS!X$141</f>
        <v>25.638890121121928</v>
      </c>
      <c r="Y161" s="67">
        <f>Calc_EB_SCS!Y$84+Calc_EB_SCS!Y$141</f>
        <v>6.1440167054306158</v>
      </c>
      <c r="Z161" s="67">
        <f>Calc_EB_SCS!Z$84+Calc_EB_SCS!Z$141</f>
        <v>30.339656673674817</v>
      </c>
      <c r="AA161" s="67">
        <f>Calc_EB_SCS!AA$84+Calc_EB_SCS!AA$141</f>
        <v>6.7676527126223807</v>
      </c>
      <c r="AB161" s="68">
        <f>Calc_EB_SCS!AB$84+Calc_EB_SCS!AB$141</f>
        <v>6.618819442423364</v>
      </c>
    </row>
    <row r="162" spans="1:28" ht="12.3" x14ac:dyDescent="0.35">
      <c r="D162" s="15" t="str">
        <f>Calc_EB_SCS!$C$90</f>
        <v>Disposals</v>
      </c>
      <c r="E162" s="52" t="str">
        <f>$E$36</f>
        <v>Calc_EB_SCS</v>
      </c>
      <c r="F162" s="52" t="str">
        <f>Dollars</f>
        <v>Dollars</v>
      </c>
      <c r="G162" s="52" t="str">
        <f>Nominal</f>
        <v>Nominal</v>
      </c>
      <c r="H162" s="52" t="str">
        <f>End_year</f>
        <v>End_year</v>
      </c>
      <c r="J162" s="66">
        <f>Calc_EB_SCS!J$103</f>
        <v>0</v>
      </c>
      <c r="K162" s="67">
        <f>Calc_EB_SCS!K$103</f>
        <v>0</v>
      </c>
      <c r="L162" s="67">
        <f>Calc_EB_SCS!L$103</f>
        <v>0</v>
      </c>
      <c r="M162" s="67">
        <f>Calc_EB_SCS!M$103</f>
        <v>0</v>
      </c>
      <c r="N162" s="67">
        <f>Calc_EB_SCS!N$103</f>
        <v>0</v>
      </c>
      <c r="O162" s="67">
        <f>Calc_EB_SCS!O$103</f>
        <v>0</v>
      </c>
      <c r="P162" s="67">
        <f>Calc_EB_SCS!P$103</f>
        <v>0</v>
      </c>
      <c r="Q162" s="67">
        <f>Calc_EB_SCS!Q$103</f>
        <v>-6.9320099454478904E-3</v>
      </c>
      <c r="R162" s="68">
        <f>Calc_EB_SCS!R$103</f>
        <v>0</v>
      </c>
      <c r="S162" s="66">
        <f>Calc_EB_SCS!S$103</f>
        <v>-2.7865659489757339E-3</v>
      </c>
      <c r="T162" s="67">
        <f>Calc_EB_SCS!T$103</f>
        <v>-2.2311138784566007E-3</v>
      </c>
      <c r="U162" s="67">
        <f>Calc_EB_SCS!U$103</f>
        <v>-4.8858675885982156E-3</v>
      </c>
      <c r="V162" s="67">
        <f>Calc_EB_SCS!V$103</f>
        <v>0</v>
      </c>
      <c r="W162" s="68">
        <f>Calc_EB_SCS!W$103</f>
        <v>0</v>
      </c>
      <c r="X162" s="66">
        <f>Calc_EB_SCS!X$103</f>
        <v>0</v>
      </c>
      <c r="Y162" s="67">
        <f>Calc_EB_SCS!Y$103</f>
        <v>0</v>
      </c>
      <c r="Z162" s="67">
        <f>Calc_EB_SCS!Z$103</f>
        <v>0</v>
      </c>
      <c r="AA162" s="67">
        <f>Calc_EB_SCS!AA$103</f>
        <v>0</v>
      </c>
      <c r="AB162" s="68">
        <f>Calc_EB_SCS!AB$103</f>
        <v>0</v>
      </c>
    </row>
    <row r="163" spans="1:28" x14ac:dyDescent="0.35">
      <c r="J163" s="56"/>
      <c r="K163" s="57"/>
      <c r="L163" s="57"/>
      <c r="M163" s="57"/>
      <c r="N163" s="57"/>
      <c r="O163" s="57"/>
      <c r="P163" s="57"/>
      <c r="Q163" s="57"/>
      <c r="R163" s="58"/>
      <c r="S163" s="56"/>
      <c r="T163" s="57"/>
      <c r="U163" s="57"/>
      <c r="V163" s="57"/>
      <c r="W163" s="58"/>
      <c r="X163" s="56"/>
      <c r="Y163" s="57"/>
      <c r="Z163" s="57"/>
      <c r="AA163" s="57"/>
      <c r="AB163" s="58"/>
    </row>
    <row r="164" spans="1:28" ht="12.3" x14ac:dyDescent="0.35">
      <c r="D164" s="51" t="s">
        <v>152</v>
      </c>
      <c r="E164" s="47" t="s">
        <v>111</v>
      </c>
      <c r="F164" s="47" t="str">
        <f>F158</f>
        <v>Dollars</v>
      </c>
      <c r="G164" s="47" t="str">
        <f>G158</f>
        <v>Nominal</v>
      </c>
      <c r="H164" s="47" t="str">
        <f>H158</f>
        <v>Start year</v>
      </c>
      <c r="J164" s="62">
        <f>SUM(J158:J162)</f>
        <v>0.82091709057313911</v>
      </c>
      <c r="K164" s="46">
        <f t="shared" ref="K164:AB164" si="23">SUM(K158:K162)</f>
        <v>0.60044477799461515</v>
      </c>
      <c r="L164" s="46">
        <f t="shared" si="23"/>
        <v>0.29246182684719696</v>
      </c>
      <c r="M164" s="46">
        <f t="shared" si="23"/>
        <v>3.9470165527343323E-2</v>
      </c>
      <c r="N164" s="46">
        <f t="shared" si="23"/>
        <v>4.0622267656249544E-2</v>
      </c>
      <c r="O164" s="46">
        <f t="shared" si="23"/>
        <v>0.31592684001872451</v>
      </c>
      <c r="P164" s="46">
        <f t="shared" si="23"/>
        <v>2.8181106960225857</v>
      </c>
      <c r="Q164" s="46">
        <f t="shared" si="23"/>
        <v>7.2490899399153559</v>
      </c>
      <c r="R164" s="63">
        <f t="shared" si="23"/>
        <v>8.1706924591252257</v>
      </c>
      <c r="S164" s="62">
        <f t="shared" si="23"/>
        <v>7.5405950108274276</v>
      </c>
      <c r="T164" s="46">
        <f t="shared" si="23"/>
        <v>6.0591650950727729</v>
      </c>
      <c r="U164" s="46">
        <f t="shared" si="23"/>
        <v>4.4831236140217596</v>
      </c>
      <c r="V164" s="46">
        <f t="shared" si="23"/>
        <v>3.1603810910413817</v>
      </c>
      <c r="W164" s="63">
        <f t="shared" si="23"/>
        <v>0.75889239587925938</v>
      </c>
      <c r="X164" s="62">
        <f t="shared" si="23"/>
        <v>26.318022251292152</v>
      </c>
      <c r="Y164" s="46">
        <f t="shared" si="23"/>
        <v>29.12275370556188</v>
      </c>
      <c r="Z164" s="46">
        <f t="shared" si="23"/>
        <v>55.125597468258384</v>
      </c>
      <c r="AA164" s="46">
        <f t="shared" si="23"/>
        <v>55.583814809038977</v>
      </c>
      <c r="AB164" s="63">
        <f t="shared" si="23"/>
        <v>54.671282008480127</v>
      </c>
    </row>
    <row r="165" spans="1:28" s="6" customFormat="1" ht="11.25" customHeight="1" x14ac:dyDescent="0.35"/>
    <row r="166" spans="1:28" s="6" customFormat="1" ht="11.25" customHeight="1" x14ac:dyDescent="0.35">
      <c r="A166" s="49">
        <f>IF(SUM($J166:$AB166)&lt;&gt;0,1,0)</f>
        <v>0</v>
      </c>
      <c r="D166" s="15" t="s">
        <v>114</v>
      </c>
      <c r="J166" s="70">
        <f>IF(J164&lt;&gt;Calc_EB_SCS!J$160,1,0)</f>
        <v>0</v>
      </c>
      <c r="K166" s="70">
        <f>IF(K164&lt;&gt;Calc_EB_SCS!K$160,1,0)</f>
        <v>0</v>
      </c>
      <c r="L166" s="70">
        <f>IF(L164&lt;&gt;Calc_EB_SCS!L$160,1,0)</f>
        <v>0</v>
      </c>
      <c r="M166" s="70">
        <f>IF(M164&lt;&gt;Calc_EB_SCS!M$160,1,0)</f>
        <v>0</v>
      </c>
      <c r="N166" s="70">
        <f>IF(N164&lt;&gt;Calc_EB_SCS!N$160,1,0)</f>
        <v>0</v>
      </c>
      <c r="O166" s="70">
        <f>IF(O164&lt;&gt;Calc_EB_SCS!O$160,1,0)</f>
        <v>0</v>
      </c>
      <c r="P166" s="70">
        <f>IF(P164&lt;&gt;Calc_EB_SCS!P$160,1,0)</f>
        <v>0</v>
      </c>
      <c r="Q166" s="70">
        <f>IF(Q164&lt;&gt;Calc_EB_SCS!Q$160,1,0)</f>
        <v>0</v>
      </c>
      <c r="R166" s="70">
        <f>IF(R164&lt;&gt;Calc_EB_SCS!R$160,1,0)</f>
        <v>0</v>
      </c>
      <c r="S166" s="70">
        <f>IF(S164&lt;&gt;Calc_EB_SCS!S$160,1,0)</f>
        <v>0</v>
      </c>
      <c r="T166" s="70">
        <f>IF(T164&lt;&gt;Calc_EB_SCS!T$160,1,0)</f>
        <v>0</v>
      </c>
      <c r="U166" s="70">
        <f>IF(U164&lt;&gt;Calc_EB_SCS!U$160,1,0)</f>
        <v>0</v>
      </c>
      <c r="V166" s="70">
        <f>IF(V164&lt;&gt;Calc_EB_SCS!V$160,1,0)</f>
        <v>0</v>
      </c>
      <c r="W166" s="70">
        <f>IF(W164&lt;&gt;Calc_EB_SCS!W$160,1,0)</f>
        <v>0</v>
      </c>
      <c r="X166" s="70">
        <f>IF(X164&lt;&gt;Calc_EB_SCS!X$160,1,0)</f>
        <v>0</v>
      </c>
      <c r="Y166" s="70">
        <f>IF(Y164&lt;&gt;Calc_EB_SCS!Y$160,1,0)</f>
        <v>0</v>
      </c>
      <c r="Z166" s="70">
        <f>IF(Z164&lt;&gt;Calc_EB_SCS!Z$160,1,0)</f>
        <v>0</v>
      </c>
      <c r="AA166" s="70">
        <f>IF(AA164&lt;&gt;Calc_EB_SCS!AA$160,1,0)</f>
        <v>0</v>
      </c>
      <c r="AB166" s="70">
        <f>IF(AB164&lt;&gt;Calc_EB_SCS!AB$160,1,0)</f>
        <v>0</v>
      </c>
    </row>
    <row r="168" spans="1:28" s="4" customFormat="1" ht="15" x14ac:dyDescent="0.35">
      <c r="B168" s="4" t="s">
        <v>33</v>
      </c>
    </row>
  </sheetData>
  <conditionalFormatting sqref="B2">
    <cfRule type="cellIs" dxfId="7" priority="1" operator="notEqual">
      <formula>"No Errors Found"</formula>
    </cfRule>
  </conditionalFormatting>
  <hyperlinks>
    <hyperlink ref="B3:E3" location="TOC!A1" display="TOC!A1" xr:uid="{00000000-0004-0000-10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249977111117893"/>
  </sheetPr>
  <dimension ref="A1:AB168"/>
  <sheetViews>
    <sheetView showGridLines="0" zoomScaleNormal="100" workbookViewId="0">
      <pane xSplit="1" ySplit="10" topLeftCell="B11" activePane="bottomRight" state="frozen"/>
      <selection activeCell="B11" sqref="B11"/>
      <selection pane="topRight" activeCell="B11" sqref="B11"/>
      <selection pane="bottomLeft" activeCell="B11" sqref="B11"/>
      <selection pane="bottomRight" activeCell="B11" sqref="B11"/>
    </sheetView>
  </sheetViews>
  <sheetFormatPr defaultColWidth="9.33203125" defaultRowHeight="10.199999999999999" outlineLevelRow="1" x14ac:dyDescent="0.35"/>
  <cols>
    <col min="1" max="1" width="3.33203125" style="7" customWidth="1"/>
    <col min="2" max="3" width="2.796875" style="7" customWidth="1"/>
    <col min="4" max="4" width="47.46484375" style="7" customWidth="1"/>
    <col min="5" max="5" width="14.33203125" style="7" customWidth="1"/>
    <col min="6" max="6" width="9.1328125" style="7" customWidth="1"/>
    <col min="7" max="7" width="12" style="7" customWidth="1"/>
    <col min="8" max="8" width="10" style="7" customWidth="1"/>
    <col min="9" max="9" width="4.46484375" style="7" customWidth="1"/>
    <col min="10" max="28" width="12.796875" style="7" customWidth="1"/>
    <col min="29" max="29" width="4.33203125" style="7" customWidth="1"/>
    <col min="30" max="31" width="10.796875" style="7" customWidth="1"/>
    <col min="32" max="16384" width="9.33203125" style="7"/>
  </cols>
  <sheetData>
    <row r="1" spans="1:28" ht="18.899999999999999" x14ac:dyDescent="0.35">
      <c r="A1" s="49">
        <f>IF(SUM($A11:$A168)&gt;0,1,0)</f>
        <v>0</v>
      </c>
      <c r="B1" s="5" t="s">
        <v>165</v>
      </c>
    </row>
    <row r="2" spans="1:28" x14ac:dyDescent="0.35">
      <c r="B2" s="18" t="str">
        <f>Title_Msg</f>
        <v>No Errors Found</v>
      </c>
    </row>
    <row r="3" spans="1:28" x14ac:dyDescent="0.35">
      <c r="B3" s="37" t="str">
        <f>TOC!B1</f>
        <v>Table of Contents</v>
      </c>
      <c r="C3" s="35"/>
      <c r="D3" s="35"/>
      <c r="E3" s="35"/>
    </row>
    <row r="4" spans="1:28" ht="12.3" x14ac:dyDescent="0.35">
      <c r="B4" s="34" t="str">
        <f>Model_Name</f>
        <v>Power and Water Corporation (PWC) - RAB Allocation - EB RIN - DRAFT</v>
      </c>
    </row>
    <row r="5" spans="1:28" ht="12.3" hidden="1" outlineLevel="1" x14ac:dyDescent="0.35">
      <c r="B5" s="15" t="str">
        <f>Lookup!B15</f>
        <v>Period Start Date</v>
      </c>
      <c r="J5" s="42">
        <f>Lookup!J15</f>
        <v>38534</v>
      </c>
      <c r="K5" s="42">
        <f>Lookup!K15</f>
        <v>38899</v>
      </c>
      <c r="L5" s="42">
        <f>Lookup!L15</f>
        <v>39264</v>
      </c>
      <c r="M5" s="42">
        <f>Lookup!M15</f>
        <v>39630</v>
      </c>
      <c r="N5" s="42">
        <f>Lookup!N15</f>
        <v>39995</v>
      </c>
      <c r="O5" s="42">
        <f>Lookup!O15</f>
        <v>40360</v>
      </c>
      <c r="P5" s="42">
        <f>Lookup!P15</f>
        <v>40725</v>
      </c>
      <c r="Q5" s="42">
        <f>Lookup!Q15</f>
        <v>41091</v>
      </c>
      <c r="R5" s="42">
        <f>Lookup!R15</f>
        <v>41456</v>
      </c>
      <c r="S5" s="42">
        <f>Lookup!S15</f>
        <v>41821</v>
      </c>
      <c r="T5" s="42">
        <f>Lookup!T15</f>
        <v>42186</v>
      </c>
      <c r="U5" s="42">
        <f>Lookup!U15</f>
        <v>42552</v>
      </c>
      <c r="V5" s="42">
        <f>Lookup!V15</f>
        <v>42917</v>
      </c>
      <c r="W5" s="42">
        <f>Lookup!W15</f>
        <v>43282</v>
      </c>
      <c r="X5" s="42">
        <f>Lookup!X15</f>
        <v>43647</v>
      </c>
      <c r="Y5" s="42">
        <f>Lookup!Y15</f>
        <v>44013</v>
      </c>
      <c r="Z5" s="42">
        <f>Lookup!Z15</f>
        <v>44378</v>
      </c>
      <c r="AA5" s="42">
        <f>Lookup!AA15</f>
        <v>44743</v>
      </c>
      <c r="AB5" s="42">
        <f>Lookup!AB15</f>
        <v>45108</v>
      </c>
    </row>
    <row r="6" spans="1:28" ht="12.3" hidden="1" outlineLevel="1" x14ac:dyDescent="0.35">
      <c r="B6" s="15" t="str">
        <f>Lookup!B16</f>
        <v>Period End Date</v>
      </c>
      <c r="J6" s="42">
        <f>Lookup!J16</f>
        <v>38898</v>
      </c>
      <c r="K6" s="42">
        <f>Lookup!K16</f>
        <v>39263</v>
      </c>
      <c r="L6" s="42">
        <f>Lookup!L16</f>
        <v>39629</v>
      </c>
      <c r="M6" s="42">
        <f>Lookup!M16</f>
        <v>39994</v>
      </c>
      <c r="N6" s="42">
        <f>Lookup!N16</f>
        <v>40359</v>
      </c>
      <c r="O6" s="42">
        <f>Lookup!O16</f>
        <v>40724</v>
      </c>
      <c r="P6" s="42">
        <f>Lookup!P16</f>
        <v>41090</v>
      </c>
      <c r="Q6" s="42">
        <f>Lookup!Q16</f>
        <v>41455</v>
      </c>
      <c r="R6" s="42">
        <f>Lookup!R16</f>
        <v>41820</v>
      </c>
      <c r="S6" s="42">
        <f>Lookup!S16</f>
        <v>42185</v>
      </c>
      <c r="T6" s="42">
        <f>Lookup!T16</f>
        <v>42551</v>
      </c>
      <c r="U6" s="42">
        <f>Lookup!U16</f>
        <v>42916</v>
      </c>
      <c r="V6" s="42">
        <f>Lookup!V16</f>
        <v>43281</v>
      </c>
      <c r="W6" s="42">
        <f>Lookup!W16</f>
        <v>43646</v>
      </c>
      <c r="X6" s="42">
        <f>Lookup!X16</f>
        <v>44012</v>
      </c>
      <c r="Y6" s="42">
        <f>Lookup!Y16</f>
        <v>44377</v>
      </c>
      <c r="Z6" s="42">
        <f>Lookup!Z16</f>
        <v>44742</v>
      </c>
      <c r="AA6" s="42">
        <f>Lookup!AA16</f>
        <v>45107</v>
      </c>
      <c r="AB6" s="42">
        <f>Lookup!AB16</f>
        <v>45473</v>
      </c>
    </row>
    <row r="7" spans="1:28" ht="12.3" hidden="1" outlineLevel="1" x14ac:dyDescent="0.35">
      <c r="B7" s="15" t="str">
        <f>Lookup!B17</f>
        <v>Period Counter</v>
      </c>
      <c r="J7" s="43">
        <f>Lookup!J17</f>
        <v>1</v>
      </c>
      <c r="K7" s="43">
        <f>Lookup!K17</f>
        <v>2</v>
      </c>
      <c r="L7" s="43">
        <f>Lookup!L17</f>
        <v>3</v>
      </c>
      <c r="M7" s="43">
        <f>Lookup!M17</f>
        <v>4</v>
      </c>
      <c r="N7" s="43">
        <f>Lookup!N17</f>
        <v>5</v>
      </c>
      <c r="O7" s="43">
        <f>Lookup!O17</f>
        <v>6</v>
      </c>
      <c r="P7" s="43">
        <f>Lookup!P17</f>
        <v>7</v>
      </c>
      <c r="Q7" s="43">
        <f>Lookup!Q17</f>
        <v>8</v>
      </c>
      <c r="R7" s="43">
        <f>Lookup!R17</f>
        <v>9</v>
      </c>
      <c r="S7" s="43">
        <f>Lookup!S17</f>
        <v>10</v>
      </c>
      <c r="T7" s="43">
        <f>Lookup!T17</f>
        <v>11</v>
      </c>
      <c r="U7" s="43">
        <f>Lookup!U17</f>
        <v>12</v>
      </c>
      <c r="V7" s="43">
        <f>Lookup!V17</f>
        <v>13</v>
      </c>
      <c r="W7" s="43">
        <f>Lookup!W17</f>
        <v>14</v>
      </c>
      <c r="X7" s="43">
        <f>Lookup!X17</f>
        <v>15</v>
      </c>
      <c r="Y7" s="43">
        <f>Lookup!Y17</f>
        <v>16</v>
      </c>
      <c r="Z7" s="43">
        <f>Lookup!Z17</f>
        <v>17</v>
      </c>
      <c r="AA7" s="43">
        <f>Lookup!AA17</f>
        <v>18</v>
      </c>
      <c r="AB7" s="43">
        <f>Lookup!AB17</f>
        <v>19</v>
      </c>
    </row>
    <row r="8" spans="1:28" ht="12.3" hidden="1" outlineLevel="1" x14ac:dyDescent="0.35">
      <c r="B8" s="15" t="str">
        <f>Lookup!B18</f>
        <v>Year</v>
      </c>
      <c r="J8" s="44">
        <f>Lookup!J18</f>
        <v>2006</v>
      </c>
      <c r="K8" s="44">
        <f>Lookup!K18</f>
        <v>2007</v>
      </c>
      <c r="L8" s="44">
        <f>Lookup!L18</f>
        <v>2008</v>
      </c>
      <c r="M8" s="44">
        <f>Lookup!M18</f>
        <v>2009</v>
      </c>
      <c r="N8" s="44">
        <f>Lookup!N18</f>
        <v>2010</v>
      </c>
      <c r="O8" s="44">
        <f>Lookup!O18</f>
        <v>2011</v>
      </c>
      <c r="P8" s="44">
        <f>Lookup!P18</f>
        <v>2012</v>
      </c>
      <c r="Q8" s="44">
        <f>Lookup!Q18</f>
        <v>2013</v>
      </c>
      <c r="R8" s="44">
        <f>Lookup!R18</f>
        <v>2014</v>
      </c>
      <c r="S8" s="44">
        <f>Lookup!S18</f>
        <v>2015</v>
      </c>
      <c r="T8" s="44">
        <f>Lookup!T18</f>
        <v>2016</v>
      </c>
      <c r="U8" s="44">
        <f>Lookup!U18</f>
        <v>2017</v>
      </c>
      <c r="V8" s="44">
        <f>Lookup!V18</f>
        <v>2018</v>
      </c>
      <c r="W8" s="44">
        <f>Lookup!W18</f>
        <v>2019</v>
      </c>
      <c r="X8" s="44">
        <f>Lookup!X18</f>
        <v>2020</v>
      </c>
      <c r="Y8" s="44">
        <f>Lookup!Y18</f>
        <v>2021</v>
      </c>
      <c r="Z8" s="44">
        <f>Lookup!Z18</f>
        <v>2022</v>
      </c>
      <c r="AA8" s="44">
        <f>Lookup!AA18</f>
        <v>2023</v>
      </c>
      <c r="AB8" s="44">
        <f>Lookup!AB18</f>
        <v>2024</v>
      </c>
    </row>
    <row r="9" spans="1:28" ht="12.3" hidden="1" outlineLevel="1" x14ac:dyDescent="0.35">
      <c r="B9" s="15" t="str">
        <f>Lookup!B19</f>
        <v>Period Type</v>
      </c>
      <c r="J9" s="44" t="str">
        <f>Lookup!J19</f>
        <v>Actual</v>
      </c>
      <c r="K9" s="44" t="str">
        <f>Lookup!K19</f>
        <v>Actual</v>
      </c>
      <c r="L9" s="44" t="str">
        <f>Lookup!L19</f>
        <v>Actual</v>
      </c>
      <c r="M9" s="44" t="str">
        <f>Lookup!M19</f>
        <v>Base Year</v>
      </c>
      <c r="N9" s="44" t="str">
        <f>Lookup!N19</f>
        <v>Forecast</v>
      </c>
      <c r="O9" s="44" t="str">
        <f>Lookup!O19</f>
        <v>Forecast</v>
      </c>
      <c r="P9" s="44" t="str">
        <f>Lookup!P19</f>
        <v>Forecast</v>
      </c>
      <c r="Q9" s="44" t="str">
        <f>Lookup!Q19</f>
        <v>Forecast</v>
      </c>
      <c r="R9" s="44" t="str">
        <f>Lookup!R19</f>
        <v>Forecast</v>
      </c>
      <c r="S9" s="44" t="str">
        <f>Lookup!S19</f>
        <v>Forecast</v>
      </c>
      <c r="T9" s="44" t="str">
        <f>Lookup!T19</f>
        <v>Forecast</v>
      </c>
      <c r="U9" s="44" t="str">
        <f>Lookup!U19</f>
        <v>Forecast</v>
      </c>
      <c r="V9" s="44" t="str">
        <f>Lookup!V19</f>
        <v>Forecast</v>
      </c>
      <c r="W9" s="44" t="str">
        <f>Lookup!W19</f>
        <v>Forecast</v>
      </c>
      <c r="X9" s="44" t="str">
        <f>Lookup!X19</f>
        <v>Forecast</v>
      </c>
      <c r="Y9" s="44" t="str">
        <f>Lookup!Y19</f>
        <v>Forecast</v>
      </c>
      <c r="Z9" s="44" t="str">
        <f>Lookup!Z19</f>
        <v>Forecast</v>
      </c>
      <c r="AA9" s="44" t="str">
        <f>Lookup!AA19</f>
        <v>Forecast</v>
      </c>
      <c r="AB9" s="44" t="str">
        <f>Lookup!AB19</f>
        <v>Forecast</v>
      </c>
    </row>
    <row r="10" spans="1:28" ht="12.3" collapsed="1" x14ac:dyDescent="0.35">
      <c r="B10" s="10" t="str">
        <f>Lookup!B20</f>
        <v>Regulatory Year</v>
      </c>
      <c r="E10" s="41" t="str">
        <f>Lookup!E20</f>
        <v>Source</v>
      </c>
      <c r="F10" s="41" t="str">
        <f>Lookup!F20</f>
        <v>Unit</v>
      </c>
      <c r="G10" s="41" t="str">
        <f>Lookup!G20</f>
        <v>Basis</v>
      </c>
      <c r="H10" s="41" t="str">
        <f>Lookup!H20</f>
        <v>Timing</v>
      </c>
      <c r="I10" s="41"/>
      <c r="J10" s="41" t="str">
        <f>Lookup!J20</f>
        <v>RY06</v>
      </c>
      <c r="K10" s="41" t="str">
        <f>Lookup!K20</f>
        <v>RY07</v>
      </c>
      <c r="L10" s="41" t="str">
        <f>Lookup!L20</f>
        <v>RY08</v>
      </c>
      <c r="M10" s="41" t="str">
        <f>Lookup!M20</f>
        <v>RY09</v>
      </c>
      <c r="N10" s="41" t="str">
        <f>Lookup!N20</f>
        <v>RY10</v>
      </c>
      <c r="O10" s="41" t="str">
        <f>Lookup!O20</f>
        <v>RY11</v>
      </c>
      <c r="P10" s="41" t="str">
        <f>Lookup!P20</f>
        <v>RY12</v>
      </c>
      <c r="Q10" s="41" t="str">
        <f>Lookup!Q20</f>
        <v>RY13</v>
      </c>
      <c r="R10" s="41" t="str">
        <f>Lookup!R20</f>
        <v>RY14</v>
      </c>
      <c r="S10" s="41" t="str">
        <f>Lookup!S20</f>
        <v>RY15</v>
      </c>
      <c r="T10" s="41" t="str">
        <f>Lookup!T20</f>
        <v>RY16</v>
      </c>
      <c r="U10" s="41" t="str">
        <f>Lookup!U20</f>
        <v>RY17</v>
      </c>
      <c r="V10" s="41" t="str">
        <f>Lookup!V20</f>
        <v>RY18</v>
      </c>
      <c r="W10" s="41" t="str">
        <f>Lookup!W20</f>
        <v>RY19</v>
      </c>
      <c r="X10" s="41" t="str">
        <f>Lookup!X20</f>
        <v>RY20</v>
      </c>
      <c r="Y10" s="41" t="str">
        <f>Lookup!Y20</f>
        <v>RY21</v>
      </c>
      <c r="Z10" s="41" t="str">
        <f>Lookup!Z20</f>
        <v>RY22</v>
      </c>
      <c r="AA10" s="41" t="str">
        <f>Lookup!AA20</f>
        <v>RY23</v>
      </c>
      <c r="AB10" s="41" t="str">
        <f>Lookup!AB20</f>
        <v>RY24</v>
      </c>
    </row>
    <row r="12" spans="1:28" s="4" customFormat="1" ht="15" x14ac:dyDescent="0.35">
      <c r="B12" s="4" t="s">
        <v>265</v>
      </c>
    </row>
    <row r="14" spans="1:28" ht="12.3" x14ac:dyDescent="0.35">
      <c r="D14" s="50" t="s">
        <v>109</v>
      </c>
      <c r="E14" s="45" t="str">
        <f>Lookup!E$20</f>
        <v>Source</v>
      </c>
      <c r="F14" s="45" t="str">
        <f>Lookup!F$20</f>
        <v>Unit</v>
      </c>
      <c r="G14" s="45" t="str">
        <f>Lookup!G$20</f>
        <v>Basis</v>
      </c>
      <c r="H14" s="45" t="str">
        <f>Lookup!H$20</f>
        <v>Timing</v>
      </c>
      <c r="J14" s="54" t="str">
        <f>J$10</f>
        <v>RY06</v>
      </c>
      <c r="K14" s="45" t="str">
        <f t="shared" ref="K14:AB14" si="0">K$10</f>
        <v>RY07</v>
      </c>
      <c r="L14" s="45" t="str">
        <f t="shared" si="0"/>
        <v>RY08</v>
      </c>
      <c r="M14" s="45" t="str">
        <f t="shared" si="0"/>
        <v>RY09</v>
      </c>
      <c r="N14" s="45" t="str">
        <f t="shared" si="0"/>
        <v>RY10</v>
      </c>
      <c r="O14" s="45" t="str">
        <f>O$10</f>
        <v>RY11</v>
      </c>
      <c r="P14" s="45" t="str">
        <f t="shared" si="0"/>
        <v>RY12</v>
      </c>
      <c r="Q14" s="45" t="str">
        <f t="shared" si="0"/>
        <v>RY13</v>
      </c>
      <c r="R14" s="55" t="str">
        <f t="shared" si="0"/>
        <v>RY14</v>
      </c>
      <c r="S14" s="54" t="str">
        <f t="shared" si="0"/>
        <v>RY15</v>
      </c>
      <c r="T14" s="45" t="str">
        <f>T$10</f>
        <v>RY16</v>
      </c>
      <c r="U14" s="45" t="str">
        <f t="shared" si="0"/>
        <v>RY17</v>
      </c>
      <c r="V14" s="45" t="str">
        <f t="shared" si="0"/>
        <v>RY18</v>
      </c>
      <c r="W14" s="55" t="str">
        <f t="shared" si="0"/>
        <v>RY19</v>
      </c>
      <c r="X14" s="54" t="str">
        <f t="shared" si="0"/>
        <v>RY20</v>
      </c>
      <c r="Y14" s="45" t="str">
        <f>Y$10</f>
        <v>RY21</v>
      </c>
      <c r="Z14" s="45" t="str">
        <f t="shared" si="0"/>
        <v>RY22</v>
      </c>
      <c r="AA14" s="45" t="str">
        <f t="shared" si="0"/>
        <v>RY23</v>
      </c>
      <c r="AB14" s="55" t="str">
        <f t="shared" si="0"/>
        <v>RY24</v>
      </c>
    </row>
    <row r="15" spans="1:28" x14ac:dyDescent="0.35">
      <c r="J15" s="56"/>
      <c r="K15" s="57"/>
      <c r="L15" s="57"/>
      <c r="M15" s="57"/>
      <c r="N15" s="57"/>
      <c r="O15" s="57"/>
      <c r="P15" s="57"/>
      <c r="Q15" s="57"/>
      <c r="R15" s="58"/>
      <c r="S15" s="56"/>
      <c r="T15" s="57"/>
      <c r="U15" s="57"/>
      <c r="V15" s="57"/>
      <c r="W15" s="58"/>
      <c r="X15" s="56"/>
      <c r="Y15" s="57"/>
      <c r="Z15" s="57"/>
      <c r="AA15" s="57"/>
      <c r="AB15" s="58"/>
    </row>
    <row r="16" spans="1:28" ht="12.3" x14ac:dyDescent="0.35">
      <c r="D16" s="15" t="str">
        <f>Calc_EB_ACS!$C$14</f>
        <v>Opening Balance</v>
      </c>
      <c r="E16" s="52" t="s">
        <v>111</v>
      </c>
      <c r="F16" s="52" t="str">
        <f>Dollars</f>
        <v>Dollars</v>
      </c>
      <c r="G16" s="52" t="str">
        <f>Nominal</f>
        <v>Nominal</v>
      </c>
      <c r="H16" s="52" t="str">
        <f>Start_year</f>
        <v>Start year</v>
      </c>
      <c r="J16" s="66">
        <f>J130+J144+J158</f>
        <v>3.6901484438708394</v>
      </c>
      <c r="K16" s="67">
        <f t="shared" ref="K16:AB16" si="1">K130+K144+K158</f>
        <v>3.8278948849313323</v>
      </c>
      <c r="L16" s="67">
        <f t="shared" si="1"/>
        <v>3.9633825068773603</v>
      </c>
      <c r="M16" s="67">
        <f t="shared" si="1"/>
        <v>4.5970500391445182</v>
      </c>
      <c r="N16" s="67">
        <f t="shared" si="1"/>
        <v>5.238859508486188</v>
      </c>
      <c r="O16" s="67">
        <f t="shared" si="1"/>
        <v>5.920632861034365</v>
      </c>
      <c r="P16" s="67">
        <f t="shared" si="1"/>
        <v>6.3964429547187525</v>
      </c>
      <c r="Q16" s="67">
        <f t="shared" si="1"/>
        <v>6.8622081731067839</v>
      </c>
      <c r="R16" s="68">
        <f t="shared" si="1"/>
        <v>7.6107652191467547</v>
      </c>
      <c r="S16" s="66">
        <f t="shared" si="1"/>
        <v>7.5059720809878012</v>
      </c>
      <c r="T16" s="67">
        <f t="shared" si="1"/>
        <v>8.4542270143843652</v>
      </c>
      <c r="U16" s="67">
        <f t="shared" si="1"/>
        <v>10.425813642022685</v>
      </c>
      <c r="V16" s="67">
        <f t="shared" si="1"/>
        <v>12.334464389141091</v>
      </c>
      <c r="W16" s="68">
        <f t="shared" si="1"/>
        <v>12.965100365209066</v>
      </c>
      <c r="X16" s="66">
        <f t="shared" si="1"/>
        <v>16.511202711558703</v>
      </c>
      <c r="Y16" s="67">
        <f t="shared" si="1"/>
        <v>22.883257457975649</v>
      </c>
      <c r="Z16" s="67">
        <f t="shared" si="1"/>
        <v>25.721192681815509</v>
      </c>
      <c r="AA16" s="67">
        <f t="shared" si="1"/>
        <v>28.448342575302394</v>
      </c>
      <c r="AB16" s="68">
        <f t="shared" si="1"/>
        <v>35.136174900090026</v>
      </c>
    </row>
    <row r="17" spans="1:28" ht="12.3" x14ac:dyDescent="0.35">
      <c r="D17" s="15" t="str">
        <f>Calc_EB_ACS!$C$33</f>
        <v>Inflation</v>
      </c>
      <c r="E17" s="52" t="s">
        <v>111</v>
      </c>
      <c r="F17" s="52" t="str">
        <f>Dollars</f>
        <v>Dollars</v>
      </c>
      <c r="G17" s="52" t="str">
        <f>Nominal</f>
        <v>Nominal</v>
      </c>
      <c r="H17" s="52" t="str">
        <f>End_year</f>
        <v>End_year</v>
      </c>
      <c r="J17" s="66">
        <f t="shared" ref="J17:AB17" si="2">J131+J145+J159</f>
        <v>0.10787279251266788</v>
      </c>
      <c r="K17" s="67">
        <f t="shared" si="2"/>
        <v>9.5131115483500034E-2</v>
      </c>
      <c r="L17" s="67">
        <f t="shared" si="2"/>
        <v>0.16933620410446001</v>
      </c>
      <c r="M17" s="67">
        <f t="shared" si="2"/>
        <v>0.11199900427594622</v>
      </c>
      <c r="N17" s="67">
        <f t="shared" si="2"/>
        <v>0.15291806132878566</v>
      </c>
      <c r="O17" s="67">
        <f t="shared" si="2"/>
        <v>0.19279371711351334</v>
      </c>
      <c r="P17" s="67">
        <f t="shared" si="2"/>
        <v>0.10411300841861747</v>
      </c>
      <c r="Q17" s="67">
        <f t="shared" si="2"/>
        <v>0.17172693125892849</v>
      </c>
      <c r="R17" s="68">
        <f t="shared" si="2"/>
        <v>0.1864552726294306</v>
      </c>
      <c r="S17" s="66">
        <f t="shared" si="2"/>
        <v>9.9699818912550753E-2</v>
      </c>
      <c r="T17" s="67">
        <f t="shared" si="2"/>
        <v>0.11082320056309213</v>
      </c>
      <c r="U17" s="67">
        <f t="shared" si="2"/>
        <v>0.22162080754761651</v>
      </c>
      <c r="V17" s="67">
        <f t="shared" si="2"/>
        <v>0.29909530111553717</v>
      </c>
      <c r="W17" s="68">
        <f t="shared" si="2"/>
        <v>0.31438743308053746</v>
      </c>
      <c r="X17" s="66">
        <f t="shared" si="2"/>
        <v>0.40037597020758925</v>
      </c>
      <c r="Y17" s="67">
        <f t="shared" si="2"/>
        <v>0.55489031091800745</v>
      </c>
      <c r="Z17" s="67">
        <f t="shared" si="2"/>
        <v>0.62370668295829168</v>
      </c>
      <c r="AA17" s="67">
        <f t="shared" si="2"/>
        <v>0.68983664959857516</v>
      </c>
      <c r="AB17" s="68">
        <f t="shared" si="2"/>
        <v>0.85200820078109629</v>
      </c>
    </row>
    <row r="18" spans="1:28" ht="12.3" x14ac:dyDescent="0.35">
      <c r="D18" s="15" t="str">
        <f>Calc_EB_ACS!$C$52</f>
        <v>Straight Line Depreciation</v>
      </c>
      <c r="E18" s="52" t="s">
        <v>111</v>
      </c>
      <c r="F18" s="52" t="str">
        <f>Dollars</f>
        <v>Dollars</v>
      </c>
      <c r="G18" s="52" t="str">
        <f>Nominal</f>
        <v>Nominal</v>
      </c>
      <c r="H18" s="52" t="str">
        <f>End_year</f>
        <v>End_year</v>
      </c>
      <c r="J18" s="66">
        <f t="shared" ref="J18:AB18" si="3">J132+J146+J160</f>
        <v>-1.4954406679879011E-2</v>
      </c>
      <c r="K18" s="67">
        <f t="shared" si="3"/>
        <v>-1.6180043617533238E-2</v>
      </c>
      <c r="L18" s="67">
        <f t="shared" si="3"/>
        <v>-2.1410454337600606E-2</v>
      </c>
      <c r="M18" s="67">
        <f t="shared" si="3"/>
        <v>-3.0749885351729452E-2</v>
      </c>
      <c r="N18" s="67">
        <f t="shared" si="3"/>
        <v>-3.7329649477018514E-2</v>
      </c>
      <c r="O18" s="67">
        <f t="shared" si="3"/>
        <v>-3.8545215794022265E-2</v>
      </c>
      <c r="P18" s="67">
        <f t="shared" si="3"/>
        <v>-3.9172604860862915E-2</v>
      </c>
      <c r="Q18" s="67">
        <f t="shared" si="3"/>
        <v>-4.0152900277801426E-2</v>
      </c>
      <c r="R18" s="68">
        <f t="shared" si="3"/>
        <v>-0.98941030199279489</v>
      </c>
      <c r="S18" s="66">
        <f t="shared" si="3"/>
        <v>-1.239279165327198</v>
      </c>
      <c r="T18" s="67">
        <f t="shared" si="3"/>
        <v>-1.3539139293050739</v>
      </c>
      <c r="U18" s="67">
        <f t="shared" si="3"/>
        <v>-1.4899421135962481</v>
      </c>
      <c r="V18" s="67">
        <f t="shared" si="3"/>
        <v>-1.7108964662488537</v>
      </c>
      <c r="W18" s="68">
        <f t="shared" si="3"/>
        <v>-1.9311600501146633</v>
      </c>
      <c r="X18" s="66">
        <f t="shared" si="3"/>
        <v>-1.1438116822993685</v>
      </c>
      <c r="Y18" s="67">
        <f t="shared" si="3"/>
        <v>-1.7334122815122892</v>
      </c>
      <c r="Z18" s="67">
        <f t="shared" si="3"/>
        <v>-2.0602529422605089</v>
      </c>
      <c r="AA18" s="67">
        <f t="shared" si="3"/>
        <v>-2.3990278999725745</v>
      </c>
      <c r="AB18" s="68">
        <f t="shared" si="3"/>
        <v>-3.0522143833889457</v>
      </c>
    </row>
    <row r="19" spans="1:28" ht="12.3" x14ac:dyDescent="0.35">
      <c r="D19" s="15" t="str">
        <f>Calc_EB_ACS!$C$71</f>
        <v>RAB Additions</v>
      </c>
      <c r="E19" s="52" t="s">
        <v>111</v>
      </c>
      <c r="F19" s="52" t="str">
        <f>Dollars</f>
        <v>Dollars</v>
      </c>
      <c r="G19" s="52" t="str">
        <f>Nominal</f>
        <v>Nominal</v>
      </c>
      <c r="H19" s="52" t="str">
        <f>End_year</f>
        <v>End_year</v>
      </c>
      <c r="J19" s="66">
        <f t="shared" ref="J19:AB19" si="4">J133+J147+J161</f>
        <v>4.4828055227704125E-2</v>
      </c>
      <c r="K19" s="67">
        <f t="shared" si="4"/>
        <v>5.6536550080061317E-2</v>
      </c>
      <c r="L19" s="67">
        <f t="shared" si="4"/>
        <v>0.48574178250029793</v>
      </c>
      <c r="M19" s="67">
        <f t="shared" si="4"/>
        <v>0.56056035041745444</v>
      </c>
      <c r="N19" s="67">
        <f t="shared" si="4"/>
        <v>0.56618494069641001</v>
      </c>
      <c r="O19" s="67">
        <f t="shared" si="4"/>
        <v>0.32156159236489656</v>
      </c>
      <c r="P19" s="67">
        <f t="shared" si="4"/>
        <v>0.40278474979533263</v>
      </c>
      <c r="Q19" s="67">
        <f t="shared" si="4"/>
        <v>0.61698301505884334</v>
      </c>
      <c r="R19" s="68">
        <f t="shared" si="4"/>
        <v>0.6986838705668359</v>
      </c>
      <c r="S19" s="66">
        <f t="shared" si="4"/>
        <v>2.0878342798112111</v>
      </c>
      <c r="T19" s="67">
        <f t="shared" si="4"/>
        <v>3.2146773563803031</v>
      </c>
      <c r="U19" s="67">
        <f t="shared" si="4"/>
        <v>3.1769720531670393</v>
      </c>
      <c r="V19" s="67">
        <f t="shared" si="4"/>
        <v>2.0424371412012916</v>
      </c>
      <c r="W19" s="68">
        <f t="shared" si="4"/>
        <v>5.1628749633837625</v>
      </c>
      <c r="X19" s="66">
        <f t="shared" si="4"/>
        <v>7.1154904585087264</v>
      </c>
      <c r="Y19" s="67">
        <f t="shared" si="4"/>
        <v>4.0164571944341425</v>
      </c>
      <c r="Z19" s="67">
        <f t="shared" si="4"/>
        <v>4.1636961527891003</v>
      </c>
      <c r="AA19" s="67">
        <f t="shared" si="4"/>
        <v>8.3970235751616276</v>
      </c>
      <c r="AB19" s="68">
        <f t="shared" si="4"/>
        <v>4.2479324726906116</v>
      </c>
    </row>
    <row r="20" spans="1:28" ht="12.3" x14ac:dyDescent="0.35">
      <c r="D20" s="15" t="str">
        <f>Calc_EB_ACS!$C$90</f>
        <v>Disposals</v>
      </c>
      <c r="E20" s="52" t="s">
        <v>111</v>
      </c>
      <c r="F20" s="52" t="str">
        <f>Dollars</f>
        <v>Dollars</v>
      </c>
      <c r="G20" s="52" t="str">
        <f>Nominal</f>
        <v>Nominal</v>
      </c>
      <c r="H20" s="52" t="str">
        <f>End_year</f>
        <v>End_year</v>
      </c>
      <c r="J20" s="66">
        <f t="shared" ref="J20:AB20" si="5">J134+J148+J162</f>
        <v>0</v>
      </c>
      <c r="K20" s="67">
        <f t="shared" si="5"/>
        <v>0</v>
      </c>
      <c r="L20" s="67">
        <f t="shared" si="5"/>
        <v>0</v>
      </c>
      <c r="M20" s="67">
        <f t="shared" si="5"/>
        <v>0</v>
      </c>
      <c r="N20" s="67">
        <f t="shared" si="5"/>
        <v>0</v>
      </c>
      <c r="O20" s="67">
        <f t="shared" si="5"/>
        <v>0</v>
      </c>
      <c r="P20" s="67">
        <f t="shared" si="5"/>
        <v>-1.9599349650555142E-3</v>
      </c>
      <c r="Q20" s="67">
        <f t="shared" si="5"/>
        <v>0</v>
      </c>
      <c r="R20" s="68">
        <f t="shared" si="5"/>
        <v>-5.2197936242564819E-4</v>
      </c>
      <c r="S20" s="66">
        <f t="shared" si="5"/>
        <v>0</v>
      </c>
      <c r="T20" s="67">
        <f t="shared" si="5"/>
        <v>0</v>
      </c>
      <c r="U20" s="67">
        <f t="shared" si="5"/>
        <v>0</v>
      </c>
      <c r="V20" s="67">
        <f t="shared" si="5"/>
        <v>0</v>
      </c>
      <c r="W20" s="68">
        <f t="shared" si="5"/>
        <v>0</v>
      </c>
      <c r="X20" s="66">
        <f t="shared" si="5"/>
        <v>0</v>
      </c>
      <c r="Y20" s="67">
        <f t="shared" si="5"/>
        <v>0</v>
      </c>
      <c r="Z20" s="67">
        <f t="shared" si="5"/>
        <v>0</v>
      </c>
      <c r="AA20" s="67">
        <f t="shared" si="5"/>
        <v>0</v>
      </c>
      <c r="AB20" s="68">
        <f t="shared" si="5"/>
        <v>0</v>
      </c>
    </row>
    <row r="21" spans="1:28" x14ac:dyDescent="0.35">
      <c r="J21" s="56"/>
      <c r="K21" s="57"/>
      <c r="L21" s="57"/>
      <c r="M21" s="57"/>
      <c r="N21" s="57"/>
      <c r="O21" s="57"/>
      <c r="P21" s="57"/>
      <c r="Q21" s="57"/>
      <c r="R21" s="58"/>
      <c r="S21" s="56"/>
      <c r="T21" s="57"/>
      <c r="U21" s="57"/>
      <c r="V21" s="57"/>
      <c r="W21" s="58"/>
      <c r="X21" s="56"/>
      <c r="Y21" s="57"/>
      <c r="Z21" s="57"/>
      <c r="AA21" s="57"/>
      <c r="AB21" s="58"/>
    </row>
    <row r="22" spans="1:28" ht="12.3" x14ac:dyDescent="0.35">
      <c r="D22" s="51" t="s">
        <v>152</v>
      </c>
      <c r="E22" s="47" t="s">
        <v>111</v>
      </c>
      <c r="F22" s="47" t="str">
        <f>F16</f>
        <v>Dollars</v>
      </c>
      <c r="G22" s="47" t="str">
        <f>G16</f>
        <v>Nominal</v>
      </c>
      <c r="H22" s="47" t="str">
        <f>H16</f>
        <v>Start year</v>
      </c>
      <c r="J22" s="62">
        <f t="shared" ref="J22:AB22" si="6">J38+J52+J66+J80+J94+J108+J122+J136+J150+J164</f>
        <v>3.8278948849313323</v>
      </c>
      <c r="K22" s="46">
        <f t="shared" si="6"/>
        <v>3.9633825068773603</v>
      </c>
      <c r="L22" s="46">
        <f t="shared" si="6"/>
        <v>4.5970500391445182</v>
      </c>
      <c r="M22" s="46">
        <f t="shared" si="6"/>
        <v>5.238859508486188</v>
      </c>
      <c r="N22" s="46">
        <f t="shared" si="6"/>
        <v>5.920632861034365</v>
      </c>
      <c r="O22" s="46">
        <f t="shared" si="6"/>
        <v>6.3964429547187525</v>
      </c>
      <c r="P22" s="46">
        <f t="shared" si="6"/>
        <v>6.8622081731067839</v>
      </c>
      <c r="Q22" s="46">
        <f t="shared" si="6"/>
        <v>7.6107652191467547</v>
      </c>
      <c r="R22" s="63">
        <f t="shared" si="6"/>
        <v>7.5059720809878012</v>
      </c>
      <c r="S22" s="62">
        <f t="shared" si="6"/>
        <v>8.4542270143843652</v>
      </c>
      <c r="T22" s="46">
        <f t="shared" si="6"/>
        <v>10.425813642022685</v>
      </c>
      <c r="U22" s="46">
        <f t="shared" si="6"/>
        <v>12.334464389141091</v>
      </c>
      <c r="V22" s="46">
        <f t="shared" si="6"/>
        <v>12.965100365209066</v>
      </c>
      <c r="W22" s="63">
        <f t="shared" si="6"/>
        <v>16.511202711558703</v>
      </c>
      <c r="X22" s="62">
        <f t="shared" si="6"/>
        <v>22.883257457975649</v>
      </c>
      <c r="Y22" s="46">
        <f t="shared" si="6"/>
        <v>25.721192681815509</v>
      </c>
      <c r="Z22" s="46">
        <f t="shared" si="6"/>
        <v>28.448342575302394</v>
      </c>
      <c r="AA22" s="46">
        <f t="shared" si="6"/>
        <v>35.136174900090026</v>
      </c>
      <c r="AB22" s="63">
        <f t="shared" si="6"/>
        <v>37.18390119017279</v>
      </c>
    </row>
    <row r="23" spans="1:28" s="6" customFormat="1" ht="11.25" customHeight="1" x14ac:dyDescent="0.35"/>
    <row r="24" spans="1:28" s="6" customFormat="1" ht="11.25" customHeight="1" x14ac:dyDescent="0.35">
      <c r="A24" s="49">
        <f>IF(SUM($J24:$AB24)&lt;&gt;0,1,0)</f>
        <v>0</v>
      </c>
      <c r="D24" s="15" t="s">
        <v>114</v>
      </c>
      <c r="J24" s="70">
        <f>IF(J22&lt;&gt;Calc_EB_ACS!J$162,1,0)</f>
        <v>0</v>
      </c>
      <c r="K24" s="70">
        <f>IF(K22&lt;&gt;Calc_EB_ACS!K$162,1,0)</f>
        <v>0</v>
      </c>
      <c r="L24" s="70">
        <f>IF(L22&lt;&gt;Calc_EB_ACS!L$162,1,0)</f>
        <v>0</v>
      </c>
      <c r="M24" s="70">
        <f>IF(M22&lt;&gt;Calc_EB_ACS!M$162,1,0)</f>
        <v>0</v>
      </c>
      <c r="N24" s="70">
        <f>IF(N22&lt;&gt;Calc_EB_ACS!N$162,1,0)</f>
        <v>0</v>
      </c>
      <c r="O24" s="70">
        <f>IF(O22&lt;&gt;Calc_EB_ACS!O$162,1,0)</f>
        <v>0</v>
      </c>
      <c r="P24" s="70">
        <f>IF(P22&lt;&gt;Calc_EB_ACS!P$162,1,0)</f>
        <v>0</v>
      </c>
      <c r="Q24" s="70">
        <f>IF(Q22&lt;&gt;Calc_EB_ACS!Q$162,1,0)</f>
        <v>0</v>
      </c>
      <c r="R24" s="70">
        <f>IF(R22&lt;&gt;Calc_EB_ACS!R$162,1,0)</f>
        <v>0</v>
      </c>
      <c r="S24" s="70">
        <f>IF(S22&lt;&gt;Calc_EB_ACS!S$162,1,0)</f>
        <v>0</v>
      </c>
      <c r="T24" s="70">
        <f>IF(T22&lt;&gt;Calc_EB_ACS!T$162,1,0)</f>
        <v>0</v>
      </c>
      <c r="U24" s="70">
        <f>IF(U22&lt;&gt;Calc_EB_ACS!U$162,1,0)</f>
        <v>0</v>
      </c>
      <c r="V24" s="70">
        <f>IF(V22&lt;&gt;Calc_EB_ACS!V$162,1,0)</f>
        <v>0</v>
      </c>
      <c r="W24" s="70">
        <f>IF(W22&lt;&gt;Calc_EB_ACS!W$162,1,0)</f>
        <v>0</v>
      </c>
      <c r="X24" s="70">
        <f>IF(X22&lt;&gt;Calc_EB_ACS!X$162,1,0)</f>
        <v>0</v>
      </c>
      <c r="Y24" s="70">
        <f>IF(Y22&lt;&gt;Calc_EB_ACS!Y$162,1,0)</f>
        <v>0</v>
      </c>
      <c r="Z24" s="70">
        <f>IF(Z22&lt;&gt;Calc_EB_ACS!Z$162,1,0)</f>
        <v>0</v>
      </c>
      <c r="AA24" s="70">
        <f>IF(AA22&lt;&gt;Calc_EB_ACS!AA$162,1,0)</f>
        <v>0</v>
      </c>
      <c r="AB24" s="70">
        <f>IF(AB22&lt;&gt;Calc_EB_ACS!AB$162,1,0)</f>
        <v>0</v>
      </c>
    </row>
    <row r="26" spans="1:28" s="4" customFormat="1" ht="15" x14ac:dyDescent="0.35">
      <c r="B26" s="4" t="s">
        <v>155</v>
      </c>
    </row>
    <row r="27" spans="1:28" s="6" customFormat="1" ht="4.5" customHeight="1" x14ac:dyDescent="0.35"/>
    <row r="28" spans="1:28" s="13" customFormat="1" ht="14.1" x14ac:dyDescent="0.35">
      <c r="C28" s="13" t="str">
        <f>Lookup!$D$103</f>
        <v>Overhead network assets less than 33kV</v>
      </c>
    </row>
    <row r="29" spans="1:28" s="6" customFormat="1" ht="11.25" customHeight="1" x14ac:dyDescent="0.35"/>
    <row r="30" spans="1:28" ht="12.3" outlineLevel="1" x14ac:dyDescent="0.35">
      <c r="D30" s="50" t="s">
        <v>109</v>
      </c>
      <c r="E30" s="45" t="str">
        <f>Lookup!E$20</f>
        <v>Source</v>
      </c>
      <c r="F30" s="45" t="str">
        <f>Lookup!F$20</f>
        <v>Unit</v>
      </c>
      <c r="G30" s="45" t="str">
        <f>Lookup!G$20</f>
        <v>Basis</v>
      </c>
      <c r="H30" s="45" t="str">
        <f>Lookup!H$20</f>
        <v>Timing</v>
      </c>
      <c r="J30" s="54" t="str">
        <f>J$10</f>
        <v>RY06</v>
      </c>
      <c r="K30" s="45" t="str">
        <f t="shared" ref="K30:AB30" si="7">K$10</f>
        <v>RY07</v>
      </c>
      <c r="L30" s="45" t="str">
        <f t="shared" si="7"/>
        <v>RY08</v>
      </c>
      <c r="M30" s="45" t="str">
        <f t="shared" si="7"/>
        <v>RY09</v>
      </c>
      <c r="N30" s="45" t="str">
        <f t="shared" si="7"/>
        <v>RY10</v>
      </c>
      <c r="O30" s="45" t="str">
        <f>O$10</f>
        <v>RY11</v>
      </c>
      <c r="P30" s="45" t="str">
        <f t="shared" si="7"/>
        <v>RY12</v>
      </c>
      <c r="Q30" s="45" t="str">
        <f t="shared" si="7"/>
        <v>RY13</v>
      </c>
      <c r="R30" s="55" t="str">
        <f t="shared" si="7"/>
        <v>RY14</v>
      </c>
      <c r="S30" s="54" t="str">
        <f t="shared" si="7"/>
        <v>RY15</v>
      </c>
      <c r="T30" s="45" t="str">
        <f>T$10</f>
        <v>RY16</v>
      </c>
      <c r="U30" s="45" t="str">
        <f t="shared" si="7"/>
        <v>RY17</v>
      </c>
      <c r="V30" s="45" t="str">
        <f t="shared" si="7"/>
        <v>RY18</v>
      </c>
      <c r="W30" s="55" t="str">
        <f t="shared" si="7"/>
        <v>RY19</v>
      </c>
      <c r="X30" s="54" t="str">
        <f t="shared" si="7"/>
        <v>RY20</v>
      </c>
      <c r="Y30" s="45" t="str">
        <f>Y$10</f>
        <v>RY21</v>
      </c>
      <c r="Z30" s="45" t="str">
        <f t="shared" si="7"/>
        <v>RY22</v>
      </c>
      <c r="AA30" s="45" t="str">
        <f t="shared" si="7"/>
        <v>RY23</v>
      </c>
      <c r="AB30" s="55" t="str">
        <f t="shared" si="7"/>
        <v>RY24</v>
      </c>
    </row>
    <row r="31" spans="1:28" outlineLevel="1" x14ac:dyDescent="0.35">
      <c r="J31" s="56"/>
      <c r="K31" s="57"/>
      <c r="L31" s="57"/>
      <c r="M31" s="57"/>
      <c r="N31" s="57"/>
      <c r="O31" s="57"/>
      <c r="P31" s="57"/>
      <c r="Q31" s="57"/>
      <c r="R31" s="58"/>
      <c r="S31" s="56"/>
      <c r="T31" s="57"/>
      <c r="U31" s="57"/>
      <c r="V31" s="57"/>
      <c r="W31" s="58"/>
      <c r="X31" s="56"/>
      <c r="Y31" s="57"/>
      <c r="Z31" s="57"/>
      <c r="AA31" s="57"/>
      <c r="AB31" s="58"/>
    </row>
    <row r="32" spans="1:28" ht="12.3" outlineLevel="1" x14ac:dyDescent="0.35">
      <c r="D32" s="15" t="str">
        <f>Calc_EB_ACS!$C$14</f>
        <v>Opening Balance</v>
      </c>
      <c r="E32" s="52" t="s">
        <v>164</v>
      </c>
      <c r="F32" s="52" t="str">
        <f>Dollars</f>
        <v>Dollars</v>
      </c>
      <c r="G32" s="52" t="str">
        <f>Nominal</f>
        <v>Nominal</v>
      </c>
      <c r="H32" s="52" t="str">
        <f>Start_year</f>
        <v>Start year</v>
      </c>
      <c r="J32" s="66" t="str">
        <f>Calc_EB_ACS!J$18</f>
        <v>N/A</v>
      </c>
      <c r="K32" s="67" t="str">
        <f>Calc_EB_ACS!K$18</f>
        <v>N/A</v>
      </c>
      <c r="L32" s="67" t="str">
        <f>Calc_EB_ACS!L$18</f>
        <v>N/A</v>
      </c>
      <c r="M32" s="67" t="str">
        <f>Calc_EB_ACS!M$18</f>
        <v>N/A</v>
      </c>
      <c r="N32" s="67" t="str">
        <f>Calc_EB_ACS!N$18</f>
        <v>N/A</v>
      </c>
      <c r="O32" s="67" t="str">
        <f>Calc_EB_ACS!O$18</f>
        <v>N/A</v>
      </c>
      <c r="P32" s="67" t="str">
        <f>Calc_EB_ACS!P$18</f>
        <v>N/A</v>
      </c>
      <c r="Q32" s="67" t="str">
        <f>Calc_EB_ACS!Q$18</f>
        <v>N/A</v>
      </c>
      <c r="R32" s="68" t="str">
        <f>Calc_EB_ACS!R$18</f>
        <v>N/A</v>
      </c>
      <c r="S32" s="66" t="str">
        <f>Calc_EB_ACS!S$18</f>
        <v>N/A</v>
      </c>
      <c r="T32" s="67" t="str">
        <f>Calc_EB_ACS!T$18</f>
        <v>N/A</v>
      </c>
      <c r="U32" s="67" t="str">
        <f>Calc_EB_ACS!U$18</f>
        <v>N/A</v>
      </c>
      <c r="V32" s="67" t="str">
        <f>Calc_EB_ACS!V$18</f>
        <v>N/A</v>
      </c>
      <c r="W32" s="68" t="str">
        <f>Calc_EB_ACS!W$18</f>
        <v>N/A</v>
      </c>
      <c r="X32" s="66" t="str">
        <f>Calc_EB_ACS!X$18</f>
        <v>N/A</v>
      </c>
      <c r="Y32" s="67" t="str">
        <f>Calc_EB_ACS!Y$18</f>
        <v>N/A</v>
      </c>
      <c r="Z32" s="67" t="str">
        <f>Calc_EB_ACS!Z$18</f>
        <v>N/A</v>
      </c>
      <c r="AA32" s="67" t="str">
        <f>Calc_EB_ACS!AA$18</f>
        <v>N/A</v>
      </c>
      <c r="AB32" s="68" t="str">
        <f>Calc_EB_ACS!AB$18</f>
        <v>N/A</v>
      </c>
    </row>
    <row r="33" spans="1:28" ht="12.3" outlineLevel="1" x14ac:dyDescent="0.35">
      <c r="D33" s="15" t="str">
        <f>Calc_EB_ACS!$C$33</f>
        <v>Inflation</v>
      </c>
      <c r="E33" s="52" t="s">
        <v>164</v>
      </c>
      <c r="F33" s="52" t="str">
        <f>Dollars</f>
        <v>Dollars</v>
      </c>
      <c r="G33" s="52" t="str">
        <f>Nominal</f>
        <v>Nominal</v>
      </c>
      <c r="H33" s="52" t="str">
        <f>End_year</f>
        <v>End_year</v>
      </c>
      <c r="J33" s="66" t="str">
        <f>Calc_EB_ACS!J$37</f>
        <v>N/A</v>
      </c>
      <c r="K33" s="67" t="str">
        <f>Calc_EB_ACS!K$37</f>
        <v>N/A</v>
      </c>
      <c r="L33" s="67" t="str">
        <f>Calc_EB_ACS!L$37</f>
        <v>N/A</v>
      </c>
      <c r="M33" s="67" t="str">
        <f>Calc_EB_ACS!M$37</f>
        <v>N/A</v>
      </c>
      <c r="N33" s="67" t="str">
        <f>Calc_EB_ACS!N$37</f>
        <v>N/A</v>
      </c>
      <c r="O33" s="67" t="str">
        <f>Calc_EB_ACS!O$37</f>
        <v>N/A</v>
      </c>
      <c r="P33" s="67" t="str">
        <f>Calc_EB_ACS!P$37</f>
        <v>N/A</v>
      </c>
      <c r="Q33" s="67" t="str">
        <f>Calc_EB_ACS!Q$37</f>
        <v>N/A</v>
      </c>
      <c r="R33" s="68" t="str">
        <f>Calc_EB_ACS!R$37</f>
        <v>N/A</v>
      </c>
      <c r="S33" s="66" t="str">
        <f>Calc_EB_ACS!S$37</f>
        <v>N/A</v>
      </c>
      <c r="T33" s="67" t="str">
        <f>Calc_EB_ACS!T$37</f>
        <v>N/A</v>
      </c>
      <c r="U33" s="67" t="str">
        <f>Calc_EB_ACS!U$37</f>
        <v>N/A</v>
      </c>
      <c r="V33" s="67" t="str">
        <f>Calc_EB_ACS!V$37</f>
        <v>N/A</v>
      </c>
      <c r="W33" s="68" t="str">
        <f>Calc_EB_ACS!W$37</f>
        <v>N/A</v>
      </c>
      <c r="X33" s="66" t="str">
        <f>Calc_EB_ACS!X$37</f>
        <v>N/A</v>
      </c>
      <c r="Y33" s="67" t="str">
        <f>Calc_EB_ACS!Y$37</f>
        <v>N/A</v>
      </c>
      <c r="Z33" s="67" t="str">
        <f>Calc_EB_ACS!Z$37</f>
        <v>N/A</v>
      </c>
      <c r="AA33" s="67" t="str">
        <f>Calc_EB_ACS!AA$37</f>
        <v>N/A</v>
      </c>
      <c r="AB33" s="68" t="str">
        <f>Calc_EB_ACS!AB$37</f>
        <v>N/A</v>
      </c>
    </row>
    <row r="34" spans="1:28" ht="12.3" outlineLevel="1" x14ac:dyDescent="0.35">
      <c r="D34" s="15" t="str">
        <f>Calc_EB_ACS!$C$52</f>
        <v>Straight Line Depreciation</v>
      </c>
      <c r="E34" s="52" t="s">
        <v>164</v>
      </c>
      <c r="F34" s="52" t="str">
        <f>Dollars</f>
        <v>Dollars</v>
      </c>
      <c r="G34" s="52" t="str">
        <f>Nominal</f>
        <v>Nominal</v>
      </c>
      <c r="H34" s="52" t="str">
        <f>End_year</f>
        <v>End_year</v>
      </c>
      <c r="J34" s="66" t="str">
        <f>Calc_EB_ACS!J$56</f>
        <v>N/A</v>
      </c>
      <c r="K34" s="67" t="str">
        <f>Calc_EB_ACS!K$56</f>
        <v>N/A</v>
      </c>
      <c r="L34" s="67" t="str">
        <f>Calc_EB_ACS!L$56</f>
        <v>N/A</v>
      </c>
      <c r="M34" s="67" t="str">
        <f>Calc_EB_ACS!M$56</f>
        <v>N/A</v>
      </c>
      <c r="N34" s="67" t="str">
        <f>Calc_EB_ACS!N$56</f>
        <v>N/A</v>
      </c>
      <c r="O34" s="67" t="str">
        <f>Calc_EB_ACS!O$56</f>
        <v>N/A</v>
      </c>
      <c r="P34" s="67" t="str">
        <f>Calc_EB_ACS!P$56</f>
        <v>N/A</v>
      </c>
      <c r="Q34" s="67" t="str">
        <f>Calc_EB_ACS!Q$56</f>
        <v>N/A</v>
      </c>
      <c r="R34" s="68" t="str">
        <f>Calc_EB_ACS!R$56</f>
        <v>N/A</v>
      </c>
      <c r="S34" s="66" t="str">
        <f>Calc_EB_ACS!S$56</f>
        <v>N/A</v>
      </c>
      <c r="T34" s="67" t="str">
        <f>Calc_EB_ACS!T$56</f>
        <v>N/A</v>
      </c>
      <c r="U34" s="67" t="str">
        <f>Calc_EB_ACS!U$56</f>
        <v>N/A</v>
      </c>
      <c r="V34" s="67" t="str">
        <f>Calc_EB_ACS!V$56</f>
        <v>N/A</v>
      </c>
      <c r="W34" s="68" t="str">
        <f>Calc_EB_ACS!W$56</f>
        <v>N/A</v>
      </c>
      <c r="X34" s="66" t="str">
        <f>Calc_EB_ACS!X$56</f>
        <v>N/A</v>
      </c>
      <c r="Y34" s="67" t="str">
        <f>Calc_EB_ACS!Y$56</f>
        <v>N/A</v>
      </c>
      <c r="Z34" s="67" t="str">
        <f>Calc_EB_ACS!Z$56</f>
        <v>N/A</v>
      </c>
      <c r="AA34" s="67" t="str">
        <f>Calc_EB_ACS!AA$56</f>
        <v>N/A</v>
      </c>
      <c r="AB34" s="68" t="str">
        <f>Calc_EB_ACS!AB$56</f>
        <v>N/A</v>
      </c>
    </row>
    <row r="35" spans="1:28" ht="12.3" outlineLevel="1" x14ac:dyDescent="0.35">
      <c r="D35" s="15" t="str">
        <f>Calc_EB_ACS!$C$71</f>
        <v>RAB Additions</v>
      </c>
      <c r="E35" s="52" t="s">
        <v>164</v>
      </c>
      <c r="F35" s="52" t="str">
        <f>Dollars</f>
        <v>Dollars</v>
      </c>
      <c r="G35" s="52" t="str">
        <f>Nominal</f>
        <v>Nominal</v>
      </c>
      <c r="H35" s="52" t="str">
        <f>End_year</f>
        <v>End_year</v>
      </c>
      <c r="J35" s="66" t="str">
        <f>IFERROR(Calc_EB_ACS!J$75+Calc_EB_ACS!J$132,NA)</f>
        <v>N/A</v>
      </c>
      <c r="K35" s="67" t="str">
        <f>IFERROR(Calc_EB_ACS!K$75+Calc_EB_ACS!K$132,NA)</f>
        <v>N/A</v>
      </c>
      <c r="L35" s="67" t="str">
        <f>IFERROR(Calc_EB_ACS!L$75+Calc_EB_ACS!L$132,NA)</f>
        <v>N/A</v>
      </c>
      <c r="M35" s="67" t="str">
        <f>IFERROR(Calc_EB_ACS!M$75+Calc_EB_ACS!M$132,NA)</f>
        <v>N/A</v>
      </c>
      <c r="N35" s="67" t="str">
        <f>IFERROR(Calc_EB_ACS!N$75+Calc_EB_ACS!N$132,NA)</f>
        <v>N/A</v>
      </c>
      <c r="O35" s="67" t="str">
        <f>IFERROR(Calc_EB_ACS!O$75+Calc_EB_ACS!O$132,NA)</f>
        <v>N/A</v>
      </c>
      <c r="P35" s="67" t="str">
        <f>IFERROR(Calc_EB_ACS!P$75+Calc_EB_ACS!P$132,NA)</f>
        <v>N/A</v>
      </c>
      <c r="Q35" s="67" t="str">
        <f>IFERROR(Calc_EB_ACS!Q$75+Calc_EB_ACS!Q$132,NA)</f>
        <v>N/A</v>
      </c>
      <c r="R35" s="68" t="str">
        <f>IFERROR(Calc_EB_ACS!R$75+Calc_EB_ACS!R$132,NA)</f>
        <v>N/A</v>
      </c>
      <c r="S35" s="66" t="str">
        <f>IFERROR(Calc_EB_ACS!S$75+Calc_EB_ACS!S$132,NA)</f>
        <v>N/A</v>
      </c>
      <c r="T35" s="67" t="str">
        <f>IFERROR(Calc_EB_ACS!T$75+Calc_EB_ACS!T$132,NA)</f>
        <v>N/A</v>
      </c>
      <c r="U35" s="67" t="str">
        <f>IFERROR(Calc_EB_ACS!U$75+Calc_EB_ACS!U$132,NA)</f>
        <v>N/A</v>
      </c>
      <c r="V35" s="67" t="str">
        <f>IFERROR(Calc_EB_ACS!V$75+Calc_EB_ACS!V$132,NA)</f>
        <v>N/A</v>
      </c>
      <c r="W35" s="68" t="str">
        <f>IFERROR(Calc_EB_ACS!W$75+Calc_EB_ACS!W$132,NA)</f>
        <v>N/A</v>
      </c>
      <c r="X35" s="66" t="str">
        <f>IFERROR(Calc_EB_ACS!X$75+Calc_EB_ACS!X$132,NA)</f>
        <v>N/A</v>
      </c>
      <c r="Y35" s="67" t="str">
        <f>IFERROR(Calc_EB_ACS!Y$75+Calc_EB_ACS!Y$132,NA)</f>
        <v>N/A</v>
      </c>
      <c r="Z35" s="67" t="str">
        <f>IFERROR(Calc_EB_ACS!Z$75+Calc_EB_ACS!Z$132,NA)</f>
        <v>N/A</v>
      </c>
      <c r="AA35" s="67" t="str">
        <f>IFERROR(Calc_EB_ACS!AA$75+Calc_EB_ACS!AA$132,NA)</f>
        <v>N/A</v>
      </c>
      <c r="AB35" s="68" t="str">
        <f>IFERROR(Calc_EB_ACS!AB$75+Calc_EB_ACS!AB$132,NA)</f>
        <v>N/A</v>
      </c>
    </row>
    <row r="36" spans="1:28" ht="12.3" outlineLevel="1" x14ac:dyDescent="0.35">
      <c r="D36" s="15" t="str">
        <f>Calc_EB_ACS!$C$90</f>
        <v>Disposals</v>
      </c>
      <c r="E36" s="52" t="s">
        <v>164</v>
      </c>
      <c r="F36" s="52" t="str">
        <f>Dollars</f>
        <v>Dollars</v>
      </c>
      <c r="G36" s="52" t="str">
        <f>Nominal</f>
        <v>Nominal</v>
      </c>
      <c r="H36" s="52" t="str">
        <f>End_year</f>
        <v>End_year</v>
      </c>
      <c r="J36" s="66" t="str">
        <f>Calc_EB_ACS!J$94</f>
        <v>N/A</v>
      </c>
      <c r="K36" s="67" t="str">
        <f>Calc_EB_ACS!K$94</f>
        <v>N/A</v>
      </c>
      <c r="L36" s="67" t="str">
        <f>Calc_EB_ACS!L$94</f>
        <v>N/A</v>
      </c>
      <c r="M36" s="67" t="str">
        <f>Calc_EB_ACS!M$94</f>
        <v>N/A</v>
      </c>
      <c r="N36" s="67" t="str">
        <f>Calc_EB_ACS!N$94</f>
        <v>N/A</v>
      </c>
      <c r="O36" s="67" t="str">
        <f>Calc_EB_ACS!O$94</f>
        <v>N/A</v>
      </c>
      <c r="P36" s="67" t="str">
        <f>Calc_EB_ACS!P$94</f>
        <v>N/A</v>
      </c>
      <c r="Q36" s="67" t="str">
        <f>Calc_EB_ACS!Q$94</f>
        <v>N/A</v>
      </c>
      <c r="R36" s="68" t="str">
        <f>Calc_EB_ACS!R$94</f>
        <v>N/A</v>
      </c>
      <c r="S36" s="66" t="str">
        <f>Calc_EB_ACS!S$94</f>
        <v>N/A</v>
      </c>
      <c r="T36" s="67" t="str">
        <f>Calc_EB_ACS!T$94</f>
        <v>N/A</v>
      </c>
      <c r="U36" s="67" t="str">
        <f>Calc_EB_ACS!U$94</f>
        <v>N/A</v>
      </c>
      <c r="V36" s="67" t="str">
        <f>Calc_EB_ACS!V$94</f>
        <v>N/A</v>
      </c>
      <c r="W36" s="68" t="str">
        <f>Calc_EB_ACS!W$94</f>
        <v>N/A</v>
      </c>
      <c r="X36" s="66" t="str">
        <f>Calc_EB_ACS!X$94</f>
        <v>N/A</v>
      </c>
      <c r="Y36" s="67" t="str">
        <f>Calc_EB_ACS!Y$94</f>
        <v>N/A</v>
      </c>
      <c r="Z36" s="67" t="str">
        <f>Calc_EB_ACS!Z$94</f>
        <v>N/A</v>
      </c>
      <c r="AA36" s="67" t="str">
        <f>Calc_EB_ACS!AA$94</f>
        <v>N/A</v>
      </c>
      <c r="AB36" s="68" t="str">
        <f>Calc_EB_ACS!AB$94</f>
        <v>N/A</v>
      </c>
    </row>
    <row r="37" spans="1:28" outlineLevel="1" x14ac:dyDescent="0.35">
      <c r="J37" s="56"/>
      <c r="K37" s="57"/>
      <c r="L37" s="57"/>
      <c r="M37" s="57"/>
      <c r="N37" s="57"/>
      <c r="O37" s="57"/>
      <c r="P37" s="57"/>
      <c r="Q37" s="57"/>
      <c r="R37" s="58"/>
      <c r="S37" s="56"/>
      <c r="T37" s="57"/>
      <c r="U37" s="57"/>
      <c r="V37" s="57"/>
      <c r="W37" s="58"/>
      <c r="X37" s="56"/>
      <c r="Y37" s="57"/>
      <c r="Z37" s="57"/>
      <c r="AA37" s="57"/>
      <c r="AB37" s="58"/>
    </row>
    <row r="38" spans="1:28" ht="12.3" outlineLevel="1" x14ac:dyDescent="0.35">
      <c r="D38" s="51" t="s">
        <v>152</v>
      </c>
      <c r="E38" s="47" t="s">
        <v>111</v>
      </c>
      <c r="F38" s="47" t="str">
        <f>F32</f>
        <v>Dollars</v>
      </c>
      <c r="G38" s="47" t="str">
        <f>G32</f>
        <v>Nominal</v>
      </c>
      <c r="H38" s="47" t="str">
        <f>H32</f>
        <v>Start year</v>
      </c>
      <c r="J38" s="62">
        <f t="shared" ref="J38:AB38" si="8">SUM(J32:J36)</f>
        <v>0</v>
      </c>
      <c r="K38" s="46">
        <f t="shared" si="8"/>
        <v>0</v>
      </c>
      <c r="L38" s="46">
        <f t="shared" si="8"/>
        <v>0</v>
      </c>
      <c r="M38" s="46">
        <f t="shared" si="8"/>
        <v>0</v>
      </c>
      <c r="N38" s="46">
        <f t="shared" si="8"/>
        <v>0</v>
      </c>
      <c r="O38" s="46">
        <f t="shared" si="8"/>
        <v>0</v>
      </c>
      <c r="P38" s="46">
        <f t="shared" si="8"/>
        <v>0</v>
      </c>
      <c r="Q38" s="46">
        <f t="shared" si="8"/>
        <v>0</v>
      </c>
      <c r="R38" s="63">
        <f t="shared" si="8"/>
        <v>0</v>
      </c>
      <c r="S38" s="62">
        <f t="shared" si="8"/>
        <v>0</v>
      </c>
      <c r="T38" s="46">
        <f t="shared" si="8"/>
        <v>0</v>
      </c>
      <c r="U38" s="46">
        <f t="shared" si="8"/>
        <v>0</v>
      </c>
      <c r="V38" s="46">
        <f t="shared" si="8"/>
        <v>0</v>
      </c>
      <c r="W38" s="63">
        <f t="shared" si="8"/>
        <v>0</v>
      </c>
      <c r="X38" s="62">
        <f t="shared" si="8"/>
        <v>0</v>
      </c>
      <c r="Y38" s="46">
        <f t="shared" si="8"/>
        <v>0</v>
      </c>
      <c r="Z38" s="46">
        <f t="shared" si="8"/>
        <v>0</v>
      </c>
      <c r="AA38" s="46">
        <f t="shared" si="8"/>
        <v>0</v>
      </c>
      <c r="AB38" s="63">
        <f t="shared" si="8"/>
        <v>0</v>
      </c>
    </row>
    <row r="39" spans="1:28" s="6" customFormat="1" ht="11.25" customHeight="1" outlineLevel="1" x14ac:dyDescent="0.35"/>
    <row r="40" spans="1:28" s="6" customFormat="1" ht="11.25" customHeight="1" outlineLevel="1" x14ac:dyDescent="0.35">
      <c r="A40" s="49">
        <f>IF(SUM($J40:$AB40)&lt;&gt;0,1,0)</f>
        <v>0</v>
      </c>
      <c r="D40" s="15" t="s">
        <v>114</v>
      </c>
      <c r="J40" s="70">
        <f>IF(Calc_EB_ACS!J$151=NA,0,IF(J38&lt;&gt;Calc_EB_ACS!J$151,1,0))</f>
        <v>0</v>
      </c>
      <c r="K40" s="70">
        <f>IF(Calc_EB_ACS!K$151=NA,0,IF(K38&lt;&gt;Calc_EB_ACS!K$151,1,0))</f>
        <v>0</v>
      </c>
      <c r="L40" s="70">
        <f>IF(Calc_EB_ACS!L$151=NA,0,IF(L38&lt;&gt;Calc_EB_ACS!L$151,1,0))</f>
        <v>0</v>
      </c>
      <c r="M40" s="70">
        <f>IF(Calc_EB_ACS!M$151=NA,0,IF(M38&lt;&gt;Calc_EB_ACS!M$151,1,0))</f>
        <v>0</v>
      </c>
      <c r="N40" s="70">
        <f>IF(Calc_EB_ACS!N$151=NA,0,IF(N38&lt;&gt;Calc_EB_ACS!N$151,1,0))</f>
        <v>0</v>
      </c>
      <c r="O40" s="70">
        <f>IF(Calc_EB_ACS!O$151=NA,0,IF(O38&lt;&gt;Calc_EB_ACS!O$151,1,0))</f>
        <v>0</v>
      </c>
      <c r="P40" s="70">
        <f>IF(Calc_EB_ACS!P$151=NA,0,IF(P38&lt;&gt;Calc_EB_ACS!P$151,1,0))</f>
        <v>0</v>
      </c>
      <c r="Q40" s="70">
        <f>IF(Calc_EB_ACS!Q$151=NA,0,IF(Q38&lt;&gt;Calc_EB_ACS!Q$151,1,0))</f>
        <v>0</v>
      </c>
      <c r="R40" s="70">
        <f>IF(Calc_EB_ACS!R$151=NA,0,IF(R38&lt;&gt;Calc_EB_ACS!R$151,1,0))</f>
        <v>0</v>
      </c>
      <c r="S40" s="70">
        <f>IF(Calc_EB_ACS!S$151=NA,0,IF(S38&lt;&gt;Calc_EB_ACS!S$151,1,0))</f>
        <v>0</v>
      </c>
      <c r="T40" s="70">
        <f>IF(Calc_EB_ACS!T$151=NA,0,IF(T38&lt;&gt;Calc_EB_ACS!T$151,1,0))</f>
        <v>0</v>
      </c>
      <c r="U40" s="70">
        <f>IF(Calc_EB_ACS!U$151=NA,0,IF(U38&lt;&gt;Calc_EB_ACS!U$151,1,0))</f>
        <v>0</v>
      </c>
      <c r="V40" s="70">
        <f>IF(Calc_EB_ACS!V$151=NA,0,IF(V38&lt;&gt;Calc_EB_ACS!V$151,1,0))</f>
        <v>0</v>
      </c>
      <c r="W40" s="70">
        <f>IF(Calc_EB_ACS!W$151=NA,0,IF(W38&lt;&gt;Calc_EB_ACS!W$151,1,0))</f>
        <v>0</v>
      </c>
      <c r="X40" s="70">
        <f>IF(Calc_EB_ACS!X$151=NA,0,IF(X38&lt;&gt;Calc_EB_ACS!X$151,1,0))</f>
        <v>0</v>
      </c>
      <c r="Y40" s="70">
        <f>IF(Calc_EB_ACS!Y$151=NA,0,IF(Y38&lt;&gt;Calc_EB_ACS!Y$151,1,0))</f>
        <v>0</v>
      </c>
      <c r="Z40" s="70">
        <f>IF(Calc_EB_ACS!Z$151=NA,0,IF(Z38&lt;&gt;Calc_EB_ACS!Z$151,1,0))</f>
        <v>0</v>
      </c>
      <c r="AA40" s="70">
        <f>IF(Calc_EB_ACS!AA$151=NA,0,IF(AA38&lt;&gt;Calc_EB_ACS!AA$151,1,0))</f>
        <v>0</v>
      </c>
      <c r="AB40" s="70">
        <f>IF(Calc_EB_ACS!AB$151=NA,0,IF(AB38&lt;&gt;Calc_EB_ACS!AB$151,1,0))</f>
        <v>0</v>
      </c>
    </row>
    <row r="41" spans="1:28" s="6" customFormat="1" ht="11.25" customHeight="1" outlineLevel="1" x14ac:dyDescent="0.35">
      <c r="L41" s="10"/>
      <c r="Q41" s="10"/>
      <c r="V41" s="10"/>
      <c r="AA41" s="10"/>
    </row>
    <row r="42" spans="1:28" s="13" customFormat="1" ht="14.1" x14ac:dyDescent="0.35">
      <c r="C42" s="13" t="str">
        <f>Lookup!$D$104</f>
        <v>Underground network assets less than 33kV</v>
      </c>
    </row>
    <row r="43" spans="1:28" s="6" customFormat="1" ht="11.25" customHeight="1" x14ac:dyDescent="0.35"/>
    <row r="44" spans="1:28" ht="12.3" outlineLevel="1" x14ac:dyDescent="0.35">
      <c r="D44" s="50" t="s">
        <v>109</v>
      </c>
      <c r="E44" s="45" t="str">
        <f>Lookup!E$20</f>
        <v>Source</v>
      </c>
      <c r="F44" s="45" t="str">
        <f>Lookup!F$20</f>
        <v>Unit</v>
      </c>
      <c r="G44" s="45" t="str">
        <f>Lookup!G$20</f>
        <v>Basis</v>
      </c>
      <c r="H44" s="45" t="str">
        <f>Lookup!H$20</f>
        <v>Timing</v>
      </c>
      <c r="J44" s="54" t="str">
        <f>J$10</f>
        <v>RY06</v>
      </c>
      <c r="K44" s="45" t="str">
        <f t="shared" ref="K44:AB44" si="9">K$10</f>
        <v>RY07</v>
      </c>
      <c r="L44" s="45" t="str">
        <f t="shared" si="9"/>
        <v>RY08</v>
      </c>
      <c r="M44" s="45" t="str">
        <f t="shared" si="9"/>
        <v>RY09</v>
      </c>
      <c r="N44" s="45" t="str">
        <f t="shared" si="9"/>
        <v>RY10</v>
      </c>
      <c r="O44" s="45" t="str">
        <f>O$10</f>
        <v>RY11</v>
      </c>
      <c r="P44" s="45" t="str">
        <f t="shared" si="9"/>
        <v>RY12</v>
      </c>
      <c r="Q44" s="45" t="str">
        <f t="shared" si="9"/>
        <v>RY13</v>
      </c>
      <c r="R44" s="55" t="str">
        <f t="shared" si="9"/>
        <v>RY14</v>
      </c>
      <c r="S44" s="54" t="str">
        <f t="shared" si="9"/>
        <v>RY15</v>
      </c>
      <c r="T44" s="45" t="str">
        <f>T$10</f>
        <v>RY16</v>
      </c>
      <c r="U44" s="45" t="str">
        <f t="shared" si="9"/>
        <v>RY17</v>
      </c>
      <c r="V44" s="45" t="str">
        <f t="shared" si="9"/>
        <v>RY18</v>
      </c>
      <c r="W44" s="55" t="str">
        <f t="shared" si="9"/>
        <v>RY19</v>
      </c>
      <c r="X44" s="54" t="str">
        <f t="shared" si="9"/>
        <v>RY20</v>
      </c>
      <c r="Y44" s="45" t="str">
        <f>Y$10</f>
        <v>RY21</v>
      </c>
      <c r="Z44" s="45" t="str">
        <f t="shared" si="9"/>
        <v>RY22</v>
      </c>
      <c r="AA44" s="45" t="str">
        <f t="shared" si="9"/>
        <v>RY23</v>
      </c>
      <c r="AB44" s="55" t="str">
        <f t="shared" si="9"/>
        <v>RY24</v>
      </c>
    </row>
    <row r="45" spans="1:28" outlineLevel="1" x14ac:dyDescent="0.35">
      <c r="J45" s="56"/>
      <c r="K45" s="57"/>
      <c r="L45" s="57"/>
      <c r="M45" s="57"/>
      <c r="N45" s="57"/>
      <c r="O45" s="57"/>
      <c r="P45" s="57"/>
      <c r="Q45" s="57"/>
      <c r="R45" s="58"/>
      <c r="S45" s="56"/>
      <c r="T45" s="57"/>
      <c r="U45" s="57"/>
      <c r="V45" s="57"/>
      <c r="W45" s="58"/>
      <c r="X45" s="56"/>
      <c r="Y45" s="57"/>
      <c r="Z45" s="57"/>
      <c r="AA45" s="57"/>
      <c r="AB45" s="58"/>
    </row>
    <row r="46" spans="1:28" ht="12.3" outlineLevel="1" x14ac:dyDescent="0.35">
      <c r="D46" s="15" t="str">
        <f>Calc_EB_ACS!$C$14</f>
        <v>Opening Balance</v>
      </c>
      <c r="E46" s="52" t="str">
        <f>$E$32</f>
        <v>Calc_EB_ACS</v>
      </c>
      <c r="F46" s="52" t="str">
        <f>Dollars</f>
        <v>Dollars</v>
      </c>
      <c r="G46" s="52" t="str">
        <f>Nominal</f>
        <v>Nominal</v>
      </c>
      <c r="H46" s="52" t="str">
        <f>Start_year</f>
        <v>Start year</v>
      </c>
      <c r="J46" s="66" t="str">
        <f>Calc_EB_ACS!J$19</f>
        <v>N/A</v>
      </c>
      <c r="K46" s="67" t="str">
        <f>Calc_EB_ACS!K$19</f>
        <v>N/A</v>
      </c>
      <c r="L46" s="67" t="str">
        <f>Calc_EB_ACS!L$19</f>
        <v>N/A</v>
      </c>
      <c r="M46" s="67" t="str">
        <f>Calc_EB_ACS!M$19</f>
        <v>N/A</v>
      </c>
      <c r="N46" s="67" t="str">
        <f>Calc_EB_ACS!N$19</f>
        <v>N/A</v>
      </c>
      <c r="O46" s="67" t="str">
        <f>Calc_EB_ACS!O$19</f>
        <v>N/A</v>
      </c>
      <c r="P46" s="67" t="str">
        <f>Calc_EB_ACS!P$19</f>
        <v>N/A</v>
      </c>
      <c r="Q46" s="67" t="str">
        <f>Calc_EB_ACS!Q$19</f>
        <v>N/A</v>
      </c>
      <c r="R46" s="68" t="str">
        <f>Calc_EB_ACS!R$19</f>
        <v>N/A</v>
      </c>
      <c r="S46" s="66" t="str">
        <f>Calc_EB_ACS!S$19</f>
        <v>N/A</v>
      </c>
      <c r="T46" s="67" t="str">
        <f>Calc_EB_ACS!T$19</f>
        <v>N/A</v>
      </c>
      <c r="U46" s="67" t="str">
        <f>Calc_EB_ACS!U$19</f>
        <v>N/A</v>
      </c>
      <c r="V46" s="67" t="str">
        <f>Calc_EB_ACS!V$19</f>
        <v>N/A</v>
      </c>
      <c r="W46" s="68" t="str">
        <f>Calc_EB_ACS!W$19</f>
        <v>N/A</v>
      </c>
      <c r="X46" s="66" t="str">
        <f>Calc_EB_ACS!X$19</f>
        <v>N/A</v>
      </c>
      <c r="Y46" s="67" t="str">
        <f>Calc_EB_ACS!Y$19</f>
        <v>N/A</v>
      </c>
      <c r="Z46" s="67" t="str">
        <f>Calc_EB_ACS!Z$19</f>
        <v>N/A</v>
      </c>
      <c r="AA46" s="67" t="str">
        <f>Calc_EB_ACS!AA$19</f>
        <v>N/A</v>
      </c>
      <c r="AB46" s="68" t="str">
        <f>Calc_EB_ACS!AB$19</f>
        <v>N/A</v>
      </c>
    </row>
    <row r="47" spans="1:28" ht="12.3" outlineLevel="1" x14ac:dyDescent="0.35">
      <c r="D47" s="15" t="str">
        <f>Calc_EB_ACS!$C$33</f>
        <v>Inflation</v>
      </c>
      <c r="E47" s="52" t="str">
        <f>$E$33</f>
        <v>Calc_EB_ACS</v>
      </c>
      <c r="F47" s="52" t="str">
        <f>Dollars</f>
        <v>Dollars</v>
      </c>
      <c r="G47" s="52" t="str">
        <f>Nominal</f>
        <v>Nominal</v>
      </c>
      <c r="H47" s="52" t="str">
        <f>End_year</f>
        <v>End_year</v>
      </c>
      <c r="J47" s="66" t="str">
        <f>Calc_EB_ACS!J$38</f>
        <v>N/A</v>
      </c>
      <c r="K47" s="67" t="str">
        <f>Calc_EB_ACS!K$38</f>
        <v>N/A</v>
      </c>
      <c r="L47" s="67" t="str">
        <f>Calc_EB_ACS!L$38</f>
        <v>N/A</v>
      </c>
      <c r="M47" s="67" t="str">
        <f>Calc_EB_ACS!M$38</f>
        <v>N/A</v>
      </c>
      <c r="N47" s="67" t="str">
        <f>Calc_EB_ACS!N$38</f>
        <v>N/A</v>
      </c>
      <c r="O47" s="67" t="str">
        <f>Calc_EB_ACS!O$38</f>
        <v>N/A</v>
      </c>
      <c r="P47" s="67" t="str">
        <f>Calc_EB_ACS!P$38</f>
        <v>N/A</v>
      </c>
      <c r="Q47" s="67" t="str">
        <f>Calc_EB_ACS!Q$38</f>
        <v>N/A</v>
      </c>
      <c r="R47" s="68" t="str">
        <f>Calc_EB_ACS!R$38</f>
        <v>N/A</v>
      </c>
      <c r="S47" s="66" t="str">
        <f>Calc_EB_ACS!S$38</f>
        <v>N/A</v>
      </c>
      <c r="T47" s="67" t="str">
        <f>Calc_EB_ACS!T$38</f>
        <v>N/A</v>
      </c>
      <c r="U47" s="67" t="str">
        <f>Calc_EB_ACS!U$38</f>
        <v>N/A</v>
      </c>
      <c r="V47" s="67" t="str">
        <f>Calc_EB_ACS!V$38</f>
        <v>N/A</v>
      </c>
      <c r="W47" s="68" t="str">
        <f>Calc_EB_ACS!W$38</f>
        <v>N/A</v>
      </c>
      <c r="X47" s="66" t="str">
        <f>Calc_EB_ACS!X$38</f>
        <v>N/A</v>
      </c>
      <c r="Y47" s="67" t="str">
        <f>Calc_EB_ACS!Y$38</f>
        <v>N/A</v>
      </c>
      <c r="Z47" s="67" t="str">
        <f>Calc_EB_ACS!Z$38</f>
        <v>N/A</v>
      </c>
      <c r="AA47" s="67" t="str">
        <f>Calc_EB_ACS!AA$38</f>
        <v>N/A</v>
      </c>
      <c r="AB47" s="68" t="str">
        <f>Calc_EB_ACS!AB$38</f>
        <v>N/A</v>
      </c>
    </row>
    <row r="48" spans="1:28" ht="12.3" outlineLevel="1" x14ac:dyDescent="0.35">
      <c r="D48" s="15" t="str">
        <f>Calc_EB_ACS!$C$52</f>
        <v>Straight Line Depreciation</v>
      </c>
      <c r="E48" s="52" t="str">
        <f>$E$34</f>
        <v>Calc_EB_ACS</v>
      </c>
      <c r="F48" s="52" t="str">
        <f>Dollars</f>
        <v>Dollars</v>
      </c>
      <c r="G48" s="52" t="str">
        <f>Nominal</f>
        <v>Nominal</v>
      </c>
      <c r="H48" s="52" t="str">
        <f>End_year</f>
        <v>End_year</v>
      </c>
      <c r="J48" s="66" t="str">
        <f>Calc_EB_ACS!J$57</f>
        <v>N/A</v>
      </c>
      <c r="K48" s="67" t="str">
        <f>Calc_EB_ACS!K$57</f>
        <v>N/A</v>
      </c>
      <c r="L48" s="67" t="str">
        <f>Calc_EB_ACS!L$57</f>
        <v>N/A</v>
      </c>
      <c r="M48" s="67" t="str">
        <f>Calc_EB_ACS!M$57</f>
        <v>N/A</v>
      </c>
      <c r="N48" s="67" t="str">
        <f>Calc_EB_ACS!N$57</f>
        <v>N/A</v>
      </c>
      <c r="O48" s="67" t="str">
        <f>Calc_EB_ACS!O$57</f>
        <v>N/A</v>
      </c>
      <c r="P48" s="67" t="str">
        <f>Calc_EB_ACS!P$57</f>
        <v>N/A</v>
      </c>
      <c r="Q48" s="67" t="str">
        <f>Calc_EB_ACS!Q$57</f>
        <v>N/A</v>
      </c>
      <c r="R48" s="68" t="str">
        <f>Calc_EB_ACS!R$57</f>
        <v>N/A</v>
      </c>
      <c r="S48" s="66" t="str">
        <f>Calc_EB_ACS!S$57</f>
        <v>N/A</v>
      </c>
      <c r="T48" s="67" t="str">
        <f>Calc_EB_ACS!T$57</f>
        <v>N/A</v>
      </c>
      <c r="U48" s="67" t="str">
        <f>Calc_EB_ACS!U$57</f>
        <v>N/A</v>
      </c>
      <c r="V48" s="67" t="str">
        <f>Calc_EB_ACS!V$57</f>
        <v>N/A</v>
      </c>
      <c r="W48" s="68" t="str">
        <f>Calc_EB_ACS!W$57</f>
        <v>N/A</v>
      </c>
      <c r="X48" s="66" t="str">
        <f>Calc_EB_ACS!X$57</f>
        <v>N/A</v>
      </c>
      <c r="Y48" s="67" t="str">
        <f>Calc_EB_ACS!Y$57</f>
        <v>N/A</v>
      </c>
      <c r="Z48" s="67" t="str">
        <f>Calc_EB_ACS!Z$57</f>
        <v>N/A</v>
      </c>
      <c r="AA48" s="67" t="str">
        <f>Calc_EB_ACS!AA$57</f>
        <v>N/A</v>
      </c>
      <c r="AB48" s="68" t="str">
        <f>Calc_EB_ACS!AB$57</f>
        <v>N/A</v>
      </c>
    </row>
    <row r="49" spans="1:28" ht="12.3" outlineLevel="1" x14ac:dyDescent="0.35">
      <c r="D49" s="15" t="str">
        <f>Calc_EB_ACS!$C$71</f>
        <v>RAB Additions</v>
      </c>
      <c r="E49" s="52" t="str">
        <f>$E$35</f>
        <v>Calc_EB_ACS</v>
      </c>
      <c r="F49" s="52" t="str">
        <f>Dollars</f>
        <v>Dollars</v>
      </c>
      <c r="G49" s="52" t="str">
        <f>Nominal</f>
        <v>Nominal</v>
      </c>
      <c r="H49" s="52" t="str">
        <f>End_year</f>
        <v>End_year</v>
      </c>
      <c r="J49" s="66" t="str">
        <f>IFERROR(Calc_EB_ACS!J$76+Calc_EB_ACS!J$133,NA)</f>
        <v>N/A</v>
      </c>
      <c r="K49" s="67" t="str">
        <f>IFERROR(Calc_EB_ACS!K$76+Calc_EB_ACS!K$133,NA)</f>
        <v>N/A</v>
      </c>
      <c r="L49" s="67" t="str">
        <f>IFERROR(Calc_EB_ACS!L$76+Calc_EB_ACS!L$133,NA)</f>
        <v>N/A</v>
      </c>
      <c r="M49" s="67" t="str">
        <f>IFERROR(Calc_EB_ACS!M$76+Calc_EB_ACS!M$133,NA)</f>
        <v>N/A</v>
      </c>
      <c r="N49" s="67" t="str">
        <f>IFERROR(Calc_EB_ACS!N$76+Calc_EB_ACS!N$133,NA)</f>
        <v>N/A</v>
      </c>
      <c r="O49" s="67" t="str">
        <f>IFERROR(Calc_EB_ACS!O$76+Calc_EB_ACS!O$133,NA)</f>
        <v>N/A</v>
      </c>
      <c r="P49" s="67" t="str">
        <f>IFERROR(Calc_EB_ACS!P$76+Calc_EB_ACS!P$133,NA)</f>
        <v>N/A</v>
      </c>
      <c r="Q49" s="67" t="str">
        <f>IFERROR(Calc_EB_ACS!Q$76+Calc_EB_ACS!Q$133,NA)</f>
        <v>N/A</v>
      </c>
      <c r="R49" s="68" t="str">
        <f>IFERROR(Calc_EB_ACS!R$76+Calc_EB_ACS!R$133,NA)</f>
        <v>N/A</v>
      </c>
      <c r="S49" s="66" t="str">
        <f>IFERROR(Calc_EB_ACS!S$76+Calc_EB_ACS!S$133,NA)</f>
        <v>N/A</v>
      </c>
      <c r="T49" s="67" t="str">
        <f>IFERROR(Calc_EB_ACS!T$76+Calc_EB_ACS!T$133,NA)</f>
        <v>N/A</v>
      </c>
      <c r="U49" s="67" t="str">
        <f>IFERROR(Calc_EB_ACS!U$76+Calc_EB_ACS!U$133,NA)</f>
        <v>N/A</v>
      </c>
      <c r="V49" s="67" t="str">
        <f>IFERROR(Calc_EB_ACS!V$76+Calc_EB_ACS!V$133,NA)</f>
        <v>N/A</v>
      </c>
      <c r="W49" s="68" t="str">
        <f>IFERROR(Calc_EB_ACS!W$76+Calc_EB_ACS!W$133,NA)</f>
        <v>N/A</v>
      </c>
      <c r="X49" s="66" t="str">
        <f>IFERROR(Calc_EB_ACS!X$76+Calc_EB_ACS!X$133,NA)</f>
        <v>N/A</v>
      </c>
      <c r="Y49" s="67" t="str">
        <f>IFERROR(Calc_EB_ACS!Y$76+Calc_EB_ACS!Y$133,NA)</f>
        <v>N/A</v>
      </c>
      <c r="Z49" s="67" t="str">
        <f>IFERROR(Calc_EB_ACS!Z$76+Calc_EB_ACS!Z$133,NA)</f>
        <v>N/A</v>
      </c>
      <c r="AA49" s="67" t="str">
        <f>IFERROR(Calc_EB_ACS!AA$76+Calc_EB_ACS!AA$133,NA)</f>
        <v>N/A</v>
      </c>
      <c r="AB49" s="68" t="str">
        <f>IFERROR(Calc_EB_ACS!AB$76+Calc_EB_ACS!AB$133,NA)</f>
        <v>N/A</v>
      </c>
    </row>
    <row r="50" spans="1:28" ht="12.3" outlineLevel="1" x14ac:dyDescent="0.35">
      <c r="D50" s="15" t="str">
        <f>Calc_EB_ACS!$C$90</f>
        <v>Disposals</v>
      </c>
      <c r="E50" s="52" t="str">
        <f>$E$36</f>
        <v>Calc_EB_ACS</v>
      </c>
      <c r="F50" s="52" t="str">
        <f>Dollars</f>
        <v>Dollars</v>
      </c>
      <c r="G50" s="52" t="str">
        <f>Nominal</f>
        <v>Nominal</v>
      </c>
      <c r="H50" s="52" t="str">
        <f>End_year</f>
        <v>End_year</v>
      </c>
      <c r="J50" s="66" t="str">
        <f>Calc_EB_ACS!J$95</f>
        <v>N/A</v>
      </c>
      <c r="K50" s="67" t="str">
        <f>Calc_EB_ACS!K$95</f>
        <v>N/A</v>
      </c>
      <c r="L50" s="67" t="str">
        <f>Calc_EB_ACS!L$95</f>
        <v>N/A</v>
      </c>
      <c r="M50" s="67" t="str">
        <f>Calc_EB_ACS!M$95</f>
        <v>N/A</v>
      </c>
      <c r="N50" s="67" t="str">
        <f>Calc_EB_ACS!N$95</f>
        <v>N/A</v>
      </c>
      <c r="O50" s="67" t="str">
        <f>Calc_EB_ACS!O$95</f>
        <v>N/A</v>
      </c>
      <c r="P50" s="67" t="str">
        <f>Calc_EB_ACS!P$95</f>
        <v>N/A</v>
      </c>
      <c r="Q50" s="67" t="str">
        <f>Calc_EB_ACS!Q$95</f>
        <v>N/A</v>
      </c>
      <c r="R50" s="68" t="str">
        <f>Calc_EB_ACS!R$95</f>
        <v>N/A</v>
      </c>
      <c r="S50" s="66" t="str">
        <f>Calc_EB_ACS!S$95</f>
        <v>N/A</v>
      </c>
      <c r="T50" s="67" t="str">
        <f>Calc_EB_ACS!T$95</f>
        <v>N/A</v>
      </c>
      <c r="U50" s="67" t="str">
        <f>Calc_EB_ACS!U$95</f>
        <v>N/A</v>
      </c>
      <c r="V50" s="67" t="str">
        <f>Calc_EB_ACS!V$95</f>
        <v>N/A</v>
      </c>
      <c r="W50" s="68" t="str">
        <f>Calc_EB_ACS!W$95</f>
        <v>N/A</v>
      </c>
      <c r="X50" s="66" t="str">
        <f>Calc_EB_ACS!X$95</f>
        <v>N/A</v>
      </c>
      <c r="Y50" s="67" t="str">
        <f>Calc_EB_ACS!Y$95</f>
        <v>N/A</v>
      </c>
      <c r="Z50" s="67" t="str">
        <f>Calc_EB_ACS!Z$95</f>
        <v>N/A</v>
      </c>
      <c r="AA50" s="67" t="str">
        <f>Calc_EB_ACS!AA$95</f>
        <v>N/A</v>
      </c>
      <c r="AB50" s="68" t="str">
        <f>Calc_EB_ACS!AB$95</f>
        <v>N/A</v>
      </c>
    </row>
    <row r="51" spans="1:28" outlineLevel="1" x14ac:dyDescent="0.35">
      <c r="J51" s="56"/>
      <c r="K51" s="57"/>
      <c r="L51" s="57"/>
      <c r="M51" s="57"/>
      <c r="N51" s="57"/>
      <c r="O51" s="57"/>
      <c r="P51" s="57"/>
      <c r="Q51" s="57"/>
      <c r="R51" s="58"/>
      <c r="S51" s="56"/>
      <c r="T51" s="57"/>
      <c r="U51" s="57"/>
      <c r="V51" s="57"/>
      <c r="W51" s="58"/>
      <c r="X51" s="56"/>
      <c r="Y51" s="57"/>
      <c r="Z51" s="57"/>
      <c r="AA51" s="57"/>
      <c r="AB51" s="58"/>
    </row>
    <row r="52" spans="1:28" ht="12.3" outlineLevel="1" x14ac:dyDescent="0.35">
      <c r="D52" s="51" t="s">
        <v>152</v>
      </c>
      <c r="E52" s="47" t="s">
        <v>111</v>
      </c>
      <c r="F52" s="47" t="str">
        <f>F46</f>
        <v>Dollars</v>
      </c>
      <c r="G52" s="47" t="str">
        <f>G46</f>
        <v>Nominal</v>
      </c>
      <c r="H52" s="47" t="str">
        <f>H46</f>
        <v>Start year</v>
      </c>
      <c r="J52" s="62">
        <f t="shared" ref="J52:AB52" si="10">SUM(J46:J50)</f>
        <v>0</v>
      </c>
      <c r="K52" s="46">
        <f t="shared" si="10"/>
        <v>0</v>
      </c>
      <c r="L52" s="46">
        <f t="shared" si="10"/>
        <v>0</v>
      </c>
      <c r="M52" s="46">
        <f t="shared" si="10"/>
        <v>0</v>
      </c>
      <c r="N52" s="46">
        <f t="shared" si="10"/>
        <v>0</v>
      </c>
      <c r="O52" s="46">
        <f t="shared" si="10"/>
        <v>0</v>
      </c>
      <c r="P52" s="46">
        <f t="shared" si="10"/>
        <v>0</v>
      </c>
      <c r="Q52" s="46">
        <f t="shared" si="10"/>
        <v>0</v>
      </c>
      <c r="R52" s="63">
        <f t="shared" si="10"/>
        <v>0</v>
      </c>
      <c r="S52" s="62">
        <f t="shared" si="10"/>
        <v>0</v>
      </c>
      <c r="T52" s="46">
        <f t="shared" si="10"/>
        <v>0</v>
      </c>
      <c r="U52" s="46">
        <f t="shared" si="10"/>
        <v>0</v>
      </c>
      <c r="V52" s="46">
        <f t="shared" si="10"/>
        <v>0</v>
      </c>
      <c r="W52" s="63">
        <f t="shared" si="10"/>
        <v>0</v>
      </c>
      <c r="X52" s="62">
        <f t="shared" si="10"/>
        <v>0</v>
      </c>
      <c r="Y52" s="46">
        <f t="shared" si="10"/>
        <v>0</v>
      </c>
      <c r="Z52" s="46">
        <f t="shared" si="10"/>
        <v>0</v>
      </c>
      <c r="AA52" s="46">
        <f t="shared" si="10"/>
        <v>0</v>
      </c>
      <c r="AB52" s="63">
        <f t="shared" si="10"/>
        <v>0</v>
      </c>
    </row>
    <row r="53" spans="1:28" s="6" customFormat="1" ht="11.25" customHeight="1" outlineLevel="1" x14ac:dyDescent="0.35"/>
    <row r="54" spans="1:28" s="6" customFormat="1" ht="11.25" customHeight="1" outlineLevel="1" x14ac:dyDescent="0.35">
      <c r="A54" s="49">
        <f>IF(SUM($J54:$AB54)&lt;&gt;0,1,0)</f>
        <v>0</v>
      </c>
      <c r="D54" s="15" t="s">
        <v>114</v>
      </c>
      <c r="J54" s="70">
        <f>IF(Calc_EB_ACS!J$152=NA,0,IF(J52&lt;&gt;Calc_EB_ACS!J$152,1,0))</f>
        <v>0</v>
      </c>
      <c r="K54" s="70">
        <f>IF(Calc_EB_ACS!K$152=NA,0,IF(K52&lt;&gt;Calc_EB_ACS!K$152,1,0))</f>
        <v>0</v>
      </c>
      <c r="L54" s="70">
        <f>IF(Calc_EB_ACS!L$152=NA,0,IF(L52&lt;&gt;Calc_EB_ACS!L$152,1,0))</f>
        <v>0</v>
      </c>
      <c r="M54" s="70">
        <f>IF(Calc_EB_ACS!M$152=NA,0,IF(M52&lt;&gt;Calc_EB_ACS!M$152,1,0))</f>
        <v>0</v>
      </c>
      <c r="N54" s="70">
        <f>IF(Calc_EB_ACS!N$152=NA,0,IF(N52&lt;&gt;Calc_EB_ACS!N$152,1,0))</f>
        <v>0</v>
      </c>
      <c r="O54" s="70">
        <f>IF(Calc_EB_ACS!O$152=NA,0,IF(O52&lt;&gt;Calc_EB_ACS!O$152,1,0))</f>
        <v>0</v>
      </c>
      <c r="P54" s="70">
        <f>IF(Calc_EB_ACS!P$152=NA,0,IF(P52&lt;&gt;Calc_EB_ACS!P$152,1,0))</f>
        <v>0</v>
      </c>
      <c r="Q54" s="70">
        <f>IF(Calc_EB_ACS!Q$152=NA,0,IF(Q52&lt;&gt;Calc_EB_ACS!Q$152,1,0))</f>
        <v>0</v>
      </c>
      <c r="R54" s="70">
        <f>IF(Calc_EB_ACS!R$152=NA,0,IF(R52&lt;&gt;Calc_EB_ACS!R$152,1,0))</f>
        <v>0</v>
      </c>
      <c r="S54" s="70">
        <f>IF(Calc_EB_ACS!S$152=NA,0,IF(S52&lt;&gt;Calc_EB_ACS!S$152,1,0))</f>
        <v>0</v>
      </c>
      <c r="T54" s="70">
        <f>IF(Calc_EB_ACS!T$152=NA,0,IF(T52&lt;&gt;Calc_EB_ACS!T$152,1,0))</f>
        <v>0</v>
      </c>
      <c r="U54" s="70">
        <f>IF(Calc_EB_ACS!U$152=NA,0,IF(U52&lt;&gt;Calc_EB_ACS!U$152,1,0))</f>
        <v>0</v>
      </c>
      <c r="V54" s="70">
        <f>IF(Calc_EB_ACS!V$152=NA,0,IF(V52&lt;&gt;Calc_EB_ACS!V$152,1,0))</f>
        <v>0</v>
      </c>
      <c r="W54" s="70">
        <f>IF(Calc_EB_ACS!W$152=NA,0,IF(W52&lt;&gt;Calc_EB_ACS!W$152,1,0))</f>
        <v>0</v>
      </c>
      <c r="X54" s="70">
        <f>IF(Calc_EB_ACS!X$152=NA,0,IF(X52&lt;&gt;Calc_EB_ACS!X$152,1,0))</f>
        <v>0</v>
      </c>
      <c r="Y54" s="70">
        <f>IF(Calc_EB_ACS!Y$152=NA,0,IF(Y52&lt;&gt;Calc_EB_ACS!Y$152,1,0))</f>
        <v>0</v>
      </c>
      <c r="Z54" s="70">
        <f>IF(Calc_EB_ACS!Z$152=NA,0,IF(Z52&lt;&gt;Calc_EB_ACS!Z$152,1,0))</f>
        <v>0</v>
      </c>
      <c r="AA54" s="70">
        <f>IF(Calc_EB_ACS!AA$152=NA,0,IF(AA52&lt;&gt;Calc_EB_ACS!AA$152,1,0))</f>
        <v>0</v>
      </c>
      <c r="AB54" s="70">
        <f>IF(Calc_EB_ACS!AB$152=NA,0,IF(AB52&lt;&gt;Calc_EB_ACS!AB$152,1,0))</f>
        <v>0</v>
      </c>
    </row>
    <row r="55" spans="1:28" s="6" customFormat="1" ht="11.25" customHeight="1" outlineLevel="1" x14ac:dyDescent="0.35">
      <c r="L55" s="10"/>
      <c r="Q55" s="10"/>
      <c r="V55" s="10"/>
      <c r="AA55" s="10"/>
    </row>
    <row r="56" spans="1:28" s="13" customFormat="1" ht="14.1" x14ac:dyDescent="0.35">
      <c r="C56" s="13" t="str">
        <f>Lookup!$D$105</f>
        <v>Distribution substations and transformers</v>
      </c>
    </row>
    <row r="57" spans="1:28" s="6" customFormat="1" ht="11.25" customHeight="1" x14ac:dyDescent="0.35"/>
    <row r="58" spans="1:28" ht="12.3" outlineLevel="1" x14ac:dyDescent="0.35">
      <c r="D58" s="50" t="s">
        <v>109</v>
      </c>
      <c r="E58" s="45" t="str">
        <f>Lookup!E$20</f>
        <v>Source</v>
      </c>
      <c r="F58" s="45" t="str">
        <f>Lookup!F$20</f>
        <v>Unit</v>
      </c>
      <c r="G58" s="45" t="str">
        <f>Lookup!G$20</f>
        <v>Basis</v>
      </c>
      <c r="H58" s="45" t="str">
        <f>Lookup!H$20</f>
        <v>Timing</v>
      </c>
      <c r="J58" s="54" t="str">
        <f>J$10</f>
        <v>RY06</v>
      </c>
      <c r="K58" s="45" t="str">
        <f t="shared" ref="K58:AB58" si="11">K$10</f>
        <v>RY07</v>
      </c>
      <c r="L58" s="45" t="str">
        <f t="shared" si="11"/>
        <v>RY08</v>
      </c>
      <c r="M58" s="45" t="str">
        <f t="shared" si="11"/>
        <v>RY09</v>
      </c>
      <c r="N58" s="45" t="str">
        <f t="shared" si="11"/>
        <v>RY10</v>
      </c>
      <c r="O58" s="45" t="str">
        <f>O$10</f>
        <v>RY11</v>
      </c>
      <c r="P58" s="45" t="str">
        <f t="shared" si="11"/>
        <v>RY12</v>
      </c>
      <c r="Q58" s="45" t="str">
        <f t="shared" si="11"/>
        <v>RY13</v>
      </c>
      <c r="R58" s="55" t="str">
        <f t="shared" si="11"/>
        <v>RY14</v>
      </c>
      <c r="S58" s="54" t="str">
        <f t="shared" si="11"/>
        <v>RY15</v>
      </c>
      <c r="T58" s="45" t="str">
        <f>T$10</f>
        <v>RY16</v>
      </c>
      <c r="U58" s="45" t="str">
        <f t="shared" si="11"/>
        <v>RY17</v>
      </c>
      <c r="V58" s="45" t="str">
        <f t="shared" si="11"/>
        <v>RY18</v>
      </c>
      <c r="W58" s="55" t="str">
        <f t="shared" si="11"/>
        <v>RY19</v>
      </c>
      <c r="X58" s="54" t="str">
        <f t="shared" si="11"/>
        <v>RY20</v>
      </c>
      <c r="Y58" s="45" t="str">
        <f>Y$10</f>
        <v>RY21</v>
      </c>
      <c r="Z58" s="45" t="str">
        <f t="shared" si="11"/>
        <v>RY22</v>
      </c>
      <c r="AA58" s="45" t="str">
        <f t="shared" si="11"/>
        <v>RY23</v>
      </c>
      <c r="AB58" s="55" t="str">
        <f t="shared" si="11"/>
        <v>RY24</v>
      </c>
    </row>
    <row r="59" spans="1:28" outlineLevel="1" x14ac:dyDescent="0.35">
      <c r="J59" s="56"/>
      <c r="K59" s="57"/>
      <c r="L59" s="57"/>
      <c r="M59" s="57"/>
      <c r="N59" s="57"/>
      <c r="O59" s="57"/>
      <c r="P59" s="57"/>
      <c r="Q59" s="57"/>
      <c r="R59" s="58"/>
      <c r="S59" s="56"/>
      <c r="T59" s="57"/>
      <c r="U59" s="57"/>
      <c r="V59" s="57"/>
      <c r="W59" s="58"/>
      <c r="X59" s="56"/>
      <c r="Y59" s="57"/>
      <c r="Z59" s="57"/>
      <c r="AA59" s="57"/>
      <c r="AB59" s="58"/>
    </row>
    <row r="60" spans="1:28" ht="12.3" outlineLevel="1" x14ac:dyDescent="0.35">
      <c r="D60" s="15" t="str">
        <f>Calc_EB_ACS!$C$14</f>
        <v>Opening Balance</v>
      </c>
      <c r="E60" s="52" t="str">
        <f>$E$32</f>
        <v>Calc_EB_ACS</v>
      </c>
      <c r="F60" s="52" t="str">
        <f>Dollars</f>
        <v>Dollars</v>
      </c>
      <c r="G60" s="52" t="str">
        <f>Nominal</f>
        <v>Nominal</v>
      </c>
      <c r="H60" s="52" t="str">
        <f>Start_year</f>
        <v>Start year</v>
      </c>
      <c r="J60" s="66" t="str">
        <f>Calc_EB_ACS!J$20</f>
        <v>N/A</v>
      </c>
      <c r="K60" s="67" t="str">
        <f>Calc_EB_ACS!K$20</f>
        <v>N/A</v>
      </c>
      <c r="L60" s="67" t="str">
        <f>Calc_EB_ACS!L$20</f>
        <v>N/A</v>
      </c>
      <c r="M60" s="67" t="str">
        <f>Calc_EB_ACS!M$20</f>
        <v>N/A</v>
      </c>
      <c r="N60" s="67" t="str">
        <f>Calc_EB_ACS!N$20</f>
        <v>N/A</v>
      </c>
      <c r="O60" s="67" t="str">
        <f>Calc_EB_ACS!O$20</f>
        <v>N/A</v>
      </c>
      <c r="P60" s="67" t="str">
        <f>Calc_EB_ACS!P$20</f>
        <v>N/A</v>
      </c>
      <c r="Q60" s="67" t="str">
        <f>Calc_EB_ACS!Q$20</f>
        <v>N/A</v>
      </c>
      <c r="R60" s="68" t="str">
        <f>Calc_EB_ACS!R$20</f>
        <v>N/A</v>
      </c>
      <c r="S60" s="66" t="str">
        <f>Calc_EB_ACS!S$20</f>
        <v>N/A</v>
      </c>
      <c r="T60" s="67" t="str">
        <f>Calc_EB_ACS!T$20</f>
        <v>N/A</v>
      </c>
      <c r="U60" s="67" t="str">
        <f>Calc_EB_ACS!U$20</f>
        <v>N/A</v>
      </c>
      <c r="V60" s="67" t="str">
        <f>Calc_EB_ACS!V$20</f>
        <v>N/A</v>
      </c>
      <c r="W60" s="68" t="str">
        <f>Calc_EB_ACS!W$20</f>
        <v>N/A</v>
      </c>
      <c r="X60" s="66" t="str">
        <f>Calc_EB_ACS!X$20</f>
        <v>N/A</v>
      </c>
      <c r="Y60" s="67" t="str">
        <f>Calc_EB_ACS!Y$20</f>
        <v>N/A</v>
      </c>
      <c r="Z60" s="67" t="str">
        <f>Calc_EB_ACS!Z$20</f>
        <v>N/A</v>
      </c>
      <c r="AA60" s="67" t="str">
        <f>Calc_EB_ACS!AA$20</f>
        <v>N/A</v>
      </c>
      <c r="AB60" s="68" t="str">
        <f>Calc_EB_ACS!AB$20</f>
        <v>N/A</v>
      </c>
    </row>
    <row r="61" spans="1:28" ht="12.3" outlineLevel="1" x14ac:dyDescent="0.35">
      <c r="D61" s="15" t="str">
        <f>Calc_EB_ACS!$C$33</f>
        <v>Inflation</v>
      </c>
      <c r="E61" s="52" t="str">
        <f>$E$33</f>
        <v>Calc_EB_ACS</v>
      </c>
      <c r="F61" s="52" t="str">
        <f>Dollars</f>
        <v>Dollars</v>
      </c>
      <c r="G61" s="52" t="str">
        <f>Nominal</f>
        <v>Nominal</v>
      </c>
      <c r="H61" s="52" t="str">
        <f>End_year</f>
        <v>End_year</v>
      </c>
      <c r="J61" s="66" t="str">
        <f>Calc_EB_ACS!J$39</f>
        <v>N/A</v>
      </c>
      <c r="K61" s="67" t="str">
        <f>Calc_EB_ACS!K$39</f>
        <v>N/A</v>
      </c>
      <c r="L61" s="67" t="str">
        <f>Calc_EB_ACS!L$39</f>
        <v>N/A</v>
      </c>
      <c r="M61" s="67" t="str">
        <f>Calc_EB_ACS!M$39</f>
        <v>N/A</v>
      </c>
      <c r="N61" s="67" t="str">
        <f>Calc_EB_ACS!N$39</f>
        <v>N/A</v>
      </c>
      <c r="O61" s="67" t="str">
        <f>Calc_EB_ACS!O$39</f>
        <v>N/A</v>
      </c>
      <c r="P61" s="67" t="str">
        <f>Calc_EB_ACS!P$39</f>
        <v>N/A</v>
      </c>
      <c r="Q61" s="67" t="str">
        <f>Calc_EB_ACS!Q$39</f>
        <v>N/A</v>
      </c>
      <c r="R61" s="68" t="str">
        <f>Calc_EB_ACS!R$39</f>
        <v>N/A</v>
      </c>
      <c r="S61" s="66" t="str">
        <f>Calc_EB_ACS!S$39</f>
        <v>N/A</v>
      </c>
      <c r="T61" s="67" t="str">
        <f>Calc_EB_ACS!T$39</f>
        <v>N/A</v>
      </c>
      <c r="U61" s="67" t="str">
        <f>Calc_EB_ACS!U$39</f>
        <v>N/A</v>
      </c>
      <c r="V61" s="67" t="str">
        <f>Calc_EB_ACS!V$39</f>
        <v>N/A</v>
      </c>
      <c r="W61" s="68" t="str">
        <f>Calc_EB_ACS!W$39</f>
        <v>N/A</v>
      </c>
      <c r="X61" s="66" t="str">
        <f>Calc_EB_ACS!X$39</f>
        <v>N/A</v>
      </c>
      <c r="Y61" s="67" t="str">
        <f>Calc_EB_ACS!Y$39</f>
        <v>N/A</v>
      </c>
      <c r="Z61" s="67" t="str">
        <f>Calc_EB_ACS!Z$39</f>
        <v>N/A</v>
      </c>
      <c r="AA61" s="67" t="str">
        <f>Calc_EB_ACS!AA$39</f>
        <v>N/A</v>
      </c>
      <c r="AB61" s="68" t="str">
        <f>Calc_EB_ACS!AB$39</f>
        <v>N/A</v>
      </c>
    </row>
    <row r="62" spans="1:28" ht="12.3" outlineLevel="1" x14ac:dyDescent="0.35">
      <c r="D62" s="15" t="str">
        <f>Calc_EB_ACS!$C$52</f>
        <v>Straight Line Depreciation</v>
      </c>
      <c r="E62" s="52" t="str">
        <f>$E$34</f>
        <v>Calc_EB_ACS</v>
      </c>
      <c r="F62" s="52" t="str">
        <f>Dollars</f>
        <v>Dollars</v>
      </c>
      <c r="G62" s="52" t="str">
        <f>Nominal</f>
        <v>Nominal</v>
      </c>
      <c r="H62" s="52" t="str">
        <f>End_year</f>
        <v>End_year</v>
      </c>
      <c r="J62" s="66" t="str">
        <f>Calc_EB_ACS!J$58</f>
        <v>N/A</v>
      </c>
      <c r="K62" s="67" t="str">
        <f>Calc_EB_ACS!K$58</f>
        <v>N/A</v>
      </c>
      <c r="L62" s="67" t="str">
        <f>Calc_EB_ACS!L$58</f>
        <v>N/A</v>
      </c>
      <c r="M62" s="67" t="str">
        <f>Calc_EB_ACS!M$58</f>
        <v>N/A</v>
      </c>
      <c r="N62" s="67" t="str">
        <f>Calc_EB_ACS!N$58</f>
        <v>N/A</v>
      </c>
      <c r="O62" s="67" t="str">
        <f>Calc_EB_ACS!O$58</f>
        <v>N/A</v>
      </c>
      <c r="P62" s="67" t="str">
        <f>Calc_EB_ACS!P$58</f>
        <v>N/A</v>
      </c>
      <c r="Q62" s="67" t="str">
        <f>Calc_EB_ACS!Q$58</f>
        <v>N/A</v>
      </c>
      <c r="R62" s="68" t="str">
        <f>Calc_EB_ACS!R$58</f>
        <v>N/A</v>
      </c>
      <c r="S62" s="66" t="str">
        <f>Calc_EB_ACS!S$58</f>
        <v>N/A</v>
      </c>
      <c r="T62" s="67" t="str">
        <f>Calc_EB_ACS!T$58</f>
        <v>N/A</v>
      </c>
      <c r="U62" s="67" t="str">
        <f>Calc_EB_ACS!U$58</f>
        <v>N/A</v>
      </c>
      <c r="V62" s="67" t="str">
        <f>Calc_EB_ACS!V$58</f>
        <v>N/A</v>
      </c>
      <c r="W62" s="68" t="str">
        <f>Calc_EB_ACS!W$58</f>
        <v>N/A</v>
      </c>
      <c r="X62" s="66" t="str">
        <f>Calc_EB_ACS!X$58</f>
        <v>N/A</v>
      </c>
      <c r="Y62" s="67" t="str">
        <f>Calc_EB_ACS!Y$58</f>
        <v>N/A</v>
      </c>
      <c r="Z62" s="67" t="str">
        <f>Calc_EB_ACS!Z$58</f>
        <v>N/A</v>
      </c>
      <c r="AA62" s="67" t="str">
        <f>Calc_EB_ACS!AA$58</f>
        <v>N/A</v>
      </c>
      <c r="AB62" s="68" t="str">
        <f>Calc_EB_ACS!AB$58</f>
        <v>N/A</v>
      </c>
    </row>
    <row r="63" spans="1:28" ht="12.3" outlineLevel="1" x14ac:dyDescent="0.35">
      <c r="D63" s="15" t="str">
        <f>Calc_EB_ACS!$C$71</f>
        <v>RAB Additions</v>
      </c>
      <c r="E63" s="52" t="str">
        <f>$E$35</f>
        <v>Calc_EB_ACS</v>
      </c>
      <c r="F63" s="52" t="str">
        <f>Dollars</f>
        <v>Dollars</v>
      </c>
      <c r="G63" s="52" t="str">
        <f>Nominal</f>
        <v>Nominal</v>
      </c>
      <c r="H63" s="52" t="str">
        <f>End_year</f>
        <v>End_year</v>
      </c>
      <c r="J63" s="66" t="str">
        <f>IFERROR(Calc_EB_ACS!J$77+Calc_EB_ACS!J$134,NA)</f>
        <v>N/A</v>
      </c>
      <c r="K63" s="67" t="str">
        <f>IFERROR(Calc_EB_ACS!K$77+Calc_EB_ACS!K$134,NA)</f>
        <v>N/A</v>
      </c>
      <c r="L63" s="67" t="str">
        <f>IFERROR(Calc_EB_ACS!L$77+Calc_EB_ACS!L$134,NA)</f>
        <v>N/A</v>
      </c>
      <c r="M63" s="67" t="str">
        <f>IFERROR(Calc_EB_ACS!M$77+Calc_EB_ACS!M$134,NA)</f>
        <v>N/A</v>
      </c>
      <c r="N63" s="67" t="str">
        <f>IFERROR(Calc_EB_ACS!N$77+Calc_EB_ACS!N$134,NA)</f>
        <v>N/A</v>
      </c>
      <c r="O63" s="67" t="str">
        <f>IFERROR(Calc_EB_ACS!O$77+Calc_EB_ACS!O$134,NA)</f>
        <v>N/A</v>
      </c>
      <c r="P63" s="67" t="str">
        <f>IFERROR(Calc_EB_ACS!P$77+Calc_EB_ACS!P$134,NA)</f>
        <v>N/A</v>
      </c>
      <c r="Q63" s="67" t="str">
        <f>IFERROR(Calc_EB_ACS!Q$77+Calc_EB_ACS!Q$134,NA)</f>
        <v>N/A</v>
      </c>
      <c r="R63" s="68" t="str">
        <f>IFERROR(Calc_EB_ACS!R$77+Calc_EB_ACS!R$134,NA)</f>
        <v>N/A</v>
      </c>
      <c r="S63" s="66" t="str">
        <f>IFERROR(Calc_EB_ACS!S$77+Calc_EB_ACS!S$134,NA)</f>
        <v>N/A</v>
      </c>
      <c r="T63" s="67" t="str">
        <f>IFERROR(Calc_EB_ACS!T$77+Calc_EB_ACS!T$134,NA)</f>
        <v>N/A</v>
      </c>
      <c r="U63" s="67" t="str">
        <f>IFERROR(Calc_EB_ACS!U$77+Calc_EB_ACS!U$134,NA)</f>
        <v>N/A</v>
      </c>
      <c r="V63" s="67" t="str">
        <f>IFERROR(Calc_EB_ACS!V$77+Calc_EB_ACS!V$134,NA)</f>
        <v>N/A</v>
      </c>
      <c r="W63" s="68" t="str">
        <f>IFERROR(Calc_EB_ACS!W$77+Calc_EB_ACS!W$134,NA)</f>
        <v>N/A</v>
      </c>
      <c r="X63" s="66" t="str">
        <f>IFERROR(Calc_EB_ACS!X$77+Calc_EB_ACS!X$134,NA)</f>
        <v>N/A</v>
      </c>
      <c r="Y63" s="67" t="str">
        <f>IFERROR(Calc_EB_ACS!Y$77+Calc_EB_ACS!Y$134,NA)</f>
        <v>N/A</v>
      </c>
      <c r="Z63" s="67" t="str">
        <f>IFERROR(Calc_EB_ACS!Z$77+Calc_EB_ACS!Z$134,NA)</f>
        <v>N/A</v>
      </c>
      <c r="AA63" s="67" t="str">
        <f>IFERROR(Calc_EB_ACS!AA$77+Calc_EB_ACS!AA$134,NA)</f>
        <v>N/A</v>
      </c>
      <c r="AB63" s="68" t="str">
        <f>IFERROR(Calc_EB_ACS!AB$77+Calc_EB_ACS!AB$134,NA)</f>
        <v>N/A</v>
      </c>
    </row>
    <row r="64" spans="1:28" ht="12.3" outlineLevel="1" x14ac:dyDescent="0.35">
      <c r="D64" s="15" t="str">
        <f>Calc_EB_ACS!$C$90</f>
        <v>Disposals</v>
      </c>
      <c r="E64" s="52" t="str">
        <f>$E$36</f>
        <v>Calc_EB_ACS</v>
      </c>
      <c r="F64" s="52" t="str">
        <f>Dollars</f>
        <v>Dollars</v>
      </c>
      <c r="G64" s="52" t="str">
        <f>Nominal</f>
        <v>Nominal</v>
      </c>
      <c r="H64" s="52" t="str">
        <f>End_year</f>
        <v>End_year</v>
      </c>
      <c r="J64" s="66" t="str">
        <f>Calc_EB_ACS!J$96</f>
        <v>N/A</v>
      </c>
      <c r="K64" s="67" t="str">
        <f>Calc_EB_ACS!K$96</f>
        <v>N/A</v>
      </c>
      <c r="L64" s="67" t="str">
        <f>Calc_EB_ACS!L$96</f>
        <v>N/A</v>
      </c>
      <c r="M64" s="67" t="str">
        <f>Calc_EB_ACS!M$96</f>
        <v>N/A</v>
      </c>
      <c r="N64" s="67" t="str">
        <f>Calc_EB_ACS!N$96</f>
        <v>N/A</v>
      </c>
      <c r="O64" s="67" t="str">
        <f>Calc_EB_ACS!O$96</f>
        <v>N/A</v>
      </c>
      <c r="P64" s="67" t="str">
        <f>Calc_EB_ACS!P$96</f>
        <v>N/A</v>
      </c>
      <c r="Q64" s="67" t="str">
        <f>Calc_EB_ACS!Q$96</f>
        <v>N/A</v>
      </c>
      <c r="R64" s="68" t="str">
        <f>Calc_EB_ACS!R$96</f>
        <v>N/A</v>
      </c>
      <c r="S64" s="66" t="str">
        <f>Calc_EB_ACS!S$96</f>
        <v>N/A</v>
      </c>
      <c r="T64" s="67" t="str">
        <f>Calc_EB_ACS!T$96</f>
        <v>N/A</v>
      </c>
      <c r="U64" s="67" t="str">
        <f>Calc_EB_ACS!U$96</f>
        <v>N/A</v>
      </c>
      <c r="V64" s="67" t="str">
        <f>Calc_EB_ACS!V$96</f>
        <v>N/A</v>
      </c>
      <c r="W64" s="68" t="str">
        <f>Calc_EB_ACS!W$96</f>
        <v>N/A</v>
      </c>
      <c r="X64" s="66" t="str">
        <f>Calc_EB_ACS!X$96</f>
        <v>N/A</v>
      </c>
      <c r="Y64" s="67" t="str">
        <f>Calc_EB_ACS!Y$96</f>
        <v>N/A</v>
      </c>
      <c r="Z64" s="67" t="str">
        <f>Calc_EB_ACS!Z$96</f>
        <v>N/A</v>
      </c>
      <c r="AA64" s="67" t="str">
        <f>Calc_EB_ACS!AA$96</f>
        <v>N/A</v>
      </c>
      <c r="AB64" s="68" t="str">
        <f>Calc_EB_ACS!AB$96</f>
        <v>N/A</v>
      </c>
    </row>
    <row r="65" spans="1:28" outlineLevel="1" x14ac:dyDescent="0.35">
      <c r="J65" s="56"/>
      <c r="K65" s="57"/>
      <c r="L65" s="57"/>
      <c r="M65" s="57"/>
      <c r="N65" s="57"/>
      <c r="O65" s="57"/>
      <c r="P65" s="57"/>
      <c r="Q65" s="57"/>
      <c r="R65" s="58"/>
      <c r="S65" s="56"/>
      <c r="T65" s="57"/>
      <c r="U65" s="57"/>
      <c r="V65" s="57"/>
      <c r="W65" s="58"/>
      <c r="X65" s="56"/>
      <c r="Y65" s="57"/>
      <c r="Z65" s="57"/>
      <c r="AA65" s="57"/>
      <c r="AB65" s="58"/>
    </row>
    <row r="66" spans="1:28" ht="12.3" outlineLevel="1" x14ac:dyDescent="0.35">
      <c r="D66" s="51" t="s">
        <v>152</v>
      </c>
      <c r="E66" s="47" t="s">
        <v>111</v>
      </c>
      <c r="F66" s="47" t="str">
        <f>F60</f>
        <v>Dollars</v>
      </c>
      <c r="G66" s="47" t="str">
        <f>G60</f>
        <v>Nominal</v>
      </c>
      <c r="H66" s="47" t="str">
        <f>H60</f>
        <v>Start year</v>
      </c>
      <c r="J66" s="62">
        <f t="shared" ref="J66:AB66" si="12">SUM(J60:J64)</f>
        <v>0</v>
      </c>
      <c r="K66" s="46">
        <f t="shared" si="12"/>
        <v>0</v>
      </c>
      <c r="L66" s="46">
        <f t="shared" si="12"/>
        <v>0</v>
      </c>
      <c r="M66" s="46">
        <f t="shared" si="12"/>
        <v>0</v>
      </c>
      <c r="N66" s="46">
        <f t="shared" si="12"/>
        <v>0</v>
      </c>
      <c r="O66" s="46">
        <f t="shared" si="12"/>
        <v>0</v>
      </c>
      <c r="P66" s="46">
        <f t="shared" si="12"/>
        <v>0</v>
      </c>
      <c r="Q66" s="46">
        <f t="shared" si="12"/>
        <v>0</v>
      </c>
      <c r="R66" s="63">
        <f t="shared" si="12"/>
        <v>0</v>
      </c>
      <c r="S66" s="62">
        <f t="shared" si="12"/>
        <v>0</v>
      </c>
      <c r="T66" s="46">
        <f t="shared" si="12"/>
        <v>0</v>
      </c>
      <c r="U66" s="46">
        <f t="shared" si="12"/>
        <v>0</v>
      </c>
      <c r="V66" s="46">
        <f t="shared" si="12"/>
        <v>0</v>
      </c>
      <c r="W66" s="63">
        <f t="shared" si="12"/>
        <v>0</v>
      </c>
      <c r="X66" s="62">
        <f t="shared" si="12"/>
        <v>0</v>
      </c>
      <c r="Y66" s="46">
        <f t="shared" si="12"/>
        <v>0</v>
      </c>
      <c r="Z66" s="46">
        <f t="shared" si="12"/>
        <v>0</v>
      </c>
      <c r="AA66" s="46">
        <f t="shared" si="12"/>
        <v>0</v>
      </c>
      <c r="AB66" s="63">
        <f t="shared" si="12"/>
        <v>0</v>
      </c>
    </row>
    <row r="67" spans="1:28" s="6" customFormat="1" ht="11.25" customHeight="1" outlineLevel="1" x14ac:dyDescent="0.35"/>
    <row r="68" spans="1:28" s="6" customFormat="1" ht="11.25" customHeight="1" outlineLevel="1" x14ac:dyDescent="0.35">
      <c r="A68" s="49">
        <f>IF(SUM($J68:$AB68)&lt;&gt;0,1,0)</f>
        <v>0</v>
      </c>
      <c r="D68" s="15" t="s">
        <v>114</v>
      </c>
      <c r="J68" s="70">
        <f>IF(Calc_EB_ACS!J$153=NA,0,IF(J66&lt;&gt;Calc_EB_ACS!J$153,1,0))</f>
        <v>0</v>
      </c>
      <c r="K68" s="70">
        <f>IF(Calc_EB_ACS!K$153=NA,0,IF(K66&lt;&gt;Calc_EB_ACS!K$153,1,0))</f>
        <v>0</v>
      </c>
      <c r="L68" s="70">
        <f>IF(Calc_EB_ACS!L$153=NA,0,IF(L66&lt;&gt;Calc_EB_ACS!L$153,1,0))</f>
        <v>0</v>
      </c>
      <c r="M68" s="70">
        <f>IF(Calc_EB_ACS!M$153=NA,0,IF(M66&lt;&gt;Calc_EB_ACS!M$153,1,0))</f>
        <v>0</v>
      </c>
      <c r="N68" s="70">
        <f>IF(Calc_EB_ACS!N$153=NA,0,IF(N66&lt;&gt;Calc_EB_ACS!N$153,1,0))</f>
        <v>0</v>
      </c>
      <c r="O68" s="70">
        <f>IF(Calc_EB_ACS!O$153=NA,0,IF(O66&lt;&gt;Calc_EB_ACS!O$153,1,0))</f>
        <v>0</v>
      </c>
      <c r="P68" s="70">
        <f>IF(Calc_EB_ACS!P$153=NA,0,IF(P66&lt;&gt;Calc_EB_ACS!P$153,1,0))</f>
        <v>0</v>
      </c>
      <c r="Q68" s="70">
        <f>IF(Calc_EB_ACS!Q$153=NA,0,IF(Q66&lt;&gt;Calc_EB_ACS!Q$153,1,0))</f>
        <v>0</v>
      </c>
      <c r="R68" s="70">
        <f>IF(Calc_EB_ACS!R$153=NA,0,IF(R66&lt;&gt;Calc_EB_ACS!R$153,1,0))</f>
        <v>0</v>
      </c>
      <c r="S68" s="70">
        <f>IF(Calc_EB_ACS!S$153=NA,0,IF(S66&lt;&gt;Calc_EB_ACS!S$153,1,0))</f>
        <v>0</v>
      </c>
      <c r="T68" s="70">
        <f>IF(Calc_EB_ACS!T$153=NA,0,IF(T66&lt;&gt;Calc_EB_ACS!T$153,1,0))</f>
        <v>0</v>
      </c>
      <c r="U68" s="70">
        <f>IF(Calc_EB_ACS!U$153=NA,0,IF(U66&lt;&gt;Calc_EB_ACS!U$153,1,0))</f>
        <v>0</v>
      </c>
      <c r="V68" s="70">
        <f>IF(Calc_EB_ACS!V$153=NA,0,IF(V66&lt;&gt;Calc_EB_ACS!V$153,1,0))</f>
        <v>0</v>
      </c>
      <c r="W68" s="70">
        <f>IF(Calc_EB_ACS!W$153=NA,0,IF(W66&lt;&gt;Calc_EB_ACS!W$153,1,0))</f>
        <v>0</v>
      </c>
      <c r="X68" s="70">
        <f>IF(Calc_EB_ACS!X$153=NA,0,IF(X66&lt;&gt;Calc_EB_ACS!X$153,1,0))</f>
        <v>0</v>
      </c>
      <c r="Y68" s="70">
        <f>IF(Calc_EB_ACS!Y$153=NA,0,IF(Y66&lt;&gt;Calc_EB_ACS!Y$153,1,0))</f>
        <v>0</v>
      </c>
      <c r="Z68" s="70">
        <f>IF(Calc_EB_ACS!Z$153=NA,0,IF(Z66&lt;&gt;Calc_EB_ACS!Z$153,1,0))</f>
        <v>0</v>
      </c>
      <c r="AA68" s="70">
        <f>IF(Calc_EB_ACS!AA$153=NA,0,IF(AA66&lt;&gt;Calc_EB_ACS!AA$153,1,0))</f>
        <v>0</v>
      </c>
      <c r="AB68" s="70">
        <f>IF(Calc_EB_ACS!AB$153=NA,0,IF(AB66&lt;&gt;Calc_EB_ACS!AB$153,1,0))</f>
        <v>0</v>
      </c>
    </row>
    <row r="69" spans="1:28" s="6" customFormat="1" ht="11.25" customHeight="1" outlineLevel="1" x14ac:dyDescent="0.35">
      <c r="L69" s="10"/>
      <c r="Q69" s="10"/>
      <c r="V69" s="10"/>
      <c r="AA69" s="10"/>
    </row>
    <row r="70" spans="1:28" s="13" customFormat="1" ht="14.1" x14ac:dyDescent="0.35">
      <c r="C70" s="13" t="str">
        <f>Lookup!$D$106</f>
        <v>Overhead network assets 33kV and above</v>
      </c>
    </row>
    <row r="71" spans="1:28" s="6" customFormat="1" ht="11.25" customHeight="1" x14ac:dyDescent="0.35"/>
    <row r="72" spans="1:28" ht="12.3" outlineLevel="1" x14ac:dyDescent="0.35">
      <c r="D72" s="50" t="s">
        <v>109</v>
      </c>
      <c r="E72" s="45" t="str">
        <f>Lookup!E$20</f>
        <v>Source</v>
      </c>
      <c r="F72" s="45" t="str">
        <f>Lookup!F$20</f>
        <v>Unit</v>
      </c>
      <c r="G72" s="45" t="str">
        <f>Lookup!G$20</f>
        <v>Basis</v>
      </c>
      <c r="H72" s="45" t="str">
        <f>Lookup!H$20</f>
        <v>Timing</v>
      </c>
      <c r="J72" s="54" t="str">
        <f>J$10</f>
        <v>RY06</v>
      </c>
      <c r="K72" s="45" t="str">
        <f t="shared" ref="K72:AB72" si="13">K$10</f>
        <v>RY07</v>
      </c>
      <c r="L72" s="45" t="str">
        <f t="shared" si="13"/>
        <v>RY08</v>
      </c>
      <c r="M72" s="45" t="str">
        <f t="shared" si="13"/>
        <v>RY09</v>
      </c>
      <c r="N72" s="45" t="str">
        <f t="shared" si="13"/>
        <v>RY10</v>
      </c>
      <c r="O72" s="45" t="str">
        <f>O$10</f>
        <v>RY11</v>
      </c>
      <c r="P72" s="45" t="str">
        <f t="shared" si="13"/>
        <v>RY12</v>
      </c>
      <c r="Q72" s="45" t="str">
        <f t="shared" si="13"/>
        <v>RY13</v>
      </c>
      <c r="R72" s="55" t="str">
        <f t="shared" si="13"/>
        <v>RY14</v>
      </c>
      <c r="S72" s="54" t="str">
        <f t="shared" si="13"/>
        <v>RY15</v>
      </c>
      <c r="T72" s="45" t="str">
        <f>T$10</f>
        <v>RY16</v>
      </c>
      <c r="U72" s="45" t="str">
        <f t="shared" si="13"/>
        <v>RY17</v>
      </c>
      <c r="V72" s="45" t="str">
        <f t="shared" si="13"/>
        <v>RY18</v>
      </c>
      <c r="W72" s="55" t="str">
        <f t="shared" si="13"/>
        <v>RY19</v>
      </c>
      <c r="X72" s="54" t="str">
        <f t="shared" si="13"/>
        <v>RY20</v>
      </c>
      <c r="Y72" s="45" t="str">
        <f>Y$10</f>
        <v>RY21</v>
      </c>
      <c r="Z72" s="45" t="str">
        <f t="shared" si="13"/>
        <v>RY22</v>
      </c>
      <c r="AA72" s="45" t="str">
        <f t="shared" si="13"/>
        <v>RY23</v>
      </c>
      <c r="AB72" s="55" t="str">
        <f t="shared" si="13"/>
        <v>RY24</v>
      </c>
    </row>
    <row r="73" spans="1:28" outlineLevel="1" x14ac:dyDescent="0.35">
      <c r="J73" s="56"/>
      <c r="K73" s="57"/>
      <c r="L73" s="57"/>
      <c r="M73" s="57"/>
      <c r="N73" s="57"/>
      <c r="O73" s="57"/>
      <c r="P73" s="57"/>
      <c r="Q73" s="57"/>
      <c r="R73" s="58"/>
      <c r="S73" s="56"/>
      <c r="T73" s="57"/>
      <c r="U73" s="57"/>
      <c r="V73" s="57"/>
      <c r="W73" s="58"/>
      <c r="X73" s="56"/>
      <c r="Y73" s="57"/>
      <c r="Z73" s="57"/>
      <c r="AA73" s="57"/>
      <c r="AB73" s="58"/>
    </row>
    <row r="74" spans="1:28" ht="12.3" outlineLevel="1" x14ac:dyDescent="0.35">
      <c r="D74" s="15" t="str">
        <f>Calc_EB_ACS!$C$14</f>
        <v>Opening Balance</v>
      </c>
      <c r="E74" s="52" t="str">
        <f>$E$32</f>
        <v>Calc_EB_ACS</v>
      </c>
      <c r="F74" s="52" t="str">
        <f>Dollars</f>
        <v>Dollars</v>
      </c>
      <c r="G74" s="52" t="str">
        <f>Nominal</f>
        <v>Nominal</v>
      </c>
      <c r="H74" s="52" t="str">
        <f>Start_year</f>
        <v>Start year</v>
      </c>
      <c r="J74" s="66" t="str">
        <f>Calc_EB_ACS!J$21</f>
        <v>N/A</v>
      </c>
      <c r="K74" s="67" t="str">
        <f>Calc_EB_ACS!K$21</f>
        <v>N/A</v>
      </c>
      <c r="L74" s="67" t="str">
        <f>Calc_EB_ACS!L$21</f>
        <v>N/A</v>
      </c>
      <c r="M74" s="67" t="str">
        <f>Calc_EB_ACS!M$21</f>
        <v>N/A</v>
      </c>
      <c r="N74" s="67" t="str">
        <f>Calc_EB_ACS!N$21</f>
        <v>N/A</v>
      </c>
      <c r="O74" s="67" t="str">
        <f>Calc_EB_ACS!O$21</f>
        <v>N/A</v>
      </c>
      <c r="P74" s="67" t="str">
        <f>Calc_EB_ACS!P$21</f>
        <v>N/A</v>
      </c>
      <c r="Q74" s="67" t="str">
        <f>Calc_EB_ACS!Q$21</f>
        <v>N/A</v>
      </c>
      <c r="R74" s="68" t="str">
        <f>Calc_EB_ACS!R$21</f>
        <v>N/A</v>
      </c>
      <c r="S74" s="66" t="str">
        <f>Calc_EB_ACS!S$21</f>
        <v>N/A</v>
      </c>
      <c r="T74" s="67" t="str">
        <f>Calc_EB_ACS!T$21</f>
        <v>N/A</v>
      </c>
      <c r="U74" s="67" t="str">
        <f>Calc_EB_ACS!U$21</f>
        <v>N/A</v>
      </c>
      <c r="V74" s="67" t="str">
        <f>Calc_EB_ACS!V$21</f>
        <v>N/A</v>
      </c>
      <c r="W74" s="68" t="str">
        <f>Calc_EB_ACS!W$21</f>
        <v>N/A</v>
      </c>
      <c r="X74" s="66" t="str">
        <f>Calc_EB_ACS!X$21</f>
        <v>N/A</v>
      </c>
      <c r="Y74" s="67" t="str">
        <f>Calc_EB_ACS!Y$21</f>
        <v>N/A</v>
      </c>
      <c r="Z74" s="67" t="str">
        <f>Calc_EB_ACS!Z$21</f>
        <v>N/A</v>
      </c>
      <c r="AA74" s="67" t="str">
        <f>Calc_EB_ACS!AA$21</f>
        <v>N/A</v>
      </c>
      <c r="AB74" s="68" t="str">
        <f>Calc_EB_ACS!AB$21</f>
        <v>N/A</v>
      </c>
    </row>
    <row r="75" spans="1:28" ht="12.3" outlineLevel="1" x14ac:dyDescent="0.35">
      <c r="D75" s="15" t="str">
        <f>Calc_EB_ACS!$C$33</f>
        <v>Inflation</v>
      </c>
      <c r="E75" s="52" t="str">
        <f>$E$33</f>
        <v>Calc_EB_ACS</v>
      </c>
      <c r="F75" s="52" t="str">
        <f>Dollars</f>
        <v>Dollars</v>
      </c>
      <c r="G75" s="52" t="str">
        <f>Nominal</f>
        <v>Nominal</v>
      </c>
      <c r="H75" s="52" t="str">
        <f>End_year</f>
        <v>End_year</v>
      </c>
      <c r="J75" s="66" t="str">
        <f>Calc_EB_ACS!J$40</f>
        <v>N/A</v>
      </c>
      <c r="K75" s="67" t="str">
        <f>Calc_EB_ACS!K$40</f>
        <v>N/A</v>
      </c>
      <c r="L75" s="67" t="str">
        <f>Calc_EB_ACS!L$40</f>
        <v>N/A</v>
      </c>
      <c r="M75" s="67" t="str">
        <f>Calc_EB_ACS!M$40</f>
        <v>N/A</v>
      </c>
      <c r="N75" s="67" t="str">
        <f>Calc_EB_ACS!N$40</f>
        <v>N/A</v>
      </c>
      <c r="O75" s="67" t="str">
        <f>Calc_EB_ACS!O$40</f>
        <v>N/A</v>
      </c>
      <c r="P75" s="67" t="str">
        <f>Calc_EB_ACS!P$40</f>
        <v>N/A</v>
      </c>
      <c r="Q75" s="67" t="str">
        <f>Calc_EB_ACS!Q$40</f>
        <v>N/A</v>
      </c>
      <c r="R75" s="68" t="str">
        <f>Calc_EB_ACS!R$40</f>
        <v>N/A</v>
      </c>
      <c r="S75" s="66" t="str">
        <f>Calc_EB_ACS!S$40</f>
        <v>N/A</v>
      </c>
      <c r="T75" s="67" t="str">
        <f>Calc_EB_ACS!T$40</f>
        <v>N/A</v>
      </c>
      <c r="U75" s="67" t="str">
        <f>Calc_EB_ACS!U$40</f>
        <v>N/A</v>
      </c>
      <c r="V75" s="67" t="str">
        <f>Calc_EB_ACS!V$40</f>
        <v>N/A</v>
      </c>
      <c r="W75" s="68" t="str">
        <f>Calc_EB_ACS!W$40</f>
        <v>N/A</v>
      </c>
      <c r="X75" s="66" t="str">
        <f>Calc_EB_ACS!X$40</f>
        <v>N/A</v>
      </c>
      <c r="Y75" s="67" t="str">
        <f>Calc_EB_ACS!Y$40</f>
        <v>N/A</v>
      </c>
      <c r="Z75" s="67" t="str">
        <f>Calc_EB_ACS!Z$40</f>
        <v>N/A</v>
      </c>
      <c r="AA75" s="67" t="str">
        <f>Calc_EB_ACS!AA$40</f>
        <v>N/A</v>
      </c>
      <c r="AB75" s="68" t="str">
        <f>Calc_EB_ACS!AB$40</f>
        <v>N/A</v>
      </c>
    </row>
    <row r="76" spans="1:28" ht="12.3" outlineLevel="1" x14ac:dyDescent="0.35">
      <c r="D76" s="15" t="str">
        <f>Calc_EB_ACS!$C$52</f>
        <v>Straight Line Depreciation</v>
      </c>
      <c r="E76" s="52" t="str">
        <f>$E$34</f>
        <v>Calc_EB_ACS</v>
      </c>
      <c r="F76" s="52" t="str">
        <f>Dollars</f>
        <v>Dollars</v>
      </c>
      <c r="G76" s="52" t="str">
        <f>Nominal</f>
        <v>Nominal</v>
      </c>
      <c r="H76" s="52" t="str">
        <f>End_year</f>
        <v>End_year</v>
      </c>
      <c r="J76" s="66" t="str">
        <f>Calc_EB_ACS!J$59</f>
        <v>N/A</v>
      </c>
      <c r="K76" s="67" t="str">
        <f>Calc_EB_ACS!K$59</f>
        <v>N/A</v>
      </c>
      <c r="L76" s="67" t="str">
        <f>Calc_EB_ACS!L$59</f>
        <v>N/A</v>
      </c>
      <c r="M76" s="67" t="str">
        <f>Calc_EB_ACS!M$59</f>
        <v>N/A</v>
      </c>
      <c r="N76" s="67" t="str">
        <f>Calc_EB_ACS!N$59</f>
        <v>N/A</v>
      </c>
      <c r="O76" s="67" t="str">
        <f>Calc_EB_ACS!O$59</f>
        <v>N/A</v>
      </c>
      <c r="P76" s="67" t="str">
        <f>Calc_EB_ACS!P$59</f>
        <v>N/A</v>
      </c>
      <c r="Q76" s="67" t="str">
        <f>Calc_EB_ACS!Q$59</f>
        <v>N/A</v>
      </c>
      <c r="R76" s="68" t="str">
        <f>Calc_EB_ACS!R$59</f>
        <v>N/A</v>
      </c>
      <c r="S76" s="66" t="str">
        <f>Calc_EB_ACS!S$59</f>
        <v>N/A</v>
      </c>
      <c r="T76" s="67" t="str">
        <f>Calc_EB_ACS!T$59</f>
        <v>N/A</v>
      </c>
      <c r="U76" s="67" t="str">
        <f>Calc_EB_ACS!U$59</f>
        <v>N/A</v>
      </c>
      <c r="V76" s="67" t="str">
        <f>Calc_EB_ACS!V$59</f>
        <v>N/A</v>
      </c>
      <c r="W76" s="68" t="str">
        <f>Calc_EB_ACS!W$59</f>
        <v>N/A</v>
      </c>
      <c r="X76" s="66" t="str">
        <f>Calc_EB_ACS!X$59</f>
        <v>N/A</v>
      </c>
      <c r="Y76" s="67" t="str">
        <f>Calc_EB_ACS!Y$59</f>
        <v>N/A</v>
      </c>
      <c r="Z76" s="67" t="str">
        <f>Calc_EB_ACS!Z$59</f>
        <v>N/A</v>
      </c>
      <c r="AA76" s="67" t="str">
        <f>Calc_EB_ACS!AA$59</f>
        <v>N/A</v>
      </c>
      <c r="AB76" s="68" t="str">
        <f>Calc_EB_ACS!AB$59</f>
        <v>N/A</v>
      </c>
    </row>
    <row r="77" spans="1:28" ht="12.3" outlineLevel="1" x14ac:dyDescent="0.35">
      <c r="D77" s="15" t="str">
        <f>Calc_EB_ACS!$C$71</f>
        <v>RAB Additions</v>
      </c>
      <c r="E77" s="52" t="str">
        <f>$E$35</f>
        <v>Calc_EB_ACS</v>
      </c>
      <c r="F77" s="52" t="str">
        <f>Dollars</f>
        <v>Dollars</v>
      </c>
      <c r="G77" s="52" t="str">
        <f>Nominal</f>
        <v>Nominal</v>
      </c>
      <c r="H77" s="52" t="str">
        <f>End_year</f>
        <v>End_year</v>
      </c>
      <c r="J77" s="66" t="str">
        <f>IFERROR(Calc_EB_ACS!J$78+Calc_EB_ACS!J$135,NA)</f>
        <v>N/A</v>
      </c>
      <c r="K77" s="67" t="str">
        <f>IFERROR(Calc_EB_ACS!K$78+Calc_EB_ACS!K$135,NA)</f>
        <v>N/A</v>
      </c>
      <c r="L77" s="67" t="str">
        <f>IFERROR(Calc_EB_ACS!L$78+Calc_EB_ACS!L$135,NA)</f>
        <v>N/A</v>
      </c>
      <c r="M77" s="67" t="str">
        <f>IFERROR(Calc_EB_ACS!M$78+Calc_EB_ACS!M$135,NA)</f>
        <v>N/A</v>
      </c>
      <c r="N77" s="67" t="str">
        <f>IFERROR(Calc_EB_ACS!N$78+Calc_EB_ACS!N$135,NA)</f>
        <v>N/A</v>
      </c>
      <c r="O77" s="67" t="str">
        <f>IFERROR(Calc_EB_ACS!O$78+Calc_EB_ACS!O$135,NA)</f>
        <v>N/A</v>
      </c>
      <c r="P77" s="67" t="str">
        <f>IFERROR(Calc_EB_ACS!P$78+Calc_EB_ACS!P$135,NA)</f>
        <v>N/A</v>
      </c>
      <c r="Q77" s="67" t="str">
        <f>IFERROR(Calc_EB_ACS!Q$78+Calc_EB_ACS!Q$135,NA)</f>
        <v>N/A</v>
      </c>
      <c r="R77" s="68" t="str">
        <f>IFERROR(Calc_EB_ACS!R$78+Calc_EB_ACS!R$135,NA)</f>
        <v>N/A</v>
      </c>
      <c r="S77" s="66" t="str">
        <f>IFERROR(Calc_EB_ACS!S$78+Calc_EB_ACS!S$135,NA)</f>
        <v>N/A</v>
      </c>
      <c r="T77" s="67" t="str">
        <f>IFERROR(Calc_EB_ACS!T$78+Calc_EB_ACS!T$135,NA)</f>
        <v>N/A</v>
      </c>
      <c r="U77" s="67" t="str">
        <f>IFERROR(Calc_EB_ACS!U$78+Calc_EB_ACS!U$135,NA)</f>
        <v>N/A</v>
      </c>
      <c r="V77" s="67" t="str">
        <f>IFERROR(Calc_EB_ACS!V$78+Calc_EB_ACS!V$135,NA)</f>
        <v>N/A</v>
      </c>
      <c r="W77" s="68" t="str">
        <f>IFERROR(Calc_EB_ACS!W$78+Calc_EB_ACS!W$135,NA)</f>
        <v>N/A</v>
      </c>
      <c r="X77" s="66" t="str">
        <f>IFERROR(Calc_EB_ACS!X$78+Calc_EB_ACS!X$135,NA)</f>
        <v>N/A</v>
      </c>
      <c r="Y77" s="67" t="str">
        <f>IFERROR(Calc_EB_ACS!Y$78+Calc_EB_ACS!Y$135,NA)</f>
        <v>N/A</v>
      </c>
      <c r="Z77" s="67" t="str">
        <f>IFERROR(Calc_EB_ACS!Z$78+Calc_EB_ACS!Z$135,NA)</f>
        <v>N/A</v>
      </c>
      <c r="AA77" s="67" t="str">
        <f>IFERROR(Calc_EB_ACS!AA$78+Calc_EB_ACS!AA$135,NA)</f>
        <v>N/A</v>
      </c>
      <c r="AB77" s="68" t="str">
        <f>IFERROR(Calc_EB_ACS!AB$78+Calc_EB_ACS!AB$135,NA)</f>
        <v>N/A</v>
      </c>
    </row>
    <row r="78" spans="1:28" ht="12.3" outlineLevel="1" x14ac:dyDescent="0.35">
      <c r="D78" s="15" t="str">
        <f>Calc_EB_ACS!$C$90</f>
        <v>Disposals</v>
      </c>
      <c r="E78" s="52" t="str">
        <f>$E$36</f>
        <v>Calc_EB_ACS</v>
      </c>
      <c r="F78" s="52" t="str">
        <f>Dollars</f>
        <v>Dollars</v>
      </c>
      <c r="G78" s="52" t="str">
        <f>Nominal</f>
        <v>Nominal</v>
      </c>
      <c r="H78" s="52" t="str">
        <f>End_year</f>
        <v>End_year</v>
      </c>
      <c r="J78" s="66" t="str">
        <f>Calc_EB_ACS!J$97</f>
        <v>N/A</v>
      </c>
      <c r="K78" s="67" t="str">
        <f>Calc_EB_ACS!K$97</f>
        <v>N/A</v>
      </c>
      <c r="L78" s="67" t="str">
        <f>Calc_EB_ACS!L$97</f>
        <v>N/A</v>
      </c>
      <c r="M78" s="67" t="str">
        <f>Calc_EB_ACS!M$97</f>
        <v>N/A</v>
      </c>
      <c r="N78" s="67" t="str">
        <f>Calc_EB_ACS!N$97</f>
        <v>N/A</v>
      </c>
      <c r="O78" s="67" t="str">
        <f>Calc_EB_ACS!O$97</f>
        <v>N/A</v>
      </c>
      <c r="P78" s="67" t="str">
        <f>Calc_EB_ACS!P$97</f>
        <v>N/A</v>
      </c>
      <c r="Q78" s="67" t="str">
        <f>Calc_EB_ACS!Q$97</f>
        <v>N/A</v>
      </c>
      <c r="R78" s="68" t="str">
        <f>Calc_EB_ACS!R$97</f>
        <v>N/A</v>
      </c>
      <c r="S78" s="66" t="str">
        <f>Calc_EB_ACS!S$97</f>
        <v>N/A</v>
      </c>
      <c r="T78" s="67" t="str">
        <f>Calc_EB_ACS!T$97</f>
        <v>N/A</v>
      </c>
      <c r="U78" s="67" t="str">
        <f>Calc_EB_ACS!U$97</f>
        <v>N/A</v>
      </c>
      <c r="V78" s="67" t="str">
        <f>Calc_EB_ACS!V$97</f>
        <v>N/A</v>
      </c>
      <c r="W78" s="68" t="str">
        <f>Calc_EB_ACS!W$97</f>
        <v>N/A</v>
      </c>
      <c r="X78" s="66" t="str">
        <f>Calc_EB_ACS!X$97</f>
        <v>N/A</v>
      </c>
      <c r="Y78" s="67" t="str">
        <f>Calc_EB_ACS!Y$97</f>
        <v>N/A</v>
      </c>
      <c r="Z78" s="67" t="str">
        <f>Calc_EB_ACS!Z$97</f>
        <v>N/A</v>
      </c>
      <c r="AA78" s="67" t="str">
        <f>Calc_EB_ACS!AA$97</f>
        <v>N/A</v>
      </c>
      <c r="AB78" s="68" t="str">
        <f>Calc_EB_ACS!AB$97</f>
        <v>N/A</v>
      </c>
    </row>
    <row r="79" spans="1:28" outlineLevel="1" x14ac:dyDescent="0.35">
      <c r="J79" s="56"/>
      <c r="K79" s="57"/>
      <c r="L79" s="57"/>
      <c r="M79" s="57"/>
      <c r="N79" s="57"/>
      <c r="O79" s="57"/>
      <c r="P79" s="57"/>
      <c r="Q79" s="57"/>
      <c r="R79" s="58"/>
      <c r="S79" s="56"/>
      <c r="T79" s="57"/>
      <c r="U79" s="57"/>
      <c r="V79" s="57"/>
      <c r="W79" s="58"/>
      <c r="X79" s="56"/>
      <c r="Y79" s="57"/>
      <c r="Z79" s="57"/>
      <c r="AA79" s="57"/>
      <c r="AB79" s="58"/>
    </row>
    <row r="80" spans="1:28" ht="12.3" outlineLevel="1" x14ac:dyDescent="0.35">
      <c r="D80" s="51" t="s">
        <v>152</v>
      </c>
      <c r="E80" s="47" t="s">
        <v>111</v>
      </c>
      <c r="F80" s="47" t="str">
        <f>F74</f>
        <v>Dollars</v>
      </c>
      <c r="G80" s="47" t="str">
        <f>G74</f>
        <v>Nominal</v>
      </c>
      <c r="H80" s="47" t="str">
        <f>H74</f>
        <v>Start year</v>
      </c>
      <c r="J80" s="62">
        <f t="shared" ref="J80:AB80" si="14">SUM(J74:J78)</f>
        <v>0</v>
      </c>
      <c r="K80" s="46">
        <f t="shared" si="14"/>
        <v>0</v>
      </c>
      <c r="L80" s="46">
        <f t="shared" si="14"/>
        <v>0</v>
      </c>
      <c r="M80" s="46">
        <f t="shared" si="14"/>
        <v>0</v>
      </c>
      <c r="N80" s="46">
        <f t="shared" si="14"/>
        <v>0</v>
      </c>
      <c r="O80" s="46">
        <f t="shared" si="14"/>
        <v>0</v>
      </c>
      <c r="P80" s="46">
        <f t="shared" si="14"/>
        <v>0</v>
      </c>
      <c r="Q80" s="46">
        <f t="shared" si="14"/>
        <v>0</v>
      </c>
      <c r="R80" s="63">
        <f t="shared" si="14"/>
        <v>0</v>
      </c>
      <c r="S80" s="62">
        <f t="shared" si="14"/>
        <v>0</v>
      </c>
      <c r="T80" s="46">
        <f t="shared" si="14"/>
        <v>0</v>
      </c>
      <c r="U80" s="46">
        <f t="shared" si="14"/>
        <v>0</v>
      </c>
      <c r="V80" s="46">
        <f t="shared" si="14"/>
        <v>0</v>
      </c>
      <c r="W80" s="63">
        <f t="shared" si="14"/>
        <v>0</v>
      </c>
      <c r="X80" s="62">
        <f t="shared" si="14"/>
        <v>0</v>
      </c>
      <c r="Y80" s="46">
        <f t="shared" si="14"/>
        <v>0</v>
      </c>
      <c r="Z80" s="46">
        <f t="shared" si="14"/>
        <v>0</v>
      </c>
      <c r="AA80" s="46">
        <f t="shared" si="14"/>
        <v>0</v>
      </c>
      <c r="AB80" s="63">
        <f t="shared" si="14"/>
        <v>0</v>
      </c>
    </row>
    <row r="81" spans="1:28" s="6" customFormat="1" ht="11.25" customHeight="1" outlineLevel="1" x14ac:dyDescent="0.35"/>
    <row r="82" spans="1:28" s="6" customFormat="1" ht="11.25" customHeight="1" outlineLevel="1" x14ac:dyDescent="0.35">
      <c r="A82" s="49">
        <f>IF(SUM($J82:$AB82)&lt;&gt;0,1,0)</f>
        <v>0</v>
      </c>
      <c r="D82" s="15" t="s">
        <v>114</v>
      </c>
      <c r="J82" s="70">
        <f>IF(Calc_EB_ACS!J$154=NA,0,IF(J80&lt;&gt;Calc_EB_ACS!J$154,1,0))</f>
        <v>0</v>
      </c>
      <c r="K82" s="70">
        <f>IF(Calc_EB_ACS!K$154=NA,0,IF(K80&lt;&gt;Calc_EB_ACS!K$154,1,0))</f>
        <v>0</v>
      </c>
      <c r="L82" s="70">
        <f>IF(Calc_EB_ACS!L$154=NA,0,IF(L80&lt;&gt;Calc_EB_ACS!L$154,1,0))</f>
        <v>0</v>
      </c>
      <c r="M82" s="70">
        <f>IF(Calc_EB_ACS!M$154=NA,0,IF(M80&lt;&gt;Calc_EB_ACS!M$154,1,0))</f>
        <v>0</v>
      </c>
      <c r="N82" s="70">
        <f>IF(Calc_EB_ACS!N$154=NA,0,IF(N80&lt;&gt;Calc_EB_ACS!N$154,1,0))</f>
        <v>0</v>
      </c>
      <c r="O82" s="70">
        <f>IF(Calc_EB_ACS!O$154=NA,0,IF(O80&lt;&gt;Calc_EB_ACS!O$154,1,0))</f>
        <v>0</v>
      </c>
      <c r="P82" s="70">
        <f>IF(Calc_EB_ACS!P$154=NA,0,IF(P80&lt;&gt;Calc_EB_ACS!P$154,1,0))</f>
        <v>0</v>
      </c>
      <c r="Q82" s="70">
        <f>IF(Calc_EB_ACS!Q$154=NA,0,IF(Q80&lt;&gt;Calc_EB_ACS!Q$154,1,0))</f>
        <v>0</v>
      </c>
      <c r="R82" s="70">
        <f>IF(Calc_EB_ACS!R$154=NA,0,IF(R80&lt;&gt;Calc_EB_ACS!R$154,1,0))</f>
        <v>0</v>
      </c>
      <c r="S82" s="70">
        <f>IF(Calc_EB_ACS!S$154=NA,0,IF(S80&lt;&gt;Calc_EB_ACS!S$154,1,0))</f>
        <v>0</v>
      </c>
      <c r="T82" s="70">
        <f>IF(Calc_EB_ACS!T$154=NA,0,IF(T80&lt;&gt;Calc_EB_ACS!T$154,1,0))</f>
        <v>0</v>
      </c>
      <c r="U82" s="70">
        <f>IF(Calc_EB_ACS!U$154=NA,0,IF(U80&lt;&gt;Calc_EB_ACS!U$154,1,0))</f>
        <v>0</v>
      </c>
      <c r="V82" s="70">
        <f>IF(Calc_EB_ACS!V$154=NA,0,IF(V80&lt;&gt;Calc_EB_ACS!V$154,1,0))</f>
        <v>0</v>
      </c>
      <c r="W82" s="70">
        <f>IF(Calc_EB_ACS!W$154=NA,0,IF(W80&lt;&gt;Calc_EB_ACS!W$154,1,0))</f>
        <v>0</v>
      </c>
      <c r="X82" s="70">
        <f>IF(Calc_EB_ACS!X$154=NA,0,IF(X80&lt;&gt;Calc_EB_ACS!X$154,1,0))</f>
        <v>0</v>
      </c>
      <c r="Y82" s="70">
        <f>IF(Calc_EB_ACS!Y$154=NA,0,IF(Y80&lt;&gt;Calc_EB_ACS!Y$154,1,0))</f>
        <v>0</v>
      </c>
      <c r="Z82" s="70">
        <f>IF(Calc_EB_ACS!Z$154=NA,0,IF(Z80&lt;&gt;Calc_EB_ACS!Z$154,1,0))</f>
        <v>0</v>
      </c>
      <c r="AA82" s="70">
        <f>IF(Calc_EB_ACS!AA$154=NA,0,IF(AA80&lt;&gt;Calc_EB_ACS!AA$154,1,0))</f>
        <v>0</v>
      </c>
      <c r="AB82" s="70">
        <f>IF(Calc_EB_ACS!AB$154=NA,0,IF(AB80&lt;&gt;Calc_EB_ACS!AB$154,1,0))</f>
        <v>0</v>
      </c>
    </row>
    <row r="83" spans="1:28" s="6" customFormat="1" ht="11.25" customHeight="1" outlineLevel="1" x14ac:dyDescent="0.35">
      <c r="L83" s="10"/>
      <c r="Q83" s="10"/>
      <c r="V83" s="10"/>
      <c r="AA83" s="10"/>
    </row>
    <row r="84" spans="1:28" s="13" customFormat="1" ht="14.1" x14ac:dyDescent="0.35">
      <c r="C84" s="13" t="str">
        <f>Lookup!$D$107</f>
        <v>Underground network assets 33kV and above</v>
      </c>
    </row>
    <row r="85" spans="1:28" s="6" customFormat="1" ht="11.25" customHeight="1" x14ac:dyDescent="0.35"/>
    <row r="86" spans="1:28" ht="12.3" outlineLevel="1" x14ac:dyDescent="0.35">
      <c r="D86" s="50" t="s">
        <v>109</v>
      </c>
      <c r="E86" s="45" t="str">
        <f>Lookup!E$20</f>
        <v>Source</v>
      </c>
      <c r="F86" s="45" t="str">
        <f>Lookup!F$20</f>
        <v>Unit</v>
      </c>
      <c r="G86" s="45" t="str">
        <f>Lookup!G$20</f>
        <v>Basis</v>
      </c>
      <c r="H86" s="45" t="str">
        <f>Lookup!H$20</f>
        <v>Timing</v>
      </c>
      <c r="J86" s="54" t="str">
        <f>J$10</f>
        <v>RY06</v>
      </c>
      <c r="K86" s="45" t="str">
        <f t="shared" ref="K86:AB86" si="15">K$10</f>
        <v>RY07</v>
      </c>
      <c r="L86" s="45" t="str">
        <f t="shared" si="15"/>
        <v>RY08</v>
      </c>
      <c r="M86" s="45" t="str">
        <f t="shared" si="15"/>
        <v>RY09</v>
      </c>
      <c r="N86" s="45" t="str">
        <f t="shared" si="15"/>
        <v>RY10</v>
      </c>
      <c r="O86" s="45" t="str">
        <f>O$10</f>
        <v>RY11</v>
      </c>
      <c r="P86" s="45" t="str">
        <f t="shared" si="15"/>
        <v>RY12</v>
      </c>
      <c r="Q86" s="45" t="str">
        <f t="shared" si="15"/>
        <v>RY13</v>
      </c>
      <c r="R86" s="55" t="str">
        <f t="shared" si="15"/>
        <v>RY14</v>
      </c>
      <c r="S86" s="54" t="str">
        <f t="shared" si="15"/>
        <v>RY15</v>
      </c>
      <c r="T86" s="45" t="str">
        <f>T$10</f>
        <v>RY16</v>
      </c>
      <c r="U86" s="45" t="str">
        <f t="shared" si="15"/>
        <v>RY17</v>
      </c>
      <c r="V86" s="45" t="str">
        <f t="shared" si="15"/>
        <v>RY18</v>
      </c>
      <c r="W86" s="55" t="str">
        <f t="shared" si="15"/>
        <v>RY19</v>
      </c>
      <c r="X86" s="54" t="str">
        <f t="shared" si="15"/>
        <v>RY20</v>
      </c>
      <c r="Y86" s="45" t="str">
        <f>Y$10</f>
        <v>RY21</v>
      </c>
      <c r="Z86" s="45" t="str">
        <f t="shared" si="15"/>
        <v>RY22</v>
      </c>
      <c r="AA86" s="45" t="str">
        <f t="shared" si="15"/>
        <v>RY23</v>
      </c>
      <c r="AB86" s="55" t="str">
        <f t="shared" si="15"/>
        <v>RY24</v>
      </c>
    </row>
    <row r="87" spans="1:28" outlineLevel="1" x14ac:dyDescent="0.35">
      <c r="J87" s="56"/>
      <c r="K87" s="57"/>
      <c r="L87" s="57"/>
      <c r="M87" s="57"/>
      <c r="N87" s="57"/>
      <c r="O87" s="57"/>
      <c r="P87" s="57"/>
      <c r="Q87" s="57"/>
      <c r="R87" s="58"/>
      <c r="S87" s="56"/>
      <c r="T87" s="57"/>
      <c r="U87" s="57"/>
      <c r="V87" s="57"/>
      <c r="W87" s="58"/>
      <c r="X87" s="56"/>
      <c r="Y87" s="57"/>
      <c r="Z87" s="57"/>
      <c r="AA87" s="57"/>
      <c r="AB87" s="58"/>
    </row>
    <row r="88" spans="1:28" ht="12.3" outlineLevel="1" x14ac:dyDescent="0.35">
      <c r="D88" s="15" t="str">
        <f>Calc_EB_ACS!$C$14</f>
        <v>Opening Balance</v>
      </c>
      <c r="E88" s="52" t="str">
        <f>$E$32</f>
        <v>Calc_EB_ACS</v>
      </c>
      <c r="F88" s="52" t="str">
        <f>Dollars</f>
        <v>Dollars</v>
      </c>
      <c r="G88" s="52" t="str">
        <f>Nominal</f>
        <v>Nominal</v>
      </c>
      <c r="H88" s="52" t="str">
        <f>Start_year</f>
        <v>Start year</v>
      </c>
      <c r="J88" s="66" t="str">
        <f>Calc_EB_ACS!J$22</f>
        <v>N/A</v>
      </c>
      <c r="K88" s="67" t="str">
        <f>Calc_EB_ACS!K$22</f>
        <v>N/A</v>
      </c>
      <c r="L88" s="67" t="str">
        <f>Calc_EB_ACS!L$22</f>
        <v>N/A</v>
      </c>
      <c r="M88" s="67" t="str">
        <f>Calc_EB_ACS!M$22</f>
        <v>N/A</v>
      </c>
      <c r="N88" s="67" t="str">
        <f>Calc_EB_ACS!N$22</f>
        <v>N/A</v>
      </c>
      <c r="O88" s="67" t="str">
        <f>Calc_EB_ACS!O$22</f>
        <v>N/A</v>
      </c>
      <c r="P88" s="67" t="str">
        <f>Calc_EB_ACS!P$22</f>
        <v>N/A</v>
      </c>
      <c r="Q88" s="67" t="str">
        <f>Calc_EB_ACS!Q$22</f>
        <v>N/A</v>
      </c>
      <c r="R88" s="68" t="str">
        <f>Calc_EB_ACS!R$22</f>
        <v>N/A</v>
      </c>
      <c r="S88" s="66" t="str">
        <f>Calc_EB_ACS!S$22</f>
        <v>N/A</v>
      </c>
      <c r="T88" s="67" t="str">
        <f>Calc_EB_ACS!T$22</f>
        <v>N/A</v>
      </c>
      <c r="U88" s="67" t="str">
        <f>Calc_EB_ACS!U$22</f>
        <v>N/A</v>
      </c>
      <c r="V88" s="67" t="str">
        <f>Calc_EB_ACS!V$22</f>
        <v>N/A</v>
      </c>
      <c r="W88" s="68" t="str">
        <f>Calc_EB_ACS!W$22</f>
        <v>N/A</v>
      </c>
      <c r="X88" s="66" t="str">
        <f>Calc_EB_ACS!X$22</f>
        <v>N/A</v>
      </c>
      <c r="Y88" s="67" t="str">
        <f>Calc_EB_ACS!Y$22</f>
        <v>N/A</v>
      </c>
      <c r="Z88" s="67" t="str">
        <f>Calc_EB_ACS!Z$22</f>
        <v>N/A</v>
      </c>
      <c r="AA88" s="67" t="str">
        <f>Calc_EB_ACS!AA$22</f>
        <v>N/A</v>
      </c>
      <c r="AB88" s="68" t="str">
        <f>Calc_EB_ACS!AB$22</f>
        <v>N/A</v>
      </c>
    </row>
    <row r="89" spans="1:28" ht="12.3" outlineLevel="1" x14ac:dyDescent="0.35">
      <c r="D89" s="15" t="str">
        <f>Calc_EB_ACS!$C$33</f>
        <v>Inflation</v>
      </c>
      <c r="E89" s="52" t="str">
        <f>$E$33</f>
        <v>Calc_EB_ACS</v>
      </c>
      <c r="F89" s="52" t="str">
        <f>Dollars</f>
        <v>Dollars</v>
      </c>
      <c r="G89" s="52" t="str">
        <f>Nominal</f>
        <v>Nominal</v>
      </c>
      <c r="H89" s="52" t="str">
        <f>End_year</f>
        <v>End_year</v>
      </c>
      <c r="J89" s="66" t="str">
        <f>Calc_EB_ACS!J$41</f>
        <v>N/A</v>
      </c>
      <c r="K89" s="67" t="str">
        <f>Calc_EB_ACS!K$41</f>
        <v>N/A</v>
      </c>
      <c r="L89" s="67" t="str">
        <f>Calc_EB_ACS!L$41</f>
        <v>N/A</v>
      </c>
      <c r="M89" s="67" t="str">
        <f>Calc_EB_ACS!M$41</f>
        <v>N/A</v>
      </c>
      <c r="N89" s="67" t="str">
        <f>Calc_EB_ACS!N$41</f>
        <v>N/A</v>
      </c>
      <c r="O89" s="67" t="str">
        <f>Calc_EB_ACS!O$41</f>
        <v>N/A</v>
      </c>
      <c r="P89" s="67" t="str">
        <f>Calc_EB_ACS!P$41</f>
        <v>N/A</v>
      </c>
      <c r="Q89" s="67" t="str">
        <f>Calc_EB_ACS!Q$41</f>
        <v>N/A</v>
      </c>
      <c r="R89" s="68" t="str">
        <f>Calc_EB_ACS!R$41</f>
        <v>N/A</v>
      </c>
      <c r="S89" s="66" t="str">
        <f>Calc_EB_ACS!S$41</f>
        <v>N/A</v>
      </c>
      <c r="T89" s="67" t="str">
        <f>Calc_EB_ACS!T$41</f>
        <v>N/A</v>
      </c>
      <c r="U89" s="67" t="str">
        <f>Calc_EB_ACS!U$41</f>
        <v>N/A</v>
      </c>
      <c r="V89" s="67" t="str">
        <f>Calc_EB_ACS!V$41</f>
        <v>N/A</v>
      </c>
      <c r="W89" s="68" t="str">
        <f>Calc_EB_ACS!W$41</f>
        <v>N/A</v>
      </c>
      <c r="X89" s="66" t="str">
        <f>Calc_EB_ACS!X$41</f>
        <v>N/A</v>
      </c>
      <c r="Y89" s="67" t="str">
        <f>Calc_EB_ACS!Y$41</f>
        <v>N/A</v>
      </c>
      <c r="Z89" s="67" t="str">
        <f>Calc_EB_ACS!Z$41</f>
        <v>N/A</v>
      </c>
      <c r="AA89" s="67" t="str">
        <f>Calc_EB_ACS!AA$41</f>
        <v>N/A</v>
      </c>
      <c r="AB89" s="68" t="str">
        <f>Calc_EB_ACS!AB$41</f>
        <v>N/A</v>
      </c>
    </row>
    <row r="90" spans="1:28" ht="12.3" outlineLevel="1" x14ac:dyDescent="0.35">
      <c r="D90" s="15" t="str">
        <f>Calc_EB_ACS!$C$52</f>
        <v>Straight Line Depreciation</v>
      </c>
      <c r="E90" s="52" t="str">
        <f>$E$34</f>
        <v>Calc_EB_ACS</v>
      </c>
      <c r="F90" s="52" t="str">
        <f>Dollars</f>
        <v>Dollars</v>
      </c>
      <c r="G90" s="52" t="str">
        <f>Nominal</f>
        <v>Nominal</v>
      </c>
      <c r="H90" s="52" t="str">
        <f>End_year</f>
        <v>End_year</v>
      </c>
      <c r="J90" s="66" t="str">
        <f>Calc_EB_ACS!J$60</f>
        <v>N/A</v>
      </c>
      <c r="K90" s="67" t="str">
        <f>Calc_EB_ACS!K$60</f>
        <v>N/A</v>
      </c>
      <c r="L90" s="67" t="str">
        <f>Calc_EB_ACS!L$60</f>
        <v>N/A</v>
      </c>
      <c r="M90" s="67" t="str">
        <f>Calc_EB_ACS!M$60</f>
        <v>N/A</v>
      </c>
      <c r="N90" s="67" t="str">
        <f>Calc_EB_ACS!N$60</f>
        <v>N/A</v>
      </c>
      <c r="O90" s="67" t="str">
        <f>Calc_EB_ACS!O$60</f>
        <v>N/A</v>
      </c>
      <c r="P90" s="67" t="str">
        <f>Calc_EB_ACS!P$60</f>
        <v>N/A</v>
      </c>
      <c r="Q90" s="67" t="str">
        <f>Calc_EB_ACS!Q$60</f>
        <v>N/A</v>
      </c>
      <c r="R90" s="68" t="str">
        <f>Calc_EB_ACS!R$60</f>
        <v>N/A</v>
      </c>
      <c r="S90" s="66" t="str">
        <f>Calc_EB_ACS!S$60</f>
        <v>N/A</v>
      </c>
      <c r="T90" s="67" t="str">
        <f>Calc_EB_ACS!T$60</f>
        <v>N/A</v>
      </c>
      <c r="U90" s="67" t="str">
        <f>Calc_EB_ACS!U$60</f>
        <v>N/A</v>
      </c>
      <c r="V90" s="67" t="str">
        <f>Calc_EB_ACS!V$60</f>
        <v>N/A</v>
      </c>
      <c r="W90" s="68" t="str">
        <f>Calc_EB_ACS!W$60</f>
        <v>N/A</v>
      </c>
      <c r="X90" s="66" t="str">
        <f>Calc_EB_ACS!X$60</f>
        <v>N/A</v>
      </c>
      <c r="Y90" s="67" t="str">
        <f>Calc_EB_ACS!Y$60</f>
        <v>N/A</v>
      </c>
      <c r="Z90" s="67" t="str">
        <f>Calc_EB_ACS!Z$60</f>
        <v>N/A</v>
      </c>
      <c r="AA90" s="67" t="str">
        <f>Calc_EB_ACS!AA$60</f>
        <v>N/A</v>
      </c>
      <c r="AB90" s="68" t="str">
        <f>Calc_EB_ACS!AB$60</f>
        <v>N/A</v>
      </c>
    </row>
    <row r="91" spans="1:28" ht="12.3" outlineLevel="1" x14ac:dyDescent="0.35">
      <c r="D91" s="15" t="str">
        <f>Calc_EB_ACS!$C$71</f>
        <v>RAB Additions</v>
      </c>
      <c r="E91" s="52" t="str">
        <f>$E$35</f>
        <v>Calc_EB_ACS</v>
      </c>
      <c r="F91" s="52" t="str">
        <f>Dollars</f>
        <v>Dollars</v>
      </c>
      <c r="G91" s="52" t="str">
        <f>Nominal</f>
        <v>Nominal</v>
      </c>
      <c r="H91" s="52" t="str">
        <f>End_year</f>
        <v>End_year</v>
      </c>
      <c r="J91" s="66" t="str">
        <f>IFERROR(Calc_EB_ACS!J$79+Calc_EB_ACS!J$136,NA)</f>
        <v>N/A</v>
      </c>
      <c r="K91" s="67" t="str">
        <f>IFERROR(Calc_EB_ACS!K$79+Calc_EB_ACS!K$136,NA)</f>
        <v>N/A</v>
      </c>
      <c r="L91" s="67" t="str">
        <f>IFERROR(Calc_EB_ACS!L$79+Calc_EB_ACS!L$136,NA)</f>
        <v>N/A</v>
      </c>
      <c r="M91" s="67" t="str">
        <f>IFERROR(Calc_EB_ACS!M$79+Calc_EB_ACS!M$136,NA)</f>
        <v>N/A</v>
      </c>
      <c r="N91" s="67" t="str">
        <f>IFERROR(Calc_EB_ACS!N$79+Calc_EB_ACS!N$136,NA)</f>
        <v>N/A</v>
      </c>
      <c r="O91" s="67" t="str">
        <f>IFERROR(Calc_EB_ACS!O$79+Calc_EB_ACS!O$136,NA)</f>
        <v>N/A</v>
      </c>
      <c r="P91" s="67" t="str">
        <f>IFERROR(Calc_EB_ACS!P$79+Calc_EB_ACS!P$136,NA)</f>
        <v>N/A</v>
      </c>
      <c r="Q91" s="67" t="str">
        <f>IFERROR(Calc_EB_ACS!Q$79+Calc_EB_ACS!Q$136,NA)</f>
        <v>N/A</v>
      </c>
      <c r="R91" s="68" t="str">
        <f>IFERROR(Calc_EB_ACS!R$79+Calc_EB_ACS!R$136,NA)</f>
        <v>N/A</v>
      </c>
      <c r="S91" s="66" t="str">
        <f>IFERROR(Calc_EB_ACS!S$79+Calc_EB_ACS!S$136,NA)</f>
        <v>N/A</v>
      </c>
      <c r="T91" s="67" t="str">
        <f>IFERROR(Calc_EB_ACS!T$79+Calc_EB_ACS!T$136,NA)</f>
        <v>N/A</v>
      </c>
      <c r="U91" s="67" t="str">
        <f>IFERROR(Calc_EB_ACS!U$79+Calc_EB_ACS!U$136,NA)</f>
        <v>N/A</v>
      </c>
      <c r="V91" s="67" t="str">
        <f>IFERROR(Calc_EB_ACS!V$79+Calc_EB_ACS!V$136,NA)</f>
        <v>N/A</v>
      </c>
      <c r="W91" s="68" t="str">
        <f>IFERROR(Calc_EB_ACS!W$79+Calc_EB_ACS!W$136,NA)</f>
        <v>N/A</v>
      </c>
      <c r="X91" s="66" t="str">
        <f>IFERROR(Calc_EB_ACS!X$79+Calc_EB_ACS!X$136,NA)</f>
        <v>N/A</v>
      </c>
      <c r="Y91" s="67" t="str">
        <f>IFERROR(Calc_EB_ACS!Y$79+Calc_EB_ACS!Y$136,NA)</f>
        <v>N/A</v>
      </c>
      <c r="Z91" s="67" t="str">
        <f>IFERROR(Calc_EB_ACS!Z$79+Calc_EB_ACS!Z$136,NA)</f>
        <v>N/A</v>
      </c>
      <c r="AA91" s="67" t="str">
        <f>IFERROR(Calc_EB_ACS!AA$79+Calc_EB_ACS!AA$136,NA)</f>
        <v>N/A</v>
      </c>
      <c r="AB91" s="68" t="str">
        <f>IFERROR(Calc_EB_ACS!AB$79+Calc_EB_ACS!AB$136,NA)</f>
        <v>N/A</v>
      </c>
    </row>
    <row r="92" spans="1:28" ht="12.3" outlineLevel="1" x14ac:dyDescent="0.35">
      <c r="D92" s="15" t="str">
        <f>Calc_EB_ACS!$C$90</f>
        <v>Disposals</v>
      </c>
      <c r="E92" s="52" t="str">
        <f>$E$36</f>
        <v>Calc_EB_ACS</v>
      </c>
      <c r="F92" s="52" t="str">
        <f>Dollars</f>
        <v>Dollars</v>
      </c>
      <c r="G92" s="52" t="str">
        <f>Nominal</f>
        <v>Nominal</v>
      </c>
      <c r="H92" s="52" t="str">
        <f>End_year</f>
        <v>End_year</v>
      </c>
      <c r="J92" s="66" t="str">
        <f>Calc_EB_ACS!J$98</f>
        <v>N/A</v>
      </c>
      <c r="K92" s="67" t="str">
        <f>Calc_EB_ACS!K$98</f>
        <v>N/A</v>
      </c>
      <c r="L92" s="67" t="str">
        <f>Calc_EB_ACS!L$98</f>
        <v>N/A</v>
      </c>
      <c r="M92" s="67" t="str">
        <f>Calc_EB_ACS!M$98</f>
        <v>N/A</v>
      </c>
      <c r="N92" s="67" t="str">
        <f>Calc_EB_ACS!N$98</f>
        <v>N/A</v>
      </c>
      <c r="O92" s="67" t="str">
        <f>Calc_EB_ACS!O$98</f>
        <v>N/A</v>
      </c>
      <c r="P92" s="67" t="str">
        <f>Calc_EB_ACS!P$98</f>
        <v>N/A</v>
      </c>
      <c r="Q92" s="67" t="str">
        <f>Calc_EB_ACS!Q$98</f>
        <v>N/A</v>
      </c>
      <c r="R92" s="68" t="str">
        <f>Calc_EB_ACS!R$98</f>
        <v>N/A</v>
      </c>
      <c r="S92" s="66" t="str">
        <f>Calc_EB_ACS!S$98</f>
        <v>N/A</v>
      </c>
      <c r="T92" s="67" t="str">
        <f>Calc_EB_ACS!T$98</f>
        <v>N/A</v>
      </c>
      <c r="U92" s="67" t="str">
        <f>Calc_EB_ACS!U$98</f>
        <v>N/A</v>
      </c>
      <c r="V92" s="67" t="str">
        <f>Calc_EB_ACS!V$98</f>
        <v>N/A</v>
      </c>
      <c r="W92" s="68" t="str">
        <f>Calc_EB_ACS!W$98</f>
        <v>N/A</v>
      </c>
      <c r="X92" s="66" t="str">
        <f>Calc_EB_ACS!X$98</f>
        <v>N/A</v>
      </c>
      <c r="Y92" s="67" t="str">
        <f>Calc_EB_ACS!Y$98</f>
        <v>N/A</v>
      </c>
      <c r="Z92" s="67" t="str">
        <f>Calc_EB_ACS!Z$98</f>
        <v>N/A</v>
      </c>
      <c r="AA92" s="67" t="str">
        <f>Calc_EB_ACS!AA$98</f>
        <v>N/A</v>
      </c>
      <c r="AB92" s="68" t="str">
        <f>Calc_EB_ACS!AB$98</f>
        <v>N/A</v>
      </c>
    </row>
    <row r="93" spans="1:28" outlineLevel="1" x14ac:dyDescent="0.35">
      <c r="J93" s="56"/>
      <c r="K93" s="57"/>
      <c r="L93" s="57"/>
      <c r="M93" s="57"/>
      <c r="N93" s="57"/>
      <c r="O93" s="57"/>
      <c r="P93" s="57"/>
      <c r="Q93" s="57"/>
      <c r="R93" s="58"/>
      <c r="S93" s="56"/>
      <c r="T93" s="57"/>
      <c r="U93" s="57"/>
      <c r="V93" s="57"/>
      <c r="W93" s="58"/>
      <c r="X93" s="56"/>
      <c r="Y93" s="57"/>
      <c r="Z93" s="57"/>
      <c r="AA93" s="57"/>
      <c r="AB93" s="58"/>
    </row>
    <row r="94" spans="1:28" ht="12.3" outlineLevel="1" x14ac:dyDescent="0.35">
      <c r="D94" s="51" t="s">
        <v>152</v>
      </c>
      <c r="E94" s="47" t="s">
        <v>111</v>
      </c>
      <c r="F94" s="47" t="str">
        <f>F88</f>
        <v>Dollars</v>
      </c>
      <c r="G94" s="47" t="str">
        <f>G88</f>
        <v>Nominal</v>
      </c>
      <c r="H94" s="47" t="str">
        <f>H88</f>
        <v>Start year</v>
      </c>
      <c r="J94" s="62">
        <f t="shared" ref="J94:AB94" si="16">SUM(J88:J92)</f>
        <v>0</v>
      </c>
      <c r="K94" s="46">
        <f t="shared" si="16"/>
        <v>0</v>
      </c>
      <c r="L94" s="46">
        <f t="shared" si="16"/>
        <v>0</v>
      </c>
      <c r="M94" s="46">
        <f t="shared" si="16"/>
        <v>0</v>
      </c>
      <c r="N94" s="46">
        <f t="shared" si="16"/>
        <v>0</v>
      </c>
      <c r="O94" s="46">
        <f t="shared" si="16"/>
        <v>0</v>
      </c>
      <c r="P94" s="46">
        <f t="shared" si="16"/>
        <v>0</v>
      </c>
      <c r="Q94" s="46">
        <f t="shared" si="16"/>
        <v>0</v>
      </c>
      <c r="R94" s="63">
        <f t="shared" si="16"/>
        <v>0</v>
      </c>
      <c r="S94" s="62">
        <f t="shared" si="16"/>
        <v>0</v>
      </c>
      <c r="T94" s="46">
        <f t="shared" si="16"/>
        <v>0</v>
      </c>
      <c r="U94" s="46">
        <f t="shared" si="16"/>
        <v>0</v>
      </c>
      <c r="V94" s="46">
        <f t="shared" si="16"/>
        <v>0</v>
      </c>
      <c r="W94" s="63">
        <f t="shared" si="16"/>
        <v>0</v>
      </c>
      <c r="X94" s="62">
        <f t="shared" si="16"/>
        <v>0</v>
      </c>
      <c r="Y94" s="46">
        <f t="shared" si="16"/>
        <v>0</v>
      </c>
      <c r="Z94" s="46">
        <f t="shared" si="16"/>
        <v>0</v>
      </c>
      <c r="AA94" s="46">
        <f t="shared" si="16"/>
        <v>0</v>
      </c>
      <c r="AB94" s="63">
        <f t="shared" si="16"/>
        <v>0</v>
      </c>
    </row>
    <row r="95" spans="1:28" s="6" customFormat="1" ht="11.25" customHeight="1" outlineLevel="1" x14ac:dyDescent="0.35"/>
    <row r="96" spans="1:28" s="6" customFormat="1" ht="11.25" customHeight="1" outlineLevel="1" x14ac:dyDescent="0.35">
      <c r="A96" s="49">
        <f>IF(SUM($J96:$AB96)&lt;&gt;0,1,0)</f>
        <v>0</v>
      </c>
      <c r="D96" s="15" t="s">
        <v>114</v>
      </c>
      <c r="J96" s="70">
        <f>IF(Calc_EB_ACS!J$155=NA,0,IF(J94&lt;&gt;Calc_EB_ACS!J$155,1,0))</f>
        <v>0</v>
      </c>
      <c r="K96" s="70">
        <f>IF(Calc_EB_ACS!K$155=NA,0,IF(K94&lt;&gt;Calc_EB_ACS!K$155,1,0))</f>
        <v>0</v>
      </c>
      <c r="L96" s="70">
        <f>IF(Calc_EB_ACS!L$155=NA,0,IF(L94&lt;&gt;Calc_EB_ACS!L$155,1,0))</f>
        <v>0</v>
      </c>
      <c r="M96" s="70">
        <f>IF(Calc_EB_ACS!M$155=NA,0,IF(M94&lt;&gt;Calc_EB_ACS!M$155,1,0))</f>
        <v>0</v>
      </c>
      <c r="N96" s="70">
        <f>IF(Calc_EB_ACS!N$155=NA,0,IF(N94&lt;&gt;Calc_EB_ACS!N$155,1,0))</f>
        <v>0</v>
      </c>
      <c r="O96" s="70">
        <f>IF(Calc_EB_ACS!O$155=NA,0,IF(O94&lt;&gt;Calc_EB_ACS!O$155,1,0))</f>
        <v>0</v>
      </c>
      <c r="P96" s="70">
        <f>IF(Calc_EB_ACS!P$155=NA,0,IF(P94&lt;&gt;Calc_EB_ACS!P$155,1,0))</f>
        <v>0</v>
      </c>
      <c r="Q96" s="70">
        <f>IF(Calc_EB_ACS!Q$155=NA,0,IF(Q94&lt;&gt;Calc_EB_ACS!Q$155,1,0))</f>
        <v>0</v>
      </c>
      <c r="R96" s="70">
        <f>IF(Calc_EB_ACS!R$155=NA,0,IF(R94&lt;&gt;Calc_EB_ACS!R$155,1,0))</f>
        <v>0</v>
      </c>
      <c r="S96" s="70">
        <f>IF(Calc_EB_ACS!S$155=NA,0,IF(S94&lt;&gt;Calc_EB_ACS!S$155,1,0))</f>
        <v>0</v>
      </c>
      <c r="T96" s="70">
        <f>IF(Calc_EB_ACS!T$155=NA,0,IF(T94&lt;&gt;Calc_EB_ACS!T$155,1,0))</f>
        <v>0</v>
      </c>
      <c r="U96" s="70">
        <f>IF(Calc_EB_ACS!U$155=NA,0,IF(U94&lt;&gt;Calc_EB_ACS!U$155,1,0))</f>
        <v>0</v>
      </c>
      <c r="V96" s="70">
        <f>IF(Calc_EB_ACS!V$155=NA,0,IF(V94&lt;&gt;Calc_EB_ACS!V$155,1,0))</f>
        <v>0</v>
      </c>
      <c r="W96" s="70">
        <f>IF(Calc_EB_ACS!W$155=NA,0,IF(W94&lt;&gt;Calc_EB_ACS!W$155,1,0))</f>
        <v>0</v>
      </c>
      <c r="X96" s="70">
        <f>IF(Calc_EB_ACS!X$155=NA,0,IF(X94&lt;&gt;Calc_EB_ACS!X$155,1,0))</f>
        <v>0</v>
      </c>
      <c r="Y96" s="70">
        <f>IF(Calc_EB_ACS!Y$155=NA,0,IF(Y94&lt;&gt;Calc_EB_ACS!Y$155,1,0))</f>
        <v>0</v>
      </c>
      <c r="Z96" s="70">
        <f>IF(Calc_EB_ACS!Z$155=NA,0,IF(Z94&lt;&gt;Calc_EB_ACS!Z$155,1,0))</f>
        <v>0</v>
      </c>
      <c r="AA96" s="70">
        <f>IF(Calc_EB_ACS!AA$155=NA,0,IF(AA94&lt;&gt;Calc_EB_ACS!AA$155,1,0))</f>
        <v>0</v>
      </c>
      <c r="AB96" s="70">
        <f>IF(Calc_EB_ACS!AB$155=NA,0,IF(AB94&lt;&gt;Calc_EB_ACS!AB$155,1,0))</f>
        <v>0</v>
      </c>
    </row>
    <row r="97" spans="1:28" s="6" customFormat="1" ht="11.25" customHeight="1" outlineLevel="1" x14ac:dyDescent="0.35">
      <c r="L97" s="10"/>
      <c r="Q97" s="10"/>
      <c r="V97" s="10"/>
      <c r="AA97" s="10"/>
    </row>
    <row r="98" spans="1:28" s="13" customFormat="1" ht="14.1" x14ac:dyDescent="0.35">
      <c r="C98" s="13" t="str">
        <f>Lookup!$D$108</f>
        <v>Zone substations and transformers</v>
      </c>
    </row>
    <row r="99" spans="1:28" s="6" customFormat="1" ht="11.25" customHeight="1" x14ac:dyDescent="0.35"/>
    <row r="100" spans="1:28" ht="12.3" outlineLevel="1" x14ac:dyDescent="0.35">
      <c r="D100" s="50" t="s">
        <v>109</v>
      </c>
      <c r="E100" s="45" t="str">
        <f>Lookup!E$20</f>
        <v>Source</v>
      </c>
      <c r="F100" s="45" t="str">
        <f>Lookup!F$20</f>
        <v>Unit</v>
      </c>
      <c r="G100" s="45" t="str">
        <f>Lookup!G$20</f>
        <v>Basis</v>
      </c>
      <c r="H100" s="45" t="str">
        <f>Lookup!H$20</f>
        <v>Timing</v>
      </c>
      <c r="J100" s="54" t="str">
        <f>J$10</f>
        <v>RY06</v>
      </c>
      <c r="K100" s="45" t="str">
        <f t="shared" ref="K100:AB100" si="17">K$10</f>
        <v>RY07</v>
      </c>
      <c r="L100" s="45" t="str">
        <f t="shared" si="17"/>
        <v>RY08</v>
      </c>
      <c r="M100" s="45" t="str">
        <f t="shared" si="17"/>
        <v>RY09</v>
      </c>
      <c r="N100" s="45" t="str">
        <f t="shared" si="17"/>
        <v>RY10</v>
      </c>
      <c r="O100" s="45" t="str">
        <f>O$10</f>
        <v>RY11</v>
      </c>
      <c r="P100" s="45" t="str">
        <f t="shared" si="17"/>
        <v>RY12</v>
      </c>
      <c r="Q100" s="45" t="str">
        <f t="shared" si="17"/>
        <v>RY13</v>
      </c>
      <c r="R100" s="55" t="str">
        <f t="shared" si="17"/>
        <v>RY14</v>
      </c>
      <c r="S100" s="54" t="str">
        <f t="shared" si="17"/>
        <v>RY15</v>
      </c>
      <c r="T100" s="45" t="str">
        <f>T$10</f>
        <v>RY16</v>
      </c>
      <c r="U100" s="45" t="str">
        <f t="shared" si="17"/>
        <v>RY17</v>
      </c>
      <c r="V100" s="45" t="str">
        <f t="shared" si="17"/>
        <v>RY18</v>
      </c>
      <c r="W100" s="55" t="str">
        <f t="shared" si="17"/>
        <v>RY19</v>
      </c>
      <c r="X100" s="54" t="str">
        <f t="shared" si="17"/>
        <v>RY20</v>
      </c>
      <c r="Y100" s="45" t="str">
        <f>Y$10</f>
        <v>RY21</v>
      </c>
      <c r="Z100" s="45" t="str">
        <f t="shared" si="17"/>
        <v>RY22</v>
      </c>
      <c r="AA100" s="45" t="str">
        <f t="shared" si="17"/>
        <v>RY23</v>
      </c>
      <c r="AB100" s="55" t="str">
        <f t="shared" si="17"/>
        <v>RY24</v>
      </c>
    </row>
    <row r="101" spans="1:28" outlineLevel="1" x14ac:dyDescent="0.35">
      <c r="J101" s="56"/>
      <c r="K101" s="57"/>
      <c r="L101" s="57"/>
      <c r="M101" s="57"/>
      <c r="N101" s="57"/>
      <c r="O101" s="57"/>
      <c r="P101" s="57"/>
      <c r="Q101" s="57"/>
      <c r="R101" s="58"/>
      <c r="S101" s="56"/>
      <c r="T101" s="57"/>
      <c r="U101" s="57"/>
      <c r="V101" s="57"/>
      <c r="W101" s="58"/>
      <c r="X101" s="56"/>
      <c r="Y101" s="57"/>
      <c r="Z101" s="57"/>
      <c r="AA101" s="57"/>
      <c r="AB101" s="58"/>
    </row>
    <row r="102" spans="1:28" ht="12.3" outlineLevel="1" x14ac:dyDescent="0.35">
      <c r="D102" s="15" t="str">
        <f>Calc_EB_ACS!$C$14</f>
        <v>Opening Balance</v>
      </c>
      <c r="E102" s="52" t="str">
        <f>$E$32</f>
        <v>Calc_EB_ACS</v>
      </c>
      <c r="F102" s="52" t="str">
        <f>Dollars</f>
        <v>Dollars</v>
      </c>
      <c r="G102" s="52" t="str">
        <f>Nominal</f>
        <v>Nominal</v>
      </c>
      <c r="H102" s="52" t="str">
        <f>Start_year</f>
        <v>Start year</v>
      </c>
      <c r="J102" s="66" t="str">
        <f>Calc_EB_ACS!J$23</f>
        <v>N/A</v>
      </c>
      <c r="K102" s="67" t="str">
        <f>Calc_EB_ACS!K$23</f>
        <v>N/A</v>
      </c>
      <c r="L102" s="67" t="str">
        <f>Calc_EB_ACS!L$23</f>
        <v>N/A</v>
      </c>
      <c r="M102" s="67" t="str">
        <f>Calc_EB_ACS!M$23</f>
        <v>N/A</v>
      </c>
      <c r="N102" s="67" t="str">
        <f>Calc_EB_ACS!N$23</f>
        <v>N/A</v>
      </c>
      <c r="O102" s="67" t="str">
        <f>Calc_EB_ACS!O$23</f>
        <v>N/A</v>
      </c>
      <c r="P102" s="67" t="str">
        <f>Calc_EB_ACS!P$23</f>
        <v>N/A</v>
      </c>
      <c r="Q102" s="67" t="str">
        <f>Calc_EB_ACS!Q$23</f>
        <v>N/A</v>
      </c>
      <c r="R102" s="68" t="str">
        <f>Calc_EB_ACS!R$23</f>
        <v>N/A</v>
      </c>
      <c r="S102" s="66" t="str">
        <f>Calc_EB_ACS!S$23</f>
        <v>N/A</v>
      </c>
      <c r="T102" s="67" t="str">
        <f>Calc_EB_ACS!T$23</f>
        <v>N/A</v>
      </c>
      <c r="U102" s="67" t="str">
        <f>Calc_EB_ACS!U$23</f>
        <v>N/A</v>
      </c>
      <c r="V102" s="67" t="str">
        <f>Calc_EB_ACS!V$23</f>
        <v>N/A</v>
      </c>
      <c r="W102" s="68" t="str">
        <f>Calc_EB_ACS!W$23</f>
        <v>N/A</v>
      </c>
      <c r="X102" s="66" t="str">
        <f>Calc_EB_ACS!X$23</f>
        <v>N/A</v>
      </c>
      <c r="Y102" s="67" t="str">
        <f>Calc_EB_ACS!Y$23</f>
        <v>N/A</v>
      </c>
      <c r="Z102" s="67" t="str">
        <f>Calc_EB_ACS!Z$23</f>
        <v>N/A</v>
      </c>
      <c r="AA102" s="67" t="str">
        <f>Calc_EB_ACS!AA$23</f>
        <v>N/A</v>
      </c>
      <c r="AB102" s="68" t="str">
        <f>Calc_EB_ACS!AB$23</f>
        <v>N/A</v>
      </c>
    </row>
    <row r="103" spans="1:28" ht="12.3" outlineLevel="1" x14ac:dyDescent="0.35">
      <c r="D103" s="15" t="str">
        <f>Calc_EB_ACS!$C$33</f>
        <v>Inflation</v>
      </c>
      <c r="E103" s="52" t="str">
        <f>$E$33</f>
        <v>Calc_EB_ACS</v>
      </c>
      <c r="F103" s="52" t="str">
        <f>Dollars</f>
        <v>Dollars</v>
      </c>
      <c r="G103" s="52" t="str">
        <f>Nominal</f>
        <v>Nominal</v>
      </c>
      <c r="H103" s="52" t="str">
        <f>End_year</f>
        <v>End_year</v>
      </c>
      <c r="J103" s="66" t="str">
        <f>Calc_EB_ACS!J$42</f>
        <v>N/A</v>
      </c>
      <c r="K103" s="67" t="str">
        <f>Calc_EB_ACS!K$42</f>
        <v>N/A</v>
      </c>
      <c r="L103" s="67" t="str">
        <f>Calc_EB_ACS!L$42</f>
        <v>N/A</v>
      </c>
      <c r="M103" s="67" t="str">
        <f>Calc_EB_ACS!M$42</f>
        <v>N/A</v>
      </c>
      <c r="N103" s="67" t="str">
        <f>Calc_EB_ACS!N$42</f>
        <v>N/A</v>
      </c>
      <c r="O103" s="67" t="str">
        <f>Calc_EB_ACS!O$42</f>
        <v>N/A</v>
      </c>
      <c r="P103" s="67" t="str">
        <f>Calc_EB_ACS!P$42</f>
        <v>N/A</v>
      </c>
      <c r="Q103" s="67" t="str">
        <f>Calc_EB_ACS!Q$42</f>
        <v>N/A</v>
      </c>
      <c r="R103" s="68" t="str">
        <f>Calc_EB_ACS!R$42</f>
        <v>N/A</v>
      </c>
      <c r="S103" s="66" t="str">
        <f>Calc_EB_ACS!S$42</f>
        <v>N/A</v>
      </c>
      <c r="T103" s="67" t="str">
        <f>Calc_EB_ACS!T$42</f>
        <v>N/A</v>
      </c>
      <c r="U103" s="67" t="str">
        <f>Calc_EB_ACS!U$42</f>
        <v>N/A</v>
      </c>
      <c r="V103" s="67" t="str">
        <f>Calc_EB_ACS!V$42</f>
        <v>N/A</v>
      </c>
      <c r="W103" s="68" t="str">
        <f>Calc_EB_ACS!W$42</f>
        <v>N/A</v>
      </c>
      <c r="X103" s="66" t="str">
        <f>Calc_EB_ACS!X$42</f>
        <v>N/A</v>
      </c>
      <c r="Y103" s="67" t="str">
        <f>Calc_EB_ACS!Y$42</f>
        <v>N/A</v>
      </c>
      <c r="Z103" s="67" t="str">
        <f>Calc_EB_ACS!Z$42</f>
        <v>N/A</v>
      </c>
      <c r="AA103" s="67" t="str">
        <f>Calc_EB_ACS!AA$42</f>
        <v>N/A</v>
      </c>
      <c r="AB103" s="68" t="str">
        <f>Calc_EB_ACS!AB$42</f>
        <v>N/A</v>
      </c>
    </row>
    <row r="104" spans="1:28" ht="12.3" outlineLevel="1" x14ac:dyDescent="0.35">
      <c r="D104" s="15" t="str">
        <f>Calc_EB_ACS!$C$52</f>
        <v>Straight Line Depreciation</v>
      </c>
      <c r="E104" s="52" t="str">
        <f>$E$34</f>
        <v>Calc_EB_ACS</v>
      </c>
      <c r="F104" s="52" t="str">
        <f>Dollars</f>
        <v>Dollars</v>
      </c>
      <c r="G104" s="52" t="str">
        <f>Nominal</f>
        <v>Nominal</v>
      </c>
      <c r="H104" s="52" t="str">
        <f>End_year</f>
        <v>End_year</v>
      </c>
      <c r="J104" s="66" t="str">
        <f>Calc_EB_ACS!J$61</f>
        <v>N/A</v>
      </c>
      <c r="K104" s="67" t="str">
        <f>Calc_EB_ACS!K$61</f>
        <v>N/A</v>
      </c>
      <c r="L104" s="67" t="str">
        <f>Calc_EB_ACS!L$61</f>
        <v>N/A</v>
      </c>
      <c r="M104" s="67" t="str">
        <f>Calc_EB_ACS!M$61</f>
        <v>N/A</v>
      </c>
      <c r="N104" s="67" t="str">
        <f>Calc_EB_ACS!N$61</f>
        <v>N/A</v>
      </c>
      <c r="O104" s="67" t="str">
        <f>Calc_EB_ACS!O$61</f>
        <v>N/A</v>
      </c>
      <c r="P104" s="67" t="str">
        <f>Calc_EB_ACS!P$61</f>
        <v>N/A</v>
      </c>
      <c r="Q104" s="67" t="str">
        <f>Calc_EB_ACS!Q$61</f>
        <v>N/A</v>
      </c>
      <c r="R104" s="68" t="str">
        <f>Calc_EB_ACS!R$61</f>
        <v>N/A</v>
      </c>
      <c r="S104" s="66" t="str">
        <f>Calc_EB_ACS!S$61</f>
        <v>N/A</v>
      </c>
      <c r="T104" s="67" t="str">
        <f>Calc_EB_ACS!T$61</f>
        <v>N/A</v>
      </c>
      <c r="U104" s="67" t="str">
        <f>Calc_EB_ACS!U$61</f>
        <v>N/A</v>
      </c>
      <c r="V104" s="67" t="str">
        <f>Calc_EB_ACS!V$61</f>
        <v>N/A</v>
      </c>
      <c r="W104" s="68" t="str">
        <f>Calc_EB_ACS!W$61</f>
        <v>N/A</v>
      </c>
      <c r="X104" s="66" t="str">
        <f>Calc_EB_ACS!X$61</f>
        <v>N/A</v>
      </c>
      <c r="Y104" s="67" t="str">
        <f>Calc_EB_ACS!Y$61</f>
        <v>N/A</v>
      </c>
      <c r="Z104" s="67" t="str">
        <f>Calc_EB_ACS!Z$61</f>
        <v>N/A</v>
      </c>
      <c r="AA104" s="67" t="str">
        <f>Calc_EB_ACS!AA$61</f>
        <v>N/A</v>
      </c>
      <c r="AB104" s="68" t="str">
        <f>Calc_EB_ACS!AB$61</f>
        <v>N/A</v>
      </c>
    </row>
    <row r="105" spans="1:28" ht="12.3" outlineLevel="1" x14ac:dyDescent="0.35">
      <c r="D105" s="15" t="str">
        <f>Calc_EB_ACS!$C$71</f>
        <v>RAB Additions</v>
      </c>
      <c r="E105" s="52" t="str">
        <f>$E$35</f>
        <v>Calc_EB_ACS</v>
      </c>
      <c r="F105" s="52" t="str">
        <f>Dollars</f>
        <v>Dollars</v>
      </c>
      <c r="G105" s="52" t="str">
        <f>Nominal</f>
        <v>Nominal</v>
      </c>
      <c r="H105" s="52" t="str">
        <f>End_year</f>
        <v>End_year</v>
      </c>
      <c r="J105" s="66" t="str">
        <f>IFERROR(Calc_EB_ACS!J$80+Calc_EB_ACS!J$137,NA)</f>
        <v>N/A</v>
      </c>
      <c r="K105" s="67" t="str">
        <f>IFERROR(Calc_EB_ACS!K$80+Calc_EB_ACS!K$137,NA)</f>
        <v>N/A</v>
      </c>
      <c r="L105" s="67" t="str">
        <f>IFERROR(Calc_EB_ACS!L$80+Calc_EB_ACS!L$137,NA)</f>
        <v>N/A</v>
      </c>
      <c r="M105" s="67" t="str">
        <f>IFERROR(Calc_EB_ACS!M$80+Calc_EB_ACS!M$137,NA)</f>
        <v>N/A</v>
      </c>
      <c r="N105" s="67" t="str">
        <f>IFERROR(Calc_EB_ACS!N$80+Calc_EB_ACS!N$137,NA)</f>
        <v>N/A</v>
      </c>
      <c r="O105" s="67" t="str">
        <f>IFERROR(Calc_EB_ACS!O$80+Calc_EB_ACS!O$137,NA)</f>
        <v>N/A</v>
      </c>
      <c r="P105" s="67" t="str">
        <f>IFERROR(Calc_EB_ACS!P$80+Calc_EB_ACS!P$137,NA)</f>
        <v>N/A</v>
      </c>
      <c r="Q105" s="67" t="str">
        <f>IFERROR(Calc_EB_ACS!Q$80+Calc_EB_ACS!Q$137,NA)</f>
        <v>N/A</v>
      </c>
      <c r="R105" s="68" t="str">
        <f>IFERROR(Calc_EB_ACS!R$80+Calc_EB_ACS!R$137,NA)</f>
        <v>N/A</v>
      </c>
      <c r="S105" s="66" t="str">
        <f>IFERROR(Calc_EB_ACS!S$80+Calc_EB_ACS!S$137,NA)</f>
        <v>N/A</v>
      </c>
      <c r="T105" s="67" t="str">
        <f>IFERROR(Calc_EB_ACS!T$80+Calc_EB_ACS!T$137,NA)</f>
        <v>N/A</v>
      </c>
      <c r="U105" s="67" t="str">
        <f>IFERROR(Calc_EB_ACS!U$80+Calc_EB_ACS!U$137,NA)</f>
        <v>N/A</v>
      </c>
      <c r="V105" s="67" t="str">
        <f>IFERROR(Calc_EB_ACS!V$80+Calc_EB_ACS!V$137,NA)</f>
        <v>N/A</v>
      </c>
      <c r="W105" s="68" t="str">
        <f>IFERROR(Calc_EB_ACS!W$80+Calc_EB_ACS!W$137,NA)</f>
        <v>N/A</v>
      </c>
      <c r="X105" s="66" t="str">
        <f>IFERROR(Calc_EB_ACS!X$80+Calc_EB_ACS!X$137,NA)</f>
        <v>N/A</v>
      </c>
      <c r="Y105" s="67" t="str">
        <f>IFERROR(Calc_EB_ACS!Y$80+Calc_EB_ACS!Y$137,NA)</f>
        <v>N/A</v>
      </c>
      <c r="Z105" s="67" t="str">
        <f>IFERROR(Calc_EB_ACS!Z$80+Calc_EB_ACS!Z$137,NA)</f>
        <v>N/A</v>
      </c>
      <c r="AA105" s="67" t="str">
        <f>IFERROR(Calc_EB_ACS!AA$80+Calc_EB_ACS!AA$137,NA)</f>
        <v>N/A</v>
      </c>
      <c r="AB105" s="68" t="str">
        <f>IFERROR(Calc_EB_ACS!AB$80+Calc_EB_ACS!AB$137,NA)</f>
        <v>N/A</v>
      </c>
    </row>
    <row r="106" spans="1:28" ht="12.3" outlineLevel="1" x14ac:dyDescent="0.35">
      <c r="D106" s="15" t="str">
        <f>Calc_EB_ACS!$C$90</f>
        <v>Disposals</v>
      </c>
      <c r="E106" s="52" t="str">
        <f>$E$36</f>
        <v>Calc_EB_ACS</v>
      </c>
      <c r="F106" s="52" t="str">
        <f>Dollars</f>
        <v>Dollars</v>
      </c>
      <c r="G106" s="52" t="str">
        <f>Nominal</f>
        <v>Nominal</v>
      </c>
      <c r="H106" s="52" t="str">
        <f>End_year</f>
        <v>End_year</v>
      </c>
      <c r="J106" s="66" t="str">
        <f>Calc_EB_ACS!J$99</f>
        <v>N/A</v>
      </c>
      <c r="K106" s="67" t="str">
        <f>Calc_EB_ACS!K$99</f>
        <v>N/A</v>
      </c>
      <c r="L106" s="67" t="str">
        <f>Calc_EB_ACS!L$99</f>
        <v>N/A</v>
      </c>
      <c r="M106" s="67" t="str">
        <f>Calc_EB_ACS!M$99</f>
        <v>N/A</v>
      </c>
      <c r="N106" s="67" t="str">
        <f>Calc_EB_ACS!N$99</f>
        <v>N/A</v>
      </c>
      <c r="O106" s="67" t="str">
        <f>Calc_EB_ACS!O$99</f>
        <v>N/A</v>
      </c>
      <c r="P106" s="67" t="str">
        <f>Calc_EB_ACS!P$99</f>
        <v>N/A</v>
      </c>
      <c r="Q106" s="67" t="str">
        <f>Calc_EB_ACS!Q$99</f>
        <v>N/A</v>
      </c>
      <c r="R106" s="68" t="str">
        <f>Calc_EB_ACS!R$99</f>
        <v>N/A</v>
      </c>
      <c r="S106" s="66" t="str">
        <f>Calc_EB_ACS!S$99</f>
        <v>N/A</v>
      </c>
      <c r="T106" s="67" t="str">
        <f>Calc_EB_ACS!T$99</f>
        <v>N/A</v>
      </c>
      <c r="U106" s="67" t="str">
        <f>Calc_EB_ACS!U$99</f>
        <v>N/A</v>
      </c>
      <c r="V106" s="67" t="str">
        <f>Calc_EB_ACS!V$99</f>
        <v>N/A</v>
      </c>
      <c r="W106" s="68" t="str">
        <f>Calc_EB_ACS!W$99</f>
        <v>N/A</v>
      </c>
      <c r="X106" s="66" t="str">
        <f>Calc_EB_ACS!X$99</f>
        <v>N/A</v>
      </c>
      <c r="Y106" s="67" t="str">
        <f>Calc_EB_ACS!Y$99</f>
        <v>N/A</v>
      </c>
      <c r="Z106" s="67" t="str">
        <f>Calc_EB_ACS!Z$99</f>
        <v>N/A</v>
      </c>
      <c r="AA106" s="67" t="str">
        <f>Calc_EB_ACS!AA$99</f>
        <v>N/A</v>
      </c>
      <c r="AB106" s="68" t="str">
        <f>Calc_EB_ACS!AB$99</f>
        <v>N/A</v>
      </c>
    </row>
    <row r="107" spans="1:28" outlineLevel="1" x14ac:dyDescent="0.35">
      <c r="J107" s="56"/>
      <c r="K107" s="57"/>
      <c r="L107" s="57"/>
      <c r="M107" s="57"/>
      <c r="N107" s="57"/>
      <c r="O107" s="57"/>
      <c r="P107" s="57"/>
      <c r="Q107" s="57"/>
      <c r="R107" s="58"/>
      <c r="S107" s="56"/>
      <c r="T107" s="57"/>
      <c r="U107" s="57"/>
      <c r="V107" s="57"/>
      <c r="W107" s="58"/>
      <c r="X107" s="56"/>
      <c r="Y107" s="57"/>
      <c r="Z107" s="57"/>
      <c r="AA107" s="57"/>
      <c r="AB107" s="58"/>
    </row>
    <row r="108" spans="1:28" ht="12.3" outlineLevel="1" x14ac:dyDescent="0.35">
      <c r="D108" s="51" t="s">
        <v>152</v>
      </c>
      <c r="E108" s="47" t="s">
        <v>111</v>
      </c>
      <c r="F108" s="47" t="str">
        <f>F102</f>
        <v>Dollars</v>
      </c>
      <c r="G108" s="47" t="str">
        <f>G102</f>
        <v>Nominal</v>
      </c>
      <c r="H108" s="47" t="str">
        <f>H102</f>
        <v>Start year</v>
      </c>
      <c r="J108" s="62">
        <f t="shared" ref="J108:AB108" si="18">SUM(J102:J106)</f>
        <v>0</v>
      </c>
      <c r="K108" s="46">
        <f t="shared" si="18"/>
        <v>0</v>
      </c>
      <c r="L108" s="46">
        <f t="shared" si="18"/>
        <v>0</v>
      </c>
      <c r="M108" s="46">
        <f t="shared" si="18"/>
        <v>0</v>
      </c>
      <c r="N108" s="46">
        <f t="shared" si="18"/>
        <v>0</v>
      </c>
      <c r="O108" s="46">
        <f t="shared" si="18"/>
        <v>0</v>
      </c>
      <c r="P108" s="46">
        <f t="shared" si="18"/>
        <v>0</v>
      </c>
      <c r="Q108" s="46">
        <f t="shared" si="18"/>
        <v>0</v>
      </c>
      <c r="R108" s="63">
        <f t="shared" si="18"/>
        <v>0</v>
      </c>
      <c r="S108" s="62">
        <f t="shared" si="18"/>
        <v>0</v>
      </c>
      <c r="T108" s="46">
        <f t="shared" si="18"/>
        <v>0</v>
      </c>
      <c r="U108" s="46">
        <f t="shared" si="18"/>
        <v>0</v>
      </c>
      <c r="V108" s="46">
        <f t="shared" si="18"/>
        <v>0</v>
      </c>
      <c r="W108" s="63">
        <f t="shared" si="18"/>
        <v>0</v>
      </c>
      <c r="X108" s="62">
        <f t="shared" si="18"/>
        <v>0</v>
      </c>
      <c r="Y108" s="46">
        <f t="shared" si="18"/>
        <v>0</v>
      </c>
      <c r="Z108" s="46">
        <f t="shared" si="18"/>
        <v>0</v>
      </c>
      <c r="AA108" s="46">
        <f t="shared" si="18"/>
        <v>0</v>
      </c>
      <c r="AB108" s="63">
        <f t="shared" si="18"/>
        <v>0</v>
      </c>
    </row>
    <row r="109" spans="1:28" s="6" customFormat="1" ht="11.25" customHeight="1" outlineLevel="1" x14ac:dyDescent="0.35"/>
    <row r="110" spans="1:28" s="6" customFormat="1" ht="11.25" customHeight="1" outlineLevel="1" x14ac:dyDescent="0.35">
      <c r="A110" s="49">
        <f>IF(SUM($J110:$AB110)&lt;&gt;0,1,0)</f>
        <v>0</v>
      </c>
      <c r="D110" s="15" t="s">
        <v>114</v>
      </c>
      <c r="J110" s="70">
        <f>IF(Calc_EB_ACS!J$156=NA,0,IF(J108&lt;&gt;Calc_EB_ACS!J$156,1,0))</f>
        <v>0</v>
      </c>
      <c r="K110" s="70">
        <f>IF(Calc_EB_ACS!K$156=NA,0,IF(K108&lt;&gt;Calc_EB_ACS!K$156,1,0))</f>
        <v>0</v>
      </c>
      <c r="L110" s="70">
        <f>IF(Calc_EB_ACS!L$156=NA,0,IF(L108&lt;&gt;Calc_EB_ACS!L$156,1,0))</f>
        <v>0</v>
      </c>
      <c r="M110" s="70">
        <f>IF(Calc_EB_ACS!M$156=NA,0,IF(M108&lt;&gt;Calc_EB_ACS!M$156,1,0))</f>
        <v>0</v>
      </c>
      <c r="N110" s="70">
        <f>IF(Calc_EB_ACS!N$156=NA,0,IF(N108&lt;&gt;Calc_EB_ACS!N$156,1,0))</f>
        <v>0</v>
      </c>
      <c r="O110" s="70">
        <f>IF(Calc_EB_ACS!O$156=NA,0,IF(O108&lt;&gt;Calc_EB_ACS!O$156,1,0))</f>
        <v>0</v>
      </c>
      <c r="P110" s="70">
        <f>IF(Calc_EB_ACS!P$156=NA,0,IF(P108&lt;&gt;Calc_EB_ACS!P$156,1,0))</f>
        <v>0</v>
      </c>
      <c r="Q110" s="70">
        <f>IF(Calc_EB_ACS!Q$156=NA,0,IF(Q108&lt;&gt;Calc_EB_ACS!Q$156,1,0))</f>
        <v>0</v>
      </c>
      <c r="R110" s="70">
        <f>IF(Calc_EB_ACS!R$156=NA,0,IF(R108&lt;&gt;Calc_EB_ACS!R$156,1,0))</f>
        <v>0</v>
      </c>
      <c r="S110" s="70">
        <f>IF(Calc_EB_ACS!S$156=NA,0,IF(S108&lt;&gt;Calc_EB_ACS!S$156,1,0))</f>
        <v>0</v>
      </c>
      <c r="T110" s="70">
        <f>IF(Calc_EB_ACS!T$156=NA,0,IF(T108&lt;&gt;Calc_EB_ACS!T$156,1,0))</f>
        <v>0</v>
      </c>
      <c r="U110" s="70">
        <f>IF(Calc_EB_ACS!U$156=NA,0,IF(U108&lt;&gt;Calc_EB_ACS!U$156,1,0))</f>
        <v>0</v>
      </c>
      <c r="V110" s="70">
        <f>IF(Calc_EB_ACS!V$156=NA,0,IF(V108&lt;&gt;Calc_EB_ACS!V$156,1,0))</f>
        <v>0</v>
      </c>
      <c r="W110" s="70">
        <f>IF(Calc_EB_ACS!W$156=NA,0,IF(W108&lt;&gt;Calc_EB_ACS!W$156,1,0))</f>
        <v>0</v>
      </c>
      <c r="X110" s="70">
        <f>IF(Calc_EB_ACS!X$156=NA,0,IF(X108&lt;&gt;Calc_EB_ACS!X$156,1,0))</f>
        <v>0</v>
      </c>
      <c r="Y110" s="70">
        <f>IF(Calc_EB_ACS!Y$156=NA,0,IF(Y108&lt;&gt;Calc_EB_ACS!Y$156,1,0))</f>
        <v>0</v>
      </c>
      <c r="Z110" s="70">
        <f>IF(Calc_EB_ACS!Z$156=NA,0,IF(Z108&lt;&gt;Calc_EB_ACS!Z$156,1,0))</f>
        <v>0</v>
      </c>
      <c r="AA110" s="70">
        <f>IF(Calc_EB_ACS!AA$156=NA,0,IF(AA108&lt;&gt;Calc_EB_ACS!AA$156,1,0))</f>
        <v>0</v>
      </c>
      <c r="AB110" s="70">
        <f>IF(Calc_EB_ACS!AB$156=NA,0,IF(AB108&lt;&gt;Calc_EB_ACS!AB$156,1,0))</f>
        <v>0</v>
      </c>
    </row>
    <row r="111" spans="1:28" s="6" customFormat="1" ht="11.25" customHeight="1" outlineLevel="1" x14ac:dyDescent="0.35">
      <c r="L111" s="10"/>
      <c r="Q111" s="10"/>
      <c r="V111" s="10"/>
      <c r="AA111" s="10"/>
    </row>
    <row r="112" spans="1:28" s="13" customFormat="1" ht="14.1" x14ac:dyDescent="0.35">
      <c r="C112" s="13" t="str">
        <f>Lookup!$D$109</f>
        <v>Easements</v>
      </c>
    </row>
    <row r="113" spans="1:28" s="6" customFormat="1" ht="11.25" customHeight="1" x14ac:dyDescent="0.35"/>
    <row r="114" spans="1:28" ht="12.3" outlineLevel="1" x14ac:dyDescent="0.35">
      <c r="D114" s="50" t="s">
        <v>109</v>
      </c>
      <c r="E114" s="45" t="str">
        <f>Lookup!E$20</f>
        <v>Source</v>
      </c>
      <c r="F114" s="45" t="str">
        <f>Lookup!F$20</f>
        <v>Unit</v>
      </c>
      <c r="G114" s="45" t="str">
        <f>Lookup!G$20</f>
        <v>Basis</v>
      </c>
      <c r="H114" s="45" t="str">
        <f>Lookup!H$20</f>
        <v>Timing</v>
      </c>
      <c r="J114" s="54" t="str">
        <f>J$10</f>
        <v>RY06</v>
      </c>
      <c r="K114" s="45" t="str">
        <f t="shared" ref="K114:AB114" si="19">K$10</f>
        <v>RY07</v>
      </c>
      <c r="L114" s="45" t="str">
        <f t="shared" si="19"/>
        <v>RY08</v>
      </c>
      <c r="M114" s="45" t="str">
        <f t="shared" si="19"/>
        <v>RY09</v>
      </c>
      <c r="N114" s="45" t="str">
        <f t="shared" si="19"/>
        <v>RY10</v>
      </c>
      <c r="O114" s="45" t="str">
        <f>O$10</f>
        <v>RY11</v>
      </c>
      <c r="P114" s="45" t="str">
        <f t="shared" si="19"/>
        <v>RY12</v>
      </c>
      <c r="Q114" s="45" t="str">
        <f t="shared" si="19"/>
        <v>RY13</v>
      </c>
      <c r="R114" s="55" t="str">
        <f t="shared" si="19"/>
        <v>RY14</v>
      </c>
      <c r="S114" s="54" t="str">
        <f t="shared" si="19"/>
        <v>RY15</v>
      </c>
      <c r="T114" s="45" t="str">
        <f>T$10</f>
        <v>RY16</v>
      </c>
      <c r="U114" s="45" t="str">
        <f t="shared" si="19"/>
        <v>RY17</v>
      </c>
      <c r="V114" s="45" t="str">
        <f t="shared" si="19"/>
        <v>RY18</v>
      </c>
      <c r="W114" s="55" t="str">
        <f t="shared" si="19"/>
        <v>RY19</v>
      </c>
      <c r="X114" s="54" t="str">
        <f t="shared" si="19"/>
        <v>RY20</v>
      </c>
      <c r="Y114" s="45" t="str">
        <f>Y$10</f>
        <v>RY21</v>
      </c>
      <c r="Z114" s="45" t="str">
        <f t="shared" si="19"/>
        <v>RY22</v>
      </c>
      <c r="AA114" s="45" t="str">
        <f t="shared" si="19"/>
        <v>RY23</v>
      </c>
      <c r="AB114" s="55" t="str">
        <f t="shared" si="19"/>
        <v>RY24</v>
      </c>
    </row>
    <row r="115" spans="1:28" outlineLevel="1" x14ac:dyDescent="0.35">
      <c r="J115" s="56"/>
      <c r="K115" s="57"/>
      <c r="L115" s="57"/>
      <c r="M115" s="57"/>
      <c r="N115" s="57"/>
      <c r="O115" s="57"/>
      <c r="P115" s="57"/>
      <c r="Q115" s="57"/>
      <c r="R115" s="58"/>
      <c r="S115" s="56"/>
      <c r="T115" s="57"/>
      <c r="U115" s="57"/>
      <c r="V115" s="57"/>
      <c r="W115" s="58"/>
      <c r="X115" s="56"/>
      <c r="Y115" s="57"/>
      <c r="Z115" s="57"/>
      <c r="AA115" s="57"/>
      <c r="AB115" s="58"/>
    </row>
    <row r="116" spans="1:28" ht="12.3" outlineLevel="1" x14ac:dyDescent="0.35">
      <c r="D116" s="15" t="str">
        <f>Calc_EB_ACS!$C$14</f>
        <v>Opening Balance</v>
      </c>
      <c r="E116" s="52" t="str">
        <f>$E$32</f>
        <v>Calc_EB_ACS</v>
      </c>
      <c r="F116" s="52" t="str">
        <f>Dollars</f>
        <v>Dollars</v>
      </c>
      <c r="G116" s="52" t="str">
        <f>Nominal</f>
        <v>Nominal</v>
      </c>
      <c r="H116" s="52" t="str">
        <f>Start_year</f>
        <v>Start year</v>
      </c>
      <c r="J116" s="66" t="str">
        <f>Calc_EB_ACS!J$24</f>
        <v>N/A</v>
      </c>
      <c r="K116" s="67" t="str">
        <f>Calc_EB_ACS!K$24</f>
        <v>N/A</v>
      </c>
      <c r="L116" s="67" t="str">
        <f>Calc_EB_ACS!L$24</f>
        <v>N/A</v>
      </c>
      <c r="M116" s="67" t="str">
        <f>Calc_EB_ACS!M$24</f>
        <v>N/A</v>
      </c>
      <c r="N116" s="67" t="str">
        <f>Calc_EB_ACS!N$24</f>
        <v>N/A</v>
      </c>
      <c r="O116" s="67" t="str">
        <f>Calc_EB_ACS!O$24</f>
        <v>N/A</v>
      </c>
      <c r="P116" s="67" t="str">
        <f>Calc_EB_ACS!P$24</f>
        <v>N/A</v>
      </c>
      <c r="Q116" s="67" t="str">
        <f>Calc_EB_ACS!Q$24</f>
        <v>N/A</v>
      </c>
      <c r="R116" s="68" t="str">
        <f>Calc_EB_ACS!R$24</f>
        <v>N/A</v>
      </c>
      <c r="S116" s="66" t="str">
        <f>Calc_EB_ACS!S$24</f>
        <v>N/A</v>
      </c>
      <c r="T116" s="67" t="str">
        <f>Calc_EB_ACS!T$24</f>
        <v>N/A</v>
      </c>
      <c r="U116" s="67" t="str">
        <f>Calc_EB_ACS!U$24</f>
        <v>N/A</v>
      </c>
      <c r="V116" s="67" t="str">
        <f>Calc_EB_ACS!V$24</f>
        <v>N/A</v>
      </c>
      <c r="W116" s="68" t="str">
        <f>Calc_EB_ACS!W$24</f>
        <v>N/A</v>
      </c>
      <c r="X116" s="66" t="str">
        <f>Calc_EB_ACS!X$24</f>
        <v>N/A</v>
      </c>
      <c r="Y116" s="67" t="str">
        <f>Calc_EB_ACS!Y$24</f>
        <v>N/A</v>
      </c>
      <c r="Z116" s="67" t="str">
        <f>Calc_EB_ACS!Z$24</f>
        <v>N/A</v>
      </c>
      <c r="AA116" s="67" t="str">
        <f>Calc_EB_ACS!AA$24</f>
        <v>N/A</v>
      </c>
      <c r="AB116" s="68" t="str">
        <f>Calc_EB_ACS!AB$24</f>
        <v>N/A</v>
      </c>
    </row>
    <row r="117" spans="1:28" ht="12.3" outlineLevel="1" x14ac:dyDescent="0.35">
      <c r="D117" s="15" t="str">
        <f>Calc_EB_ACS!$C$33</f>
        <v>Inflation</v>
      </c>
      <c r="E117" s="52" t="str">
        <f>$E$33</f>
        <v>Calc_EB_ACS</v>
      </c>
      <c r="F117" s="52" t="str">
        <f>Dollars</f>
        <v>Dollars</v>
      </c>
      <c r="G117" s="52" t="str">
        <f>Nominal</f>
        <v>Nominal</v>
      </c>
      <c r="H117" s="52" t="str">
        <f>End_year</f>
        <v>End_year</v>
      </c>
      <c r="J117" s="66" t="str">
        <f>Calc_EB_ACS!J$43</f>
        <v>N/A</v>
      </c>
      <c r="K117" s="67" t="str">
        <f>Calc_EB_ACS!K$43</f>
        <v>N/A</v>
      </c>
      <c r="L117" s="67" t="str">
        <f>Calc_EB_ACS!L$43</f>
        <v>N/A</v>
      </c>
      <c r="M117" s="67" t="str">
        <f>Calc_EB_ACS!M$43</f>
        <v>N/A</v>
      </c>
      <c r="N117" s="67" t="str">
        <f>Calc_EB_ACS!N$43</f>
        <v>N/A</v>
      </c>
      <c r="O117" s="67" t="str">
        <f>Calc_EB_ACS!O$43</f>
        <v>N/A</v>
      </c>
      <c r="P117" s="67" t="str">
        <f>Calc_EB_ACS!P$43</f>
        <v>N/A</v>
      </c>
      <c r="Q117" s="67" t="str">
        <f>Calc_EB_ACS!Q$43</f>
        <v>N/A</v>
      </c>
      <c r="R117" s="68" t="str">
        <f>Calc_EB_ACS!R$43</f>
        <v>N/A</v>
      </c>
      <c r="S117" s="66" t="str">
        <f>Calc_EB_ACS!S$43</f>
        <v>N/A</v>
      </c>
      <c r="T117" s="67" t="str">
        <f>Calc_EB_ACS!T$43</f>
        <v>N/A</v>
      </c>
      <c r="U117" s="67" t="str">
        <f>Calc_EB_ACS!U$43</f>
        <v>N/A</v>
      </c>
      <c r="V117" s="67" t="str">
        <f>Calc_EB_ACS!V$43</f>
        <v>N/A</v>
      </c>
      <c r="W117" s="68" t="str">
        <f>Calc_EB_ACS!W$43</f>
        <v>N/A</v>
      </c>
      <c r="X117" s="66" t="str">
        <f>Calc_EB_ACS!X$43</f>
        <v>N/A</v>
      </c>
      <c r="Y117" s="67" t="str">
        <f>Calc_EB_ACS!Y$43</f>
        <v>N/A</v>
      </c>
      <c r="Z117" s="67" t="str">
        <f>Calc_EB_ACS!Z$43</f>
        <v>N/A</v>
      </c>
      <c r="AA117" s="67" t="str">
        <f>Calc_EB_ACS!AA$43</f>
        <v>N/A</v>
      </c>
      <c r="AB117" s="68" t="str">
        <f>Calc_EB_ACS!AB$43</f>
        <v>N/A</v>
      </c>
    </row>
    <row r="118" spans="1:28" ht="12.3" outlineLevel="1" x14ac:dyDescent="0.35">
      <c r="D118" s="15" t="str">
        <f>Calc_EB_ACS!$C$52</f>
        <v>Straight Line Depreciation</v>
      </c>
      <c r="E118" s="52" t="str">
        <f>$E$34</f>
        <v>Calc_EB_ACS</v>
      </c>
      <c r="F118" s="52" t="str">
        <f>Dollars</f>
        <v>Dollars</v>
      </c>
      <c r="G118" s="52" t="str">
        <f>Nominal</f>
        <v>Nominal</v>
      </c>
      <c r="H118" s="52" t="str">
        <f>End_year</f>
        <v>End_year</v>
      </c>
      <c r="J118" s="66" t="str">
        <f>Calc_EB_ACS!J$62</f>
        <v>N/A</v>
      </c>
      <c r="K118" s="67" t="str">
        <f>Calc_EB_ACS!K$62</f>
        <v>N/A</v>
      </c>
      <c r="L118" s="67" t="str">
        <f>Calc_EB_ACS!L$62</f>
        <v>N/A</v>
      </c>
      <c r="M118" s="67" t="str">
        <f>Calc_EB_ACS!M$62</f>
        <v>N/A</v>
      </c>
      <c r="N118" s="67" t="str">
        <f>Calc_EB_ACS!N$62</f>
        <v>N/A</v>
      </c>
      <c r="O118" s="67" t="str">
        <f>Calc_EB_ACS!O$62</f>
        <v>N/A</v>
      </c>
      <c r="P118" s="67" t="str">
        <f>Calc_EB_ACS!P$62</f>
        <v>N/A</v>
      </c>
      <c r="Q118" s="67" t="str">
        <f>Calc_EB_ACS!Q$62</f>
        <v>N/A</v>
      </c>
      <c r="R118" s="68" t="str">
        <f>Calc_EB_ACS!R$62</f>
        <v>N/A</v>
      </c>
      <c r="S118" s="66" t="str">
        <f>Calc_EB_ACS!S$62</f>
        <v>N/A</v>
      </c>
      <c r="T118" s="67" t="str">
        <f>Calc_EB_ACS!T$62</f>
        <v>N/A</v>
      </c>
      <c r="U118" s="67" t="str">
        <f>Calc_EB_ACS!U$62</f>
        <v>N/A</v>
      </c>
      <c r="V118" s="67" t="str">
        <f>Calc_EB_ACS!V$62</f>
        <v>N/A</v>
      </c>
      <c r="W118" s="68" t="str">
        <f>Calc_EB_ACS!W$62</f>
        <v>N/A</v>
      </c>
      <c r="X118" s="66" t="str">
        <f>Calc_EB_ACS!X$62</f>
        <v>N/A</v>
      </c>
      <c r="Y118" s="67" t="str">
        <f>Calc_EB_ACS!Y$62</f>
        <v>N/A</v>
      </c>
      <c r="Z118" s="67" t="str">
        <f>Calc_EB_ACS!Z$62</f>
        <v>N/A</v>
      </c>
      <c r="AA118" s="67" t="str">
        <f>Calc_EB_ACS!AA$62</f>
        <v>N/A</v>
      </c>
      <c r="AB118" s="68" t="str">
        <f>Calc_EB_ACS!AB$62</f>
        <v>N/A</v>
      </c>
    </row>
    <row r="119" spans="1:28" ht="12.3" outlineLevel="1" x14ac:dyDescent="0.35">
      <c r="D119" s="15" t="str">
        <f>Calc_EB_ACS!$C$71</f>
        <v>RAB Additions</v>
      </c>
      <c r="E119" s="52" t="str">
        <f>$E$35</f>
        <v>Calc_EB_ACS</v>
      </c>
      <c r="F119" s="52" t="str">
        <f>Dollars</f>
        <v>Dollars</v>
      </c>
      <c r="G119" s="52" t="str">
        <f>Nominal</f>
        <v>Nominal</v>
      </c>
      <c r="H119" s="52" t="str">
        <f>End_year</f>
        <v>End_year</v>
      </c>
      <c r="J119" s="66" t="str">
        <f>IFERROR(Calc_EB_ACS!J$81+Calc_EB_ACS!J$138,NA)</f>
        <v>N/A</v>
      </c>
      <c r="K119" s="67" t="str">
        <f>IFERROR(Calc_EB_ACS!K$81+Calc_EB_ACS!K$138,NA)</f>
        <v>N/A</v>
      </c>
      <c r="L119" s="67" t="str">
        <f>IFERROR(Calc_EB_ACS!L$81+Calc_EB_ACS!L$138,NA)</f>
        <v>N/A</v>
      </c>
      <c r="M119" s="67" t="str">
        <f>IFERROR(Calc_EB_ACS!M$81+Calc_EB_ACS!M$138,NA)</f>
        <v>N/A</v>
      </c>
      <c r="N119" s="67" t="str">
        <f>IFERROR(Calc_EB_ACS!N$81+Calc_EB_ACS!N$138,NA)</f>
        <v>N/A</v>
      </c>
      <c r="O119" s="67" t="str">
        <f>IFERROR(Calc_EB_ACS!O$81+Calc_EB_ACS!O$138,NA)</f>
        <v>N/A</v>
      </c>
      <c r="P119" s="67" t="str">
        <f>IFERROR(Calc_EB_ACS!P$81+Calc_EB_ACS!P$138,NA)</f>
        <v>N/A</v>
      </c>
      <c r="Q119" s="67" t="str">
        <f>IFERROR(Calc_EB_ACS!Q$81+Calc_EB_ACS!Q$138,NA)</f>
        <v>N/A</v>
      </c>
      <c r="R119" s="68" t="str">
        <f>IFERROR(Calc_EB_ACS!R$81+Calc_EB_ACS!R$138,NA)</f>
        <v>N/A</v>
      </c>
      <c r="S119" s="66" t="str">
        <f>IFERROR(Calc_EB_ACS!S$81+Calc_EB_ACS!S$138,NA)</f>
        <v>N/A</v>
      </c>
      <c r="T119" s="67" t="str">
        <f>IFERROR(Calc_EB_ACS!T$81+Calc_EB_ACS!T$138,NA)</f>
        <v>N/A</v>
      </c>
      <c r="U119" s="67" t="str">
        <f>IFERROR(Calc_EB_ACS!U$81+Calc_EB_ACS!U$138,NA)</f>
        <v>N/A</v>
      </c>
      <c r="V119" s="67" t="str">
        <f>IFERROR(Calc_EB_ACS!V$81+Calc_EB_ACS!V$138,NA)</f>
        <v>N/A</v>
      </c>
      <c r="W119" s="68" t="str">
        <f>IFERROR(Calc_EB_ACS!W$81+Calc_EB_ACS!W$138,NA)</f>
        <v>N/A</v>
      </c>
      <c r="X119" s="66" t="str">
        <f>IFERROR(Calc_EB_ACS!X$81+Calc_EB_ACS!X$138,NA)</f>
        <v>N/A</v>
      </c>
      <c r="Y119" s="67" t="str">
        <f>IFERROR(Calc_EB_ACS!Y$81+Calc_EB_ACS!Y$138,NA)</f>
        <v>N/A</v>
      </c>
      <c r="Z119" s="67" t="str">
        <f>IFERROR(Calc_EB_ACS!Z$81+Calc_EB_ACS!Z$138,NA)</f>
        <v>N/A</v>
      </c>
      <c r="AA119" s="67" t="str">
        <f>IFERROR(Calc_EB_ACS!AA$81+Calc_EB_ACS!AA$138,NA)</f>
        <v>N/A</v>
      </c>
      <c r="AB119" s="68" t="str">
        <f>IFERROR(Calc_EB_ACS!AB$81+Calc_EB_ACS!AB$138,NA)</f>
        <v>N/A</v>
      </c>
    </row>
    <row r="120" spans="1:28" ht="12.3" outlineLevel="1" x14ac:dyDescent="0.35">
      <c r="D120" s="15" t="str">
        <f>Calc_EB_ACS!$C$90</f>
        <v>Disposals</v>
      </c>
      <c r="E120" s="52" t="str">
        <f>$E$36</f>
        <v>Calc_EB_ACS</v>
      </c>
      <c r="F120" s="52" t="str">
        <f>Dollars</f>
        <v>Dollars</v>
      </c>
      <c r="G120" s="52" t="str">
        <f>Nominal</f>
        <v>Nominal</v>
      </c>
      <c r="H120" s="52" t="str">
        <f>End_year</f>
        <v>End_year</v>
      </c>
      <c r="J120" s="66" t="str">
        <f>Calc_EB_ACS!J$100</f>
        <v>N/A</v>
      </c>
      <c r="K120" s="67" t="str">
        <f>Calc_EB_ACS!K$100</f>
        <v>N/A</v>
      </c>
      <c r="L120" s="67" t="str">
        <f>Calc_EB_ACS!L$100</f>
        <v>N/A</v>
      </c>
      <c r="M120" s="67" t="str">
        <f>Calc_EB_ACS!M$100</f>
        <v>N/A</v>
      </c>
      <c r="N120" s="67" t="str">
        <f>Calc_EB_ACS!N$100</f>
        <v>N/A</v>
      </c>
      <c r="O120" s="67" t="str">
        <f>Calc_EB_ACS!O$100</f>
        <v>N/A</v>
      </c>
      <c r="P120" s="67" t="str">
        <f>Calc_EB_ACS!P$100</f>
        <v>N/A</v>
      </c>
      <c r="Q120" s="67" t="str">
        <f>Calc_EB_ACS!Q$100</f>
        <v>N/A</v>
      </c>
      <c r="R120" s="68" t="str">
        <f>Calc_EB_ACS!R$100</f>
        <v>N/A</v>
      </c>
      <c r="S120" s="66" t="str">
        <f>Calc_EB_ACS!S$100</f>
        <v>N/A</v>
      </c>
      <c r="T120" s="67" t="str">
        <f>Calc_EB_ACS!T$100</f>
        <v>N/A</v>
      </c>
      <c r="U120" s="67" t="str">
        <f>Calc_EB_ACS!U$100</f>
        <v>N/A</v>
      </c>
      <c r="V120" s="67" t="str">
        <f>Calc_EB_ACS!V$100</f>
        <v>N/A</v>
      </c>
      <c r="W120" s="68" t="str">
        <f>Calc_EB_ACS!W$100</f>
        <v>N/A</v>
      </c>
      <c r="X120" s="66" t="str">
        <f>Calc_EB_ACS!X$100</f>
        <v>N/A</v>
      </c>
      <c r="Y120" s="67" t="str">
        <f>Calc_EB_ACS!Y$100</f>
        <v>N/A</v>
      </c>
      <c r="Z120" s="67" t="str">
        <f>Calc_EB_ACS!Z$100</f>
        <v>N/A</v>
      </c>
      <c r="AA120" s="67" t="str">
        <f>Calc_EB_ACS!AA$100</f>
        <v>N/A</v>
      </c>
      <c r="AB120" s="68" t="str">
        <f>Calc_EB_ACS!AB$100</f>
        <v>N/A</v>
      </c>
    </row>
    <row r="121" spans="1:28" outlineLevel="1" x14ac:dyDescent="0.35">
      <c r="J121" s="56"/>
      <c r="K121" s="57"/>
      <c r="L121" s="57"/>
      <c r="M121" s="57"/>
      <c r="N121" s="57"/>
      <c r="O121" s="57"/>
      <c r="P121" s="57"/>
      <c r="Q121" s="57"/>
      <c r="R121" s="58"/>
      <c r="S121" s="56"/>
      <c r="T121" s="57"/>
      <c r="U121" s="57"/>
      <c r="V121" s="57"/>
      <c r="W121" s="58"/>
      <c r="X121" s="56"/>
      <c r="Y121" s="57"/>
      <c r="Z121" s="57"/>
      <c r="AA121" s="57"/>
      <c r="AB121" s="58"/>
    </row>
    <row r="122" spans="1:28" ht="12.3" outlineLevel="1" x14ac:dyDescent="0.35">
      <c r="D122" s="51" t="s">
        <v>152</v>
      </c>
      <c r="E122" s="47" t="s">
        <v>111</v>
      </c>
      <c r="F122" s="47" t="str">
        <f>F116</f>
        <v>Dollars</v>
      </c>
      <c r="G122" s="47" t="str">
        <f>G116</f>
        <v>Nominal</v>
      </c>
      <c r="H122" s="47" t="str">
        <f>H116</f>
        <v>Start year</v>
      </c>
      <c r="J122" s="62">
        <f t="shared" ref="J122:AB122" si="20">SUM(J116:J120)</f>
        <v>0</v>
      </c>
      <c r="K122" s="46">
        <f t="shared" si="20"/>
        <v>0</v>
      </c>
      <c r="L122" s="46">
        <f t="shared" si="20"/>
        <v>0</v>
      </c>
      <c r="M122" s="46">
        <f t="shared" si="20"/>
        <v>0</v>
      </c>
      <c r="N122" s="46">
        <f t="shared" si="20"/>
        <v>0</v>
      </c>
      <c r="O122" s="46">
        <f t="shared" si="20"/>
        <v>0</v>
      </c>
      <c r="P122" s="46">
        <f t="shared" si="20"/>
        <v>0</v>
      </c>
      <c r="Q122" s="46">
        <f t="shared" si="20"/>
        <v>0</v>
      </c>
      <c r="R122" s="63">
        <f t="shared" si="20"/>
        <v>0</v>
      </c>
      <c r="S122" s="62">
        <f t="shared" si="20"/>
        <v>0</v>
      </c>
      <c r="T122" s="46">
        <f t="shared" si="20"/>
        <v>0</v>
      </c>
      <c r="U122" s="46">
        <f t="shared" si="20"/>
        <v>0</v>
      </c>
      <c r="V122" s="46">
        <f t="shared" si="20"/>
        <v>0</v>
      </c>
      <c r="W122" s="63">
        <f t="shared" si="20"/>
        <v>0</v>
      </c>
      <c r="X122" s="62">
        <f t="shared" si="20"/>
        <v>0</v>
      </c>
      <c r="Y122" s="46">
        <f t="shared" si="20"/>
        <v>0</v>
      </c>
      <c r="Z122" s="46">
        <f t="shared" si="20"/>
        <v>0</v>
      </c>
      <c r="AA122" s="46">
        <f t="shared" si="20"/>
        <v>0</v>
      </c>
      <c r="AB122" s="63">
        <f t="shared" si="20"/>
        <v>0</v>
      </c>
    </row>
    <row r="123" spans="1:28" s="6" customFormat="1" ht="11.25" customHeight="1" outlineLevel="1" x14ac:dyDescent="0.35"/>
    <row r="124" spans="1:28" s="6" customFormat="1" ht="11.25" customHeight="1" outlineLevel="1" x14ac:dyDescent="0.35">
      <c r="A124" s="49">
        <f>IF(SUM($J124:$AB124)&lt;&gt;0,1,0)</f>
        <v>0</v>
      </c>
      <c r="D124" s="15" t="s">
        <v>114</v>
      </c>
      <c r="J124" s="70">
        <f>IF(Calc_EB_ACS!J$157=NA,0,IF(J122&lt;&gt;Calc_EB_ACS!J$157,1,0))</f>
        <v>0</v>
      </c>
      <c r="K124" s="70">
        <f>IF(Calc_EB_ACS!K$157=NA,0,IF(K122&lt;&gt;Calc_EB_ACS!K$157,1,0))</f>
        <v>0</v>
      </c>
      <c r="L124" s="70">
        <f>IF(Calc_EB_ACS!L$157=NA,0,IF(L122&lt;&gt;Calc_EB_ACS!L$157,1,0))</f>
        <v>0</v>
      </c>
      <c r="M124" s="70">
        <f>IF(Calc_EB_ACS!M$157=NA,0,IF(M122&lt;&gt;Calc_EB_ACS!M$157,1,0))</f>
        <v>0</v>
      </c>
      <c r="N124" s="70">
        <f>IF(Calc_EB_ACS!N$157=NA,0,IF(N122&lt;&gt;Calc_EB_ACS!N$157,1,0))</f>
        <v>0</v>
      </c>
      <c r="O124" s="70">
        <f>IF(Calc_EB_ACS!O$157=NA,0,IF(O122&lt;&gt;Calc_EB_ACS!O$157,1,0))</f>
        <v>0</v>
      </c>
      <c r="P124" s="70">
        <f>IF(Calc_EB_ACS!P$157=NA,0,IF(P122&lt;&gt;Calc_EB_ACS!P$157,1,0))</f>
        <v>0</v>
      </c>
      <c r="Q124" s="70">
        <f>IF(Calc_EB_ACS!Q$157=NA,0,IF(Q122&lt;&gt;Calc_EB_ACS!Q$157,1,0))</f>
        <v>0</v>
      </c>
      <c r="R124" s="70">
        <f>IF(Calc_EB_ACS!R$157=NA,0,IF(R122&lt;&gt;Calc_EB_ACS!R$157,1,0))</f>
        <v>0</v>
      </c>
      <c r="S124" s="70">
        <f>IF(Calc_EB_ACS!S$157=NA,0,IF(S122&lt;&gt;Calc_EB_ACS!S$157,1,0))</f>
        <v>0</v>
      </c>
      <c r="T124" s="70">
        <f>IF(Calc_EB_ACS!T$157=NA,0,IF(T122&lt;&gt;Calc_EB_ACS!T$157,1,0))</f>
        <v>0</v>
      </c>
      <c r="U124" s="70">
        <f>IF(Calc_EB_ACS!U$157=NA,0,IF(U122&lt;&gt;Calc_EB_ACS!U$157,1,0))</f>
        <v>0</v>
      </c>
      <c r="V124" s="70">
        <f>IF(Calc_EB_ACS!V$157=NA,0,IF(V122&lt;&gt;Calc_EB_ACS!V$157,1,0))</f>
        <v>0</v>
      </c>
      <c r="W124" s="70">
        <f>IF(Calc_EB_ACS!W$157=NA,0,IF(W122&lt;&gt;Calc_EB_ACS!W$157,1,0))</f>
        <v>0</v>
      </c>
      <c r="X124" s="70">
        <f>IF(Calc_EB_ACS!X$157=NA,0,IF(X122&lt;&gt;Calc_EB_ACS!X$157,1,0))</f>
        <v>0</v>
      </c>
      <c r="Y124" s="70">
        <f>IF(Calc_EB_ACS!Y$157=NA,0,IF(Y122&lt;&gt;Calc_EB_ACS!Y$157,1,0))</f>
        <v>0</v>
      </c>
      <c r="Z124" s="70">
        <f>IF(Calc_EB_ACS!Z$157=NA,0,IF(Z122&lt;&gt;Calc_EB_ACS!Z$157,1,0))</f>
        <v>0</v>
      </c>
      <c r="AA124" s="70">
        <f>IF(Calc_EB_ACS!AA$157=NA,0,IF(AA122&lt;&gt;Calc_EB_ACS!AA$157,1,0))</f>
        <v>0</v>
      </c>
      <c r="AB124" s="70">
        <f>IF(Calc_EB_ACS!AB$157=NA,0,IF(AB122&lt;&gt;Calc_EB_ACS!AB$157,1,0))</f>
        <v>0</v>
      </c>
    </row>
    <row r="125" spans="1:28" s="6" customFormat="1" ht="11.25" customHeight="1" outlineLevel="1" x14ac:dyDescent="0.35">
      <c r="L125" s="10"/>
      <c r="Q125" s="10"/>
      <c r="V125" s="10"/>
      <c r="AA125" s="10"/>
    </row>
    <row r="126" spans="1:28" s="13" customFormat="1" ht="14.1" x14ac:dyDescent="0.35">
      <c r="C126" s="13" t="str">
        <f>Lookup!$D$110</f>
        <v>Meters</v>
      </c>
    </row>
    <row r="127" spans="1:28" s="6" customFormat="1" ht="11.25" customHeight="1" x14ac:dyDescent="0.35"/>
    <row r="128" spans="1:28" ht="12.3" x14ac:dyDescent="0.35">
      <c r="D128" s="50" t="s">
        <v>109</v>
      </c>
      <c r="E128" s="45" t="str">
        <f>Lookup!E$20</f>
        <v>Source</v>
      </c>
      <c r="F128" s="45" t="str">
        <f>Lookup!F$20</f>
        <v>Unit</v>
      </c>
      <c r="G128" s="45" t="str">
        <f>Lookup!G$20</f>
        <v>Basis</v>
      </c>
      <c r="H128" s="45" t="str">
        <f>Lookup!H$20</f>
        <v>Timing</v>
      </c>
      <c r="J128" s="54" t="str">
        <f>J$10</f>
        <v>RY06</v>
      </c>
      <c r="K128" s="45" t="str">
        <f t="shared" ref="K128:AB128" si="21">K$10</f>
        <v>RY07</v>
      </c>
      <c r="L128" s="45" t="str">
        <f t="shared" si="21"/>
        <v>RY08</v>
      </c>
      <c r="M128" s="45" t="str">
        <f t="shared" si="21"/>
        <v>RY09</v>
      </c>
      <c r="N128" s="45" t="str">
        <f t="shared" si="21"/>
        <v>RY10</v>
      </c>
      <c r="O128" s="45" t="str">
        <f>O$10</f>
        <v>RY11</v>
      </c>
      <c r="P128" s="45" t="str">
        <f t="shared" si="21"/>
        <v>RY12</v>
      </c>
      <c r="Q128" s="45" t="str">
        <f t="shared" si="21"/>
        <v>RY13</v>
      </c>
      <c r="R128" s="55" t="str">
        <f t="shared" si="21"/>
        <v>RY14</v>
      </c>
      <c r="S128" s="54" t="str">
        <f t="shared" si="21"/>
        <v>RY15</v>
      </c>
      <c r="T128" s="45" t="str">
        <f>T$10</f>
        <v>RY16</v>
      </c>
      <c r="U128" s="45" t="str">
        <f t="shared" si="21"/>
        <v>RY17</v>
      </c>
      <c r="V128" s="45" t="str">
        <f t="shared" si="21"/>
        <v>RY18</v>
      </c>
      <c r="W128" s="55" t="str">
        <f t="shared" si="21"/>
        <v>RY19</v>
      </c>
      <c r="X128" s="54" t="str">
        <f t="shared" si="21"/>
        <v>RY20</v>
      </c>
      <c r="Y128" s="45" t="str">
        <f>Y$10</f>
        <v>RY21</v>
      </c>
      <c r="Z128" s="45" t="str">
        <f t="shared" si="21"/>
        <v>RY22</v>
      </c>
      <c r="AA128" s="45" t="str">
        <f t="shared" si="21"/>
        <v>RY23</v>
      </c>
      <c r="AB128" s="55" t="str">
        <f t="shared" si="21"/>
        <v>RY24</v>
      </c>
    </row>
    <row r="129" spans="1:28" x14ac:dyDescent="0.35">
      <c r="J129" s="56"/>
      <c r="K129" s="57"/>
      <c r="L129" s="57"/>
      <c r="M129" s="57"/>
      <c r="N129" s="57"/>
      <c r="O129" s="57"/>
      <c r="P129" s="57"/>
      <c r="Q129" s="57"/>
      <c r="R129" s="58"/>
      <c r="S129" s="56"/>
      <c r="T129" s="57"/>
      <c r="U129" s="57"/>
      <c r="V129" s="57"/>
      <c r="W129" s="58"/>
      <c r="X129" s="56"/>
      <c r="Y129" s="57"/>
      <c r="Z129" s="57"/>
      <c r="AA129" s="57"/>
      <c r="AB129" s="58"/>
    </row>
    <row r="130" spans="1:28" ht="12.3" x14ac:dyDescent="0.35">
      <c r="D130" s="15" t="str">
        <f>Calc_EB_ACS!$C$14</f>
        <v>Opening Balance</v>
      </c>
      <c r="E130" s="52" t="s">
        <v>164</v>
      </c>
      <c r="F130" s="52" t="str">
        <f>Dollars</f>
        <v>Dollars</v>
      </c>
      <c r="G130" s="52" t="str">
        <f>Nominal</f>
        <v>Nominal</v>
      </c>
      <c r="H130" s="52" t="str">
        <f>Start_year</f>
        <v>Start year</v>
      </c>
      <c r="J130" s="66">
        <f>Calc_EB_ACS!J$25</f>
        <v>3.6071292897898957</v>
      </c>
      <c r="K130" s="67">
        <f>Calc_EB_ACS!K$25</f>
        <v>3.7417767788194758</v>
      </c>
      <c r="L130" s="67">
        <f>Calc_EB_ACS!L$25</f>
        <v>3.8742162665417763</v>
      </c>
      <c r="M130" s="67">
        <f>Calc_EB_ACS!M$25</f>
        <v>4.4936278567248813</v>
      </c>
      <c r="N130" s="67">
        <f>Calc_EB_ACS!N$25</f>
        <v>5.1209982106660901</v>
      </c>
      <c r="O130" s="67">
        <f>Calc_EB_ACS!O$25</f>
        <v>5.7874333599239662</v>
      </c>
      <c r="P130" s="67">
        <f>Calc_EB_ACS!P$25</f>
        <v>6.2525389109370515</v>
      </c>
      <c r="Q130" s="67">
        <f>Calc_EB_ACS!Q$25</f>
        <v>6.7078255713431885</v>
      </c>
      <c r="R130" s="68">
        <f>Calc_EB_ACS!R$25</f>
        <v>7.4395419472342965</v>
      </c>
      <c r="S130" s="66">
        <f>Calc_EB_ACS!S$25</f>
        <v>7.3371063938218031</v>
      </c>
      <c r="T130" s="67">
        <f>Calc_EB_ACS!T$25</f>
        <v>8.2640279517129933</v>
      </c>
      <c r="U130" s="67">
        <f>Calc_EB_ACS!U$25</f>
        <v>10.191258788110531</v>
      </c>
      <c r="V130" s="67">
        <f>Calc_EB_ACS!V$25</f>
        <v>12.056969644633231</v>
      </c>
      <c r="W130" s="68">
        <f>Calc_EB_ACS!W$25</f>
        <v>12.673417881085166</v>
      </c>
      <c r="X130" s="66">
        <f>Calc_EB_ACS!X$25</f>
        <v>16.139741751973368</v>
      </c>
      <c r="Y130" s="67">
        <f>Calc_EB_ACS!Y$25</f>
        <v>22.368441128585708</v>
      </c>
      <c r="Z130" s="67">
        <f>Calc_EB_ACS!Z$25</f>
        <v>25.142529874376422</v>
      </c>
      <c r="AA130" s="67">
        <f>Calc_EB_ACS!AA$25</f>
        <v>27.808325683968587</v>
      </c>
      <c r="AB130" s="68">
        <f>Calc_EB_ACS!AB$25</f>
        <v>34.345698429505077</v>
      </c>
    </row>
    <row r="131" spans="1:28" ht="12.3" x14ac:dyDescent="0.35">
      <c r="D131" s="15" t="str">
        <f>Calc_EB_ACS!$C$33</f>
        <v>Inflation</v>
      </c>
      <c r="E131" s="52" t="str">
        <f>$E$33</f>
        <v>Calc_EB_ACS</v>
      </c>
      <c r="F131" s="52" t="str">
        <f>Dollars</f>
        <v>Dollars</v>
      </c>
      <c r="G131" s="52" t="str">
        <f>Nominal</f>
        <v>Nominal</v>
      </c>
      <c r="H131" s="52" t="str">
        <f>End_year</f>
        <v>End_year</v>
      </c>
      <c r="J131" s="66">
        <f>Calc_EB_ACS!J$44</f>
        <v>0.10544592320944905</v>
      </c>
      <c r="K131" s="67">
        <f>Calc_EB_ACS!K$44</f>
        <v>9.2990902195513078E-2</v>
      </c>
      <c r="L131" s="67">
        <f>Calc_EB_ACS!L$44</f>
        <v>0.16552656104162328</v>
      </c>
      <c r="M131" s="67">
        <f>Calc_EB_ACS!M$44</f>
        <v>0.10947930547945453</v>
      </c>
      <c r="N131" s="67">
        <f>Calc_EB_ACS!N$44</f>
        <v>0.14947778560863145</v>
      </c>
      <c r="O131" s="67">
        <f>Calc_EB_ACS!O$44</f>
        <v>0.18845633840088483</v>
      </c>
      <c r="P131" s="67">
        <f>Calc_EB_ACS!P$44</f>
        <v>0.10177072489826423</v>
      </c>
      <c r="Q131" s="67">
        <f>Calc_EB_ACS!Q$44</f>
        <v>0.16786350278636603</v>
      </c>
      <c r="R131" s="68">
        <f>Calc_EB_ACS!R$44</f>
        <v>0.18226049313937037</v>
      </c>
      <c r="S131" s="66">
        <f>Calc_EB_ACS!S$44</f>
        <v>9.7456821170307906E-2</v>
      </c>
      <c r="T131" s="67">
        <f>Calc_EB_ACS!T$44</f>
        <v>0.10832995442320521</v>
      </c>
      <c r="U131" s="67">
        <f>Calc_EB_ACS!U$44</f>
        <v>0.21663489105965023</v>
      </c>
      <c r="V131" s="67">
        <f>Calc_EB_ACS!V$44</f>
        <v>0.29236640137996162</v>
      </c>
      <c r="W131" s="68">
        <f>Calc_EB_ACS!W$44</f>
        <v>0.30731449844253483</v>
      </c>
      <c r="X131" s="66">
        <f>Calc_EB_ACS!X$44</f>
        <v>0.39136850753595082</v>
      </c>
      <c r="Y131" s="67">
        <f>Calc_EB_ACS!Y$44</f>
        <v>0.54240666021375483</v>
      </c>
      <c r="Z131" s="67">
        <f>Calc_EB_ACS!Z$44</f>
        <v>0.60967483518809362</v>
      </c>
      <c r="AA131" s="67">
        <f>Calc_EB_ACS!AA$44</f>
        <v>0.67431704219664845</v>
      </c>
      <c r="AB131" s="68">
        <f>Calc_EB_ACS!AB$44</f>
        <v>0.83284013717206784</v>
      </c>
    </row>
    <row r="132" spans="1:28" ht="12.3" x14ac:dyDescent="0.35">
      <c r="D132" s="15" t="str">
        <f>Calc_EB_ACS!$C$52</f>
        <v>Straight Line Depreciation</v>
      </c>
      <c r="E132" s="52" t="str">
        <f>$E$34</f>
        <v>Calc_EB_ACS</v>
      </c>
      <c r="F132" s="52" t="str">
        <f>Dollars</f>
        <v>Dollars</v>
      </c>
      <c r="G132" s="52" t="str">
        <f>Nominal</f>
        <v>Nominal</v>
      </c>
      <c r="H132" s="52" t="str">
        <f>End_year</f>
        <v>End_year</v>
      </c>
      <c r="J132" s="66">
        <f>Calc_EB_ACS!J$63</f>
        <v>-1.4617969755665827E-2</v>
      </c>
      <c r="K132" s="67">
        <f>Calc_EB_ACS!K$63</f>
        <v>-1.5816032913207382E-2</v>
      </c>
      <c r="L132" s="67">
        <f>Calc_EB_ACS!L$63</f>
        <v>-2.0928772412162462E-2</v>
      </c>
      <c r="M132" s="67">
        <f>Calc_EB_ACS!M$63</f>
        <v>-3.005808947716871E-2</v>
      </c>
      <c r="N132" s="67">
        <f>Calc_EB_ACS!N$63</f>
        <v>-3.6489825288680604E-2</v>
      </c>
      <c r="O132" s="67">
        <f>Calc_EB_ACS!O$63</f>
        <v>-3.7678044389467473E-2</v>
      </c>
      <c r="P132" s="67">
        <f>Calc_EB_ACS!P$63</f>
        <v>-3.8291318764067148E-2</v>
      </c>
      <c r="Q132" s="67">
        <f>Calc_EB_ACS!Q$63</f>
        <v>-3.9249559974379136E-2</v>
      </c>
      <c r="R132" s="68">
        <f>Calc_EB_ACS!R$63</f>
        <v>-0.96715103314228468</v>
      </c>
      <c r="S132" s="66">
        <f>Calc_EB_ACS!S$63</f>
        <v>-1.2113984690515542</v>
      </c>
      <c r="T132" s="67">
        <f>Calc_EB_ACS!T$63</f>
        <v>-1.3234542362008557</v>
      </c>
      <c r="U132" s="67">
        <f>Calc_EB_ACS!U$63</f>
        <v>-1.4564221249611613</v>
      </c>
      <c r="V132" s="67">
        <f>Calc_EB_ACS!V$63</f>
        <v>-1.6724055547019285</v>
      </c>
      <c r="W132" s="68">
        <f>Calc_EB_ACS!W$63</f>
        <v>-1.8877137562340685</v>
      </c>
      <c r="X132" s="66">
        <f>Calc_EB_ACS!X$63</f>
        <v>-1.1180787667441376</v>
      </c>
      <c r="Y132" s="67">
        <f>Calc_EB_ACS!Y$63</f>
        <v>-1.6944148201706755</v>
      </c>
      <c r="Z132" s="67">
        <f>Calc_EB_ACS!Z$63</f>
        <v>-2.0139023796582558</v>
      </c>
      <c r="AA132" s="67">
        <f>Calc_EB_ACS!AA$63</f>
        <v>-2.3450557441361037</v>
      </c>
      <c r="AB132" s="68">
        <f>Calc_EB_ACS!AB$63</f>
        <v>-2.9835471576561945</v>
      </c>
    </row>
    <row r="133" spans="1:28" ht="12.3" x14ac:dyDescent="0.35">
      <c r="D133" s="15" t="str">
        <f>Calc_EB_ACS!$C$71</f>
        <v>RAB Additions</v>
      </c>
      <c r="E133" s="52" t="str">
        <f>$E$35</f>
        <v>Calc_EB_ACS</v>
      </c>
      <c r="F133" s="52" t="str">
        <f>Dollars</f>
        <v>Dollars</v>
      </c>
      <c r="G133" s="52" t="str">
        <f>Nominal</f>
        <v>Nominal</v>
      </c>
      <c r="H133" s="52" t="str">
        <f>End_year</f>
        <v>End_year</v>
      </c>
      <c r="J133" s="66">
        <f>IFERROR(Calc_EB_ACS!J$82+Calc_EB_ACS!J$139,NA)</f>
        <v>4.3819535575797111E-2</v>
      </c>
      <c r="K133" s="67">
        <f>IFERROR(Calc_EB_ACS!K$82+Calc_EB_ACS!K$139,NA)</f>
        <v>5.5264618439994785E-2</v>
      </c>
      <c r="L133" s="67">
        <f>IFERROR(Calc_EB_ACS!L$82+Calc_EB_ACS!L$139,NA)</f>
        <v>0.47481380155364417</v>
      </c>
      <c r="M133" s="67">
        <f>IFERROR(Calc_EB_ACS!M$82+Calc_EB_ACS!M$139,NA)</f>
        <v>0.54794913793892375</v>
      </c>
      <c r="N133" s="67">
        <f>IFERROR(Calc_EB_ACS!N$82+Calc_EB_ACS!N$139,NA)</f>
        <v>0.55344718893792533</v>
      </c>
      <c r="O133" s="67">
        <f>IFERROR(Calc_EB_ACS!O$82+Calc_EB_ACS!O$139,NA)</f>
        <v>0.31432725700166875</v>
      </c>
      <c r="P133" s="67">
        <f>IFERROR(Calc_EB_ACS!P$82+Calc_EB_ACS!P$139,NA)</f>
        <v>0.3937230955791578</v>
      </c>
      <c r="Q133" s="67">
        <f>IFERROR(Calc_EB_ACS!Q$82+Calc_EB_ACS!Q$139,NA)</f>
        <v>0.60310243307912059</v>
      </c>
      <c r="R133" s="68">
        <f>IFERROR(Calc_EB_ACS!R$82+Calc_EB_ACS!R$139,NA)</f>
        <v>0.68296522271655757</v>
      </c>
      <c r="S133" s="66">
        <f>IFERROR(Calc_EB_ACS!S$82+Calc_EB_ACS!S$139,NA)</f>
        <v>2.0408632057724372</v>
      </c>
      <c r="T133" s="67">
        <f>IFERROR(Calc_EB_ACS!T$82+Calc_EB_ACS!T$139,NA)</f>
        <v>3.142355118175189</v>
      </c>
      <c r="U133" s="67">
        <f>IFERROR(Calc_EB_ACS!U$82+Calc_EB_ACS!U$139,NA)</f>
        <v>3.105498090424212</v>
      </c>
      <c r="V133" s="67">
        <f>IFERROR(Calc_EB_ACS!V$82+Calc_EB_ACS!V$139,NA)</f>
        <v>1.9964873897739024</v>
      </c>
      <c r="W133" s="68">
        <f>IFERROR(Calc_EB_ACS!W$82+Calc_EB_ACS!W$139,NA)</f>
        <v>5.0467231286797372</v>
      </c>
      <c r="X133" s="66">
        <f>IFERROR(Calc_EB_ACS!X$82+Calc_EB_ACS!X$139,NA)</f>
        <v>6.9554096358205273</v>
      </c>
      <c r="Y133" s="67">
        <f>IFERROR(Calc_EB_ACS!Y$82+Calc_EB_ACS!Y$139,NA)</f>
        <v>3.9260969057476327</v>
      </c>
      <c r="Z133" s="67">
        <f>IFERROR(Calc_EB_ACS!Z$82+Calc_EB_ACS!Z$139,NA)</f>
        <v>4.0700233540623261</v>
      </c>
      <c r="AA133" s="67">
        <f>IFERROR(Calc_EB_ACS!AA$82+Calc_EB_ACS!AA$139,NA)</f>
        <v>8.2081114474759431</v>
      </c>
      <c r="AB133" s="68">
        <f>IFERROR(Calc_EB_ACS!AB$82+Calc_EB_ACS!AB$139,NA)</f>
        <v>4.1523645664559732</v>
      </c>
    </row>
    <row r="134" spans="1:28" ht="12.3" x14ac:dyDescent="0.35">
      <c r="D134" s="15" t="str">
        <f>Calc_EB_ACS!$C$90</f>
        <v>Disposals</v>
      </c>
      <c r="E134" s="52" t="str">
        <f>$E$36</f>
        <v>Calc_EB_ACS</v>
      </c>
      <c r="F134" s="52" t="str">
        <f>Dollars</f>
        <v>Dollars</v>
      </c>
      <c r="G134" s="52" t="str">
        <f>Nominal</f>
        <v>Nominal</v>
      </c>
      <c r="H134" s="52" t="str">
        <f>End_year</f>
        <v>End_year</v>
      </c>
      <c r="J134" s="66">
        <f>Calc_EB_ACS!J$101</f>
        <v>0</v>
      </c>
      <c r="K134" s="67">
        <f>Calc_EB_ACS!K$101</f>
        <v>0</v>
      </c>
      <c r="L134" s="67">
        <f>Calc_EB_ACS!L$101</f>
        <v>0</v>
      </c>
      <c r="M134" s="67">
        <f>Calc_EB_ACS!M$101</f>
        <v>0</v>
      </c>
      <c r="N134" s="67">
        <f>Calc_EB_ACS!N$101</f>
        <v>0</v>
      </c>
      <c r="O134" s="67">
        <f>Calc_EB_ACS!O$101</f>
        <v>0</v>
      </c>
      <c r="P134" s="67">
        <f>Calc_EB_ACS!P$101</f>
        <v>-1.9158413072182991E-3</v>
      </c>
      <c r="Q134" s="67">
        <f>Calc_EB_ACS!Q$101</f>
        <v>0</v>
      </c>
      <c r="R134" s="68">
        <f>Calc_EB_ACS!R$101</f>
        <v>-5.1023612613707448E-4</v>
      </c>
      <c r="S134" s="66">
        <f>Calc_EB_ACS!S$101</f>
        <v>0</v>
      </c>
      <c r="T134" s="67">
        <f>Calc_EB_ACS!T$101</f>
        <v>0</v>
      </c>
      <c r="U134" s="67">
        <f>Calc_EB_ACS!U$101</f>
        <v>0</v>
      </c>
      <c r="V134" s="67">
        <f>Calc_EB_ACS!V$101</f>
        <v>0</v>
      </c>
      <c r="W134" s="68">
        <f>Calc_EB_ACS!W$101</f>
        <v>0</v>
      </c>
      <c r="X134" s="66">
        <f>Calc_EB_ACS!X$101</f>
        <v>0</v>
      </c>
      <c r="Y134" s="67">
        <f>Calc_EB_ACS!Y$101</f>
        <v>0</v>
      </c>
      <c r="Z134" s="67">
        <f>Calc_EB_ACS!Z$101</f>
        <v>0</v>
      </c>
      <c r="AA134" s="67">
        <f>Calc_EB_ACS!AA$101</f>
        <v>0</v>
      </c>
      <c r="AB134" s="68">
        <f>Calc_EB_ACS!AB$101</f>
        <v>0</v>
      </c>
    </row>
    <row r="135" spans="1:28" x14ac:dyDescent="0.35">
      <c r="J135" s="56"/>
      <c r="K135" s="57"/>
      <c r="L135" s="57"/>
      <c r="M135" s="57"/>
      <c r="N135" s="57"/>
      <c r="O135" s="57"/>
      <c r="P135" s="57"/>
      <c r="Q135" s="57"/>
      <c r="R135" s="58"/>
      <c r="S135" s="56"/>
      <c r="T135" s="57"/>
      <c r="U135" s="57"/>
      <c r="V135" s="57"/>
      <c r="W135" s="58"/>
      <c r="X135" s="56"/>
      <c r="Y135" s="57"/>
      <c r="Z135" s="57"/>
      <c r="AA135" s="57"/>
      <c r="AB135" s="58"/>
    </row>
    <row r="136" spans="1:28" ht="12.3" x14ac:dyDescent="0.35">
      <c r="D136" s="51" t="s">
        <v>152</v>
      </c>
      <c r="E136" s="47" t="s">
        <v>111</v>
      </c>
      <c r="F136" s="47" t="str">
        <f>F130</f>
        <v>Dollars</v>
      </c>
      <c r="G136" s="47" t="str">
        <f>G130</f>
        <v>Nominal</v>
      </c>
      <c r="H136" s="47" t="str">
        <f>H130</f>
        <v>Start year</v>
      </c>
      <c r="J136" s="62">
        <f t="shared" ref="J136:AB136" si="22">SUM(J130:J134)</f>
        <v>3.7417767788194758</v>
      </c>
      <c r="K136" s="46">
        <f t="shared" si="22"/>
        <v>3.8742162665417763</v>
      </c>
      <c r="L136" s="46">
        <f t="shared" si="22"/>
        <v>4.4936278567248813</v>
      </c>
      <c r="M136" s="46">
        <f t="shared" si="22"/>
        <v>5.1209982106660901</v>
      </c>
      <c r="N136" s="46">
        <f t="shared" si="22"/>
        <v>5.7874333599239662</v>
      </c>
      <c r="O136" s="46">
        <f t="shared" si="22"/>
        <v>6.2525389109370515</v>
      </c>
      <c r="P136" s="46">
        <f t="shared" si="22"/>
        <v>6.7078255713431885</v>
      </c>
      <c r="Q136" s="46">
        <f t="shared" si="22"/>
        <v>7.4395419472342965</v>
      </c>
      <c r="R136" s="63">
        <f t="shared" si="22"/>
        <v>7.3371063938218031</v>
      </c>
      <c r="S136" s="62">
        <f t="shared" si="22"/>
        <v>8.2640279517129933</v>
      </c>
      <c r="T136" s="46">
        <f t="shared" si="22"/>
        <v>10.191258788110531</v>
      </c>
      <c r="U136" s="46">
        <f t="shared" si="22"/>
        <v>12.056969644633231</v>
      </c>
      <c r="V136" s="46">
        <f t="shared" si="22"/>
        <v>12.673417881085166</v>
      </c>
      <c r="W136" s="63">
        <f t="shared" si="22"/>
        <v>16.139741751973368</v>
      </c>
      <c r="X136" s="62">
        <f t="shared" si="22"/>
        <v>22.368441128585708</v>
      </c>
      <c r="Y136" s="46">
        <f t="shared" si="22"/>
        <v>25.142529874376422</v>
      </c>
      <c r="Z136" s="46">
        <f t="shared" si="22"/>
        <v>27.808325683968587</v>
      </c>
      <c r="AA136" s="46">
        <f t="shared" si="22"/>
        <v>34.345698429505077</v>
      </c>
      <c r="AB136" s="63">
        <f t="shared" si="22"/>
        <v>36.347355975476923</v>
      </c>
    </row>
    <row r="137" spans="1:28" s="6" customFormat="1" ht="11.25" customHeight="1" x14ac:dyDescent="0.35"/>
    <row r="138" spans="1:28" s="6" customFormat="1" ht="11.25" customHeight="1" x14ac:dyDescent="0.35">
      <c r="A138" s="49">
        <f>IF(SUM($J138:$AB138)&lt;&gt;0,1,0)</f>
        <v>0</v>
      </c>
      <c r="D138" s="15" t="s">
        <v>114</v>
      </c>
      <c r="J138" s="70">
        <f>IF(J136&lt;&gt;Calc_EB_ACS!J$158,1,0)</f>
        <v>0</v>
      </c>
      <c r="K138" s="70">
        <f>IF(K136&lt;&gt;Calc_EB_ACS!K$158,1,0)</f>
        <v>0</v>
      </c>
      <c r="L138" s="70">
        <f>IF(L136&lt;&gt;Calc_EB_ACS!L$158,1,0)</f>
        <v>0</v>
      </c>
      <c r="M138" s="70">
        <f>IF(M136&lt;&gt;Calc_EB_ACS!M$158,1,0)</f>
        <v>0</v>
      </c>
      <c r="N138" s="70">
        <f>IF(N136&lt;&gt;Calc_EB_ACS!N$158,1,0)</f>
        <v>0</v>
      </c>
      <c r="O138" s="70">
        <f>IF(O136&lt;&gt;Calc_EB_ACS!O$158,1,0)</f>
        <v>0</v>
      </c>
      <c r="P138" s="70">
        <f>IF(P136&lt;&gt;Calc_EB_ACS!P$158,1,0)</f>
        <v>0</v>
      </c>
      <c r="Q138" s="70">
        <f>IF(Q136&lt;&gt;Calc_EB_ACS!Q$158,1,0)</f>
        <v>0</v>
      </c>
      <c r="R138" s="70">
        <f>IF(R136&lt;&gt;Calc_EB_ACS!R$158,1,0)</f>
        <v>0</v>
      </c>
      <c r="S138" s="70">
        <f>IF(S136&lt;&gt;Calc_EB_ACS!S$158,1,0)</f>
        <v>0</v>
      </c>
      <c r="T138" s="70">
        <f>IF(T136&lt;&gt;Calc_EB_ACS!T$158,1,0)</f>
        <v>0</v>
      </c>
      <c r="U138" s="70">
        <f>IF(U136&lt;&gt;Calc_EB_ACS!U$158,1,0)</f>
        <v>0</v>
      </c>
      <c r="V138" s="70">
        <f>IF(V136&lt;&gt;Calc_EB_ACS!V$158,1,0)</f>
        <v>0</v>
      </c>
      <c r="W138" s="70">
        <f>IF(W136&lt;&gt;Calc_EB_ACS!W$158,1,0)</f>
        <v>0</v>
      </c>
      <c r="X138" s="70">
        <f>IF(X136&lt;&gt;Calc_EB_ACS!X$158,1,0)</f>
        <v>0</v>
      </c>
      <c r="Y138" s="70">
        <f>IF(Y136&lt;&gt;Calc_EB_ACS!Y$158,1,0)</f>
        <v>0</v>
      </c>
      <c r="Z138" s="70">
        <f>IF(Z136&lt;&gt;Calc_EB_ACS!Z$158,1,0)</f>
        <v>0</v>
      </c>
      <c r="AA138" s="70">
        <f>IF(AA136&lt;&gt;Calc_EB_ACS!AA$158,1,0)</f>
        <v>0</v>
      </c>
      <c r="AB138" s="70">
        <f>IF(AB136&lt;&gt;Calc_EB_ACS!AB$158,1,0)</f>
        <v>0</v>
      </c>
    </row>
    <row r="140" spans="1:28" s="13" customFormat="1" ht="14.1" x14ac:dyDescent="0.35">
      <c r="C140" s="13" t="str">
        <f>Lookup!$D$111</f>
        <v>“Other” asset items with long lives</v>
      </c>
    </row>
    <row r="141" spans="1:28" s="6" customFormat="1" ht="11.25" customHeight="1" x14ac:dyDescent="0.35"/>
    <row r="142" spans="1:28" ht="12.3" x14ac:dyDescent="0.35">
      <c r="D142" s="50" t="s">
        <v>109</v>
      </c>
      <c r="E142" s="45" t="str">
        <f>Lookup!E$20</f>
        <v>Source</v>
      </c>
      <c r="F142" s="45" t="str">
        <f>Lookup!F$20</f>
        <v>Unit</v>
      </c>
      <c r="G142" s="45" t="str">
        <f>Lookup!G$20</f>
        <v>Basis</v>
      </c>
      <c r="H142" s="45" t="str">
        <f>Lookup!H$20</f>
        <v>Timing</v>
      </c>
      <c r="J142" s="54" t="str">
        <f>J$10</f>
        <v>RY06</v>
      </c>
      <c r="K142" s="45" t="str">
        <f t="shared" ref="K142:AB142" si="23">K$10</f>
        <v>RY07</v>
      </c>
      <c r="L142" s="45" t="str">
        <f t="shared" si="23"/>
        <v>RY08</v>
      </c>
      <c r="M142" s="45" t="str">
        <f t="shared" si="23"/>
        <v>RY09</v>
      </c>
      <c r="N142" s="45" t="str">
        <f t="shared" si="23"/>
        <v>RY10</v>
      </c>
      <c r="O142" s="45" t="str">
        <f>O$10</f>
        <v>RY11</v>
      </c>
      <c r="P142" s="45" t="str">
        <f t="shared" si="23"/>
        <v>RY12</v>
      </c>
      <c r="Q142" s="45" t="str">
        <f t="shared" si="23"/>
        <v>RY13</v>
      </c>
      <c r="R142" s="55" t="str">
        <f t="shared" si="23"/>
        <v>RY14</v>
      </c>
      <c r="S142" s="54" t="str">
        <f t="shared" si="23"/>
        <v>RY15</v>
      </c>
      <c r="T142" s="45" t="str">
        <f>T$10</f>
        <v>RY16</v>
      </c>
      <c r="U142" s="45" t="str">
        <f t="shared" si="23"/>
        <v>RY17</v>
      </c>
      <c r="V142" s="45" t="str">
        <f t="shared" si="23"/>
        <v>RY18</v>
      </c>
      <c r="W142" s="55" t="str">
        <f t="shared" si="23"/>
        <v>RY19</v>
      </c>
      <c r="X142" s="54" t="str">
        <f t="shared" si="23"/>
        <v>RY20</v>
      </c>
      <c r="Y142" s="45" t="str">
        <f>Y$10</f>
        <v>RY21</v>
      </c>
      <c r="Z142" s="45" t="str">
        <f t="shared" si="23"/>
        <v>RY22</v>
      </c>
      <c r="AA142" s="45" t="str">
        <f t="shared" si="23"/>
        <v>RY23</v>
      </c>
      <c r="AB142" s="55" t="str">
        <f t="shared" si="23"/>
        <v>RY24</v>
      </c>
    </row>
    <row r="143" spans="1:28" x14ac:dyDescent="0.35">
      <c r="J143" s="56"/>
      <c r="K143" s="57"/>
      <c r="L143" s="57"/>
      <c r="M143" s="57"/>
      <c r="N143" s="57"/>
      <c r="O143" s="57"/>
      <c r="P143" s="57"/>
      <c r="Q143" s="57"/>
      <c r="R143" s="58"/>
      <c r="S143" s="56"/>
      <c r="T143" s="57"/>
      <c r="U143" s="57"/>
      <c r="V143" s="57"/>
      <c r="W143" s="58"/>
      <c r="X143" s="56"/>
      <c r="Y143" s="57"/>
      <c r="Z143" s="57"/>
      <c r="AA143" s="57"/>
      <c r="AB143" s="58"/>
    </row>
    <row r="144" spans="1:28" ht="12.3" x14ac:dyDescent="0.35">
      <c r="D144" s="15" t="str">
        <f>Calc_EB_ACS!$C$14</f>
        <v>Opening Balance</v>
      </c>
      <c r="E144" s="52" t="s">
        <v>202</v>
      </c>
      <c r="F144" s="52" t="str">
        <f>Dollars</f>
        <v>Dollars</v>
      </c>
      <c r="G144" s="52" t="str">
        <f>Nominal</f>
        <v>Nominal</v>
      </c>
      <c r="H144" s="52" t="str">
        <f>Start_year</f>
        <v>Start year</v>
      </c>
      <c r="J144" s="66">
        <f>Calc_EB_ACS!J$26</f>
        <v>8.3019154080943819E-2</v>
      </c>
      <c r="K144" s="67">
        <f>Calc_EB_ACS!K$26</f>
        <v>8.6118106111856468E-2</v>
      </c>
      <c r="L144" s="67">
        <f>Calc_EB_ACS!L$26</f>
        <v>8.9166240335584096E-2</v>
      </c>
      <c r="M144" s="67">
        <f>Calc_EB_ACS!M$26</f>
        <v>0.10342218241963645</v>
      </c>
      <c r="N144" s="67">
        <f>Calc_EB_ACS!N$26</f>
        <v>0.11786129782009809</v>
      </c>
      <c r="O144" s="67">
        <f>Calc_EB_ACS!O$26</f>
        <v>0.13319950111039908</v>
      </c>
      <c r="P144" s="67">
        <f>Calc_EB_ACS!P$26</f>
        <v>0.14390404378170063</v>
      </c>
      <c r="Q144" s="67">
        <f>Calc_EB_ACS!Q$26</f>
        <v>0.15438260176359567</v>
      </c>
      <c r="R144" s="68">
        <f>Calc_EB_ACS!R$26</f>
        <v>0.17122327191245856</v>
      </c>
      <c r="S144" s="66">
        <f>Calc_EB_ACS!S$26</f>
        <v>0.16886568716599831</v>
      </c>
      <c r="T144" s="67">
        <f>Calc_EB_ACS!T$26</f>
        <v>0.19019906267137129</v>
      </c>
      <c r="U144" s="67">
        <f>Calc_EB_ACS!U$26</f>
        <v>0.23455485391215403</v>
      </c>
      <c r="V144" s="67">
        <f>Calc_EB_ACS!V$26</f>
        <v>0.27749474450786082</v>
      </c>
      <c r="W144" s="68">
        <f>Calc_EB_ACS!W$26</f>
        <v>0.29168248412390052</v>
      </c>
      <c r="X144" s="66">
        <f>Calc_EB_ACS!X$26</f>
        <v>0.37146095958533404</v>
      </c>
      <c r="Y144" s="67">
        <f>Calc_EB_ACS!Y$26</f>
        <v>0.51481632938994071</v>
      </c>
      <c r="Z144" s="67">
        <f>Calc_EB_ACS!Z$26</f>
        <v>0.57866280743908927</v>
      </c>
      <c r="AA144" s="67">
        <f>Calc_EB_ACS!AA$26</f>
        <v>0.64001689133380801</v>
      </c>
      <c r="AB144" s="68">
        <f>Calc_EB_ACS!AB$26</f>
        <v>0.79047647058494952</v>
      </c>
    </row>
    <row r="145" spans="1:28" ht="12.3" x14ac:dyDescent="0.35">
      <c r="D145" s="15" t="str">
        <f>Calc_EB_ACS!$C$33</f>
        <v>Inflation</v>
      </c>
      <c r="E145" s="52" t="s">
        <v>202</v>
      </c>
      <c r="F145" s="52" t="str">
        <f>Dollars</f>
        <v>Dollars</v>
      </c>
      <c r="G145" s="52" t="str">
        <f>Nominal</f>
        <v>Nominal</v>
      </c>
      <c r="H145" s="52" t="str">
        <f>End_year</f>
        <v>End_year</v>
      </c>
      <c r="J145" s="66">
        <f>Calc_EB_ACS!J$45</f>
        <v>2.4268693032188254E-3</v>
      </c>
      <c r="K145" s="67">
        <f>Calc_EB_ACS!K$45</f>
        <v>2.1402132879869535E-3</v>
      </c>
      <c r="L145" s="67">
        <f>Calc_EB_ACS!L$45</f>
        <v>3.8096430628367355E-3</v>
      </c>
      <c r="M145" s="67">
        <f>Calc_EB_ACS!M$45</f>
        <v>2.5196987964916976E-3</v>
      </c>
      <c r="N145" s="67">
        <f>Calc_EB_ACS!N$45</f>
        <v>3.4402757201542058E-3</v>
      </c>
      <c r="O145" s="67">
        <f>Calc_EB_ACS!O$45</f>
        <v>4.3373787126285259E-3</v>
      </c>
      <c r="P145" s="67">
        <f>Calc_EB_ACS!P$45</f>
        <v>2.3422835203532359E-3</v>
      </c>
      <c r="Q145" s="67">
        <f>Calc_EB_ACS!Q$45</f>
        <v>3.8634284725624535E-3</v>
      </c>
      <c r="R145" s="68">
        <f>Calc_EB_ACS!R$45</f>
        <v>4.1947794900602338E-3</v>
      </c>
      <c r="S145" s="66">
        <f>Calc_EB_ACS!S$45</f>
        <v>2.2429977422428471E-3</v>
      </c>
      <c r="T145" s="67">
        <f>Calc_EB_ACS!T$45</f>
        <v>2.4932461398869173E-3</v>
      </c>
      <c r="U145" s="67">
        <f>Calc_EB_ACS!U$45</f>
        <v>4.9859164879662915E-3</v>
      </c>
      <c r="V145" s="67">
        <f>Calc_EB_ACS!V$45</f>
        <v>6.728899735575564E-3</v>
      </c>
      <c r="W145" s="68">
        <f>Calc_EB_ACS!W$45</f>
        <v>7.0729346380026276E-3</v>
      </c>
      <c r="X145" s="66">
        <f>Calc_EB_ACS!X$45</f>
        <v>9.0074626716384297E-3</v>
      </c>
      <c r="Y145" s="67">
        <f>Calc_EB_ACS!Y$45</f>
        <v>1.2483650704252612E-2</v>
      </c>
      <c r="Z145" s="67">
        <f>Calc_EB_ACS!Z$45</f>
        <v>1.4031847770198037E-2</v>
      </c>
      <c r="AA145" s="67">
        <f>Calc_EB_ACS!AA$45</f>
        <v>1.5519607401926698E-2</v>
      </c>
      <c r="AB145" s="68">
        <f>Calc_EB_ACS!AB$45</f>
        <v>1.9168063609028438E-2</v>
      </c>
    </row>
    <row r="146" spans="1:28" ht="12.3" x14ac:dyDescent="0.35">
      <c r="D146" s="15" t="str">
        <f>Calc_EB_ACS!$C$52</f>
        <v>Straight Line Depreciation</v>
      </c>
      <c r="E146" s="52" t="s">
        <v>202</v>
      </c>
      <c r="F146" s="52" t="str">
        <f>Dollars</f>
        <v>Dollars</v>
      </c>
      <c r="G146" s="52" t="str">
        <f>Nominal</f>
        <v>Nominal</v>
      </c>
      <c r="H146" s="52" t="str">
        <f>End_year</f>
        <v>End_year</v>
      </c>
      <c r="J146" s="66">
        <f>Calc_EB_ACS!J$64</f>
        <v>-3.3643692421318365E-4</v>
      </c>
      <c r="K146" s="67">
        <f>Calc_EB_ACS!K$64</f>
        <v>-3.640107043258554E-4</v>
      </c>
      <c r="L146" s="67">
        <f>Calc_EB_ACS!L$64</f>
        <v>-4.81681925438144E-4</v>
      </c>
      <c r="M146" s="67">
        <f>Calc_EB_ACS!M$64</f>
        <v>-6.9179587456074103E-4</v>
      </c>
      <c r="N146" s="67">
        <f>Calc_EB_ACS!N$64</f>
        <v>-8.398241883379085E-4</v>
      </c>
      <c r="O146" s="67">
        <f>Calc_EB_ACS!O$64</f>
        <v>-8.671714045547942E-4</v>
      </c>
      <c r="P146" s="67">
        <f>Calc_EB_ACS!P$64</f>
        <v>-8.8128609679576748E-4</v>
      </c>
      <c r="Q146" s="67">
        <f>Calc_EB_ACS!Q$64</f>
        <v>-9.0334030342228814E-4</v>
      </c>
      <c r="R146" s="68">
        <f>Calc_EB_ACS!R$64</f>
        <v>-2.2259268850510237E-2</v>
      </c>
      <c r="S146" s="66">
        <f>Calc_EB_ACS!S$64</f>
        <v>-2.7880696275643699E-2</v>
      </c>
      <c r="T146" s="67">
        <f>Calc_EB_ACS!T$64</f>
        <v>-3.0459693104218165E-2</v>
      </c>
      <c r="U146" s="67">
        <f>Calc_EB_ACS!U$64</f>
        <v>-3.3519988635086866E-2</v>
      </c>
      <c r="V146" s="67">
        <f>Calc_EB_ACS!V$64</f>
        <v>-3.8490911546925126E-2</v>
      </c>
      <c r="W146" s="68">
        <f>Calc_EB_ACS!W$64</f>
        <v>-4.3446293880594893E-2</v>
      </c>
      <c r="X146" s="66">
        <f>Calc_EB_ACS!X$64</f>
        <v>-2.5732915555230849E-2</v>
      </c>
      <c r="Y146" s="67">
        <f>Calc_EB_ACS!Y$64</f>
        <v>-3.8997461341613728E-2</v>
      </c>
      <c r="Z146" s="67">
        <f>Calc_EB_ACS!Z$64</f>
        <v>-4.6350562602253328E-2</v>
      </c>
      <c r="AA146" s="67">
        <f>Calc_EB_ACS!AA$64</f>
        <v>-5.3972155836470539E-2</v>
      </c>
      <c r="AB146" s="68">
        <f>Calc_EB_ACS!AB$64</f>
        <v>-6.8667225732751289E-2</v>
      </c>
    </row>
    <row r="147" spans="1:28" ht="12.3" x14ac:dyDescent="0.35">
      <c r="D147" s="15" t="str">
        <f>Calc_EB_ACS!$C$71</f>
        <v>RAB Additions</v>
      </c>
      <c r="E147" s="52" t="s">
        <v>202</v>
      </c>
      <c r="F147" s="52" t="str">
        <f>Dollars</f>
        <v>Dollars</v>
      </c>
      <c r="G147" s="52" t="str">
        <f>Nominal</f>
        <v>Nominal</v>
      </c>
      <c r="H147" s="52" t="str">
        <f>End_year</f>
        <v>End_year</v>
      </c>
      <c r="J147" s="66">
        <f>IFERROR(Calc_EB_ACS!J$83+Calc_EB_ACS!J$140,NA)</f>
        <v>1.0085196519070139E-3</v>
      </c>
      <c r="K147" s="67">
        <f>IFERROR(Calc_EB_ACS!K$83+Calc_EB_ACS!K$140,NA)</f>
        <v>1.2719316400665345E-3</v>
      </c>
      <c r="L147" s="67">
        <f>IFERROR(Calc_EB_ACS!L$83+Calc_EB_ACS!L$140,NA)</f>
        <v>1.0927980946653754E-2</v>
      </c>
      <c r="M147" s="67">
        <f>IFERROR(Calc_EB_ACS!M$83+Calc_EB_ACS!M$140,NA)</f>
        <v>1.2611212478530684E-2</v>
      </c>
      <c r="N147" s="67">
        <f>IFERROR(Calc_EB_ACS!N$83+Calc_EB_ACS!N$140,NA)</f>
        <v>1.2737751758484683E-2</v>
      </c>
      <c r="O147" s="67">
        <f>IFERROR(Calc_EB_ACS!O$83+Calc_EB_ACS!O$140,NA)</f>
        <v>7.2343353632278399E-3</v>
      </c>
      <c r="P147" s="67">
        <f>IFERROR(Calc_EB_ACS!P$83+Calc_EB_ACS!P$140,NA)</f>
        <v>9.0616542161748147E-3</v>
      </c>
      <c r="Q147" s="67">
        <f>IFERROR(Calc_EB_ACS!Q$83+Calc_EB_ACS!Q$140,NA)</f>
        <v>1.3880581979722717E-2</v>
      </c>
      <c r="R147" s="68">
        <f>IFERROR(Calc_EB_ACS!R$83+Calc_EB_ACS!R$140,NA)</f>
        <v>1.5718647850278347E-2</v>
      </c>
      <c r="S147" s="66">
        <f>IFERROR(Calc_EB_ACS!S$83+Calc_EB_ACS!S$140,NA)</f>
        <v>4.6971074038773854E-2</v>
      </c>
      <c r="T147" s="67">
        <f>IFERROR(Calc_EB_ACS!T$83+Calc_EB_ACS!T$140,NA)</f>
        <v>7.2322238205113978E-2</v>
      </c>
      <c r="U147" s="67">
        <f>IFERROR(Calc_EB_ACS!U$83+Calc_EB_ACS!U$140,NA)</f>
        <v>7.1473962742827399E-2</v>
      </c>
      <c r="V147" s="67">
        <f>IFERROR(Calc_EB_ACS!V$83+Calc_EB_ACS!V$140,NA)</f>
        <v>4.5949751427389281E-2</v>
      </c>
      <c r="W147" s="68">
        <f>IFERROR(Calc_EB_ACS!W$83+Calc_EB_ACS!W$140,NA)</f>
        <v>0.11615183470402579</v>
      </c>
      <c r="X147" s="66">
        <f>IFERROR(Calc_EB_ACS!X$83+Calc_EB_ACS!X$140,NA)</f>
        <v>0.16008082268819906</v>
      </c>
      <c r="Y147" s="67">
        <f>IFERROR(Calc_EB_ACS!Y$83+Calc_EB_ACS!Y$140,NA)</f>
        <v>9.0360288686509652E-2</v>
      </c>
      <c r="Z147" s="67">
        <f>IFERROR(Calc_EB_ACS!Z$83+Calc_EB_ACS!Z$140,NA)</f>
        <v>9.3672798726773976E-2</v>
      </c>
      <c r="AA147" s="67">
        <f>IFERROR(Calc_EB_ACS!AA$83+Calc_EB_ACS!AA$140,NA)</f>
        <v>0.1889121276856853</v>
      </c>
      <c r="AB147" s="68">
        <f>IFERROR(Calc_EB_ACS!AB$83+Calc_EB_ACS!AB$140,NA)</f>
        <v>9.5567906234638775E-2</v>
      </c>
    </row>
    <row r="148" spans="1:28" ht="12.3" x14ac:dyDescent="0.35">
      <c r="D148" s="15" t="str">
        <f>Calc_EB_ACS!$C$90</f>
        <v>Disposals</v>
      </c>
      <c r="E148" s="52" t="s">
        <v>202</v>
      </c>
      <c r="F148" s="52" t="str">
        <f>Dollars</f>
        <v>Dollars</v>
      </c>
      <c r="G148" s="52" t="str">
        <f>Nominal</f>
        <v>Nominal</v>
      </c>
      <c r="H148" s="52" t="str">
        <f>End_year</f>
        <v>End_year</v>
      </c>
      <c r="J148" s="66">
        <f>Calc_EB_ACS!J$102</f>
        <v>0</v>
      </c>
      <c r="K148" s="67">
        <f>Calc_EB_ACS!K$102</f>
        <v>0</v>
      </c>
      <c r="L148" s="67">
        <f>Calc_EB_ACS!L$102</f>
        <v>0</v>
      </c>
      <c r="M148" s="67">
        <f>Calc_EB_ACS!M$102</f>
        <v>0</v>
      </c>
      <c r="N148" s="67">
        <f>Calc_EB_ACS!N$102</f>
        <v>0</v>
      </c>
      <c r="O148" s="67">
        <f>Calc_EB_ACS!O$102</f>
        <v>0</v>
      </c>
      <c r="P148" s="67">
        <f>Calc_EB_ACS!P$102</f>
        <v>-4.4093657837215215E-5</v>
      </c>
      <c r="Q148" s="67">
        <f>Calc_EB_ACS!Q$102</f>
        <v>0</v>
      </c>
      <c r="R148" s="68">
        <f>Calc_EB_ACS!R$102</f>
        <v>-1.1743236288573671E-5</v>
      </c>
      <c r="S148" s="66">
        <f>Calc_EB_ACS!S$102</f>
        <v>0</v>
      </c>
      <c r="T148" s="67">
        <f>Calc_EB_ACS!T$102</f>
        <v>0</v>
      </c>
      <c r="U148" s="67">
        <f>Calc_EB_ACS!U$102</f>
        <v>0</v>
      </c>
      <c r="V148" s="67">
        <f>Calc_EB_ACS!V$102</f>
        <v>0</v>
      </c>
      <c r="W148" s="68">
        <f>Calc_EB_ACS!W$102</f>
        <v>0</v>
      </c>
      <c r="X148" s="66">
        <f>Calc_EB_ACS!X$102</f>
        <v>0</v>
      </c>
      <c r="Y148" s="67">
        <f>Calc_EB_ACS!Y$102</f>
        <v>0</v>
      </c>
      <c r="Z148" s="67">
        <f>Calc_EB_ACS!Z$102</f>
        <v>0</v>
      </c>
      <c r="AA148" s="67">
        <f>Calc_EB_ACS!AA$102</f>
        <v>0</v>
      </c>
      <c r="AB148" s="68">
        <f>Calc_EB_ACS!AB$102</f>
        <v>0</v>
      </c>
    </row>
    <row r="149" spans="1:28" x14ac:dyDescent="0.35">
      <c r="J149" s="56"/>
      <c r="K149" s="57"/>
      <c r="L149" s="57"/>
      <c r="M149" s="57"/>
      <c r="N149" s="57"/>
      <c r="O149" s="57"/>
      <c r="P149" s="57"/>
      <c r="Q149" s="57"/>
      <c r="R149" s="58"/>
      <c r="S149" s="56"/>
      <c r="T149" s="57"/>
      <c r="U149" s="57"/>
      <c r="V149" s="57"/>
      <c r="W149" s="58"/>
      <c r="X149" s="56"/>
      <c r="Y149" s="57"/>
      <c r="Z149" s="57"/>
      <c r="AA149" s="57"/>
      <c r="AB149" s="58"/>
    </row>
    <row r="150" spans="1:28" ht="12.3" x14ac:dyDescent="0.35">
      <c r="D150" s="51" t="s">
        <v>152</v>
      </c>
      <c r="E150" s="47" t="s">
        <v>111</v>
      </c>
      <c r="F150" s="47" t="str">
        <f>F144</f>
        <v>Dollars</v>
      </c>
      <c r="G150" s="47" t="str">
        <f>G144</f>
        <v>Nominal</v>
      </c>
      <c r="H150" s="47" t="str">
        <f>H144</f>
        <v>Start year</v>
      </c>
      <c r="J150" s="62">
        <f t="shared" ref="J150:AB150" si="24">SUM(J144:J148)</f>
        <v>8.6118106111856468E-2</v>
      </c>
      <c r="K150" s="46">
        <f t="shared" si="24"/>
        <v>8.9166240335584096E-2</v>
      </c>
      <c r="L150" s="46">
        <f t="shared" si="24"/>
        <v>0.10342218241963645</v>
      </c>
      <c r="M150" s="46">
        <f t="shared" si="24"/>
        <v>0.11786129782009809</v>
      </c>
      <c r="N150" s="46">
        <f t="shared" si="24"/>
        <v>0.13319950111039908</v>
      </c>
      <c r="O150" s="46">
        <f t="shared" si="24"/>
        <v>0.14390404378170063</v>
      </c>
      <c r="P150" s="46">
        <f t="shared" si="24"/>
        <v>0.15438260176359567</v>
      </c>
      <c r="Q150" s="46">
        <f t="shared" si="24"/>
        <v>0.17122327191245856</v>
      </c>
      <c r="R150" s="63">
        <f t="shared" si="24"/>
        <v>0.16886568716599831</v>
      </c>
      <c r="S150" s="62">
        <f t="shared" si="24"/>
        <v>0.19019906267137129</v>
      </c>
      <c r="T150" s="46">
        <f t="shared" si="24"/>
        <v>0.23455485391215403</v>
      </c>
      <c r="U150" s="46">
        <f t="shared" si="24"/>
        <v>0.27749474450786082</v>
      </c>
      <c r="V150" s="46">
        <f t="shared" si="24"/>
        <v>0.29168248412390052</v>
      </c>
      <c r="W150" s="63">
        <f t="shared" si="24"/>
        <v>0.37146095958533404</v>
      </c>
      <c r="X150" s="62">
        <f t="shared" si="24"/>
        <v>0.51481632938994071</v>
      </c>
      <c r="Y150" s="46">
        <f t="shared" si="24"/>
        <v>0.57866280743908927</v>
      </c>
      <c r="Z150" s="46">
        <f t="shared" si="24"/>
        <v>0.64001689133380801</v>
      </c>
      <c r="AA150" s="46">
        <f t="shared" si="24"/>
        <v>0.79047647058494952</v>
      </c>
      <c r="AB150" s="63">
        <f t="shared" si="24"/>
        <v>0.8365452146958654</v>
      </c>
    </row>
    <row r="151" spans="1:28" s="6" customFormat="1" ht="11.25" customHeight="1" x14ac:dyDescent="0.35"/>
    <row r="152" spans="1:28" s="6" customFormat="1" ht="11.25" customHeight="1" x14ac:dyDescent="0.35">
      <c r="A152" s="49">
        <f>IF(SUM($J152:$AB152)&lt;&gt;0,1,0)</f>
        <v>0</v>
      </c>
      <c r="D152" s="15" t="s">
        <v>114</v>
      </c>
      <c r="J152" s="70">
        <f>IF(J150&lt;&gt;(Calc_EB_ACS!J$159),1,0)</f>
        <v>0</v>
      </c>
      <c r="K152" s="70">
        <f>IF(K150&lt;&gt;(Calc_EB_ACS!K$159),1,0)</f>
        <v>0</v>
      </c>
      <c r="L152" s="70">
        <f>IF(L150&lt;&gt;(Calc_EB_ACS!L$159),1,0)</f>
        <v>0</v>
      </c>
      <c r="M152" s="70">
        <f>IF(M150&lt;&gt;(Calc_EB_ACS!M$159),1,0)</f>
        <v>0</v>
      </c>
      <c r="N152" s="70">
        <f>IF(N150&lt;&gt;(Calc_EB_ACS!N$159),1,0)</f>
        <v>0</v>
      </c>
      <c r="O152" s="70">
        <f>IF(O150&lt;&gt;(Calc_EB_ACS!O$159),1,0)</f>
        <v>0</v>
      </c>
      <c r="P152" s="70">
        <f>IF(P150&lt;&gt;(Calc_EB_ACS!P$159),1,0)</f>
        <v>0</v>
      </c>
      <c r="Q152" s="70">
        <f>IF(Q150&lt;&gt;(Calc_EB_ACS!Q$159),1,0)</f>
        <v>0</v>
      </c>
      <c r="R152" s="70">
        <f>IF(R150&lt;&gt;(Calc_EB_ACS!R$159),1,0)</f>
        <v>0</v>
      </c>
      <c r="S152" s="70">
        <f>IF(S150&lt;&gt;(Calc_EB_ACS!S$159),1,0)</f>
        <v>0</v>
      </c>
      <c r="T152" s="70">
        <f>IF(T150&lt;&gt;(Calc_EB_ACS!T$159),1,0)</f>
        <v>0</v>
      </c>
      <c r="U152" s="70">
        <f>IF(U150&lt;&gt;(Calc_EB_ACS!U$159),1,0)</f>
        <v>0</v>
      </c>
      <c r="V152" s="70">
        <f>IF(V150&lt;&gt;(Calc_EB_ACS!V$159),1,0)</f>
        <v>0</v>
      </c>
      <c r="W152" s="70">
        <f>IF(W150&lt;&gt;(Calc_EB_ACS!W$159),1,0)</f>
        <v>0</v>
      </c>
      <c r="X152" s="70">
        <f>IF(X150&lt;&gt;(Calc_EB_ACS!X$159),1,0)</f>
        <v>0</v>
      </c>
      <c r="Y152" s="70">
        <f>IF(Y150&lt;&gt;(Calc_EB_ACS!Y$159),1,0)</f>
        <v>0</v>
      </c>
      <c r="Z152" s="70">
        <f>IF(Z150&lt;&gt;(Calc_EB_ACS!Z$159),1,0)</f>
        <v>0</v>
      </c>
      <c r="AA152" s="70">
        <f>IF(AA150&lt;&gt;(Calc_EB_ACS!AA$159),1,0)</f>
        <v>0</v>
      </c>
      <c r="AB152" s="70">
        <f>IF(AB150&lt;&gt;(Calc_EB_ACS!AB$159),1,0)</f>
        <v>0</v>
      </c>
    </row>
    <row r="154" spans="1:28" s="13" customFormat="1" ht="14.1" x14ac:dyDescent="0.35">
      <c r="C154" s="13" t="str">
        <f>Lookup!$D$112</f>
        <v>“Other” asset items with short lives</v>
      </c>
    </row>
    <row r="155" spans="1:28" s="6" customFormat="1" ht="11.25" customHeight="1" x14ac:dyDescent="0.35"/>
    <row r="156" spans="1:28" ht="12.3" x14ac:dyDescent="0.35">
      <c r="D156" s="50" t="s">
        <v>109</v>
      </c>
      <c r="E156" s="45" t="str">
        <f>Lookup!E$20</f>
        <v>Source</v>
      </c>
      <c r="F156" s="45" t="str">
        <f>Lookup!F$20</f>
        <v>Unit</v>
      </c>
      <c r="G156" s="45" t="str">
        <f>Lookup!G$20</f>
        <v>Basis</v>
      </c>
      <c r="H156" s="45" t="str">
        <f>Lookup!H$20</f>
        <v>Timing</v>
      </c>
      <c r="J156" s="54" t="str">
        <f>J$10</f>
        <v>RY06</v>
      </c>
      <c r="K156" s="45" t="str">
        <f t="shared" ref="K156:AB156" si="25">K$10</f>
        <v>RY07</v>
      </c>
      <c r="L156" s="45" t="str">
        <f t="shared" si="25"/>
        <v>RY08</v>
      </c>
      <c r="M156" s="45" t="str">
        <f t="shared" si="25"/>
        <v>RY09</v>
      </c>
      <c r="N156" s="45" t="str">
        <f t="shared" si="25"/>
        <v>RY10</v>
      </c>
      <c r="O156" s="45" t="str">
        <f>O$10</f>
        <v>RY11</v>
      </c>
      <c r="P156" s="45" t="str">
        <f t="shared" si="25"/>
        <v>RY12</v>
      </c>
      <c r="Q156" s="45" t="str">
        <f t="shared" si="25"/>
        <v>RY13</v>
      </c>
      <c r="R156" s="55" t="str">
        <f t="shared" si="25"/>
        <v>RY14</v>
      </c>
      <c r="S156" s="54" t="str">
        <f t="shared" si="25"/>
        <v>RY15</v>
      </c>
      <c r="T156" s="45" t="str">
        <f>T$10</f>
        <v>RY16</v>
      </c>
      <c r="U156" s="45" t="str">
        <f t="shared" si="25"/>
        <v>RY17</v>
      </c>
      <c r="V156" s="45" t="str">
        <f t="shared" si="25"/>
        <v>RY18</v>
      </c>
      <c r="W156" s="55" t="str">
        <f t="shared" si="25"/>
        <v>RY19</v>
      </c>
      <c r="X156" s="54" t="str">
        <f t="shared" si="25"/>
        <v>RY20</v>
      </c>
      <c r="Y156" s="45" t="str">
        <f>Y$10</f>
        <v>RY21</v>
      </c>
      <c r="Z156" s="45" t="str">
        <f t="shared" si="25"/>
        <v>RY22</v>
      </c>
      <c r="AA156" s="45" t="str">
        <f t="shared" si="25"/>
        <v>RY23</v>
      </c>
      <c r="AB156" s="55" t="str">
        <f t="shared" si="25"/>
        <v>RY24</v>
      </c>
    </row>
    <row r="157" spans="1:28" x14ac:dyDescent="0.35">
      <c r="J157" s="56"/>
      <c r="K157" s="57"/>
      <c r="L157" s="57"/>
      <c r="M157" s="57"/>
      <c r="N157" s="57"/>
      <c r="O157" s="57"/>
      <c r="P157" s="57"/>
      <c r="Q157" s="57"/>
      <c r="R157" s="58"/>
      <c r="S157" s="56"/>
      <c r="T157" s="57"/>
      <c r="U157" s="57"/>
      <c r="V157" s="57"/>
      <c r="W157" s="58"/>
      <c r="X157" s="56"/>
      <c r="Y157" s="57"/>
      <c r="Z157" s="57"/>
      <c r="AA157" s="57"/>
      <c r="AB157" s="58"/>
    </row>
    <row r="158" spans="1:28" ht="12.3" x14ac:dyDescent="0.35">
      <c r="D158" s="15" t="str">
        <f>Calc_EB_ACS!$C$14</f>
        <v>Opening Balance</v>
      </c>
      <c r="E158" s="52" t="s">
        <v>202</v>
      </c>
      <c r="F158" s="52" t="str">
        <f>Dollars</f>
        <v>Dollars</v>
      </c>
      <c r="G158" s="52" t="str">
        <f>Nominal</f>
        <v>Nominal</v>
      </c>
      <c r="H158" s="52" t="str">
        <f>Start_year</f>
        <v>Start year</v>
      </c>
      <c r="J158" s="66">
        <f>Calc_EB_ACS!J$27</f>
        <v>0</v>
      </c>
      <c r="K158" s="67">
        <f>Calc_EB_ACS!K$27</f>
        <v>0</v>
      </c>
      <c r="L158" s="67">
        <f>Calc_EB_ACS!L$27</f>
        <v>0</v>
      </c>
      <c r="M158" s="67">
        <f>Calc_EB_ACS!M$27</f>
        <v>0</v>
      </c>
      <c r="N158" s="67">
        <f>Calc_EB_ACS!N$27</f>
        <v>0</v>
      </c>
      <c r="O158" s="67">
        <f>Calc_EB_ACS!O$27</f>
        <v>0</v>
      </c>
      <c r="P158" s="67">
        <f>Calc_EB_ACS!P$27</f>
        <v>0</v>
      </c>
      <c r="Q158" s="67">
        <f>Calc_EB_ACS!Q$27</f>
        <v>0</v>
      </c>
      <c r="R158" s="68">
        <f>Calc_EB_ACS!R$27</f>
        <v>0</v>
      </c>
      <c r="S158" s="66">
        <f>Calc_EB_ACS!S$27</f>
        <v>0</v>
      </c>
      <c r="T158" s="67">
        <f>Calc_EB_ACS!T$27</f>
        <v>0</v>
      </c>
      <c r="U158" s="67">
        <f>Calc_EB_ACS!U$27</f>
        <v>0</v>
      </c>
      <c r="V158" s="67">
        <f>Calc_EB_ACS!V$27</f>
        <v>0</v>
      </c>
      <c r="W158" s="68">
        <f>Calc_EB_ACS!W$27</f>
        <v>0</v>
      </c>
      <c r="X158" s="66">
        <f>Calc_EB_ACS!X$27</f>
        <v>0</v>
      </c>
      <c r="Y158" s="67">
        <f>Calc_EB_ACS!Y$27</f>
        <v>0</v>
      </c>
      <c r="Z158" s="67">
        <f>Calc_EB_ACS!Z$27</f>
        <v>0</v>
      </c>
      <c r="AA158" s="67">
        <f>Calc_EB_ACS!AA$27</f>
        <v>0</v>
      </c>
      <c r="AB158" s="68">
        <f>Calc_EB_ACS!AB$27</f>
        <v>0</v>
      </c>
    </row>
    <row r="159" spans="1:28" ht="12.3" x14ac:dyDescent="0.35">
      <c r="D159" s="15" t="str">
        <f>Calc_EB_ACS!$C$33</f>
        <v>Inflation</v>
      </c>
      <c r="E159" s="52" t="s">
        <v>202</v>
      </c>
      <c r="F159" s="52" t="str">
        <f>Dollars</f>
        <v>Dollars</v>
      </c>
      <c r="G159" s="52" t="str">
        <f>Nominal</f>
        <v>Nominal</v>
      </c>
      <c r="H159" s="52" t="str">
        <f>End_year</f>
        <v>End_year</v>
      </c>
      <c r="J159" s="66">
        <f>Calc_EB_ACS!J$46</f>
        <v>0</v>
      </c>
      <c r="K159" s="67">
        <f>Calc_EB_ACS!K$46</f>
        <v>0</v>
      </c>
      <c r="L159" s="67">
        <f>Calc_EB_ACS!L$46</f>
        <v>0</v>
      </c>
      <c r="M159" s="67">
        <f>Calc_EB_ACS!M$46</f>
        <v>0</v>
      </c>
      <c r="N159" s="67">
        <f>Calc_EB_ACS!N$46</f>
        <v>0</v>
      </c>
      <c r="O159" s="67">
        <f>Calc_EB_ACS!O$46</f>
        <v>0</v>
      </c>
      <c r="P159" s="67">
        <f>Calc_EB_ACS!P$46</f>
        <v>0</v>
      </c>
      <c r="Q159" s="67">
        <f>Calc_EB_ACS!Q$46</f>
        <v>0</v>
      </c>
      <c r="R159" s="68">
        <f>Calc_EB_ACS!R$46</f>
        <v>0</v>
      </c>
      <c r="S159" s="66">
        <f>Calc_EB_ACS!S$46</f>
        <v>0</v>
      </c>
      <c r="T159" s="67">
        <f>Calc_EB_ACS!T$46</f>
        <v>0</v>
      </c>
      <c r="U159" s="67">
        <f>Calc_EB_ACS!U$46</f>
        <v>0</v>
      </c>
      <c r="V159" s="67">
        <f>Calc_EB_ACS!V$46</f>
        <v>0</v>
      </c>
      <c r="W159" s="68">
        <f>Calc_EB_ACS!W$46</f>
        <v>0</v>
      </c>
      <c r="X159" s="66">
        <f>Calc_EB_ACS!X$46</f>
        <v>0</v>
      </c>
      <c r="Y159" s="67">
        <f>Calc_EB_ACS!Y$46</f>
        <v>0</v>
      </c>
      <c r="Z159" s="67">
        <f>Calc_EB_ACS!Z$46</f>
        <v>0</v>
      </c>
      <c r="AA159" s="67">
        <f>Calc_EB_ACS!AA$46</f>
        <v>0</v>
      </c>
      <c r="AB159" s="68">
        <f>Calc_EB_ACS!AB$46</f>
        <v>0</v>
      </c>
    </row>
    <row r="160" spans="1:28" ht="12.3" x14ac:dyDescent="0.35">
      <c r="D160" s="15" t="str">
        <f>Calc_EB_ACS!$C$52</f>
        <v>Straight Line Depreciation</v>
      </c>
      <c r="E160" s="52" t="s">
        <v>202</v>
      </c>
      <c r="F160" s="52" t="str">
        <f>Dollars</f>
        <v>Dollars</v>
      </c>
      <c r="G160" s="52" t="str">
        <f>Nominal</f>
        <v>Nominal</v>
      </c>
      <c r="H160" s="52" t="str">
        <f>End_year</f>
        <v>End_year</v>
      </c>
      <c r="J160" s="66">
        <f>Calc_EB_ACS!J$65</f>
        <v>0</v>
      </c>
      <c r="K160" s="67">
        <f>Calc_EB_ACS!K$65</f>
        <v>0</v>
      </c>
      <c r="L160" s="67">
        <f>Calc_EB_ACS!L$65</f>
        <v>0</v>
      </c>
      <c r="M160" s="67">
        <f>Calc_EB_ACS!M$65</f>
        <v>0</v>
      </c>
      <c r="N160" s="67">
        <f>Calc_EB_ACS!N$65</f>
        <v>0</v>
      </c>
      <c r="O160" s="67">
        <f>Calc_EB_ACS!O$65</f>
        <v>0</v>
      </c>
      <c r="P160" s="67">
        <f>Calc_EB_ACS!P$65</f>
        <v>0</v>
      </c>
      <c r="Q160" s="67">
        <f>Calc_EB_ACS!Q$65</f>
        <v>0</v>
      </c>
      <c r="R160" s="68">
        <f>Calc_EB_ACS!R$65</f>
        <v>0</v>
      </c>
      <c r="S160" s="66">
        <f>Calc_EB_ACS!S$65</f>
        <v>0</v>
      </c>
      <c r="T160" s="67">
        <f>Calc_EB_ACS!T$65</f>
        <v>0</v>
      </c>
      <c r="U160" s="67">
        <f>Calc_EB_ACS!U$65</f>
        <v>0</v>
      </c>
      <c r="V160" s="67">
        <f>Calc_EB_ACS!V$65</f>
        <v>0</v>
      </c>
      <c r="W160" s="68">
        <f>Calc_EB_ACS!W$65</f>
        <v>0</v>
      </c>
      <c r="X160" s="66">
        <f>Calc_EB_ACS!X$65</f>
        <v>0</v>
      </c>
      <c r="Y160" s="67">
        <f>Calc_EB_ACS!Y$65</f>
        <v>0</v>
      </c>
      <c r="Z160" s="67">
        <f>Calc_EB_ACS!Z$65</f>
        <v>0</v>
      </c>
      <c r="AA160" s="67">
        <f>Calc_EB_ACS!AA$65</f>
        <v>0</v>
      </c>
      <c r="AB160" s="68">
        <f>Calc_EB_ACS!AB$65</f>
        <v>0</v>
      </c>
    </row>
    <row r="161" spans="1:28" ht="12.3" x14ac:dyDescent="0.35">
      <c r="D161" s="15" t="str">
        <f>Calc_EB_ACS!$C$71</f>
        <v>RAB Additions</v>
      </c>
      <c r="E161" s="52" t="s">
        <v>202</v>
      </c>
      <c r="F161" s="52" t="str">
        <f>Dollars</f>
        <v>Dollars</v>
      </c>
      <c r="G161" s="52" t="str">
        <f>Nominal</f>
        <v>Nominal</v>
      </c>
      <c r="H161" s="52" t="str">
        <f>End_year</f>
        <v>End_year</v>
      </c>
      <c r="J161" s="66">
        <f>IFERROR(Calc_EB_ACS!J$84+Calc_EB_ACS!J$141,NA)</f>
        <v>0</v>
      </c>
      <c r="K161" s="67">
        <f>IFERROR(Calc_EB_ACS!K$84+Calc_EB_ACS!K$141,NA)</f>
        <v>0</v>
      </c>
      <c r="L161" s="67">
        <f>IFERROR(Calc_EB_ACS!L$84+Calc_EB_ACS!L$141,NA)</f>
        <v>0</v>
      </c>
      <c r="M161" s="67">
        <f>IFERROR(Calc_EB_ACS!M$84+Calc_EB_ACS!M$141,NA)</f>
        <v>0</v>
      </c>
      <c r="N161" s="67">
        <f>IFERROR(Calc_EB_ACS!N$84+Calc_EB_ACS!N$141,NA)</f>
        <v>0</v>
      </c>
      <c r="O161" s="67">
        <f>IFERROR(Calc_EB_ACS!O$84+Calc_EB_ACS!O$141,NA)</f>
        <v>0</v>
      </c>
      <c r="P161" s="67">
        <f>IFERROR(Calc_EB_ACS!P$84+Calc_EB_ACS!P$141,NA)</f>
        <v>0</v>
      </c>
      <c r="Q161" s="67">
        <f>IFERROR(Calc_EB_ACS!Q$84+Calc_EB_ACS!Q$141,NA)</f>
        <v>0</v>
      </c>
      <c r="R161" s="68">
        <f>IFERROR(Calc_EB_ACS!R$84+Calc_EB_ACS!R$141,NA)</f>
        <v>0</v>
      </c>
      <c r="S161" s="66">
        <f>IFERROR(Calc_EB_ACS!S$84+Calc_EB_ACS!S$141,NA)</f>
        <v>0</v>
      </c>
      <c r="T161" s="67">
        <f>IFERROR(Calc_EB_ACS!T$84+Calc_EB_ACS!T$141,NA)</f>
        <v>0</v>
      </c>
      <c r="U161" s="67">
        <f>IFERROR(Calc_EB_ACS!U$84+Calc_EB_ACS!U$141,NA)</f>
        <v>0</v>
      </c>
      <c r="V161" s="67">
        <f>IFERROR(Calc_EB_ACS!V$84+Calc_EB_ACS!V$141,NA)</f>
        <v>0</v>
      </c>
      <c r="W161" s="68">
        <f>IFERROR(Calc_EB_ACS!W$84+Calc_EB_ACS!W$141,NA)</f>
        <v>0</v>
      </c>
      <c r="X161" s="66">
        <f>IFERROR(Calc_EB_ACS!X$84+Calc_EB_ACS!X$141,NA)</f>
        <v>0</v>
      </c>
      <c r="Y161" s="67">
        <f>IFERROR(Calc_EB_ACS!Y$84+Calc_EB_ACS!Y$141,NA)</f>
        <v>0</v>
      </c>
      <c r="Z161" s="67">
        <f>IFERROR(Calc_EB_ACS!Z$84+Calc_EB_ACS!Z$141,NA)</f>
        <v>0</v>
      </c>
      <c r="AA161" s="67">
        <f>IFERROR(Calc_EB_ACS!AA$84+Calc_EB_ACS!AA$141,NA)</f>
        <v>0</v>
      </c>
      <c r="AB161" s="68">
        <f>IFERROR(Calc_EB_ACS!AB$84+Calc_EB_ACS!AB$141,NA)</f>
        <v>0</v>
      </c>
    </row>
    <row r="162" spans="1:28" ht="12.3" x14ac:dyDescent="0.35">
      <c r="D162" s="15" t="str">
        <f>Calc_EB_ACS!$C$90</f>
        <v>Disposals</v>
      </c>
      <c r="E162" s="52" t="s">
        <v>202</v>
      </c>
      <c r="F162" s="52" t="str">
        <f>Dollars</f>
        <v>Dollars</v>
      </c>
      <c r="G162" s="52" t="str">
        <f>Nominal</f>
        <v>Nominal</v>
      </c>
      <c r="H162" s="52" t="str">
        <f>End_year</f>
        <v>End_year</v>
      </c>
      <c r="J162" s="66">
        <f>Calc_EB_ACS!J$103</f>
        <v>0</v>
      </c>
      <c r="K162" s="67">
        <f>Calc_EB_ACS!K$103</f>
        <v>0</v>
      </c>
      <c r="L162" s="67">
        <f>Calc_EB_ACS!L$103</f>
        <v>0</v>
      </c>
      <c r="M162" s="67">
        <f>Calc_EB_ACS!M$103</f>
        <v>0</v>
      </c>
      <c r="N162" s="67">
        <f>Calc_EB_ACS!N$103</f>
        <v>0</v>
      </c>
      <c r="O162" s="67">
        <f>Calc_EB_ACS!O$103</f>
        <v>0</v>
      </c>
      <c r="P162" s="67">
        <f>Calc_EB_ACS!P$103</f>
        <v>0</v>
      </c>
      <c r="Q162" s="67">
        <f>Calc_EB_ACS!Q$103</f>
        <v>0</v>
      </c>
      <c r="R162" s="68">
        <f>Calc_EB_ACS!R$103</f>
        <v>0</v>
      </c>
      <c r="S162" s="66">
        <f>Calc_EB_ACS!S$103</f>
        <v>0</v>
      </c>
      <c r="T162" s="67">
        <f>Calc_EB_ACS!T$103</f>
        <v>0</v>
      </c>
      <c r="U162" s="67">
        <f>Calc_EB_ACS!U$103</f>
        <v>0</v>
      </c>
      <c r="V162" s="67">
        <f>Calc_EB_ACS!V$103</f>
        <v>0</v>
      </c>
      <c r="W162" s="68">
        <f>Calc_EB_ACS!W$103</f>
        <v>0</v>
      </c>
      <c r="X162" s="66">
        <f>Calc_EB_ACS!X$103</f>
        <v>0</v>
      </c>
      <c r="Y162" s="67">
        <f>Calc_EB_ACS!Y$103</f>
        <v>0</v>
      </c>
      <c r="Z162" s="67">
        <f>Calc_EB_ACS!Z$103</f>
        <v>0</v>
      </c>
      <c r="AA162" s="67">
        <f>Calc_EB_ACS!AA$103</f>
        <v>0</v>
      </c>
      <c r="AB162" s="68">
        <f>Calc_EB_ACS!AB$103</f>
        <v>0</v>
      </c>
    </row>
    <row r="163" spans="1:28" x14ac:dyDescent="0.35">
      <c r="J163" s="56"/>
      <c r="K163" s="57"/>
      <c r="L163" s="57"/>
      <c r="M163" s="57"/>
      <c r="N163" s="57"/>
      <c r="O163" s="57"/>
      <c r="P163" s="57"/>
      <c r="Q163" s="57"/>
      <c r="R163" s="58"/>
      <c r="S163" s="56"/>
      <c r="T163" s="57"/>
      <c r="U163" s="57"/>
      <c r="V163" s="57"/>
      <c r="W163" s="58"/>
      <c r="X163" s="56"/>
      <c r="Y163" s="57"/>
      <c r="Z163" s="57"/>
      <c r="AA163" s="57"/>
      <c r="AB163" s="58"/>
    </row>
    <row r="164" spans="1:28" ht="12.3" x14ac:dyDescent="0.35">
      <c r="D164" s="51" t="s">
        <v>152</v>
      </c>
      <c r="E164" s="47" t="s">
        <v>111</v>
      </c>
      <c r="F164" s="47" t="str">
        <f>F158</f>
        <v>Dollars</v>
      </c>
      <c r="G164" s="47" t="str">
        <f>G158</f>
        <v>Nominal</v>
      </c>
      <c r="H164" s="47" t="str">
        <f>H158</f>
        <v>Start year</v>
      </c>
      <c r="J164" s="62">
        <f t="shared" ref="J164:AB164" si="26">SUM(J158:J162)</f>
        <v>0</v>
      </c>
      <c r="K164" s="46">
        <f t="shared" si="26"/>
        <v>0</v>
      </c>
      <c r="L164" s="46">
        <f t="shared" si="26"/>
        <v>0</v>
      </c>
      <c r="M164" s="46">
        <f t="shared" si="26"/>
        <v>0</v>
      </c>
      <c r="N164" s="46">
        <f t="shared" si="26"/>
        <v>0</v>
      </c>
      <c r="O164" s="46">
        <f t="shared" si="26"/>
        <v>0</v>
      </c>
      <c r="P164" s="46">
        <f t="shared" si="26"/>
        <v>0</v>
      </c>
      <c r="Q164" s="46">
        <f t="shared" si="26"/>
        <v>0</v>
      </c>
      <c r="R164" s="63">
        <f t="shared" si="26"/>
        <v>0</v>
      </c>
      <c r="S164" s="62">
        <f t="shared" si="26"/>
        <v>0</v>
      </c>
      <c r="T164" s="46">
        <f t="shared" si="26"/>
        <v>0</v>
      </c>
      <c r="U164" s="46">
        <f t="shared" si="26"/>
        <v>0</v>
      </c>
      <c r="V164" s="46">
        <f t="shared" si="26"/>
        <v>0</v>
      </c>
      <c r="W164" s="63">
        <f t="shared" si="26"/>
        <v>0</v>
      </c>
      <c r="X164" s="62">
        <f t="shared" si="26"/>
        <v>0</v>
      </c>
      <c r="Y164" s="46">
        <f t="shared" si="26"/>
        <v>0</v>
      </c>
      <c r="Z164" s="46">
        <f t="shared" si="26"/>
        <v>0</v>
      </c>
      <c r="AA164" s="46">
        <f t="shared" si="26"/>
        <v>0</v>
      </c>
      <c r="AB164" s="63">
        <f t="shared" si="26"/>
        <v>0</v>
      </c>
    </row>
    <row r="165" spans="1:28" s="6" customFormat="1" ht="11.25" customHeight="1" x14ac:dyDescent="0.35"/>
    <row r="166" spans="1:28" s="6" customFormat="1" ht="11.25" customHeight="1" x14ac:dyDescent="0.35">
      <c r="A166" s="49">
        <f>IF(SUM($J166:$AB166)&lt;&gt;0,1,0)</f>
        <v>0</v>
      </c>
      <c r="D166" s="15" t="s">
        <v>114</v>
      </c>
      <c r="J166" s="70">
        <f>IF(J164&lt;&gt;(Calc_EB_ACS!J$160),1,0)</f>
        <v>0</v>
      </c>
      <c r="K166" s="70">
        <f>IF(K164&lt;&gt;(Calc_EB_ACS!K$160),1,0)</f>
        <v>0</v>
      </c>
      <c r="L166" s="70">
        <f>IF(L164&lt;&gt;(Calc_EB_ACS!L$160),1,0)</f>
        <v>0</v>
      </c>
      <c r="M166" s="70">
        <f>IF(M164&lt;&gt;(Calc_EB_ACS!M$160),1,0)</f>
        <v>0</v>
      </c>
      <c r="N166" s="70">
        <f>IF(N164&lt;&gt;(Calc_EB_ACS!N$160),1,0)</f>
        <v>0</v>
      </c>
      <c r="O166" s="70">
        <f>IF(O164&lt;&gt;(Calc_EB_ACS!O$160),1,0)</f>
        <v>0</v>
      </c>
      <c r="P166" s="70">
        <f>IF(P164&lt;&gt;(Calc_EB_ACS!P$160),1,0)</f>
        <v>0</v>
      </c>
      <c r="Q166" s="70">
        <f>IF(Q164&lt;&gt;(Calc_EB_ACS!Q$160),1,0)</f>
        <v>0</v>
      </c>
      <c r="R166" s="70">
        <f>IF(R164&lt;&gt;(Calc_EB_ACS!R$160),1,0)</f>
        <v>0</v>
      </c>
      <c r="S166" s="70">
        <f>IF(S164&lt;&gt;(Calc_EB_ACS!S$160),1,0)</f>
        <v>0</v>
      </c>
      <c r="T166" s="70">
        <f>IF(T164&lt;&gt;(Calc_EB_ACS!T$160),1,0)</f>
        <v>0</v>
      </c>
      <c r="U166" s="70">
        <f>IF(U164&lt;&gt;(Calc_EB_ACS!U$160),1,0)</f>
        <v>0</v>
      </c>
      <c r="V166" s="70">
        <f>IF(V164&lt;&gt;(Calc_EB_ACS!V$160),1,0)</f>
        <v>0</v>
      </c>
      <c r="W166" s="70">
        <f>IF(W164&lt;&gt;(Calc_EB_ACS!W$160),1,0)</f>
        <v>0</v>
      </c>
      <c r="X166" s="70">
        <f>IF(X164&lt;&gt;(Calc_EB_ACS!X$160),1,0)</f>
        <v>0</v>
      </c>
      <c r="Y166" s="70">
        <f>IF(Y164&lt;&gt;(Calc_EB_ACS!Y$160),1,0)</f>
        <v>0</v>
      </c>
      <c r="Z166" s="70">
        <f>IF(Z164&lt;&gt;(Calc_EB_ACS!Z$160),1,0)</f>
        <v>0</v>
      </c>
      <c r="AA166" s="70">
        <f>IF(AA164&lt;&gt;(Calc_EB_ACS!AA$160),1,0)</f>
        <v>0</v>
      </c>
      <c r="AB166" s="70">
        <f>IF(AB164&lt;&gt;(Calc_EB_ACS!AB$160),1,0)</f>
        <v>0</v>
      </c>
    </row>
    <row r="168" spans="1:28" s="4" customFormat="1" ht="15" x14ac:dyDescent="0.35">
      <c r="B168" s="4" t="s">
        <v>33</v>
      </c>
    </row>
  </sheetData>
  <conditionalFormatting sqref="B2">
    <cfRule type="cellIs" dxfId="6" priority="1" operator="notEqual">
      <formula>"No Errors Found"</formula>
    </cfRule>
  </conditionalFormatting>
  <hyperlinks>
    <hyperlink ref="B3:E3" location="TOC!A1" display="TOC!A1" xr:uid="{00000000-0004-0000-11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9939F-707A-4843-8217-2F7A28AACC1C}">
  <sheetPr codeName="Sheet39">
    <tabColor theme="6"/>
    <pageSetUpPr autoPageBreaks="0" fitToPage="1"/>
  </sheetPr>
  <dimension ref="A1:BD204"/>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8.6640625" defaultRowHeight="14.4" outlineLevelRow="2" outlineLevelCol="1" x14ac:dyDescent="0.55000000000000004"/>
  <cols>
    <col min="1" max="1" width="23.46484375" style="260" customWidth="1"/>
    <col min="2" max="2" width="95.265625" style="158" bestFit="1" customWidth="1"/>
    <col min="3" max="3" width="23.3984375" style="158" customWidth="1"/>
    <col min="4" max="14" width="23.3984375" style="158" customWidth="1" outlineLevel="1"/>
    <col min="15" max="15" width="6.59765625" style="158" customWidth="1"/>
    <col min="16" max="16" width="23.3984375" style="158" customWidth="1"/>
    <col min="17" max="27" width="23.3984375" style="158" customWidth="1" outlineLevel="1"/>
    <col min="28" max="28" width="5.59765625" style="158" customWidth="1"/>
    <col min="29" max="29" width="23.3984375" style="158" customWidth="1"/>
    <col min="30" max="40" width="23.3984375" style="158" customWidth="1" outlineLevel="1"/>
    <col min="41" max="16384" width="8.6640625" style="158"/>
  </cols>
  <sheetData>
    <row r="1" spans="1:56" ht="30" customHeight="1" x14ac:dyDescent="0.55000000000000004">
      <c r="A1" s="154"/>
      <c r="B1" s="155" t="s">
        <v>271</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7"/>
      <c r="AP1" s="157"/>
      <c r="AQ1" s="157"/>
      <c r="AR1" s="157"/>
      <c r="AS1" s="157"/>
      <c r="AT1" s="157"/>
      <c r="AU1" s="157"/>
      <c r="AV1" s="157"/>
      <c r="AW1" s="157"/>
      <c r="AX1" s="157"/>
      <c r="AY1" s="157"/>
      <c r="AZ1" s="157"/>
      <c r="BA1" s="157"/>
      <c r="BB1" s="157"/>
      <c r="BC1" s="157"/>
      <c r="BD1" s="157"/>
    </row>
    <row r="2" spans="1:56" ht="30" customHeight="1" x14ac:dyDescent="0.55000000000000004">
      <c r="A2" s="154"/>
      <c r="B2" s="159" t="s">
        <v>445</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7"/>
      <c r="AP2" s="157"/>
      <c r="AQ2" s="157"/>
      <c r="AR2" s="157"/>
      <c r="AS2" s="157"/>
      <c r="AT2" s="157"/>
      <c r="AU2" s="157"/>
      <c r="AV2" s="157"/>
      <c r="AW2" s="157"/>
      <c r="AX2" s="157"/>
      <c r="AY2" s="157"/>
      <c r="AZ2" s="157"/>
      <c r="BA2" s="157"/>
      <c r="BB2" s="157"/>
      <c r="BC2" s="157"/>
      <c r="BD2" s="157"/>
    </row>
    <row r="3" spans="1:56" ht="30" customHeight="1" x14ac:dyDescent="0.55000000000000004">
      <c r="A3" s="154"/>
      <c r="B3" s="155" t="s">
        <v>432</v>
      </c>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57"/>
      <c r="AP3" s="157"/>
      <c r="AQ3" s="157"/>
      <c r="AR3" s="157"/>
      <c r="AS3" s="157"/>
      <c r="AT3" s="157"/>
      <c r="AU3" s="157"/>
      <c r="AV3" s="157"/>
      <c r="AW3" s="157"/>
      <c r="AX3" s="157"/>
      <c r="AY3" s="157"/>
      <c r="AZ3" s="157"/>
      <c r="BA3" s="157"/>
      <c r="BB3" s="157"/>
      <c r="BC3" s="157"/>
      <c r="BD3" s="157"/>
    </row>
    <row r="4" spans="1:56" ht="30" customHeight="1" x14ac:dyDescent="0.55000000000000004">
      <c r="A4" s="154"/>
      <c r="B4" s="161" t="s">
        <v>272</v>
      </c>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57"/>
      <c r="AP4" s="157"/>
      <c r="AQ4" s="157"/>
      <c r="AR4" s="157"/>
      <c r="AS4" s="157"/>
      <c r="AT4" s="157"/>
      <c r="AU4" s="157"/>
      <c r="AV4" s="157"/>
      <c r="AW4" s="157"/>
      <c r="AX4" s="157"/>
      <c r="AY4" s="157"/>
      <c r="AZ4" s="157"/>
      <c r="BA4" s="157"/>
      <c r="BB4" s="157"/>
      <c r="BC4" s="157"/>
      <c r="BD4" s="157"/>
    </row>
    <row r="5" spans="1:56" x14ac:dyDescent="0.55000000000000004">
      <c r="A5" s="158"/>
    </row>
    <row r="6" spans="1:56" ht="43.2" x14ac:dyDescent="0.55000000000000004">
      <c r="A6" s="70">
        <f>SUM(A19,A32,A39,A46,A53,A60,A67,A73,A80,A87)</f>
        <v>0</v>
      </c>
      <c r="B6" s="162" t="s">
        <v>273</v>
      </c>
    </row>
    <row r="7" spans="1:56" x14ac:dyDescent="0.55000000000000004">
      <c r="A7" s="158"/>
    </row>
    <row r="8" spans="1:56" ht="18.600000000000001" thickBot="1" x14ac:dyDescent="0.6">
      <c r="A8" s="163"/>
      <c r="B8" s="164" t="s">
        <v>274</v>
      </c>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T8" s="157"/>
      <c r="AU8" s="157"/>
      <c r="AV8" s="157"/>
      <c r="AW8" s="157"/>
      <c r="AX8" s="157"/>
      <c r="AY8" s="157"/>
      <c r="AZ8" s="157"/>
      <c r="BA8" s="157"/>
      <c r="BB8" s="157"/>
      <c r="BC8" s="157"/>
      <c r="BD8" s="157"/>
    </row>
    <row r="9" spans="1:56" ht="28.5" customHeight="1" outlineLevel="2" x14ac:dyDescent="0.75">
      <c r="A9" s="163"/>
      <c r="B9" s="165"/>
      <c r="C9" s="394" t="s">
        <v>275</v>
      </c>
      <c r="D9" s="395"/>
      <c r="E9" s="395"/>
      <c r="F9" s="395"/>
      <c r="G9" s="395"/>
      <c r="H9" s="395"/>
      <c r="I9" s="395"/>
      <c r="J9" s="395"/>
      <c r="K9" s="395"/>
      <c r="L9" s="395"/>
      <c r="M9" s="395"/>
      <c r="N9" s="396"/>
      <c r="O9" s="166"/>
      <c r="P9" s="397" t="s">
        <v>93</v>
      </c>
      <c r="Q9" s="398"/>
      <c r="R9" s="398"/>
      <c r="S9" s="398"/>
      <c r="T9" s="398"/>
      <c r="U9" s="398"/>
      <c r="V9" s="398"/>
      <c r="W9" s="398"/>
      <c r="X9" s="398"/>
      <c r="Y9" s="398"/>
      <c r="Z9" s="398"/>
      <c r="AA9" s="399"/>
      <c r="AB9" s="167"/>
      <c r="AC9" s="394" t="s">
        <v>94</v>
      </c>
      <c r="AD9" s="395"/>
      <c r="AE9" s="395"/>
      <c r="AF9" s="395"/>
      <c r="AG9" s="395"/>
      <c r="AH9" s="395"/>
      <c r="AI9" s="395"/>
      <c r="AJ9" s="395"/>
      <c r="AK9" s="395"/>
      <c r="AL9" s="395"/>
      <c r="AM9" s="395"/>
      <c r="AN9" s="396"/>
      <c r="AO9" s="157"/>
      <c r="AP9" s="157"/>
      <c r="AQ9" s="157"/>
      <c r="AR9" s="157"/>
      <c r="AS9" s="157"/>
      <c r="AT9" s="157"/>
      <c r="AU9" s="157"/>
      <c r="AV9" s="157"/>
      <c r="AW9" s="157"/>
      <c r="AX9" s="157"/>
      <c r="AY9" s="157"/>
      <c r="AZ9" s="157"/>
      <c r="BA9" s="157"/>
      <c r="BB9" s="157"/>
      <c r="BC9" s="157"/>
      <c r="BD9" s="157"/>
    </row>
    <row r="10" spans="1:56" s="169" customFormat="1" ht="41.25" customHeight="1" outlineLevel="2" thickBot="1" x14ac:dyDescent="0.6">
      <c r="A10" s="163"/>
      <c r="B10" s="168"/>
      <c r="C10" s="406" t="s">
        <v>276</v>
      </c>
      <c r="D10" s="407"/>
      <c r="E10" s="407"/>
      <c r="F10" s="407"/>
      <c r="G10" s="407"/>
      <c r="H10" s="407"/>
      <c r="I10" s="407"/>
      <c r="J10" s="407"/>
      <c r="K10" s="407"/>
      <c r="L10" s="407"/>
      <c r="M10" s="407"/>
      <c r="N10" s="408"/>
      <c r="O10" s="158"/>
      <c r="P10" s="403" t="s">
        <v>276</v>
      </c>
      <c r="Q10" s="404"/>
      <c r="R10" s="404"/>
      <c r="S10" s="404"/>
      <c r="T10" s="404"/>
      <c r="U10" s="404"/>
      <c r="V10" s="404"/>
      <c r="W10" s="404"/>
      <c r="X10" s="404"/>
      <c r="Y10" s="404"/>
      <c r="Z10" s="404"/>
      <c r="AA10" s="405"/>
      <c r="AB10" s="168"/>
      <c r="AC10" s="406" t="s">
        <v>276</v>
      </c>
      <c r="AD10" s="407"/>
      <c r="AE10" s="407"/>
      <c r="AF10" s="407"/>
      <c r="AG10" s="407"/>
      <c r="AH10" s="407"/>
      <c r="AI10" s="407"/>
      <c r="AJ10" s="407"/>
      <c r="AK10" s="407"/>
      <c r="AL10" s="407"/>
      <c r="AM10" s="407"/>
      <c r="AN10" s="408"/>
      <c r="AO10" s="168"/>
      <c r="AP10" s="168"/>
      <c r="AQ10" s="168"/>
      <c r="AR10" s="168"/>
      <c r="AS10" s="168"/>
      <c r="AT10" s="168"/>
      <c r="AU10" s="168"/>
      <c r="AV10" s="168"/>
      <c r="AW10" s="168"/>
      <c r="AX10" s="168"/>
      <c r="AY10" s="168"/>
      <c r="AZ10" s="168"/>
      <c r="BA10" s="168"/>
      <c r="BB10" s="168"/>
      <c r="BC10" s="168"/>
      <c r="BD10" s="168"/>
    </row>
    <row r="11" spans="1:56" s="176" customFormat="1" ht="14.7" outlineLevel="2" thickBot="1" x14ac:dyDescent="0.6">
      <c r="A11" s="170"/>
      <c r="B11" s="157"/>
      <c r="C11" s="171" t="s">
        <v>433</v>
      </c>
      <c r="D11" s="172" t="s">
        <v>434</v>
      </c>
      <c r="E11" s="172" t="s">
        <v>435</v>
      </c>
      <c r="F11" s="172" t="s">
        <v>436</v>
      </c>
      <c r="G11" s="172" t="s">
        <v>437</v>
      </c>
      <c r="H11" s="172" t="s">
        <v>438</v>
      </c>
      <c r="I11" s="172" t="s">
        <v>439</v>
      </c>
      <c r="J11" s="172" t="s">
        <v>440</v>
      </c>
      <c r="K11" s="172" t="s">
        <v>441</v>
      </c>
      <c r="L11" s="173" t="s">
        <v>442</v>
      </c>
      <c r="M11" s="173" t="s">
        <v>443</v>
      </c>
      <c r="N11" s="173" t="s">
        <v>444</v>
      </c>
      <c r="O11" s="158"/>
      <c r="P11" s="174" t="s">
        <v>433</v>
      </c>
      <c r="Q11" s="175" t="s">
        <v>434</v>
      </c>
      <c r="R11" s="175" t="s">
        <v>435</v>
      </c>
      <c r="S11" s="175" t="s">
        <v>436</v>
      </c>
      <c r="T11" s="175" t="s">
        <v>437</v>
      </c>
      <c r="U11" s="172" t="s">
        <v>438</v>
      </c>
      <c r="V11" s="172" t="s">
        <v>439</v>
      </c>
      <c r="W11" s="172" t="s">
        <v>440</v>
      </c>
      <c r="X11" s="172" t="s">
        <v>441</v>
      </c>
      <c r="Y11" s="175" t="s">
        <v>442</v>
      </c>
      <c r="Z11" s="173" t="s">
        <v>443</v>
      </c>
      <c r="AA11" s="173" t="s">
        <v>444</v>
      </c>
      <c r="AB11" s="158"/>
      <c r="AC11" s="174" t="s">
        <v>433</v>
      </c>
      <c r="AD11" s="175" t="s">
        <v>434</v>
      </c>
      <c r="AE11" s="175" t="s">
        <v>435</v>
      </c>
      <c r="AF11" s="175" t="s">
        <v>436</v>
      </c>
      <c r="AG11" s="175" t="s">
        <v>437</v>
      </c>
      <c r="AH11" s="172" t="s">
        <v>438</v>
      </c>
      <c r="AI11" s="172" t="s">
        <v>439</v>
      </c>
      <c r="AJ11" s="172" t="s">
        <v>440</v>
      </c>
      <c r="AK11" s="172" t="s">
        <v>441</v>
      </c>
      <c r="AL11" s="175" t="s">
        <v>442</v>
      </c>
      <c r="AM11" s="173" t="s">
        <v>443</v>
      </c>
      <c r="AN11" s="173" t="s">
        <v>444</v>
      </c>
      <c r="AO11" s="157"/>
      <c r="AP11" s="157"/>
      <c r="AQ11" s="157"/>
      <c r="AR11" s="157"/>
      <c r="AS11" s="157"/>
      <c r="AT11" s="157"/>
      <c r="AU11" s="157"/>
      <c r="AV11" s="157"/>
      <c r="AW11" s="157"/>
      <c r="AX11" s="157"/>
      <c r="AY11" s="157"/>
      <c r="AZ11" s="157"/>
      <c r="BA11" s="157"/>
      <c r="BB11" s="157"/>
      <c r="BC11" s="157"/>
      <c r="BD11" s="157"/>
    </row>
    <row r="12" spans="1:56" ht="29.25" customHeight="1" outlineLevel="2" thickBot="1" x14ac:dyDescent="0.6">
      <c r="A12" s="163"/>
      <c r="B12" s="177" t="s">
        <v>277</v>
      </c>
      <c r="C12" s="178"/>
      <c r="D12" s="178"/>
      <c r="E12" s="178"/>
      <c r="F12" s="178"/>
      <c r="G12" s="178"/>
      <c r="H12" s="178"/>
      <c r="I12" s="178"/>
      <c r="J12" s="178"/>
      <c r="K12" s="178"/>
      <c r="L12" s="178"/>
      <c r="M12" s="178"/>
      <c r="N12" s="178"/>
      <c r="P12" s="178"/>
      <c r="Q12" s="178"/>
      <c r="R12" s="178"/>
      <c r="S12" s="178"/>
      <c r="T12" s="178"/>
      <c r="U12" s="178"/>
      <c r="V12" s="178"/>
      <c r="W12" s="178"/>
      <c r="X12" s="178"/>
      <c r="Y12" s="178"/>
      <c r="Z12" s="178"/>
      <c r="AA12" s="178"/>
      <c r="AC12" s="178"/>
      <c r="AD12" s="178"/>
      <c r="AE12" s="178"/>
      <c r="AF12" s="178"/>
      <c r="AG12" s="178"/>
      <c r="AH12" s="178"/>
      <c r="AI12" s="178"/>
      <c r="AJ12" s="178"/>
      <c r="AK12" s="178"/>
      <c r="AL12" s="178"/>
      <c r="AM12" s="178"/>
      <c r="AN12" s="178"/>
      <c r="AO12" s="157"/>
      <c r="AP12" s="157"/>
      <c r="AQ12" s="157"/>
      <c r="AR12" s="157"/>
      <c r="AS12" s="157"/>
      <c r="AT12" s="157"/>
      <c r="AU12" s="157"/>
      <c r="AV12" s="157"/>
      <c r="AW12" s="157"/>
      <c r="AX12" s="157"/>
      <c r="AY12" s="157"/>
      <c r="AZ12" s="157"/>
      <c r="BA12" s="157"/>
      <c r="BB12" s="157"/>
      <c r="BC12" s="157"/>
      <c r="BD12" s="157"/>
    </row>
    <row r="13" spans="1:56" outlineLevel="2" x14ac:dyDescent="0.55000000000000004">
      <c r="A13" s="179" t="s">
        <v>278</v>
      </c>
      <c r="B13" s="180" t="s">
        <v>279</v>
      </c>
      <c r="C13" s="181">
        <f>Output_EB_RIN_NS!J16*10^6</f>
        <v>350565095.90619415</v>
      </c>
      <c r="D13" s="182">
        <f>Output_EB_RIN_NS!K16*10^6</f>
        <v>365950996.60144585</v>
      </c>
      <c r="E13" s="182">
        <f>Output_EB_RIN_NS!L16*10^6</f>
        <v>386150539.82321191</v>
      </c>
      <c r="F13" s="182">
        <f>Output_EB_RIN_NS!M16*10^6</f>
        <v>431642173.07079828</v>
      </c>
      <c r="G13" s="183">
        <f>Output_EB_RIN_NS!N16*10^6</f>
        <v>482449753.25772113</v>
      </c>
      <c r="H13" s="184">
        <f>Output_EB_RIN_NS!O16*10^6</f>
        <v>551688379.85352087</v>
      </c>
      <c r="I13" s="182">
        <f>Output_EB_RIN_NS!P16*10^6</f>
        <v>634156006.08284795</v>
      </c>
      <c r="J13" s="182">
        <f>Output_EB_RIN_NS!Q16*10^6</f>
        <v>692913332.64105725</v>
      </c>
      <c r="K13" s="182">
        <f>Output_EB_RIN_NS!R16*10^6</f>
        <v>788492900.0631398</v>
      </c>
      <c r="L13" s="183">
        <f>Output_EB_RIN_NS!S16*10^6</f>
        <v>861769689.18951213</v>
      </c>
      <c r="M13" s="185">
        <f>Output_EB_RIN_NS!T16*10^6</f>
        <v>902199357.16127753</v>
      </c>
      <c r="N13" s="183">
        <f>Output_EB_RIN_NS!U16*10^6</f>
        <v>928072078.30488884</v>
      </c>
      <c r="P13" s="181">
        <f>Output_EB_RIN_SCS!J16*10^6</f>
        <v>346097765.74165612</v>
      </c>
      <c r="Q13" s="182">
        <f>Output_EB_RIN_SCS!K16*10^6</f>
        <v>361299100.07209706</v>
      </c>
      <c r="R13" s="182">
        <f>Output_EB_RIN_SCS!L16*10^6</f>
        <v>381267176.53788954</v>
      </c>
      <c r="S13" s="182">
        <f>Output_EB_RIN_SCS!M16*10^6</f>
        <v>426231917.48430437</v>
      </c>
      <c r="T13" s="183">
        <f>Output_EB_RIN_SCS!N16*10^6</f>
        <v>476546530.0707317</v>
      </c>
      <c r="U13" s="184">
        <f>Output_EB_RIN_SCS!O16*10^6</f>
        <v>545181087.55768156</v>
      </c>
      <c r="V13" s="182">
        <f>Output_EB_RIN_SCS!P16*10^6</f>
        <v>627040538.78422606</v>
      </c>
      <c r="W13" s="182">
        <f>Output_EB_RIN_SCS!Q16*10^6</f>
        <v>685448097.62150359</v>
      </c>
      <c r="X13" s="182">
        <f>Output_EB_RIN_SCS!R16*10^6</f>
        <v>780347310.61589062</v>
      </c>
      <c r="Y13" s="183">
        <f>Output_EB_RIN_SCS!S16*10^6</f>
        <v>853141392.86484385</v>
      </c>
      <c r="Z13" s="185">
        <f>Output_EB_RIN_SCS!T16*10^6</f>
        <v>893022695.6434412</v>
      </c>
      <c r="AA13" s="183">
        <f>Output_EB_RIN_SCS!U16*10^6</f>
        <v>918527462.92279005</v>
      </c>
      <c r="AC13" s="181">
        <f>Output_EB_RIN_ACS!J16*10^6</f>
        <v>3690148.4438708392</v>
      </c>
      <c r="AD13" s="182">
        <f>Output_EB_RIN_ACS!K16*10^6</f>
        <v>3827894.8849313324</v>
      </c>
      <c r="AE13" s="182">
        <f>Output_EB_RIN_ACS!L16*10^6</f>
        <v>3963382.5068773604</v>
      </c>
      <c r="AF13" s="182">
        <f>Output_EB_RIN_ACS!M16*10^6</f>
        <v>4597050.0391445179</v>
      </c>
      <c r="AG13" s="183">
        <f>Output_EB_RIN_ACS!N16*10^6</f>
        <v>5238859.508486188</v>
      </c>
      <c r="AH13" s="184">
        <f>Output_EB_RIN_ACS!O16*10^6</f>
        <v>5920632.8610343654</v>
      </c>
      <c r="AI13" s="182">
        <f>Output_EB_RIN_ACS!P16*10^6</f>
        <v>6396442.9547187528</v>
      </c>
      <c r="AJ13" s="182">
        <f>Output_EB_RIN_ACS!Q16*10^6</f>
        <v>6862208.173106784</v>
      </c>
      <c r="AK13" s="182">
        <f>Output_EB_RIN_ACS!R16*10^6</f>
        <v>7610765.2191467546</v>
      </c>
      <c r="AL13" s="183">
        <f>Output_EB_RIN_ACS!S16*10^6</f>
        <v>7505972.0809878008</v>
      </c>
      <c r="AM13" s="185">
        <f>Output_EB_RIN_ACS!T16*10^6</f>
        <v>8454227.0143843647</v>
      </c>
      <c r="AN13" s="183">
        <f>Output_EB_RIN_ACS!U16*10^6</f>
        <v>10425813.642022686</v>
      </c>
      <c r="AO13" s="157"/>
      <c r="AP13" s="157"/>
      <c r="AQ13" s="157"/>
      <c r="AR13" s="157"/>
      <c r="AS13" s="157"/>
      <c r="AT13" s="157"/>
      <c r="AU13" s="157"/>
      <c r="AV13" s="157"/>
      <c r="AW13" s="157"/>
      <c r="AX13" s="157"/>
      <c r="AY13" s="157"/>
      <c r="AZ13" s="157"/>
      <c r="BA13" s="157"/>
      <c r="BB13" s="157"/>
      <c r="BC13" s="157"/>
      <c r="BD13" s="157"/>
    </row>
    <row r="14" spans="1:56" outlineLevel="2" x14ac:dyDescent="0.55000000000000004">
      <c r="A14" s="179" t="s">
        <v>280</v>
      </c>
      <c r="B14" s="186" t="s">
        <v>281</v>
      </c>
      <c r="C14" s="187">
        <f>Output_EB_RIN_NS!J17*10^6</f>
        <v>10247944.338305332</v>
      </c>
      <c r="D14" s="188">
        <f>Output_EB_RIN_NS!K17*10^6</f>
        <v>9094640.1522252318</v>
      </c>
      <c r="E14" s="188">
        <f>Output_EB_RIN_NS!L17*10^6</f>
        <v>16498348.69914416</v>
      </c>
      <c r="F14" s="188">
        <f>Output_EB_RIN_NS!M17*10^6</f>
        <v>10516199.122433627</v>
      </c>
      <c r="G14" s="189">
        <f>Output_EB_RIN_NS!N17*10^6</f>
        <v>14082317.122117229</v>
      </c>
      <c r="H14" s="190">
        <f>Output_EB_RIN_NS!O17*10^6</f>
        <v>17964642.621280562</v>
      </c>
      <c r="I14" s="188">
        <f>Output_EB_RIN_NS!P17*10^6</f>
        <v>10321969.580188872</v>
      </c>
      <c r="J14" s="188">
        <f>Output_EB_RIN_NS!Q17*10^6</f>
        <v>17340173.489515942</v>
      </c>
      <c r="K14" s="188">
        <f>Output_EB_RIN_NS!R17*10^6</f>
        <v>19317197.997092523</v>
      </c>
      <c r="L14" s="189">
        <f>Output_EB_RIN_NS!S17*10^6</f>
        <v>11446656.213143349</v>
      </c>
      <c r="M14" s="191">
        <f>Output_EB_RIN_NS!T17*10^6</f>
        <v>11826583.333574925</v>
      </c>
      <c r="N14" s="189">
        <f>Output_EB_RIN_NS!U17*10^6</f>
        <v>19727964.695944894</v>
      </c>
      <c r="P14" s="187">
        <f>Output_EB_RIN_SCS!J17*10^6</f>
        <v>10117352.469914453</v>
      </c>
      <c r="Q14" s="188">
        <f>Output_EB_RIN_SCS!K17*10^6</f>
        <v>8979030.8893656787</v>
      </c>
      <c r="R14" s="188">
        <f>Output_EB_RIN_SCS!L17*10^6</f>
        <v>16289706.15693062</v>
      </c>
      <c r="S14" s="188">
        <f>Output_EB_RIN_SCS!M17*10^6</f>
        <v>10384387.801389478</v>
      </c>
      <c r="T14" s="189">
        <f>Output_EB_RIN_SCS!N17*10^6</f>
        <v>13910006.823686188</v>
      </c>
      <c r="U14" s="190">
        <f>Output_EB_RIN_SCS!O17*10^6</f>
        <v>17752745.498201758</v>
      </c>
      <c r="V14" s="188">
        <f>Output_EB_RIN_SCS!P17*10^6</f>
        <v>10206153.225379156</v>
      </c>
      <c r="W14" s="188">
        <f>Output_EB_RIN_SCS!Q17*10^6</f>
        <v>17153355.79633392</v>
      </c>
      <c r="X14" s="188">
        <f>Output_EB_RIN_SCS!R17*10^6</f>
        <v>19117640.126447212</v>
      </c>
      <c r="Y14" s="189">
        <f>Output_EB_RIN_SCS!S17*10^6</f>
        <v>11332048.86158229</v>
      </c>
      <c r="Z14" s="191">
        <f>Output_EB_RIN_SCS!T17*10^6</f>
        <v>11706290.017798044</v>
      </c>
      <c r="AA14" s="189">
        <f>Output_EB_RIN_SCS!U17*10^6</f>
        <v>19525075.459541686</v>
      </c>
      <c r="AC14" s="187">
        <f>Output_EB_RIN_ACS!J17*10^6</f>
        <v>107872.79251266787</v>
      </c>
      <c r="AD14" s="188">
        <f>Output_EB_RIN_ACS!K17*10^6</f>
        <v>95131.115483500034</v>
      </c>
      <c r="AE14" s="188">
        <f>Output_EB_RIN_ACS!L17*10^6</f>
        <v>169336.20410446002</v>
      </c>
      <c r="AF14" s="188">
        <f>Output_EB_RIN_ACS!M17*10^6</f>
        <v>111999.00427594622</v>
      </c>
      <c r="AG14" s="189">
        <f>Output_EB_RIN_ACS!N17*10^6</f>
        <v>152918.06132878567</v>
      </c>
      <c r="AH14" s="190">
        <f>Output_EB_RIN_ACS!O17*10^6</f>
        <v>192793.71711351335</v>
      </c>
      <c r="AI14" s="188">
        <f>Output_EB_RIN_ACS!P17*10^6</f>
        <v>104113.00841861746</v>
      </c>
      <c r="AJ14" s="188">
        <f>Output_EB_RIN_ACS!Q17*10^6</f>
        <v>171726.9312589285</v>
      </c>
      <c r="AK14" s="188">
        <f>Output_EB_RIN_ACS!R17*10^6</f>
        <v>186455.2726294306</v>
      </c>
      <c r="AL14" s="189">
        <f>Output_EB_RIN_ACS!S17*10^6</f>
        <v>99699.818912550749</v>
      </c>
      <c r="AM14" s="191">
        <f>Output_EB_RIN_ACS!T17*10^6</f>
        <v>110823.20056309212</v>
      </c>
      <c r="AN14" s="189">
        <f>Output_EB_RIN_ACS!U17*10^6</f>
        <v>221620.80754761651</v>
      </c>
      <c r="AO14" s="157"/>
      <c r="AP14" s="157"/>
      <c r="AQ14" s="157"/>
      <c r="AR14" s="157"/>
      <c r="AS14" s="157"/>
      <c r="AT14" s="157"/>
      <c r="AU14" s="157"/>
      <c r="AV14" s="157"/>
      <c r="AW14" s="157"/>
      <c r="AX14" s="157"/>
      <c r="AY14" s="157"/>
      <c r="AZ14" s="157"/>
      <c r="BA14" s="157"/>
      <c r="BB14" s="157"/>
      <c r="BC14" s="157"/>
      <c r="BD14" s="157"/>
    </row>
    <row r="15" spans="1:56" outlineLevel="2" x14ac:dyDescent="0.55000000000000004">
      <c r="A15" s="179" t="s">
        <v>282</v>
      </c>
      <c r="B15" s="186" t="s">
        <v>283</v>
      </c>
      <c r="C15" s="187">
        <f>Output_EB_RIN_NS!J18*10^6</f>
        <v>-17381106.426705133</v>
      </c>
      <c r="D15" s="188">
        <f>Output_EB_RIN_NS!K18*10^6</f>
        <v>-17295840.936796065</v>
      </c>
      <c r="E15" s="188">
        <f>Output_EB_RIN_NS!L18*10^6</f>
        <v>-15733727.049217623</v>
      </c>
      <c r="F15" s="188">
        <f>Output_EB_RIN_NS!M18*10^6</f>
        <v>-15484059.499719331</v>
      </c>
      <c r="G15" s="189">
        <f>Output_EB_RIN_NS!N18*10^6</f>
        <v>-24675870.102719277</v>
      </c>
      <c r="H15" s="190">
        <f>Output_EB_RIN_NS!O18*10^6</f>
        <v>-26426486.934787329</v>
      </c>
      <c r="I15" s="188">
        <f>Output_EB_RIN_NS!P18*10^6</f>
        <v>-27646492.393244851</v>
      </c>
      <c r="J15" s="188">
        <f>Output_EB_RIN_NS!Q18*10^6</f>
        <v>-23544527.87828166</v>
      </c>
      <c r="K15" s="188">
        <f>Output_EB_RIN_NS!R18*10^6</f>
        <v>-38865015.104870185</v>
      </c>
      <c r="L15" s="189">
        <f>Output_EB_RIN_NS!S18*10^6</f>
        <v>-50884497.341104217</v>
      </c>
      <c r="M15" s="191">
        <f>Output_EB_RIN_NS!T18*10^6</f>
        <v>-53764061.510559022</v>
      </c>
      <c r="N15" s="189">
        <f>Output_EB_RIN_NS!U18*10^6</f>
        <v>-49407202.872702613</v>
      </c>
      <c r="P15" s="187">
        <f>Output_EB_RIN_SCS!J18*10^6</f>
        <v>-17153578.383936953</v>
      </c>
      <c r="Q15" s="188">
        <f>Output_EB_RIN_SCS!K18*10^6</f>
        <v>-17056671.152379826</v>
      </c>
      <c r="R15" s="188">
        <f>Output_EB_RIN_SCS!L18*10^6</f>
        <v>-15592848.237576151</v>
      </c>
      <c r="S15" s="188">
        <f>Output_EB_RIN_SCS!M18*10^6</f>
        <v>-15329940.349669648</v>
      </c>
      <c r="T15" s="189">
        <f>Output_EB_RIN_SCS!N18*10^6</f>
        <v>-24442307.815297268</v>
      </c>
      <c r="U15" s="190">
        <f>Output_EB_RIN_SCS!O18*10^6</f>
        <v>-26171129.797235448</v>
      </c>
      <c r="V15" s="188">
        <f>Output_EB_RIN_SCS!P18*10^6</f>
        <v>-27373761.018476404</v>
      </c>
      <c r="W15" s="188">
        <f>Output_EB_RIN_SCS!Q18*10^6</f>
        <v>-23254974.461592257</v>
      </c>
      <c r="X15" s="188">
        <f>Output_EB_RIN_SCS!R18*10^6</f>
        <v>-38588206.637791269</v>
      </c>
      <c r="Y15" s="189">
        <f>Output_EB_RIN_SCS!S18*10^6</f>
        <v>-50511200.833938882</v>
      </c>
      <c r="Z15" s="191">
        <f>Output_EB_RIN_SCS!T18*10^6</f>
        <v>-53382339.338863261</v>
      </c>
      <c r="AA15" s="189">
        <f>Output_EB_RIN_SCS!U18*10^6</f>
        <v>-49016950.414294653</v>
      </c>
      <c r="AB15" s="157"/>
      <c r="AC15" s="187">
        <f>Output_EB_RIN_ACS!J18*10^6</f>
        <v>-14954.40667987901</v>
      </c>
      <c r="AD15" s="188">
        <f>Output_EB_RIN_ACS!K18*10^6</f>
        <v>-16180.043617533238</v>
      </c>
      <c r="AE15" s="188">
        <f>Output_EB_RIN_ACS!L18*10^6</f>
        <v>-21410.454337600608</v>
      </c>
      <c r="AF15" s="188">
        <f>Output_EB_RIN_ACS!M18*10^6</f>
        <v>-30749.885351729452</v>
      </c>
      <c r="AG15" s="189">
        <f>Output_EB_RIN_ACS!N18*10^6</f>
        <v>-37329.649477018516</v>
      </c>
      <c r="AH15" s="190">
        <f>Output_EB_RIN_ACS!O18*10^6</f>
        <v>-38545.215794022268</v>
      </c>
      <c r="AI15" s="188">
        <f>Output_EB_RIN_ACS!P18*10^6</f>
        <v>-39172.604860862913</v>
      </c>
      <c r="AJ15" s="188">
        <f>Output_EB_RIN_ACS!Q18*10^6</f>
        <v>-40152.900277801426</v>
      </c>
      <c r="AK15" s="188">
        <f>Output_EB_RIN_ACS!R18*10^6</f>
        <v>-989410.30199279485</v>
      </c>
      <c r="AL15" s="189">
        <f>Output_EB_RIN_ACS!S18*10^6</f>
        <v>-1239279.1653271979</v>
      </c>
      <c r="AM15" s="191">
        <f>Output_EB_RIN_ACS!T18*10^6</f>
        <v>-1353913.929305074</v>
      </c>
      <c r="AN15" s="189">
        <f>Output_EB_RIN_ACS!U18*10^6</f>
        <v>-1489942.113596248</v>
      </c>
      <c r="AO15" s="157"/>
      <c r="AP15" s="157"/>
      <c r="AQ15" s="157"/>
      <c r="AR15" s="157"/>
      <c r="AS15" s="157"/>
      <c r="AT15" s="157"/>
      <c r="AU15" s="157"/>
      <c r="AV15" s="157"/>
      <c r="AW15" s="157"/>
      <c r="AX15" s="157"/>
      <c r="AY15" s="157"/>
      <c r="AZ15" s="157"/>
      <c r="BA15" s="157"/>
      <c r="BB15" s="157"/>
      <c r="BC15" s="157"/>
      <c r="BD15" s="157"/>
    </row>
    <row r="16" spans="1:56" outlineLevel="2" x14ac:dyDescent="0.55000000000000004">
      <c r="A16" s="179" t="s">
        <v>284</v>
      </c>
      <c r="B16" s="186" t="s">
        <v>285</v>
      </c>
      <c r="C16" s="187">
        <f>Output_EB_RIN_NS!J19*10^6</f>
        <v>22519062.783651479</v>
      </c>
      <c r="D16" s="188">
        <f>Output_EB_RIN_NS!K19*10^6</f>
        <v>28400744.006336883</v>
      </c>
      <c r="E16" s="188">
        <f>Output_EB_RIN_NS!L19*10^6</f>
        <v>44727011.597659789</v>
      </c>
      <c r="F16" s="188">
        <f>Output_EB_RIN_NS!M19*10^6</f>
        <v>55775440.56420853</v>
      </c>
      <c r="G16" s="189">
        <f>Output_EB_RIN_NS!N19*10^6</f>
        <v>80014776.53090103</v>
      </c>
      <c r="H16" s="190">
        <f>Output_EB_RIN_NS!O19*10^6</f>
        <v>91785630.273225576</v>
      </c>
      <c r="I16" s="188">
        <f>Output_EB_RIN_NS!P19*10^6</f>
        <v>76771709.03248544</v>
      </c>
      <c r="J16" s="188">
        <f>Output_EB_RIN_NS!Q19*10^6</f>
        <v>106775131.77546667</v>
      </c>
      <c r="K16" s="188">
        <f>Output_EB_RIN_NS!R19*10^6</f>
        <v>93685648.422671288</v>
      </c>
      <c r="L16" s="189">
        <f>Output_EB_RIN_NS!S19*10^6</f>
        <v>79987523.293202102</v>
      </c>
      <c r="M16" s="191">
        <f>Output_EB_RIN_NS!T19*10^6</f>
        <v>67931530.533438459</v>
      </c>
      <c r="N16" s="189">
        <f>Output_EB_RIN_NS!U19*10^6</f>
        <v>48842950.954937458</v>
      </c>
      <c r="P16" s="187">
        <f>Output_EB_RIN_SCS!J19*10^6</f>
        <v>22237560.244463444</v>
      </c>
      <c r="Q16" s="188">
        <f>Output_EB_RIN_SCS!K19*10^6</f>
        <v>28045716.7288066</v>
      </c>
      <c r="R16" s="188">
        <f>Output_EB_RIN_SCS!L19*10^6</f>
        <v>44267883.0270603</v>
      </c>
      <c r="S16" s="188">
        <f>Output_EB_RIN_SCS!M19*10^6</f>
        <v>55260165.134707496</v>
      </c>
      <c r="T16" s="189">
        <f>Output_EB_RIN_SCS!N19*10^6</f>
        <v>79349455.433060095</v>
      </c>
      <c r="U16" s="190">
        <f>Output_EB_RIN_SCS!O19*10^6</f>
        <v>91116657.06116809</v>
      </c>
      <c r="V16" s="188">
        <f>Output_EB_RIN_SCS!P19*10^6</f>
        <v>76249952.58547011</v>
      </c>
      <c r="W16" s="188">
        <f>Output_EB_RIN_SCS!Q19*10^6</f>
        <v>105953959.27811795</v>
      </c>
      <c r="X16" s="188">
        <f>Output_EB_RIN_SCS!R19*10^6</f>
        <v>93106985.594359666</v>
      </c>
      <c r="Y16" s="189">
        <f>Output_EB_RIN_SCS!S19*10^6</f>
        <v>79178547.145714894</v>
      </c>
      <c r="Z16" s="191">
        <f>Output_EB_RIN_SCS!T19*10^6</f>
        <v>67300439.479453623</v>
      </c>
      <c r="AA16" s="189">
        <f>Output_EB_RIN_SCS!U19*10^6</f>
        <v>48311973.484403789</v>
      </c>
      <c r="AB16" s="157"/>
      <c r="AC16" s="187">
        <f>Output_EB_RIN_ACS!J19*10^6</f>
        <v>44828.055227704128</v>
      </c>
      <c r="AD16" s="188">
        <f>Output_EB_RIN_ACS!K19*10^6</f>
        <v>56536.550080061315</v>
      </c>
      <c r="AE16" s="188">
        <f>Output_EB_RIN_ACS!L19*10^6</f>
        <v>485741.78250029794</v>
      </c>
      <c r="AF16" s="188">
        <f>Output_EB_RIN_ACS!M19*10^6</f>
        <v>560560.35041745449</v>
      </c>
      <c r="AG16" s="189">
        <f>Output_EB_RIN_ACS!N19*10^6</f>
        <v>566184.94069641002</v>
      </c>
      <c r="AH16" s="190">
        <f>Output_EB_RIN_ACS!O19*10^6</f>
        <v>321561.59236489655</v>
      </c>
      <c r="AI16" s="188">
        <f>Output_EB_RIN_ACS!P19*10^6</f>
        <v>402784.74979533261</v>
      </c>
      <c r="AJ16" s="188">
        <f>Output_EB_RIN_ACS!Q19*10^6</f>
        <v>616983.0150588433</v>
      </c>
      <c r="AK16" s="188">
        <f>Output_EB_RIN_ACS!R19*10^6</f>
        <v>698683.87056683586</v>
      </c>
      <c r="AL16" s="189">
        <f>Output_EB_RIN_ACS!S19*10^6</f>
        <v>2087834.2798112112</v>
      </c>
      <c r="AM16" s="191">
        <f>Output_EB_RIN_ACS!T19*10^6</f>
        <v>3214677.3563803029</v>
      </c>
      <c r="AN16" s="189">
        <f>Output_EB_RIN_ACS!U19*10^6</f>
        <v>3176972.0531670395</v>
      </c>
      <c r="AO16" s="157"/>
      <c r="AP16" s="157"/>
      <c r="AQ16" s="157"/>
      <c r="AR16" s="157"/>
      <c r="AS16" s="157"/>
      <c r="AT16" s="157"/>
      <c r="AU16" s="157"/>
      <c r="AV16" s="157"/>
      <c r="AW16" s="157"/>
      <c r="AX16" s="157"/>
      <c r="AY16" s="157"/>
      <c r="AZ16" s="157"/>
      <c r="BA16" s="157"/>
      <c r="BB16" s="157"/>
      <c r="BC16" s="157"/>
      <c r="BD16" s="157"/>
    </row>
    <row r="17" spans="1:56" outlineLevel="2" x14ac:dyDescent="0.55000000000000004">
      <c r="A17" s="179" t="s">
        <v>286</v>
      </c>
      <c r="B17" s="186" t="s">
        <v>287</v>
      </c>
      <c r="C17" s="187">
        <f>Output_EB_RIN_NS!J20*10^6</f>
        <v>0</v>
      </c>
      <c r="D17" s="188">
        <f>Output_EB_RIN_NS!K20*10^6</f>
        <v>0</v>
      </c>
      <c r="E17" s="188">
        <f>Output_EB_RIN_NS!L20*10^6</f>
        <v>0</v>
      </c>
      <c r="F17" s="188">
        <f>Output_EB_RIN_NS!M20*10^6</f>
        <v>0</v>
      </c>
      <c r="G17" s="189">
        <f>Output_EB_RIN_NS!N20*10^6</f>
        <v>-182596.95449911931</v>
      </c>
      <c r="H17" s="190">
        <f>Output_EB_RIN_NS!O20*10^6</f>
        <v>-856159.73039155011</v>
      </c>
      <c r="I17" s="188">
        <f>Output_EB_RIN_NS!P20*10^6</f>
        <v>-689859.66122039163</v>
      </c>
      <c r="J17" s="188">
        <f>Output_EB_RIN_NS!Q20*10^6</f>
        <v>-4991209.964618233</v>
      </c>
      <c r="K17" s="188">
        <f>Output_EB_RIN_NS!R20*10^6</f>
        <v>-861042.18852131953</v>
      </c>
      <c r="L17" s="189">
        <f>Output_EB_RIN_NS!S20*10^6</f>
        <v>-120014.19347613983</v>
      </c>
      <c r="M17" s="191">
        <f>Output_EB_RIN_NS!T20*10^6</f>
        <v>-121331.21284306895</v>
      </c>
      <c r="N17" s="189">
        <f>Output_EB_RIN_NS!U20*10^6</f>
        <v>-300906.50925257668</v>
      </c>
      <c r="P17" s="187">
        <f>Output_EB_RIN_SCS!J20*10^6</f>
        <v>0</v>
      </c>
      <c r="Q17" s="188">
        <f>Output_EB_RIN_SCS!K20*10^6</f>
        <v>0</v>
      </c>
      <c r="R17" s="188">
        <f>Output_EB_RIN_SCS!L20*10^6</f>
        <v>0</v>
      </c>
      <c r="S17" s="188">
        <f>Output_EB_RIN_SCS!M20*10^6</f>
        <v>0</v>
      </c>
      <c r="T17" s="189">
        <f>Output_EB_RIN_SCS!N20*10^6</f>
        <v>-182596.95449911931</v>
      </c>
      <c r="U17" s="190">
        <f>Output_EB_RIN_SCS!O20*10^6</f>
        <v>-838821.5355896625</v>
      </c>
      <c r="V17" s="188">
        <f>Output_EB_RIN_SCS!P20*10^6</f>
        <v>-674785.955095627</v>
      </c>
      <c r="W17" s="188">
        <f>Output_EB_RIN_SCS!Q20*10^6</f>
        <v>-4953127.6184725594</v>
      </c>
      <c r="X17" s="188">
        <f>Output_EB_RIN_SCS!R20*10^6</f>
        <v>-842336.83406233322</v>
      </c>
      <c r="Y17" s="189">
        <f>Output_EB_RIN_SCS!S20*10^6</f>
        <v>-118092.39476111207</v>
      </c>
      <c r="Z17" s="191">
        <f>Output_EB_RIN_SCS!T20*10^6</f>
        <v>-119622.87903959044</v>
      </c>
      <c r="AA17" s="189">
        <f>Output_EB_RIN_SCS!U20*10^6</f>
        <v>-297648.43767930003</v>
      </c>
      <c r="AB17" s="157"/>
      <c r="AC17" s="187">
        <f>Output_EB_RIN_ACS!J20*10^6</f>
        <v>0</v>
      </c>
      <c r="AD17" s="188">
        <f>Output_EB_RIN_ACS!K20*10^6</f>
        <v>0</v>
      </c>
      <c r="AE17" s="188">
        <f>Output_EB_RIN_ACS!L20*10^6</f>
        <v>0</v>
      </c>
      <c r="AF17" s="188">
        <f>Output_EB_RIN_ACS!M20*10^6</f>
        <v>0</v>
      </c>
      <c r="AG17" s="189">
        <f>Output_EB_RIN_ACS!N20*10^6</f>
        <v>0</v>
      </c>
      <c r="AH17" s="190">
        <f>Output_EB_RIN_ACS!O20*10^6</f>
        <v>0</v>
      </c>
      <c r="AI17" s="188">
        <f>Output_EB_RIN_ACS!P20*10^6</f>
        <v>-1959.9349650555141</v>
      </c>
      <c r="AJ17" s="188">
        <f>Output_EB_RIN_ACS!Q20*10^6</f>
        <v>0</v>
      </c>
      <c r="AK17" s="188">
        <f>Output_EB_RIN_ACS!R20*10^6</f>
        <v>-521.97936242564822</v>
      </c>
      <c r="AL17" s="189">
        <f>Output_EB_RIN_ACS!S20*10^6</f>
        <v>0</v>
      </c>
      <c r="AM17" s="191">
        <f>Output_EB_RIN_ACS!T20*10^6</f>
        <v>0</v>
      </c>
      <c r="AN17" s="189">
        <f>Output_EB_RIN_ACS!U20*10^6</f>
        <v>0</v>
      </c>
      <c r="AO17" s="157"/>
      <c r="AP17" s="157"/>
      <c r="AQ17" s="157"/>
      <c r="AR17" s="157"/>
      <c r="AS17" s="157"/>
      <c r="AT17" s="157"/>
      <c r="AU17" s="157"/>
      <c r="AV17" s="157"/>
      <c r="AW17" s="157"/>
      <c r="AX17" s="157"/>
      <c r="AY17" s="157"/>
      <c r="AZ17" s="157"/>
      <c r="BA17" s="157"/>
      <c r="BB17" s="157"/>
      <c r="BC17" s="157"/>
      <c r="BD17" s="157"/>
    </row>
    <row r="18" spans="1:56" ht="14.7" outlineLevel="2" thickBot="1" x14ac:dyDescent="0.6">
      <c r="A18" s="179" t="s">
        <v>288</v>
      </c>
      <c r="B18" s="192" t="s">
        <v>289</v>
      </c>
      <c r="C18" s="193">
        <f>Output_EB_RIN_NS!J22*10^6</f>
        <v>365950996.60144585</v>
      </c>
      <c r="D18" s="194">
        <f>Output_EB_RIN_NS!K22*10^6</f>
        <v>386150539.82321191</v>
      </c>
      <c r="E18" s="194">
        <f>Output_EB_RIN_NS!L22*10^6</f>
        <v>431642173.07079828</v>
      </c>
      <c r="F18" s="194">
        <f>Output_EB_RIN_NS!M22*10^6</f>
        <v>482449753.25772113</v>
      </c>
      <c r="G18" s="195">
        <f>Output_EB_RIN_NS!N22*10^6</f>
        <v>551688379.85352087</v>
      </c>
      <c r="H18" s="196">
        <f>Output_EB_RIN_NS!O22*10^6</f>
        <v>634156006.08284795</v>
      </c>
      <c r="I18" s="194">
        <f>Output_EB_RIN_NS!P22*10^6</f>
        <v>692913332.64105725</v>
      </c>
      <c r="J18" s="194">
        <f>Output_EB_RIN_NS!Q22*10^6</f>
        <v>788492900.0631398</v>
      </c>
      <c r="K18" s="194">
        <f>Output_EB_RIN_NS!R22*10^6</f>
        <v>861769689.18951213</v>
      </c>
      <c r="L18" s="195">
        <f>Output_EB_RIN_NS!S22*10^6</f>
        <v>902199357.16127753</v>
      </c>
      <c r="M18" s="197">
        <f>Output_EB_RIN_NS!T22*10^6</f>
        <v>928072078.30488884</v>
      </c>
      <c r="N18" s="195">
        <f>Output_EB_RIN_NS!U22*10^6</f>
        <v>946934884.57381606</v>
      </c>
      <c r="P18" s="193">
        <f>Output_EB_RIN_SCS!J22*10^6</f>
        <v>361299100.07209706</v>
      </c>
      <c r="Q18" s="194">
        <f>Output_EB_RIN_SCS!K22*10^6</f>
        <v>381267176.53788954</v>
      </c>
      <c r="R18" s="194">
        <f>Output_EB_RIN_SCS!L22*10^6</f>
        <v>426231917.48430437</v>
      </c>
      <c r="S18" s="194">
        <f>Output_EB_RIN_SCS!M22*10^6</f>
        <v>476546530.0707317</v>
      </c>
      <c r="T18" s="195">
        <f>Output_EB_RIN_SCS!N22*10^6</f>
        <v>545181087.55768156</v>
      </c>
      <c r="U18" s="196">
        <f>Output_EB_RIN_SCS!O22*10^6</f>
        <v>627040538.78422606</v>
      </c>
      <c r="V18" s="194">
        <f>Output_EB_RIN_SCS!P22*10^6</f>
        <v>685448097.62150359</v>
      </c>
      <c r="W18" s="194">
        <f>Output_EB_RIN_SCS!Q22*10^6</f>
        <v>780347310.61589062</v>
      </c>
      <c r="X18" s="194">
        <f>Output_EB_RIN_SCS!R22*10^6</f>
        <v>853141392.86484385</v>
      </c>
      <c r="Y18" s="195">
        <f>Output_EB_RIN_SCS!S22*10^6</f>
        <v>893022695.6434412</v>
      </c>
      <c r="Z18" s="197">
        <f>Output_EB_RIN_SCS!T22*10^6</f>
        <v>918527462.92279005</v>
      </c>
      <c r="AA18" s="195">
        <f>Output_EB_RIN_SCS!U22*10^6</f>
        <v>937049913.01476157</v>
      </c>
      <c r="AB18" s="157"/>
      <c r="AC18" s="193">
        <f>Output_EB_RIN_ACS!J22*10^6</f>
        <v>3827894.8849313324</v>
      </c>
      <c r="AD18" s="194">
        <f>Output_EB_RIN_ACS!K22*10^6</f>
        <v>3963382.5068773604</v>
      </c>
      <c r="AE18" s="194">
        <f>Output_EB_RIN_ACS!L22*10^6</f>
        <v>4597050.0391445179</v>
      </c>
      <c r="AF18" s="194">
        <f>Output_EB_RIN_ACS!M22*10^6</f>
        <v>5238859.508486188</v>
      </c>
      <c r="AG18" s="195">
        <f>Output_EB_RIN_ACS!N22*10^6</f>
        <v>5920632.8610343654</v>
      </c>
      <c r="AH18" s="196">
        <f>Output_EB_RIN_ACS!O22*10^6</f>
        <v>6396442.9547187528</v>
      </c>
      <c r="AI18" s="194">
        <f>Output_EB_RIN_ACS!P22*10^6</f>
        <v>6862208.173106784</v>
      </c>
      <c r="AJ18" s="194">
        <f>Output_EB_RIN_ACS!Q22*10^6</f>
        <v>7610765.2191467546</v>
      </c>
      <c r="AK18" s="194">
        <f>Output_EB_RIN_ACS!R22*10^6</f>
        <v>7505972.0809878008</v>
      </c>
      <c r="AL18" s="195">
        <f>Output_EB_RIN_ACS!S22*10^6</f>
        <v>8454227.0143843647</v>
      </c>
      <c r="AM18" s="197">
        <f>Output_EB_RIN_ACS!T22*10^6</f>
        <v>10425813.642022686</v>
      </c>
      <c r="AN18" s="195">
        <f>Output_EB_RIN_ACS!U22*10^6</f>
        <v>12334464.389141092</v>
      </c>
      <c r="AO18" s="157"/>
      <c r="AP18" s="157"/>
      <c r="AQ18" s="157"/>
      <c r="AR18" s="157"/>
      <c r="AS18" s="157"/>
      <c r="AT18" s="157"/>
      <c r="AU18" s="157"/>
      <c r="AV18" s="157"/>
      <c r="AW18" s="157"/>
      <c r="AX18" s="157"/>
      <c r="AY18" s="157"/>
      <c r="AZ18" s="157"/>
      <c r="BA18" s="157"/>
      <c r="BB18" s="157"/>
      <c r="BC18" s="157"/>
      <c r="BD18" s="157"/>
    </row>
    <row r="19" spans="1:56" x14ac:dyDescent="0.55000000000000004">
      <c r="A19" s="70">
        <f>IF(SUM(C19:N19,P19:AA19,AC19:AN19)&lt;&gt;0,1,0)</f>
        <v>0</v>
      </c>
      <c r="B19" s="198"/>
      <c r="C19" s="327">
        <f>IF(ROUND(C18-(C31+C38+C45+C52+C59+C66+C72+C79+C86+C93),4)=0,0,1)</f>
        <v>0</v>
      </c>
      <c r="D19" s="327">
        <f t="shared" ref="D19:N19" si="0">IF(ROUND(D18-(D31+D38+D45+D52+D59+D66+D72+D79+D86+D93),4)=0,0,1)</f>
        <v>0</v>
      </c>
      <c r="E19" s="327">
        <f t="shared" si="0"/>
        <v>0</v>
      </c>
      <c r="F19" s="327">
        <f t="shared" si="0"/>
        <v>0</v>
      </c>
      <c r="G19" s="327">
        <f t="shared" si="0"/>
        <v>0</v>
      </c>
      <c r="H19" s="327">
        <f t="shared" si="0"/>
        <v>0</v>
      </c>
      <c r="I19" s="327">
        <f t="shared" si="0"/>
        <v>0</v>
      </c>
      <c r="J19" s="327">
        <f t="shared" si="0"/>
        <v>0</v>
      </c>
      <c r="K19" s="327">
        <f t="shared" si="0"/>
        <v>0</v>
      </c>
      <c r="L19" s="327">
        <f t="shared" si="0"/>
        <v>0</v>
      </c>
      <c r="M19" s="327">
        <f t="shared" si="0"/>
        <v>0</v>
      </c>
      <c r="N19" s="327">
        <f t="shared" si="0"/>
        <v>0</v>
      </c>
      <c r="O19" s="198"/>
      <c r="P19" s="327">
        <f t="shared" ref="P19:AA19" si="1">IF(ROUND(P18-(P31+P38+P45+P52+P59+P66+P72+P79+P86+P93),4)=0,0,1)</f>
        <v>0</v>
      </c>
      <c r="Q19" s="327">
        <f t="shared" si="1"/>
        <v>0</v>
      </c>
      <c r="R19" s="327">
        <f t="shared" si="1"/>
        <v>0</v>
      </c>
      <c r="S19" s="327">
        <f t="shared" si="1"/>
        <v>0</v>
      </c>
      <c r="T19" s="327">
        <f t="shared" si="1"/>
        <v>0</v>
      </c>
      <c r="U19" s="327">
        <f t="shared" si="1"/>
        <v>0</v>
      </c>
      <c r="V19" s="327">
        <f t="shared" si="1"/>
        <v>0</v>
      </c>
      <c r="W19" s="327">
        <f t="shared" si="1"/>
        <v>0</v>
      </c>
      <c r="X19" s="327">
        <f t="shared" si="1"/>
        <v>0</v>
      </c>
      <c r="Y19" s="327">
        <f t="shared" si="1"/>
        <v>0</v>
      </c>
      <c r="Z19" s="327">
        <f t="shared" si="1"/>
        <v>0</v>
      </c>
      <c r="AA19" s="327">
        <f t="shared" si="1"/>
        <v>0</v>
      </c>
      <c r="AB19" s="198"/>
      <c r="AC19" s="327">
        <f t="shared" ref="AC19:AN19" si="2">IF(ROUND(AC18-(AC31+AC38+AC45+AC52+AC59+AC66+AC72+AC79+AC86+AC93),4)=0,0,1)</f>
        <v>0</v>
      </c>
      <c r="AD19" s="327">
        <f t="shared" si="2"/>
        <v>0</v>
      </c>
      <c r="AE19" s="327">
        <f t="shared" si="2"/>
        <v>0</v>
      </c>
      <c r="AF19" s="327">
        <f t="shared" si="2"/>
        <v>0</v>
      </c>
      <c r="AG19" s="327">
        <f t="shared" si="2"/>
        <v>0</v>
      </c>
      <c r="AH19" s="327">
        <f t="shared" si="2"/>
        <v>0</v>
      </c>
      <c r="AI19" s="327">
        <f t="shared" si="2"/>
        <v>0</v>
      </c>
      <c r="AJ19" s="327">
        <f t="shared" si="2"/>
        <v>0</v>
      </c>
      <c r="AK19" s="327">
        <f t="shared" si="2"/>
        <v>0</v>
      </c>
      <c r="AL19" s="327">
        <f t="shared" si="2"/>
        <v>0</v>
      </c>
      <c r="AM19" s="327">
        <f t="shared" si="2"/>
        <v>0</v>
      </c>
      <c r="AN19" s="327">
        <f t="shared" si="2"/>
        <v>0</v>
      </c>
      <c r="AO19" s="157"/>
      <c r="AP19" s="157"/>
      <c r="AQ19" s="157"/>
      <c r="AR19" s="157"/>
      <c r="AS19" s="157"/>
      <c r="AT19" s="157"/>
      <c r="AU19" s="157"/>
      <c r="AV19" s="157"/>
      <c r="AW19" s="157"/>
      <c r="AX19" s="157"/>
      <c r="AY19" s="157"/>
      <c r="AZ19" s="157"/>
      <c r="BA19" s="157"/>
      <c r="BB19" s="157"/>
      <c r="BC19" s="157"/>
      <c r="BD19" s="157"/>
    </row>
    <row r="20" spans="1:56" x14ac:dyDescent="0.55000000000000004">
      <c r="A20" s="179"/>
      <c r="B20" s="377" t="s">
        <v>480</v>
      </c>
      <c r="C20" s="199"/>
      <c r="D20" s="199"/>
      <c r="E20" s="199"/>
      <c r="F20" s="199"/>
      <c r="G20" s="199"/>
      <c r="H20" s="199"/>
      <c r="I20" s="199"/>
      <c r="J20" s="199"/>
      <c r="K20" s="199"/>
      <c r="L20" s="199"/>
      <c r="M20" s="199"/>
      <c r="N20" s="199"/>
      <c r="P20" s="199"/>
      <c r="Q20" s="199"/>
      <c r="R20" s="199"/>
      <c r="S20" s="199"/>
      <c r="T20" s="199"/>
      <c r="U20" s="199"/>
      <c r="V20" s="199"/>
      <c r="W20" s="199"/>
      <c r="X20" s="199"/>
      <c r="Y20" s="199"/>
      <c r="Z20" s="199"/>
      <c r="AA20" s="199"/>
      <c r="AB20" s="157"/>
      <c r="AC20" s="199"/>
      <c r="AD20" s="199"/>
      <c r="AE20" s="199"/>
      <c r="AF20" s="199"/>
      <c r="AG20" s="199"/>
      <c r="AH20" s="199"/>
      <c r="AI20" s="199"/>
      <c r="AJ20" s="199"/>
      <c r="AK20" s="199"/>
      <c r="AL20" s="199"/>
      <c r="AM20" s="199"/>
      <c r="AN20" s="199"/>
      <c r="AO20" s="157"/>
      <c r="AP20" s="157"/>
      <c r="AQ20" s="157"/>
      <c r="AS20" s="157"/>
      <c r="AT20" s="157"/>
      <c r="AU20" s="157"/>
      <c r="AV20" s="157"/>
      <c r="AW20" s="157"/>
      <c r="AX20" s="157"/>
      <c r="AY20" s="157"/>
      <c r="AZ20" s="157"/>
      <c r="BA20" s="157"/>
      <c r="BB20" s="157"/>
      <c r="BC20" s="157"/>
      <c r="BD20" s="157"/>
    </row>
    <row r="21" spans="1:56" ht="18.600000000000001" thickBot="1" x14ac:dyDescent="0.6">
      <c r="A21" s="179"/>
      <c r="B21" s="164" t="s">
        <v>290</v>
      </c>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T21" s="157"/>
      <c r="AU21" s="157"/>
      <c r="AV21" s="157"/>
      <c r="AW21" s="157"/>
      <c r="AX21" s="157"/>
      <c r="AY21" s="157"/>
      <c r="AZ21" s="157"/>
      <c r="BA21" s="157"/>
      <c r="BB21" s="157"/>
      <c r="BC21" s="157"/>
      <c r="BD21" s="157"/>
    </row>
    <row r="22" spans="1:56" ht="28.5" customHeight="1" outlineLevel="2" x14ac:dyDescent="0.75">
      <c r="A22" s="163"/>
      <c r="B22" s="165"/>
      <c r="C22" s="394" t="s">
        <v>275</v>
      </c>
      <c r="D22" s="395"/>
      <c r="E22" s="395"/>
      <c r="F22" s="395"/>
      <c r="G22" s="395"/>
      <c r="H22" s="395"/>
      <c r="I22" s="395"/>
      <c r="J22" s="395"/>
      <c r="K22" s="395"/>
      <c r="L22" s="395"/>
      <c r="M22" s="395"/>
      <c r="N22" s="396"/>
      <c r="O22" s="166"/>
      <c r="P22" s="397" t="s">
        <v>93</v>
      </c>
      <c r="Q22" s="398"/>
      <c r="R22" s="398"/>
      <c r="S22" s="398"/>
      <c r="T22" s="398"/>
      <c r="U22" s="398"/>
      <c r="V22" s="398"/>
      <c r="W22" s="398"/>
      <c r="X22" s="398"/>
      <c r="Y22" s="398"/>
      <c r="Z22" s="398"/>
      <c r="AA22" s="399"/>
      <c r="AB22" s="167"/>
      <c r="AC22" s="394" t="s">
        <v>94</v>
      </c>
      <c r="AD22" s="395"/>
      <c r="AE22" s="395"/>
      <c r="AF22" s="395"/>
      <c r="AG22" s="395"/>
      <c r="AH22" s="395"/>
      <c r="AI22" s="395"/>
      <c r="AJ22" s="395"/>
      <c r="AK22" s="395"/>
      <c r="AL22" s="395"/>
      <c r="AM22" s="395"/>
      <c r="AN22" s="396"/>
      <c r="AO22" s="157"/>
      <c r="AP22" s="157"/>
      <c r="AQ22" s="157"/>
      <c r="AR22" s="157"/>
      <c r="AS22" s="157"/>
      <c r="AT22" s="157"/>
      <c r="AU22" s="157"/>
      <c r="AV22" s="157"/>
      <c r="AW22" s="157"/>
      <c r="AX22" s="157"/>
      <c r="AY22" s="157"/>
      <c r="AZ22" s="157"/>
      <c r="BA22" s="157"/>
      <c r="BB22" s="157"/>
      <c r="BC22" s="157"/>
      <c r="BD22" s="157"/>
    </row>
    <row r="23" spans="1:56" s="169" customFormat="1" ht="41.25" customHeight="1" outlineLevel="2" thickBot="1" x14ac:dyDescent="0.6">
      <c r="A23" s="163"/>
      <c r="B23" s="168"/>
      <c r="C23" s="406" t="s">
        <v>276</v>
      </c>
      <c r="D23" s="407"/>
      <c r="E23" s="407"/>
      <c r="F23" s="407"/>
      <c r="G23" s="407"/>
      <c r="H23" s="407"/>
      <c r="I23" s="407"/>
      <c r="J23" s="407"/>
      <c r="K23" s="407"/>
      <c r="L23" s="407"/>
      <c r="M23" s="407"/>
      <c r="N23" s="408"/>
      <c r="O23" s="158"/>
      <c r="P23" s="403" t="s">
        <v>276</v>
      </c>
      <c r="Q23" s="404"/>
      <c r="R23" s="404"/>
      <c r="S23" s="404"/>
      <c r="T23" s="404"/>
      <c r="U23" s="404"/>
      <c r="V23" s="404"/>
      <c r="W23" s="404"/>
      <c r="X23" s="404"/>
      <c r="Y23" s="404"/>
      <c r="Z23" s="404"/>
      <c r="AA23" s="405"/>
      <c r="AB23" s="168"/>
      <c r="AC23" s="406" t="s">
        <v>276</v>
      </c>
      <c r="AD23" s="407"/>
      <c r="AE23" s="407"/>
      <c r="AF23" s="407"/>
      <c r="AG23" s="407"/>
      <c r="AH23" s="407"/>
      <c r="AI23" s="407"/>
      <c r="AJ23" s="407"/>
      <c r="AK23" s="407"/>
      <c r="AL23" s="407"/>
      <c r="AM23" s="407"/>
      <c r="AN23" s="408"/>
      <c r="AO23" s="168"/>
      <c r="AP23" s="168"/>
      <c r="AQ23" s="168"/>
      <c r="AR23" s="168"/>
      <c r="AS23" s="168"/>
      <c r="AT23" s="168"/>
      <c r="AU23" s="168"/>
      <c r="AV23" s="168"/>
      <c r="AW23" s="168"/>
      <c r="AX23" s="168"/>
      <c r="AY23" s="168"/>
      <c r="AZ23" s="168"/>
      <c r="BA23" s="168"/>
      <c r="BB23" s="168"/>
      <c r="BC23" s="168"/>
      <c r="BD23" s="168"/>
    </row>
    <row r="24" spans="1:56" s="176" customFormat="1" ht="14.7" outlineLevel="2" thickBot="1" x14ac:dyDescent="0.6">
      <c r="A24" s="170"/>
      <c r="B24" s="200"/>
      <c r="C24" s="171" t="s">
        <v>433</v>
      </c>
      <c r="D24" s="172" t="s">
        <v>434</v>
      </c>
      <c r="E24" s="172" t="s">
        <v>435</v>
      </c>
      <c r="F24" s="172" t="s">
        <v>436</v>
      </c>
      <c r="G24" s="172" t="s">
        <v>437</v>
      </c>
      <c r="H24" s="172" t="s">
        <v>438</v>
      </c>
      <c r="I24" s="172" t="s">
        <v>439</v>
      </c>
      <c r="J24" s="172" t="s">
        <v>440</v>
      </c>
      <c r="K24" s="172" t="s">
        <v>441</v>
      </c>
      <c r="L24" s="173" t="s">
        <v>442</v>
      </c>
      <c r="M24" s="173" t="s">
        <v>443</v>
      </c>
      <c r="N24" s="173" t="s">
        <v>444</v>
      </c>
      <c r="O24" s="158"/>
      <c r="P24" s="174" t="s">
        <v>433</v>
      </c>
      <c r="Q24" s="175" t="s">
        <v>434</v>
      </c>
      <c r="R24" s="175" t="s">
        <v>435</v>
      </c>
      <c r="S24" s="175" t="s">
        <v>436</v>
      </c>
      <c r="T24" s="175" t="s">
        <v>437</v>
      </c>
      <c r="U24" s="172" t="s">
        <v>438</v>
      </c>
      <c r="V24" s="172" t="s">
        <v>439</v>
      </c>
      <c r="W24" s="172" t="s">
        <v>440</v>
      </c>
      <c r="X24" s="172" t="s">
        <v>441</v>
      </c>
      <c r="Y24" s="175" t="s">
        <v>442</v>
      </c>
      <c r="Z24" s="173" t="s">
        <v>443</v>
      </c>
      <c r="AA24" s="173" t="s">
        <v>444</v>
      </c>
      <c r="AB24" s="158"/>
      <c r="AC24" s="174" t="s">
        <v>433</v>
      </c>
      <c r="AD24" s="175" t="s">
        <v>434</v>
      </c>
      <c r="AE24" s="175" t="s">
        <v>435</v>
      </c>
      <c r="AF24" s="175" t="s">
        <v>436</v>
      </c>
      <c r="AG24" s="175" t="s">
        <v>437</v>
      </c>
      <c r="AH24" s="172" t="s">
        <v>438</v>
      </c>
      <c r="AI24" s="172" t="s">
        <v>439</v>
      </c>
      <c r="AJ24" s="172" t="s">
        <v>440</v>
      </c>
      <c r="AK24" s="172" t="s">
        <v>441</v>
      </c>
      <c r="AL24" s="175" t="s">
        <v>442</v>
      </c>
      <c r="AM24" s="173" t="s">
        <v>443</v>
      </c>
      <c r="AN24" s="173" t="s">
        <v>444</v>
      </c>
      <c r="AO24" s="157"/>
      <c r="AP24" s="157"/>
      <c r="AQ24" s="157"/>
      <c r="AR24" s="157"/>
      <c r="AS24" s="157"/>
      <c r="AT24" s="157"/>
      <c r="AU24" s="157"/>
      <c r="AV24" s="157"/>
      <c r="AW24" s="157"/>
      <c r="AX24" s="157"/>
      <c r="AY24" s="157"/>
      <c r="AZ24" s="157"/>
      <c r="BA24" s="157"/>
      <c r="BB24" s="157"/>
      <c r="BC24" s="157"/>
      <c r="BD24" s="157"/>
    </row>
    <row r="25" spans="1:56" ht="23.25" customHeight="1" outlineLevel="1" thickBot="1" x14ac:dyDescent="0.6">
      <c r="A25" s="179"/>
      <c r="B25" s="201" t="s">
        <v>291</v>
      </c>
      <c r="AT25" s="157"/>
      <c r="AU25" s="157"/>
      <c r="AV25" s="157"/>
      <c r="AW25" s="157"/>
      <c r="AX25" s="157"/>
      <c r="AY25" s="157"/>
      <c r="AZ25" s="157"/>
      <c r="BA25" s="157"/>
      <c r="BB25" s="157"/>
      <c r="BC25" s="157"/>
      <c r="BD25" s="157"/>
    </row>
    <row r="26" spans="1:56" outlineLevel="2" x14ac:dyDescent="0.55000000000000004">
      <c r="A26" s="179" t="s">
        <v>292</v>
      </c>
      <c r="B26" s="180" t="s">
        <v>279</v>
      </c>
      <c r="C26" s="181">
        <f>Output_EB_RIN_NS!J32*10^6</f>
        <v>37790466.705886215</v>
      </c>
      <c r="D26" s="182">
        <f>Output_EB_RIN_NS!K32*10^6</f>
        <v>40580840.526305281</v>
      </c>
      <c r="E26" s="182">
        <f>Output_EB_RIN_NS!L32*10^6</f>
        <v>43998327.47431165</v>
      </c>
      <c r="F26" s="182">
        <f>Output_EB_RIN_NS!M32*10^6</f>
        <v>48579072.17604354</v>
      </c>
      <c r="G26" s="183">
        <f>Output_EB_RIN_NS!N32*10^6</f>
        <v>52016970.815439396</v>
      </c>
      <c r="H26" s="184">
        <f>Output_EB_RIN_NS!O32*10^6</f>
        <v>55674338.794952601</v>
      </c>
      <c r="I26" s="182">
        <f>Output_EB_RIN_NS!P32*10^6</f>
        <v>59565342.633047558</v>
      </c>
      <c r="J26" s="182">
        <f>Output_EB_RIN_NS!Q32*10^6</f>
        <v>63170002.715722613</v>
      </c>
      <c r="K26" s="182">
        <f>Output_EB_RIN_NS!R32*10^6</f>
        <v>70782453.599585742</v>
      </c>
      <c r="L26" s="183">
        <f>Output_EB_RIN_NS!S32*10^6</f>
        <v>75810388.470053479</v>
      </c>
      <c r="M26" s="185">
        <f>Output_EB_RIN_NS!T32*10^6</f>
        <v>79184237.783716932</v>
      </c>
      <c r="N26" s="183">
        <f>Output_EB_RIN_NS!U32*10^6</f>
        <v>80897508.137741014</v>
      </c>
      <c r="P26" s="181">
        <f>Output_EB_RIN_SCS!J32*10^6</f>
        <v>36812235.077201724</v>
      </c>
      <c r="Q26" s="182">
        <f>Output_EB_RIN_SCS!K32*10^6</f>
        <v>39530378.195940614</v>
      </c>
      <c r="R26" s="182">
        <f>Output_EB_RIN_SCS!L32*10^6</f>
        <v>42859401.197492585</v>
      </c>
      <c r="S26" s="182">
        <f>Output_EB_RIN_SCS!M32*10^6</f>
        <v>47321570.24401921</v>
      </c>
      <c r="T26" s="183">
        <f>Output_EB_RIN_SCS!N32*10^6</f>
        <v>50670476.566610888</v>
      </c>
      <c r="U26" s="184">
        <f>Output_EB_RIN_SCS!O32*10^6</f>
        <v>54233171.117951259</v>
      </c>
      <c r="V26" s="182">
        <f>Output_EB_RIN_SCS!P32*10^6</f>
        <v>58023453.706653319</v>
      </c>
      <c r="W26" s="182">
        <f>Output_EB_RIN_SCS!Q32*10^6</f>
        <v>61534804.740488812</v>
      </c>
      <c r="X26" s="182">
        <f>Output_EB_RIN_SCS!R32*10^6</f>
        <v>68950202.217090309</v>
      </c>
      <c r="Y26" s="183">
        <f>Output_EB_RIN_SCS!S32*10^6</f>
        <v>73847985.614290044</v>
      </c>
      <c r="Z26" s="185">
        <f>Output_EB_RIN_SCS!T32*10^6</f>
        <v>77134500.570991784</v>
      </c>
      <c r="AA26" s="183">
        <f>Output_EB_RIN_SCS!U32*10^6</f>
        <v>78803421.77045694</v>
      </c>
      <c r="AB26" s="157"/>
      <c r="AC26" s="181" t="str">
        <f>IFERROR(Output_EB_RIN_ACS!J32*10^6,NA)</f>
        <v>N/A</v>
      </c>
      <c r="AD26" s="182" t="str">
        <f>IFERROR(Output_EB_RIN_ACS!K32*10^6,NA)</f>
        <v>N/A</v>
      </c>
      <c r="AE26" s="182" t="str">
        <f>IFERROR(Output_EB_RIN_ACS!L32*10^6,NA)</f>
        <v>N/A</v>
      </c>
      <c r="AF26" s="182" t="str">
        <f>IFERROR(Output_EB_RIN_ACS!M32*10^6,NA)</f>
        <v>N/A</v>
      </c>
      <c r="AG26" s="183" t="str">
        <f>IFERROR(Output_EB_RIN_ACS!N32*10^6,NA)</f>
        <v>N/A</v>
      </c>
      <c r="AH26" s="184" t="str">
        <f>IFERROR(Output_EB_RIN_ACS!O32*10^6,NA)</f>
        <v>N/A</v>
      </c>
      <c r="AI26" s="182" t="str">
        <f>IFERROR(Output_EB_RIN_ACS!P32*10^6,NA)</f>
        <v>N/A</v>
      </c>
      <c r="AJ26" s="182" t="str">
        <f>IFERROR(Output_EB_RIN_ACS!Q32*10^6,NA)</f>
        <v>N/A</v>
      </c>
      <c r="AK26" s="182" t="str">
        <f>IFERROR(Output_EB_RIN_ACS!R32*10^6,NA)</f>
        <v>N/A</v>
      </c>
      <c r="AL26" s="183" t="str">
        <f>IFERROR(Output_EB_RIN_ACS!S32*10^6,NA)</f>
        <v>N/A</v>
      </c>
      <c r="AM26" s="185" t="str">
        <f>IFERROR(Output_EB_RIN_ACS!T32*10^6,NA)</f>
        <v>N/A</v>
      </c>
      <c r="AN26" s="183" t="str">
        <f>IFERROR(Output_EB_RIN_ACS!U32*10^6,NA)</f>
        <v>N/A</v>
      </c>
      <c r="AO26" s="157"/>
      <c r="AP26" s="157"/>
      <c r="AQ26" s="157"/>
      <c r="AR26" s="157"/>
      <c r="AS26" s="157"/>
      <c r="AT26" s="157"/>
      <c r="AU26" s="157"/>
      <c r="AV26" s="157"/>
      <c r="AW26" s="157"/>
      <c r="AX26" s="157"/>
      <c r="AY26" s="157"/>
      <c r="AZ26" s="157"/>
      <c r="BA26" s="157"/>
      <c r="BB26" s="157"/>
      <c r="BC26" s="157"/>
      <c r="BD26" s="157"/>
    </row>
    <row r="27" spans="1:56" outlineLevel="2" x14ac:dyDescent="0.55000000000000004">
      <c r="A27" s="179" t="s">
        <v>293</v>
      </c>
      <c r="B27" s="186" t="s">
        <v>281</v>
      </c>
      <c r="C27" s="187">
        <f>Output_EB_RIN_NS!J33*10^6</f>
        <v>1104715.2264814507</v>
      </c>
      <c r="D27" s="188">
        <f>Output_EB_RIN_NS!K33*10^6</f>
        <v>1008517.9302395341</v>
      </c>
      <c r="E27" s="188">
        <f>Output_EB_RIN_NS!L33*10^6</f>
        <v>1879836.1622973802</v>
      </c>
      <c r="F27" s="188">
        <f>Output_EB_RIN_NS!M33*10^6</f>
        <v>1183543.2866810169</v>
      </c>
      <c r="G27" s="189">
        <f>Output_EB_RIN_NS!N33*10^6</f>
        <v>1518333.2021803891</v>
      </c>
      <c r="H27" s="190">
        <f>Output_EB_RIN_NS!O33*10^6</f>
        <v>1812924.8977347952</v>
      </c>
      <c r="I27" s="188">
        <f>Output_EB_RIN_NS!P33*10^6</f>
        <v>969527.44875764963</v>
      </c>
      <c r="J27" s="188">
        <f>Output_EB_RIN_NS!Q33*10^6</f>
        <v>1580830.8987918564</v>
      </c>
      <c r="K27" s="188">
        <f>Output_EB_RIN_NS!R33*10^6</f>
        <v>1734091.2908584485</v>
      </c>
      <c r="L27" s="189">
        <f>Output_EB_RIN_NS!S33*10^6</f>
        <v>1006969.1068128479</v>
      </c>
      <c r="M27" s="191">
        <f>Output_EB_RIN_NS!T33*10^6</f>
        <v>1037995.6263783234</v>
      </c>
      <c r="N27" s="189">
        <f>Output_EB_RIN_NS!U33*10^6</f>
        <v>1719632.7977523454</v>
      </c>
      <c r="P27" s="187">
        <f>Output_EB_RIN_SCS!J33*10^6</f>
        <v>1076118.9303932318</v>
      </c>
      <c r="Q27" s="188">
        <f>Output_EB_RIN_SCS!K33*10^6</f>
        <v>982411.76581627049</v>
      </c>
      <c r="R27" s="188">
        <f>Output_EB_RIN_SCS!L33*10^6</f>
        <v>1831175.3398466813</v>
      </c>
      <c r="S27" s="188">
        <f>Output_EB_RIN_SCS!M33*10^6</f>
        <v>1152906.4732762163</v>
      </c>
      <c r="T27" s="189">
        <f>Output_EB_RIN_SCS!N33*10^6</f>
        <v>1479030.1268091786</v>
      </c>
      <c r="U27" s="190">
        <f>Output_EB_RIN_SCS!O33*10^6</f>
        <v>1765996.1183366419</v>
      </c>
      <c r="V27" s="188">
        <f>Output_EB_RIN_SCS!P33*10^6</f>
        <v>944430.57915204647</v>
      </c>
      <c r="W27" s="188">
        <f>Output_EB_RIN_SCS!Q33*10^6</f>
        <v>1539910.0285407605</v>
      </c>
      <c r="X27" s="188">
        <f>Output_EB_RIN_SCS!R33*10^6</f>
        <v>1689203.1723563331</v>
      </c>
      <c r="Y27" s="189">
        <f>Output_EB_RIN_SCS!S33*10^6</f>
        <v>980903.03472490853</v>
      </c>
      <c r="Z27" s="191">
        <f>Output_EB_RIN_SCS!T33*10^6</f>
        <v>1011126.4119793042</v>
      </c>
      <c r="AA27" s="189">
        <f>Output_EB_RIN_SCS!U33*10^6</f>
        <v>1675118.947061464</v>
      </c>
      <c r="AB27" s="157"/>
      <c r="AC27" s="187" t="str">
        <f>IFERROR(Output_EB_RIN_ACS!J33*10^6,NA)</f>
        <v>N/A</v>
      </c>
      <c r="AD27" s="188" t="str">
        <f>IFERROR(Output_EB_RIN_ACS!K33*10^6,NA)</f>
        <v>N/A</v>
      </c>
      <c r="AE27" s="188" t="str">
        <f>IFERROR(Output_EB_RIN_ACS!L33*10^6,NA)</f>
        <v>N/A</v>
      </c>
      <c r="AF27" s="188" t="str">
        <f>IFERROR(Output_EB_RIN_ACS!M33*10^6,NA)</f>
        <v>N/A</v>
      </c>
      <c r="AG27" s="189" t="str">
        <f>IFERROR(Output_EB_RIN_ACS!N33*10^6,NA)</f>
        <v>N/A</v>
      </c>
      <c r="AH27" s="190" t="str">
        <f>IFERROR(Output_EB_RIN_ACS!O33*10^6,NA)</f>
        <v>N/A</v>
      </c>
      <c r="AI27" s="188" t="str">
        <f>IFERROR(Output_EB_RIN_ACS!P33*10^6,NA)</f>
        <v>N/A</v>
      </c>
      <c r="AJ27" s="188" t="str">
        <f>IFERROR(Output_EB_RIN_ACS!Q33*10^6,NA)</f>
        <v>N/A</v>
      </c>
      <c r="AK27" s="188" t="str">
        <f>IFERROR(Output_EB_RIN_ACS!R33*10^6,NA)</f>
        <v>N/A</v>
      </c>
      <c r="AL27" s="189" t="str">
        <f>IFERROR(Output_EB_RIN_ACS!S33*10^6,NA)</f>
        <v>N/A</v>
      </c>
      <c r="AM27" s="191" t="str">
        <f>IFERROR(Output_EB_RIN_ACS!T33*10^6,NA)</f>
        <v>N/A</v>
      </c>
      <c r="AN27" s="189" t="str">
        <f>IFERROR(Output_EB_RIN_ACS!U33*10^6,NA)</f>
        <v>N/A</v>
      </c>
      <c r="AO27" s="157"/>
      <c r="AP27" s="157"/>
      <c r="AQ27" s="157"/>
      <c r="AR27" s="157"/>
      <c r="AS27" s="157"/>
      <c r="AT27" s="157"/>
      <c r="AU27" s="157"/>
      <c r="AV27" s="157"/>
      <c r="AW27" s="157"/>
      <c r="AX27" s="157"/>
      <c r="AY27" s="157"/>
      <c r="AZ27" s="157"/>
      <c r="BA27" s="157"/>
      <c r="BB27" s="157"/>
      <c r="BC27" s="157"/>
      <c r="BD27" s="157"/>
    </row>
    <row r="28" spans="1:56" outlineLevel="2" x14ac:dyDescent="0.55000000000000004">
      <c r="A28" s="179" t="s">
        <v>294</v>
      </c>
      <c r="B28" s="186" t="s">
        <v>283</v>
      </c>
      <c r="C28" s="187">
        <f>Output_EB_RIN_NS!J34*10^6</f>
        <v>-1461944.938823442</v>
      </c>
      <c r="D28" s="188">
        <f>Output_EB_RIN_NS!K34*10^6</f>
        <v>-1560746.9080792118</v>
      </c>
      <c r="E28" s="188">
        <f>Output_EB_RIN_NS!L34*10^6</f>
        <v>-1701008.627233133</v>
      </c>
      <c r="F28" s="188">
        <f>Output_EB_RIN_NS!M34*10^6</f>
        <v>-1817010.506585262</v>
      </c>
      <c r="G28" s="189">
        <f>Output_EB_RIN_NS!N34*10^6</f>
        <v>-2007641.3141995913</v>
      </c>
      <c r="H28" s="190">
        <f>Output_EB_RIN_NS!O34*10^6</f>
        <v>-2147125.1655687876</v>
      </c>
      <c r="I28" s="188">
        <f>Output_EB_RIN_NS!P34*10^6</f>
        <v>-2256394.6718374337</v>
      </c>
      <c r="J28" s="188">
        <f>Output_EB_RIN_NS!Q34*10^6</f>
        <v>-2399643.690339379</v>
      </c>
      <c r="K28" s="188">
        <f>Output_EB_RIN_NS!R34*10^6</f>
        <v>-2173102.7995715449</v>
      </c>
      <c r="L28" s="189">
        <f>Output_EB_RIN_NS!S34*10^6</f>
        <v>-3264453.9242284913</v>
      </c>
      <c r="M28" s="191">
        <f>Output_EB_RIN_NS!T34*10^6</f>
        <v>-3335610.7888532598</v>
      </c>
      <c r="N28" s="189">
        <f>Output_EB_RIN_NS!U34*10^6</f>
        <v>-3410878.4283351363</v>
      </c>
      <c r="P28" s="187">
        <f>Output_EB_RIN_SCS!J34*10^6</f>
        <v>-1424101.5115463305</v>
      </c>
      <c r="Q28" s="188">
        <f>Output_EB_RIN_SCS!K34*10^6</f>
        <v>-1520345.9254256473</v>
      </c>
      <c r="R28" s="188">
        <f>Output_EB_RIN_SCS!L34*10^6</f>
        <v>-1656976.8757129682</v>
      </c>
      <c r="S28" s="188">
        <f>Output_EB_RIN_SCS!M34*10^6</f>
        <v>-1769975.9684561817</v>
      </c>
      <c r="T28" s="189">
        <f>Output_EB_RIN_SCS!N34*10^6</f>
        <v>-1955672.1694973421</v>
      </c>
      <c r="U28" s="190">
        <f>Output_EB_RIN_SCS!O34*10^6</f>
        <v>-2091545.3876303304</v>
      </c>
      <c r="V28" s="188">
        <f>Output_EB_RIN_SCS!P34*10^6</f>
        <v>-2197986.3792919824</v>
      </c>
      <c r="W28" s="188">
        <f>Output_EB_RIN_SCS!Q34*10^6</f>
        <v>-2337527.3006760166</v>
      </c>
      <c r="X28" s="188">
        <f>Output_EB_RIN_SCS!R34*10^6</f>
        <v>-2116850.5731180254</v>
      </c>
      <c r="Y28" s="189">
        <f>Output_EB_RIN_SCS!S34*10^6</f>
        <v>-3179951.3404441494</v>
      </c>
      <c r="Z28" s="191">
        <f>Output_EB_RIN_SCS!T34*10^6</f>
        <v>-3249266.261805403</v>
      </c>
      <c r="AA28" s="189">
        <f>Output_EB_RIN_SCS!U34*10^6</f>
        <v>-3322585.5478538438</v>
      </c>
      <c r="AB28" s="157"/>
      <c r="AC28" s="187" t="str">
        <f>IFERROR(Output_EB_RIN_ACS!J34*10^6,NA)</f>
        <v>N/A</v>
      </c>
      <c r="AD28" s="188" t="str">
        <f>IFERROR(Output_EB_RIN_ACS!K34*10^6,NA)</f>
        <v>N/A</v>
      </c>
      <c r="AE28" s="188" t="str">
        <f>IFERROR(Output_EB_RIN_ACS!L34*10^6,NA)</f>
        <v>N/A</v>
      </c>
      <c r="AF28" s="188" t="str">
        <f>IFERROR(Output_EB_RIN_ACS!M34*10^6,NA)</f>
        <v>N/A</v>
      </c>
      <c r="AG28" s="189" t="str">
        <f>IFERROR(Output_EB_RIN_ACS!N34*10^6,NA)</f>
        <v>N/A</v>
      </c>
      <c r="AH28" s="190" t="str">
        <f>IFERROR(Output_EB_RIN_ACS!O34*10^6,NA)</f>
        <v>N/A</v>
      </c>
      <c r="AI28" s="188" t="str">
        <f>IFERROR(Output_EB_RIN_ACS!P34*10^6,NA)</f>
        <v>N/A</v>
      </c>
      <c r="AJ28" s="188" t="str">
        <f>IFERROR(Output_EB_RIN_ACS!Q34*10^6,NA)</f>
        <v>N/A</v>
      </c>
      <c r="AK28" s="188" t="str">
        <f>IFERROR(Output_EB_RIN_ACS!R34*10^6,NA)</f>
        <v>N/A</v>
      </c>
      <c r="AL28" s="189" t="str">
        <f>IFERROR(Output_EB_RIN_ACS!S34*10^6,NA)</f>
        <v>N/A</v>
      </c>
      <c r="AM28" s="191" t="str">
        <f>IFERROR(Output_EB_RIN_ACS!T34*10^6,NA)</f>
        <v>N/A</v>
      </c>
      <c r="AN28" s="189" t="str">
        <f>IFERROR(Output_EB_RIN_ACS!U34*10^6,NA)</f>
        <v>N/A</v>
      </c>
      <c r="AO28" s="157"/>
      <c r="AP28" s="157"/>
      <c r="AQ28" s="157"/>
      <c r="AR28" s="157"/>
      <c r="AS28" s="157"/>
      <c r="AT28" s="157"/>
      <c r="AU28" s="157"/>
      <c r="AV28" s="157"/>
      <c r="AW28" s="157"/>
      <c r="AX28" s="157"/>
      <c r="AY28" s="157"/>
      <c r="AZ28" s="157"/>
      <c r="BA28" s="157"/>
      <c r="BB28" s="157"/>
      <c r="BC28" s="157"/>
      <c r="BD28" s="157"/>
    </row>
    <row r="29" spans="1:56" outlineLevel="2" x14ac:dyDescent="0.55000000000000004">
      <c r="A29" s="179" t="s">
        <v>295</v>
      </c>
      <c r="B29" s="186" t="s">
        <v>285</v>
      </c>
      <c r="C29" s="187">
        <f>Output_EB_RIN_NS!J35*10^6</f>
        <v>3147603.5327610509</v>
      </c>
      <c r="D29" s="188">
        <f>Output_EB_RIN_NS!K35*10^6</f>
        <v>3969715.9258460435</v>
      </c>
      <c r="E29" s="188">
        <f>Output_EB_RIN_NS!L35*10^6</f>
        <v>4401917.1666676402</v>
      </c>
      <c r="F29" s="188">
        <f>Output_EB_RIN_NS!M35*10^6</f>
        <v>4071365.8593001049</v>
      </c>
      <c r="G29" s="189">
        <f>Output_EB_RIN_NS!N35*10^6</f>
        <v>4146676.0915324111</v>
      </c>
      <c r="H29" s="190">
        <f>Output_EB_RIN_NS!O35*10^6</f>
        <v>4308260.8620036161</v>
      </c>
      <c r="I29" s="188">
        <f>Output_EB_RIN_NS!P35*10^6</f>
        <v>4898270.8874873258</v>
      </c>
      <c r="J29" s="188">
        <f>Output_EB_RIN_NS!Q35*10^6</f>
        <v>8684071.1296808999</v>
      </c>
      <c r="K29" s="188">
        <f>Output_EB_RIN_NS!R35*10^6</f>
        <v>5551674.5476844795</v>
      </c>
      <c r="L29" s="189">
        <f>Output_EB_RIN_NS!S35*10^6</f>
        <v>5652884.8278492419</v>
      </c>
      <c r="M29" s="191">
        <f>Output_EB_RIN_NS!T35*10^6</f>
        <v>4032372.1273399196</v>
      </c>
      <c r="N29" s="189">
        <f>Output_EB_RIN_NS!U35*10^6</f>
        <v>3792529.4312652471</v>
      </c>
      <c r="P29" s="187">
        <f>Output_EB_RIN_SCS!J35*10^6</f>
        <v>3066125.6998919928</v>
      </c>
      <c r="Q29" s="188">
        <f>Output_EB_RIN_SCS!K35*10^6</f>
        <v>3866957.1611613436</v>
      </c>
      <c r="R29" s="188">
        <f>Output_EB_RIN_SCS!L35*10^6</f>
        <v>4287970.5823929142</v>
      </c>
      <c r="S29" s="188">
        <f>Output_EB_RIN_SCS!M35*10^6</f>
        <v>3965975.8177716355</v>
      </c>
      <c r="T29" s="189">
        <f>Output_EB_RIN_SCS!N35*10^6</f>
        <v>4039336.5940285353</v>
      </c>
      <c r="U29" s="190">
        <f>Output_EB_RIN_SCS!O35*10^6</f>
        <v>4196738.6341191148</v>
      </c>
      <c r="V29" s="188">
        <f>Output_EB_RIN_SCS!P35*10^6</f>
        <v>4771475.8535625869</v>
      </c>
      <c r="W29" s="188">
        <f>Output_EB_RIN_SCS!Q35*10^6</f>
        <v>8459278.1121478155</v>
      </c>
      <c r="X29" s="188">
        <f>Output_EB_RIN_SCS!R35*10^6</f>
        <v>5407965.7208797093</v>
      </c>
      <c r="Y29" s="189">
        <f>Output_EB_RIN_SCS!S35*10^6</f>
        <v>5506556.1049215747</v>
      </c>
      <c r="Z29" s="191">
        <f>Output_EB_RIN_SCS!T35*10^6</f>
        <v>3927991.4647699259</v>
      </c>
      <c r="AA29" s="189">
        <f>Output_EB_RIN_SCS!U35*10^6</f>
        <v>3694357.2580752661</v>
      </c>
      <c r="AB29" s="157"/>
      <c r="AC29" s="187" t="str">
        <f>IFERROR(Output_EB_RIN_ACS!J35*10^6,NA)</f>
        <v>N/A</v>
      </c>
      <c r="AD29" s="188" t="str">
        <f>IFERROR(Output_EB_RIN_ACS!K35*10^6,NA)</f>
        <v>N/A</v>
      </c>
      <c r="AE29" s="188" t="str">
        <f>IFERROR(Output_EB_RIN_ACS!L35*10^6,NA)</f>
        <v>N/A</v>
      </c>
      <c r="AF29" s="188" t="str">
        <f>IFERROR(Output_EB_RIN_ACS!M35*10^6,NA)</f>
        <v>N/A</v>
      </c>
      <c r="AG29" s="189" t="str">
        <f>IFERROR(Output_EB_RIN_ACS!N35*10^6,NA)</f>
        <v>N/A</v>
      </c>
      <c r="AH29" s="190" t="str">
        <f>IFERROR(Output_EB_RIN_ACS!O35*10^6,NA)</f>
        <v>N/A</v>
      </c>
      <c r="AI29" s="188" t="str">
        <f>IFERROR(Output_EB_RIN_ACS!P35*10^6,NA)</f>
        <v>N/A</v>
      </c>
      <c r="AJ29" s="188" t="str">
        <f>IFERROR(Output_EB_RIN_ACS!Q35*10^6,NA)</f>
        <v>N/A</v>
      </c>
      <c r="AK29" s="188" t="str">
        <f>IFERROR(Output_EB_RIN_ACS!R35*10^6,NA)</f>
        <v>N/A</v>
      </c>
      <c r="AL29" s="189" t="str">
        <f>IFERROR(Output_EB_RIN_ACS!S35*10^6,NA)</f>
        <v>N/A</v>
      </c>
      <c r="AM29" s="191" t="str">
        <f>IFERROR(Output_EB_RIN_ACS!T35*10^6,NA)</f>
        <v>N/A</v>
      </c>
      <c r="AN29" s="189" t="str">
        <f>IFERROR(Output_EB_RIN_ACS!U35*10^6,NA)</f>
        <v>N/A</v>
      </c>
      <c r="AO29" s="157"/>
      <c r="AP29" s="157"/>
      <c r="AQ29" s="157"/>
      <c r="AR29" s="157"/>
      <c r="AS29" s="157"/>
      <c r="AT29" s="157"/>
      <c r="AU29" s="157"/>
      <c r="AV29" s="157"/>
      <c r="AW29" s="157"/>
      <c r="AX29" s="157"/>
      <c r="AY29" s="157"/>
      <c r="AZ29" s="157"/>
      <c r="BA29" s="157"/>
      <c r="BB29" s="157"/>
      <c r="BC29" s="157"/>
      <c r="BD29" s="157"/>
    </row>
    <row r="30" spans="1:56" outlineLevel="2" x14ac:dyDescent="0.55000000000000004">
      <c r="A30" s="179" t="s">
        <v>296</v>
      </c>
      <c r="B30" s="186" t="s">
        <v>287</v>
      </c>
      <c r="C30" s="187">
        <f>Output_EB_RIN_NS!J36*10^6</f>
        <v>0</v>
      </c>
      <c r="D30" s="188">
        <f>Output_EB_RIN_NS!K36*10^6</f>
        <v>0</v>
      </c>
      <c r="E30" s="188">
        <f>Output_EB_RIN_NS!L36*10^6</f>
        <v>0</v>
      </c>
      <c r="F30" s="188">
        <f>Output_EB_RIN_NS!M36*10^6</f>
        <v>0</v>
      </c>
      <c r="G30" s="189">
        <f>Output_EB_RIN_NS!N36*10^6</f>
        <v>0</v>
      </c>
      <c r="H30" s="190">
        <f>Output_EB_RIN_NS!O36*10^6</f>
        <v>-83056.756074667923</v>
      </c>
      <c r="I30" s="188">
        <f>Output_EB_RIN_NS!P36*10^6</f>
        <v>-6743.5817324966974</v>
      </c>
      <c r="J30" s="188">
        <f>Output_EB_RIN_NS!Q36*10^6</f>
        <v>-252807.45427024426</v>
      </c>
      <c r="K30" s="188">
        <f>Output_EB_RIN_NS!R36*10^6</f>
        <v>-84728.16850362657</v>
      </c>
      <c r="L30" s="189">
        <f>Output_EB_RIN_NS!S36*10^6</f>
        <v>-21550.69677014511</v>
      </c>
      <c r="M30" s="191">
        <f>Output_EB_RIN_NS!T36*10^6</f>
        <v>-21486.610840907528</v>
      </c>
      <c r="N30" s="189">
        <f>Output_EB_RIN_NS!U36*10^6</f>
        <v>-40978.476129357769</v>
      </c>
      <c r="P30" s="187">
        <f>Output_EB_RIN_SCS!J36*10^6</f>
        <v>0</v>
      </c>
      <c r="Q30" s="188">
        <f>Output_EB_RIN_SCS!K36*10^6</f>
        <v>0</v>
      </c>
      <c r="R30" s="188">
        <f>Output_EB_RIN_SCS!L36*10^6</f>
        <v>0</v>
      </c>
      <c r="S30" s="188">
        <f>Output_EB_RIN_SCS!M36*10^6</f>
        <v>0</v>
      </c>
      <c r="T30" s="189">
        <f>Output_EB_RIN_SCS!N36*10^6</f>
        <v>0</v>
      </c>
      <c r="U30" s="190">
        <f>Output_EB_RIN_SCS!O36*10^6</f>
        <v>-80906.776123361371</v>
      </c>
      <c r="V30" s="188">
        <f>Output_EB_RIN_SCS!P36*10^6</f>
        <v>-6569.0195871628393</v>
      </c>
      <c r="W30" s="188">
        <f>Output_EB_RIN_SCS!Q36*10^6</f>
        <v>-246263.36341105829</v>
      </c>
      <c r="X30" s="188">
        <f>Output_EB_RIN_SCS!R36*10^6</f>
        <v>-82534.922918283017</v>
      </c>
      <c r="Y30" s="189">
        <f>Output_EB_RIN_SCS!S36*10^6</f>
        <v>-20992.842500579791</v>
      </c>
      <c r="Z30" s="191">
        <f>Output_EB_RIN_SCS!T36*10^6</f>
        <v>-20930.415478691029</v>
      </c>
      <c r="AA30" s="189">
        <f>Output_EB_RIN_SCS!U36*10^6</f>
        <v>-39917.720734167415</v>
      </c>
      <c r="AB30" s="157"/>
      <c r="AC30" s="187" t="str">
        <f>IFERROR(Output_EB_RIN_ACS!J36*10^6,NA)</f>
        <v>N/A</v>
      </c>
      <c r="AD30" s="188" t="str">
        <f>IFERROR(Output_EB_RIN_ACS!K36*10^6,NA)</f>
        <v>N/A</v>
      </c>
      <c r="AE30" s="188" t="str">
        <f>IFERROR(Output_EB_RIN_ACS!L36*10^6,NA)</f>
        <v>N/A</v>
      </c>
      <c r="AF30" s="188" t="str">
        <f>IFERROR(Output_EB_RIN_ACS!M36*10^6,NA)</f>
        <v>N/A</v>
      </c>
      <c r="AG30" s="189" t="str">
        <f>IFERROR(Output_EB_RIN_ACS!N36*10^6,NA)</f>
        <v>N/A</v>
      </c>
      <c r="AH30" s="190" t="str">
        <f>IFERROR(Output_EB_RIN_ACS!O36*10^6,NA)</f>
        <v>N/A</v>
      </c>
      <c r="AI30" s="188" t="str">
        <f>IFERROR(Output_EB_RIN_ACS!P36*10^6,NA)</f>
        <v>N/A</v>
      </c>
      <c r="AJ30" s="188" t="str">
        <f>IFERROR(Output_EB_RIN_ACS!Q36*10^6,NA)</f>
        <v>N/A</v>
      </c>
      <c r="AK30" s="188" t="str">
        <f>IFERROR(Output_EB_RIN_ACS!R36*10^6,NA)</f>
        <v>N/A</v>
      </c>
      <c r="AL30" s="189" t="str">
        <f>IFERROR(Output_EB_RIN_ACS!S36*10^6,NA)</f>
        <v>N/A</v>
      </c>
      <c r="AM30" s="191" t="str">
        <f>IFERROR(Output_EB_RIN_ACS!T36*10^6,NA)</f>
        <v>N/A</v>
      </c>
      <c r="AN30" s="189" t="str">
        <f>IFERROR(Output_EB_RIN_ACS!U36*10^6,NA)</f>
        <v>N/A</v>
      </c>
      <c r="AO30" s="157"/>
      <c r="AP30" s="157"/>
      <c r="AQ30" s="157"/>
      <c r="AR30" s="157"/>
      <c r="AS30" s="157"/>
      <c r="AT30" s="202"/>
      <c r="AU30" s="202"/>
      <c r="AV30" s="157"/>
      <c r="AW30" s="157"/>
      <c r="AX30" s="157"/>
      <c r="AY30" s="157"/>
      <c r="AZ30" s="157"/>
      <c r="BA30" s="157"/>
      <c r="BB30" s="157"/>
      <c r="BC30" s="157"/>
      <c r="BD30" s="157"/>
    </row>
    <row r="31" spans="1:56" ht="14.7" outlineLevel="2" thickBot="1" x14ac:dyDescent="0.6">
      <c r="A31" s="179" t="s">
        <v>297</v>
      </c>
      <c r="B31" s="192" t="s">
        <v>289</v>
      </c>
      <c r="C31" s="193">
        <f>SUM(C26:C30)</f>
        <v>40580840.526305281</v>
      </c>
      <c r="D31" s="194">
        <f t="shared" ref="D31:N31" si="3">SUM(D26:D30)</f>
        <v>43998327.474311642</v>
      </c>
      <c r="E31" s="194">
        <f t="shared" si="3"/>
        <v>48579072.17604354</v>
      </c>
      <c r="F31" s="194">
        <f t="shared" si="3"/>
        <v>52016970.815439403</v>
      </c>
      <c r="G31" s="195">
        <f t="shared" si="3"/>
        <v>55674338.794952601</v>
      </c>
      <c r="H31" s="196">
        <f t="shared" si="3"/>
        <v>59565342.633047558</v>
      </c>
      <c r="I31" s="194">
        <f t="shared" si="3"/>
        <v>63170002.715722606</v>
      </c>
      <c r="J31" s="194">
        <f t="shared" si="3"/>
        <v>70782453.599585742</v>
      </c>
      <c r="K31" s="194">
        <f t="shared" si="3"/>
        <v>75810388.470053494</v>
      </c>
      <c r="L31" s="195">
        <f t="shared" si="3"/>
        <v>79184237.783716932</v>
      </c>
      <c r="M31" s="197">
        <f t="shared" si="3"/>
        <v>80897508.137741014</v>
      </c>
      <c r="N31" s="195">
        <f t="shared" si="3"/>
        <v>82957813.462294132</v>
      </c>
      <c r="P31" s="193">
        <f t="shared" ref="P31:AA31" si="4">SUM(P26:P30)</f>
        <v>39530378.195940621</v>
      </c>
      <c r="Q31" s="194">
        <f t="shared" si="4"/>
        <v>42859401.197492577</v>
      </c>
      <c r="R31" s="194">
        <f t="shared" si="4"/>
        <v>47321570.24401921</v>
      </c>
      <c r="S31" s="194">
        <f t="shared" si="4"/>
        <v>50670476.56661088</v>
      </c>
      <c r="T31" s="195">
        <f t="shared" si="4"/>
        <v>54233171.117951259</v>
      </c>
      <c r="U31" s="196">
        <f t="shared" si="4"/>
        <v>58023453.706653327</v>
      </c>
      <c r="V31" s="194">
        <f t="shared" si="4"/>
        <v>61534804.740488812</v>
      </c>
      <c r="W31" s="194">
        <f t="shared" si="4"/>
        <v>68950202.217090324</v>
      </c>
      <c r="X31" s="194">
        <f t="shared" si="4"/>
        <v>73847985.614290029</v>
      </c>
      <c r="Y31" s="195">
        <f t="shared" si="4"/>
        <v>77134500.570991799</v>
      </c>
      <c r="Z31" s="197">
        <f t="shared" si="4"/>
        <v>78803421.770456925</v>
      </c>
      <c r="AA31" s="195">
        <f t="shared" si="4"/>
        <v>80810394.707005665</v>
      </c>
      <c r="AB31" s="157"/>
      <c r="AC31" s="193">
        <f t="shared" ref="AC31:AN31" si="5">SUM(AC26:AC30)</f>
        <v>0</v>
      </c>
      <c r="AD31" s="194">
        <f t="shared" si="5"/>
        <v>0</v>
      </c>
      <c r="AE31" s="194">
        <f t="shared" si="5"/>
        <v>0</v>
      </c>
      <c r="AF31" s="194">
        <f t="shared" si="5"/>
        <v>0</v>
      </c>
      <c r="AG31" s="195">
        <f t="shared" si="5"/>
        <v>0</v>
      </c>
      <c r="AH31" s="196">
        <f t="shared" si="5"/>
        <v>0</v>
      </c>
      <c r="AI31" s="194">
        <f t="shared" si="5"/>
        <v>0</v>
      </c>
      <c r="AJ31" s="194">
        <f t="shared" si="5"/>
        <v>0</v>
      </c>
      <c r="AK31" s="194">
        <f t="shared" si="5"/>
        <v>0</v>
      </c>
      <c r="AL31" s="195">
        <f t="shared" si="5"/>
        <v>0</v>
      </c>
      <c r="AM31" s="197">
        <f t="shared" si="5"/>
        <v>0</v>
      </c>
      <c r="AN31" s="195">
        <f t="shared" si="5"/>
        <v>0</v>
      </c>
      <c r="AO31" s="157"/>
      <c r="AP31" s="157"/>
      <c r="AQ31" s="157"/>
      <c r="AR31" s="157"/>
      <c r="AS31" s="157"/>
      <c r="AT31" s="202"/>
      <c r="AU31" s="202"/>
      <c r="AV31" s="157"/>
      <c r="AW31" s="157"/>
      <c r="AX31" s="157"/>
      <c r="AY31" s="157"/>
      <c r="AZ31" s="157"/>
      <c r="BA31" s="157"/>
      <c r="BB31" s="157"/>
      <c r="BC31" s="157"/>
      <c r="BD31" s="157"/>
    </row>
    <row r="32" spans="1:56" ht="20.2" customHeight="1" outlineLevel="1" thickBot="1" x14ac:dyDescent="0.6">
      <c r="A32" s="70">
        <f>IF(SUM(C32:N32,P32:AA32,AC32:AN32)&lt;&gt;0,1,0)</f>
        <v>0</v>
      </c>
      <c r="B32" s="201" t="s">
        <v>298</v>
      </c>
      <c r="C32" s="327">
        <f>IF(ROUND(C31-(Output_EB_RIN_NS!J38*10^6),4)=0,0,1)</f>
        <v>0</v>
      </c>
      <c r="D32" s="327">
        <f>IF(ROUND(D31-(Output_EB_RIN_NS!K38*10^6),4)=0,0,1)</f>
        <v>0</v>
      </c>
      <c r="E32" s="327">
        <f>IF(ROUND(E31-(Output_EB_RIN_NS!L38*10^6),4)=0,0,1)</f>
        <v>0</v>
      </c>
      <c r="F32" s="327">
        <f>IF(ROUND(F31-(Output_EB_RIN_NS!M38*10^6),4)=0,0,1)</f>
        <v>0</v>
      </c>
      <c r="G32" s="327">
        <f>IF(ROUND(G31-(Output_EB_RIN_NS!N38*10^6),4)=0,0,1)</f>
        <v>0</v>
      </c>
      <c r="H32" s="327">
        <f>IF(ROUND(H31-(Output_EB_RIN_NS!O38*10^6),4)=0,0,1)</f>
        <v>0</v>
      </c>
      <c r="I32" s="327">
        <f>IF(ROUND(I31-(Output_EB_RIN_NS!P38*10^6),4)=0,0,1)</f>
        <v>0</v>
      </c>
      <c r="J32" s="327">
        <f>IF(ROUND(J31-(Output_EB_RIN_NS!Q38*10^6),4)=0,0,1)</f>
        <v>0</v>
      </c>
      <c r="K32" s="327">
        <f>IF(ROUND(K31-(Output_EB_RIN_NS!R38*10^6),4)=0,0,1)</f>
        <v>0</v>
      </c>
      <c r="L32" s="327">
        <f>IF(ROUND(L31-(Output_EB_RIN_NS!S38*10^6),4)=0,0,1)</f>
        <v>0</v>
      </c>
      <c r="M32" s="327">
        <f>IF(ROUND(M31-(Output_EB_RIN_NS!T38*10^6),4)=0,0,1)</f>
        <v>0</v>
      </c>
      <c r="N32" s="327">
        <f>IF(ROUND(N31-(Output_EB_RIN_NS!U38*10^6),4)=0,0,1)</f>
        <v>0</v>
      </c>
      <c r="P32" s="327">
        <f>IF(ROUND(P31-(Output_EB_RIN_SCS!J38*10^6),4)=0,0,1)</f>
        <v>0</v>
      </c>
      <c r="Q32" s="327">
        <f>IF(ROUND(Q31-(Output_EB_RIN_SCS!K38*10^6),4)=0,0,1)</f>
        <v>0</v>
      </c>
      <c r="R32" s="327">
        <f>IF(ROUND(R31-(Output_EB_RIN_SCS!L38*10^6),4)=0,0,1)</f>
        <v>0</v>
      </c>
      <c r="S32" s="327">
        <f>IF(ROUND(S31-(Output_EB_RIN_SCS!M38*10^6),4)=0,0,1)</f>
        <v>0</v>
      </c>
      <c r="T32" s="327">
        <f>IF(ROUND(T31-(Output_EB_RIN_SCS!N38*10^6),4)=0,0,1)</f>
        <v>0</v>
      </c>
      <c r="U32" s="327">
        <f>IF(ROUND(U31-(Output_EB_RIN_SCS!O38*10^6),4)=0,0,1)</f>
        <v>0</v>
      </c>
      <c r="V32" s="327">
        <f>IF(ROUND(V31-(Output_EB_RIN_SCS!P38*10^6),4)=0,0,1)</f>
        <v>0</v>
      </c>
      <c r="W32" s="327">
        <f>IF(ROUND(W31-(Output_EB_RIN_SCS!Q38*10^6),4)=0,0,1)</f>
        <v>0</v>
      </c>
      <c r="X32" s="327">
        <f>IF(ROUND(X31-(Output_EB_RIN_SCS!R38*10^6),4)=0,0,1)</f>
        <v>0</v>
      </c>
      <c r="Y32" s="327">
        <f>IF(ROUND(Y31-(Output_EB_RIN_SCS!S38*10^6),4)=0,0,1)</f>
        <v>0</v>
      </c>
      <c r="Z32" s="327">
        <f>IF(ROUND(Z31-(Output_EB_RIN_SCS!T38*10^6),4)=0,0,1)</f>
        <v>0</v>
      </c>
      <c r="AA32" s="327">
        <f>IF(ROUND(AA31-(Output_EB_RIN_SCS!U38*10^6),4)=0,0,1)</f>
        <v>0</v>
      </c>
      <c r="AB32" s="203"/>
      <c r="AC32" s="327">
        <f>IF(ROUND(AC31-(Output_EB_RIN_ACS!J38*10^6),4)=0,0,1)</f>
        <v>0</v>
      </c>
      <c r="AD32" s="327">
        <f>IF(ROUND(AD31-(Output_EB_RIN_ACS!K38*10^6),4)=0,0,1)</f>
        <v>0</v>
      </c>
      <c r="AE32" s="327">
        <f>IF(ROUND(AE31-(Output_EB_RIN_ACS!L38*10^6),4)=0,0,1)</f>
        <v>0</v>
      </c>
      <c r="AF32" s="327">
        <f>IF(ROUND(AF31-(Output_EB_RIN_ACS!M38*10^6),4)=0,0,1)</f>
        <v>0</v>
      </c>
      <c r="AG32" s="327">
        <f>IF(ROUND(AG31-(Output_EB_RIN_ACS!N38*10^6),4)=0,0,1)</f>
        <v>0</v>
      </c>
      <c r="AH32" s="327">
        <f>IF(ROUND(AH31-(Output_EB_RIN_ACS!O38*10^6),4)=0,0,1)</f>
        <v>0</v>
      </c>
      <c r="AI32" s="327">
        <f>IF(ROUND(AI31-(Output_EB_RIN_ACS!P38*10^6),4)=0,0,1)</f>
        <v>0</v>
      </c>
      <c r="AJ32" s="327">
        <f>IF(ROUND(AJ31-(Output_EB_RIN_ACS!Q38*10^6),4)=0,0,1)</f>
        <v>0</v>
      </c>
      <c r="AK32" s="327">
        <f>IF(ROUND(AK31-(Output_EB_RIN_ACS!R38*10^6),4)=0,0,1)</f>
        <v>0</v>
      </c>
      <c r="AL32" s="327">
        <f>IF(ROUND(AL31-(Output_EB_RIN_ACS!S38*10^6),4)=0,0,1)</f>
        <v>0</v>
      </c>
      <c r="AM32" s="327">
        <f>IF(ROUND(AM31-(Output_EB_RIN_ACS!T38*10^6),4)=0,0,1)</f>
        <v>0</v>
      </c>
      <c r="AN32" s="327">
        <f>IF(ROUND(AN31-(Output_EB_RIN_ACS!U38*10^6),4)=0,0,1)</f>
        <v>0</v>
      </c>
      <c r="AO32" s="203"/>
      <c r="AP32" s="203"/>
      <c r="AQ32" s="203"/>
      <c r="AR32" s="203"/>
      <c r="AS32" s="203"/>
      <c r="AT32" s="203"/>
      <c r="AU32" s="202"/>
      <c r="AV32" s="157"/>
      <c r="AW32" s="157"/>
      <c r="AX32" s="157"/>
      <c r="AY32" s="157"/>
      <c r="AZ32" s="157"/>
      <c r="BA32" s="157"/>
      <c r="BB32" s="157"/>
      <c r="BC32" s="157"/>
      <c r="BD32" s="157"/>
    </row>
    <row r="33" spans="1:56" outlineLevel="2" x14ac:dyDescent="0.55000000000000004">
      <c r="A33" s="179" t="s">
        <v>299</v>
      </c>
      <c r="B33" s="180" t="s">
        <v>279</v>
      </c>
      <c r="C33" s="181">
        <f>Output_EB_RIN_NS!J46*10^6</f>
        <v>78281564.020806506</v>
      </c>
      <c r="D33" s="182">
        <f>Output_EB_RIN_NS!K46*10^6</f>
        <v>84061721.445565373</v>
      </c>
      <c r="E33" s="182">
        <f>Output_EB_RIN_NS!L46*10^6</f>
        <v>91140920.923402533</v>
      </c>
      <c r="F33" s="182">
        <f>Output_EB_RIN_NS!M46*10^6</f>
        <v>100629766.253337</v>
      </c>
      <c r="G33" s="183">
        <f>Output_EB_RIN_NS!N46*10^6</f>
        <v>107751247.79233633</v>
      </c>
      <c r="H33" s="184">
        <f>Output_EB_RIN_NS!O46*10^6</f>
        <v>115327352.00659791</v>
      </c>
      <c r="I33" s="182">
        <f>Output_EB_RIN_NS!P46*10^6</f>
        <v>123387424.33764841</v>
      </c>
      <c r="J33" s="182">
        <f>Output_EB_RIN_NS!Q46*10^6</f>
        <v>130854346.22052722</v>
      </c>
      <c r="K33" s="182">
        <f>Output_EB_RIN_NS!R46*10^6</f>
        <v>146623260.69173825</v>
      </c>
      <c r="L33" s="183">
        <f>Output_EB_RIN_NS!S46*10^6</f>
        <v>157038444.05373135</v>
      </c>
      <c r="M33" s="185">
        <f>Output_EB_RIN_NS!T46*10^6</f>
        <v>164027108.36171776</v>
      </c>
      <c r="N33" s="183">
        <f>Output_EB_RIN_NS!U46*10^6</f>
        <v>167575939.34634805</v>
      </c>
      <c r="P33" s="181">
        <f>Output_EB_RIN_SCS!J46*10^6</f>
        <v>76255193.125098184</v>
      </c>
      <c r="Q33" s="182">
        <f>Output_EB_RIN_SCS!K46*10^6</f>
        <v>81885727.290221721</v>
      </c>
      <c r="R33" s="182">
        <f>Output_EB_RIN_SCS!L46*10^6</f>
        <v>88781676.93182683</v>
      </c>
      <c r="S33" s="182">
        <f>Output_EB_RIN_SCS!M46*10^6</f>
        <v>98024897.123186573</v>
      </c>
      <c r="T33" s="183">
        <f>Output_EB_RIN_SCS!N46*10^6</f>
        <v>104962034.32638399</v>
      </c>
      <c r="U33" s="184">
        <f>Output_EB_RIN_SCS!O46*10^6</f>
        <v>112342025.99135423</v>
      </c>
      <c r="V33" s="182">
        <f>Output_EB_RIN_SCS!P46*10^6</f>
        <v>120193457.93314777</v>
      </c>
      <c r="W33" s="182">
        <f>Output_EB_RIN_SCS!Q46*10^6</f>
        <v>127467093.52476172</v>
      </c>
      <c r="X33" s="182">
        <f>Output_EB_RIN_SCS!R46*10^6</f>
        <v>142827819.04700282</v>
      </c>
      <c r="Y33" s="183">
        <f>Output_EB_RIN_SCS!S46*10^6</f>
        <v>152973398.38789335</v>
      </c>
      <c r="Z33" s="185">
        <f>Output_EB_RIN_SCS!T46*10^6</f>
        <v>159781156.42336565</v>
      </c>
      <c r="AA33" s="183">
        <f>Output_EB_RIN_SCS!U46*10^6</f>
        <v>163238123.53288057</v>
      </c>
      <c r="AB33" s="157"/>
      <c r="AC33" s="181" t="str">
        <f>IFERROR(Output_EB_RIN_ACS!J46*10^6,NA)</f>
        <v>N/A</v>
      </c>
      <c r="AD33" s="182" t="str">
        <f>IFERROR(Output_EB_RIN_ACS!K46*10^6,NA)</f>
        <v>N/A</v>
      </c>
      <c r="AE33" s="182" t="str">
        <f>IFERROR(Output_EB_RIN_ACS!L46*10^6,NA)</f>
        <v>N/A</v>
      </c>
      <c r="AF33" s="182" t="str">
        <f>IFERROR(Output_EB_RIN_ACS!M46*10^6,NA)</f>
        <v>N/A</v>
      </c>
      <c r="AG33" s="183" t="str">
        <f>IFERROR(Output_EB_RIN_ACS!N46*10^6,NA)</f>
        <v>N/A</v>
      </c>
      <c r="AH33" s="184" t="str">
        <f>IFERROR(Output_EB_RIN_ACS!O46*10^6,NA)</f>
        <v>N/A</v>
      </c>
      <c r="AI33" s="182" t="str">
        <f>IFERROR(Output_EB_RIN_ACS!P46*10^6,NA)</f>
        <v>N/A</v>
      </c>
      <c r="AJ33" s="182" t="str">
        <f>IFERROR(Output_EB_RIN_ACS!Q46*10^6,NA)</f>
        <v>N/A</v>
      </c>
      <c r="AK33" s="182" t="str">
        <f>IFERROR(Output_EB_RIN_ACS!R46*10^6,NA)</f>
        <v>N/A</v>
      </c>
      <c r="AL33" s="183" t="str">
        <f>IFERROR(Output_EB_RIN_ACS!S46*10^6,NA)</f>
        <v>N/A</v>
      </c>
      <c r="AM33" s="185" t="str">
        <f>IFERROR(Output_EB_RIN_ACS!T46*10^6,NA)</f>
        <v>N/A</v>
      </c>
      <c r="AN33" s="183" t="str">
        <f>IFERROR(Output_EB_RIN_ACS!U46*10^6,NA)</f>
        <v>N/A</v>
      </c>
      <c r="AO33" s="157"/>
      <c r="AP33" s="157"/>
      <c r="AQ33" s="157"/>
      <c r="AR33" s="157"/>
      <c r="AS33" s="157"/>
      <c r="AT33" s="202"/>
      <c r="AU33" s="202"/>
      <c r="AV33" s="157"/>
      <c r="AW33" s="157"/>
      <c r="AX33" s="157"/>
      <c r="AY33" s="157"/>
      <c r="AZ33" s="157"/>
      <c r="BA33" s="157"/>
      <c r="BB33" s="157"/>
      <c r="BC33" s="157"/>
      <c r="BD33" s="157"/>
    </row>
    <row r="34" spans="1:56" outlineLevel="2" x14ac:dyDescent="0.55000000000000004">
      <c r="A34" s="179" t="s">
        <v>300</v>
      </c>
      <c r="B34" s="186" t="s">
        <v>281</v>
      </c>
      <c r="C34" s="187">
        <f>Output_EB_RIN_NS!J47*10^6</f>
        <v>2288377.0237507434</v>
      </c>
      <c r="D34" s="188">
        <f>Output_EB_RIN_NS!K47*10^6</f>
        <v>2089107.870244809</v>
      </c>
      <c r="E34" s="188">
        <f>Output_EB_RIN_NS!L47*10^6</f>
        <v>3894011.6329860222</v>
      </c>
      <c r="F34" s="188">
        <f>Output_EB_RIN_NS!M47*10^6</f>
        <v>2451666.5089406599</v>
      </c>
      <c r="G34" s="189">
        <f>Output_EB_RIN_NS!N47*10^6</f>
        <v>3145171.5571817015</v>
      </c>
      <c r="H34" s="190">
        <f>Output_EB_RIN_NS!O47*10^6</f>
        <v>3755407.4708030717</v>
      </c>
      <c r="I34" s="188">
        <f>Output_EB_RIN_NS!P47*10^6</f>
        <v>2008340.5792496367</v>
      </c>
      <c r="J34" s="188">
        <f>Output_EB_RIN_NS!Q47*10^6</f>
        <v>3274633.2888019821</v>
      </c>
      <c r="K34" s="188">
        <f>Output_EB_RIN_NS!R47*10^6</f>
        <v>3592106.6093744356</v>
      </c>
      <c r="L34" s="189">
        <f>Output_EB_RIN_NS!S47*10^6</f>
        <v>2085899.6363873095</v>
      </c>
      <c r="M34" s="191">
        <f>Output_EB_RIN_NS!T47*10^6</f>
        <v>2150168.0871386458</v>
      </c>
      <c r="N34" s="189">
        <f>Output_EB_RIN_NS!U47*10^6</f>
        <v>3562150.2818539678</v>
      </c>
      <c r="P34" s="187">
        <f>Output_EB_RIN_SCS!J47*10^6</f>
        <v>2229140.8465314982</v>
      </c>
      <c r="Q34" s="188">
        <f>Output_EB_RIN_SCS!K47*10^6</f>
        <v>2035029.9089877475</v>
      </c>
      <c r="R34" s="188">
        <f>Output_EB_RIN_SCS!L47*10^6</f>
        <v>3793212.5248009157</v>
      </c>
      <c r="S34" s="188">
        <f>Output_EB_RIN_SCS!M47*10^6</f>
        <v>2388203.4736546022</v>
      </c>
      <c r="T34" s="189">
        <f>Output_EB_RIN_SCS!N47*10^6</f>
        <v>3063756.6776349833</v>
      </c>
      <c r="U34" s="190">
        <f>Output_EB_RIN_SCS!O47*10^6</f>
        <v>3658196.2245083698</v>
      </c>
      <c r="V34" s="188">
        <f>Output_EB_RIN_SCS!P47*10^6</f>
        <v>1956353.3336016089</v>
      </c>
      <c r="W34" s="188">
        <f>Output_EB_RIN_SCS!Q47*10^6</f>
        <v>3189867.2053243658</v>
      </c>
      <c r="X34" s="188">
        <f>Output_EB_RIN_SCS!R47*10^6</f>
        <v>3499122.515628132</v>
      </c>
      <c r="Y34" s="189">
        <f>Output_EB_RIN_SCS!S47*10^6</f>
        <v>2031904.7224198217</v>
      </c>
      <c r="Z34" s="191">
        <f>Output_EB_RIN_SCS!T47*10^6</f>
        <v>2094509.5411302831</v>
      </c>
      <c r="AA34" s="189">
        <f>Output_EB_RIN_SCS!U47*10^6</f>
        <v>3469941.62777841</v>
      </c>
      <c r="AB34" s="157"/>
      <c r="AC34" s="187" t="str">
        <f>IFERROR(Output_EB_RIN_ACS!J47*10^6,NA)</f>
        <v>N/A</v>
      </c>
      <c r="AD34" s="188" t="str">
        <f>IFERROR(Output_EB_RIN_ACS!K47*10^6,NA)</f>
        <v>N/A</v>
      </c>
      <c r="AE34" s="188" t="str">
        <f>IFERROR(Output_EB_RIN_ACS!L47*10^6,NA)</f>
        <v>N/A</v>
      </c>
      <c r="AF34" s="188" t="str">
        <f>IFERROR(Output_EB_RIN_ACS!M47*10^6,NA)</f>
        <v>N/A</v>
      </c>
      <c r="AG34" s="189" t="str">
        <f>IFERROR(Output_EB_RIN_ACS!N47*10^6,NA)</f>
        <v>N/A</v>
      </c>
      <c r="AH34" s="190" t="str">
        <f>IFERROR(Output_EB_RIN_ACS!O47*10^6,NA)</f>
        <v>N/A</v>
      </c>
      <c r="AI34" s="188" t="str">
        <f>IFERROR(Output_EB_RIN_ACS!P47*10^6,NA)</f>
        <v>N/A</v>
      </c>
      <c r="AJ34" s="188" t="str">
        <f>IFERROR(Output_EB_RIN_ACS!Q47*10^6,NA)</f>
        <v>N/A</v>
      </c>
      <c r="AK34" s="188" t="str">
        <f>IFERROR(Output_EB_RIN_ACS!R47*10^6,NA)</f>
        <v>N/A</v>
      </c>
      <c r="AL34" s="189" t="str">
        <f>IFERROR(Output_EB_RIN_ACS!S47*10^6,NA)</f>
        <v>N/A</v>
      </c>
      <c r="AM34" s="191" t="str">
        <f>IFERROR(Output_EB_RIN_ACS!T47*10^6,NA)</f>
        <v>N/A</v>
      </c>
      <c r="AN34" s="189" t="str">
        <f>IFERROR(Output_EB_RIN_ACS!U47*10^6,NA)</f>
        <v>N/A</v>
      </c>
      <c r="AO34" s="157"/>
      <c r="AP34" s="157"/>
      <c r="AQ34" s="157"/>
      <c r="AR34" s="157"/>
      <c r="AS34" s="157"/>
      <c r="AT34" s="202"/>
      <c r="AU34" s="202"/>
      <c r="AV34" s="157"/>
      <c r="AW34" s="157"/>
      <c r="AX34" s="157"/>
      <c r="AY34" s="157"/>
      <c r="AZ34" s="157"/>
      <c r="BA34" s="157"/>
      <c r="BB34" s="157"/>
      <c r="BC34" s="157"/>
      <c r="BD34" s="157"/>
    </row>
    <row r="35" spans="1:56" outlineLevel="2" x14ac:dyDescent="0.55000000000000004">
      <c r="A35" s="179" t="s">
        <v>301</v>
      </c>
      <c r="B35" s="186" t="s">
        <v>283</v>
      </c>
      <c r="C35" s="187">
        <f>Output_EB_RIN_NS!J48*10^6</f>
        <v>-3028365.7100529391</v>
      </c>
      <c r="D35" s="188">
        <f>Output_EB_RIN_NS!K48*10^6</f>
        <v>-3233030.3918983974</v>
      </c>
      <c r="E35" s="188">
        <f>Output_EB_RIN_NS!L48*10^6</f>
        <v>-3523577.4360713852</v>
      </c>
      <c r="F35" s="188">
        <f>Output_EB_RIN_NS!M48*10^6</f>
        <v>-3763871.1054173764</v>
      </c>
      <c r="G35" s="189">
        <f>Output_EB_RIN_NS!N48*10^6</f>
        <v>-4158755.8823526409</v>
      </c>
      <c r="H35" s="190">
        <f>Output_EB_RIN_NS!O48*10^6</f>
        <v>-4447691.601732431</v>
      </c>
      <c r="I35" s="188">
        <f>Output_EB_RIN_NS!P48*10^6</f>
        <v>-4674039.4053676995</v>
      </c>
      <c r="J35" s="188">
        <f>Output_EB_RIN_NS!Q48*10^6</f>
        <v>-4970774.5313698845</v>
      </c>
      <c r="K35" s="188">
        <f>Output_EB_RIN_NS!R48*10^6</f>
        <v>-4501502.8739055814</v>
      </c>
      <c r="L35" s="189">
        <f>Output_EB_RIN_NS!S48*10^6</f>
        <v>-6762196.9998335624</v>
      </c>
      <c r="M35" s="191">
        <f>Output_EB_RIN_NS!T48*10^6</f>
        <v>-6909595.8445130493</v>
      </c>
      <c r="N35" s="189">
        <f>Output_EB_RIN_NS!U48*10^6</f>
        <v>-7065510.0090771494</v>
      </c>
      <c r="P35" s="187">
        <f>Output_EB_RIN_SCS!J48*10^6</f>
        <v>-2949974.4283613604</v>
      </c>
      <c r="Q35" s="188">
        <f>Output_EB_RIN_SCS!K48*10^6</f>
        <v>-3149341.2273673695</v>
      </c>
      <c r="R35" s="188">
        <f>Output_EB_RIN_SCS!L48*10^6</f>
        <v>-3432367.2660327293</v>
      </c>
      <c r="S35" s="188">
        <f>Output_EB_RIN_SCS!M48*10^6</f>
        <v>-3666440.7722524921</v>
      </c>
      <c r="T35" s="189">
        <f>Output_EB_RIN_SCS!N48*10^6</f>
        <v>-4051103.6913448651</v>
      </c>
      <c r="U35" s="190">
        <f>Output_EB_RIN_SCS!O48*10^6</f>
        <v>-4332560.1154422294</v>
      </c>
      <c r="V35" s="188">
        <f>Output_EB_RIN_SCS!P48*10^6</f>
        <v>-4553048.7540578507</v>
      </c>
      <c r="W35" s="188">
        <f>Output_EB_RIN_SCS!Q48*10^6</f>
        <v>-4842102.6918954076</v>
      </c>
      <c r="X35" s="188">
        <f>Output_EB_RIN_SCS!R48*10^6</f>
        <v>-4384978.4466700023</v>
      </c>
      <c r="Y35" s="189">
        <f>Output_EB_RIN_SCS!S48*10^6</f>
        <v>-6587152.9857938457</v>
      </c>
      <c r="Z35" s="191">
        <f>Output_EB_RIN_SCS!T48*10^6</f>
        <v>-6730736.3123158244</v>
      </c>
      <c r="AA35" s="189">
        <f>Output_EB_RIN_SCS!U48*10^6</f>
        <v>-6882614.5339442752</v>
      </c>
      <c r="AB35" s="157"/>
      <c r="AC35" s="187" t="str">
        <f>IFERROR(Output_EB_RIN_ACS!J48*10^6,NA)</f>
        <v>N/A</v>
      </c>
      <c r="AD35" s="188" t="str">
        <f>IFERROR(Output_EB_RIN_ACS!K48*10^6,NA)</f>
        <v>N/A</v>
      </c>
      <c r="AE35" s="188" t="str">
        <f>IFERROR(Output_EB_RIN_ACS!L48*10^6,NA)</f>
        <v>N/A</v>
      </c>
      <c r="AF35" s="188" t="str">
        <f>IFERROR(Output_EB_RIN_ACS!M48*10^6,NA)</f>
        <v>N/A</v>
      </c>
      <c r="AG35" s="189" t="str">
        <f>IFERROR(Output_EB_RIN_ACS!N48*10^6,NA)</f>
        <v>N/A</v>
      </c>
      <c r="AH35" s="190" t="str">
        <f>IFERROR(Output_EB_RIN_ACS!O48*10^6,NA)</f>
        <v>N/A</v>
      </c>
      <c r="AI35" s="188" t="str">
        <f>IFERROR(Output_EB_RIN_ACS!P48*10^6,NA)</f>
        <v>N/A</v>
      </c>
      <c r="AJ35" s="188" t="str">
        <f>IFERROR(Output_EB_RIN_ACS!Q48*10^6,NA)</f>
        <v>N/A</v>
      </c>
      <c r="AK35" s="188" t="str">
        <f>IFERROR(Output_EB_RIN_ACS!R48*10^6,NA)</f>
        <v>N/A</v>
      </c>
      <c r="AL35" s="189" t="str">
        <f>IFERROR(Output_EB_RIN_ACS!S48*10^6,NA)</f>
        <v>N/A</v>
      </c>
      <c r="AM35" s="191" t="str">
        <f>IFERROR(Output_EB_RIN_ACS!T48*10^6,NA)</f>
        <v>N/A</v>
      </c>
      <c r="AN35" s="189" t="str">
        <f>IFERROR(Output_EB_RIN_ACS!U48*10^6,NA)</f>
        <v>N/A</v>
      </c>
      <c r="AO35" s="157"/>
      <c r="AP35" s="157"/>
      <c r="AQ35" s="157"/>
      <c r="AR35" s="157"/>
      <c r="AS35" s="157"/>
      <c r="AT35" s="157"/>
      <c r="AU35" s="157"/>
      <c r="AV35" s="157"/>
      <c r="AW35" s="157"/>
      <c r="AX35" s="157"/>
      <c r="AY35" s="157"/>
      <c r="AZ35" s="157"/>
      <c r="BA35" s="157"/>
      <c r="BB35" s="157"/>
      <c r="BC35" s="157"/>
      <c r="BD35" s="157"/>
    </row>
    <row r="36" spans="1:56" outlineLevel="2" x14ac:dyDescent="0.55000000000000004">
      <c r="A36" s="179" t="s">
        <v>302</v>
      </c>
      <c r="B36" s="186" t="s">
        <v>285</v>
      </c>
      <c r="C36" s="187">
        <f>Output_EB_RIN_NS!J49*10^6</f>
        <v>6520146.1110610571</v>
      </c>
      <c r="D36" s="188">
        <f>Output_EB_RIN_NS!K49*10^6</f>
        <v>8223121.9994907556</v>
      </c>
      <c r="E36" s="188">
        <f>Output_EB_RIN_NS!L49*10^6</f>
        <v>9118411.1330198329</v>
      </c>
      <c r="F36" s="188">
        <f>Output_EB_RIN_NS!M49*10^6</f>
        <v>8433686.1354760565</v>
      </c>
      <c r="G36" s="189">
        <f>Output_EB_RIN_NS!N49*10^6</f>
        <v>8589688.53943252</v>
      </c>
      <c r="H36" s="190">
        <f>Output_EB_RIN_NS!O49*10^6</f>
        <v>8924405.508017933</v>
      </c>
      <c r="I36" s="188">
        <f>Output_EB_RIN_NS!P49*10^6</f>
        <v>10146589.793015903</v>
      </c>
      <c r="J36" s="188">
        <f>Output_EB_RIN_NS!Q49*10^6</f>
        <v>17988737.150354732</v>
      </c>
      <c r="K36" s="188">
        <f>Output_EB_RIN_NS!R49*10^6</f>
        <v>11500090.931032334</v>
      </c>
      <c r="L36" s="189">
        <f>Output_EB_RIN_NS!S49*10^6</f>
        <v>11709603.155111883</v>
      </c>
      <c r="M36" s="191">
        <f>Output_EB_RIN_NS!T49*10^6</f>
        <v>8352767.4740149425</v>
      </c>
      <c r="N36" s="189">
        <f>Output_EB_RIN_NS!U49*10^6</f>
        <v>7855954.2833961267</v>
      </c>
      <c r="P36" s="187">
        <f>Output_EB_RIN_SCS!J49*10^6</f>
        <v>6351367.7469534054</v>
      </c>
      <c r="Q36" s="188">
        <f>Output_EB_RIN_SCS!K49*10^6</f>
        <v>8010260.9599847216</v>
      </c>
      <c r="R36" s="188">
        <f>Output_EB_RIN_SCS!L49*10^6</f>
        <v>8882374.9325915538</v>
      </c>
      <c r="S36" s="188">
        <f>Output_EB_RIN_SCS!M49*10^6</f>
        <v>8215374.5017952919</v>
      </c>
      <c r="T36" s="189">
        <f>Output_EB_RIN_SCS!N49*10^6</f>
        <v>8367338.6786801312</v>
      </c>
      <c r="U36" s="190">
        <f>Output_EB_RIN_SCS!O49*10^6</f>
        <v>8693391.2735790275</v>
      </c>
      <c r="V36" s="188">
        <f>Output_EB_RIN_SCS!P49*10^6</f>
        <v>9883938.4969611391</v>
      </c>
      <c r="W36" s="188">
        <f>Output_EB_RIN_SCS!Q49*10^6</f>
        <v>17523086.599449314</v>
      </c>
      <c r="X36" s="188">
        <f>Output_EB_RIN_SCS!R49*10^6</f>
        <v>11202403.348366641</v>
      </c>
      <c r="Y36" s="189">
        <f>Output_EB_RIN_SCS!S49*10^6</f>
        <v>11406492.207718106</v>
      </c>
      <c r="Z36" s="191">
        <f>Output_EB_RIN_SCS!T49*10^6</f>
        <v>8136550.4742694534</v>
      </c>
      <c r="AA36" s="189">
        <f>Output_EB_RIN_SCS!U49*10^6</f>
        <v>7652597.6269851979</v>
      </c>
      <c r="AB36" s="157"/>
      <c r="AC36" s="187" t="str">
        <f>IFERROR(Output_EB_RIN_ACS!J49*10^6,NA)</f>
        <v>N/A</v>
      </c>
      <c r="AD36" s="188" t="str">
        <f>IFERROR(Output_EB_RIN_ACS!K49*10^6,NA)</f>
        <v>N/A</v>
      </c>
      <c r="AE36" s="188" t="str">
        <f>IFERROR(Output_EB_RIN_ACS!L49*10^6,NA)</f>
        <v>N/A</v>
      </c>
      <c r="AF36" s="188" t="str">
        <f>IFERROR(Output_EB_RIN_ACS!M49*10^6,NA)</f>
        <v>N/A</v>
      </c>
      <c r="AG36" s="189" t="str">
        <f>IFERROR(Output_EB_RIN_ACS!N49*10^6,NA)</f>
        <v>N/A</v>
      </c>
      <c r="AH36" s="190" t="str">
        <f>IFERROR(Output_EB_RIN_ACS!O49*10^6,NA)</f>
        <v>N/A</v>
      </c>
      <c r="AI36" s="188" t="str">
        <f>IFERROR(Output_EB_RIN_ACS!P49*10^6,NA)</f>
        <v>N/A</v>
      </c>
      <c r="AJ36" s="188" t="str">
        <f>IFERROR(Output_EB_RIN_ACS!Q49*10^6,NA)</f>
        <v>N/A</v>
      </c>
      <c r="AK36" s="188" t="str">
        <f>IFERROR(Output_EB_RIN_ACS!R49*10^6,NA)</f>
        <v>N/A</v>
      </c>
      <c r="AL36" s="189" t="str">
        <f>IFERROR(Output_EB_RIN_ACS!S49*10^6,NA)</f>
        <v>N/A</v>
      </c>
      <c r="AM36" s="191" t="str">
        <f>IFERROR(Output_EB_RIN_ACS!T49*10^6,NA)</f>
        <v>N/A</v>
      </c>
      <c r="AN36" s="189" t="str">
        <f>IFERROR(Output_EB_RIN_ACS!U49*10^6,NA)</f>
        <v>N/A</v>
      </c>
      <c r="AO36" s="157"/>
      <c r="AP36" s="157"/>
      <c r="AQ36" s="157"/>
      <c r="AR36" s="157"/>
      <c r="AS36" s="157"/>
      <c r="AT36" s="157"/>
      <c r="AU36" s="157"/>
      <c r="AV36" s="157"/>
      <c r="AW36" s="157"/>
      <c r="AX36" s="157"/>
      <c r="AY36" s="157"/>
      <c r="AZ36" s="157"/>
      <c r="BA36" s="157"/>
      <c r="BB36" s="157"/>
      <c r="BC36" s="157"/>
      <c r="BD36" s="157"/>
    </row>
    <row r="37" spans="1:56" outlineLevel="2" x14ac:dyDescent="0.55000000000000004">
      <c r="A37" s="179" t="s">
        <v>303</v>
      </c>
      <c r="B37" s="186" t="s">
        <v>287</v>
      </c>
      <c r="C37" s="187">
        <f>Output_EB_RIN_NS!J50*10^6</f>
        <v>0</v>
      </c>
      <c r="D37" s="188">
        <f>Output_EB_RIN_NS!K50*10^6</f>
        <v>0</v>
      </c>
      <c r="E37" s="188">
        <f>Output_EB_RIN_NS!L50*10^6</f>
        <v>0</v>
      </c>
      <c r="F37" s="188">
        <f>Output_EB_RIN_NS!M50*10^6</f>
        <v>0</v>
      </c>
      <c r="G37" s="189">
        <f>Output_EB_RIN_NS!N50*10^6</f>
        <v>0</v>
      </c>
      <c r="H37" s="190">
        <f>Output_EB_RIN_NS!O50*10^6</f>
        <v>-172049.04603806839</v>
      </c>
      <c r="I37" s="188">
        <f>Output_EB_RIN_NS!P50*10^6</f>
        <v>-13969.084019038246</v>
      </c>
      <c r="J37" s="188">
        <f>Output_EB_RIN_NS!Q50*10^6</f>
        <v>-523681.43657580268</v>
      </c>
      <c r="K37" s="188">
        <f>Output_EB_RIN_NS!R50*10^6</f>
        <v>-175511.30450807721</v>
      </c>
      <c r="L37" s="189">
        <f>Output_EB_RIN_NS!S50*10^6</f>
        <v>-44641.483679254961</v>
      </c>
      <c r="M37" s="191">
        <f>Output_EB_RIN_NS!T50*10^6</f>
        <v>-44508.732010265172</v>
      </c>
      <c r="N37" s="189">
        <f>Output_EB_RIN_NS!U50*10^6</f>
        <v>-84885.421239080708</v>
      </c>
      <c r="P37" s="187">
        <f>Output_EB_RIN_SCS!J50*10^6</f>
        <v>0</v>
      </c>
      <c r="Q37" s="188">
        <f>Output_EB_RIN_SCS!K50*10^6</f>
        <v>0</v>
      </c>
      <c r="R37" s="188">
        <f>Output_EB_RIN_SCS!L50*10^6</f>
        <v>0</v>
      </c>
      <c r="S37" s="188">
        <f>Output_EB_RIN_SCS!M50*10^6</f>
        <v>0</v>
      </c>
      <c r="T37" s="189">
        <f>Output_EB_RIN_SCS!N50*10^6</f>
        <v>0</v>
      </c>
      <c r="U37" s="190">
        <f>Output_EB_RIN_SCS!O50*10^6</f>
        <v>-167595.44085162549</v>
      </c>
      <c r="V37" s="188">
        <f>Output_EB_RIN_SCS!P50*10^6</f>
        <v>-13607.484890942644</v>
      </c>
      <c r="W37" s="188">
        <f>Output_EB_RIN_SCS!Q50*10^6</f>
        <v>-510125.59063718701</v>
      </c>
      <c r="X37" s="188">
        <f>Output_EB_RIN_SCS!R50*10^6</f>
        <v>-170968.07643424306</v>
      </c>
      <c r="Y37" s="189">
        <f>Output_EB_RIN_SCS!S50*10^6</f>
        <v>-43485.908871822168</v>
      </c>
      <c r="Z37" s="191">
        <f>Output_EB_RIN_SCS!T50*10^6</f>
        <v>-43356.593569003169</v>
      </c>
      <c r="AA37" s="189">
        <f>Output_EB_RIN_SCS!U50*10^6</f>
        <v>-82688.105060994407</v>
      </c>
      <c r="AB37" s="157"/>
      <c r="AC37" s="187" t="str">
        <f>IFERROR(Output_EB_RIN_ACS!J50*10^6,NA)</f>
        <v>N/A</v>
      </c>
      <c r="AD37" s="188" t="str">
        <f>IFERROR(Output_EB_RIN_ACS!K50*10^6,NA)</f>
        <v>N/A</v>
      </c>
      <c r="AE37" s="188" t="str">
        <f>IFERROR(Output_EB_RIN_ACS!L50*10^6,NA)</f>
        <v>N/A</v>
      </c>
      <c r="AF37" s="188" t="str">
        <f>IFERROR(Output_EB_RIN_ACS!M50*10^6,NA)</f>
        <v>N/A</v>
      </c>
      <c r="AG37" s="189" t="str">
        <f>IFERROR(Output_EB_RIN_ACS!N50*10^6,NA)</f>
        <v>N/A</v>
      </c>
      <c r="AH37" s="190" t="str">
        <f>IFERROR(Output_EB_RIN_ACS!O50*10^6,NA)</f>
        <v>N/A</v>
      </c>
      <c r="AI37" s="188" t="str">
        <f>IFERROR(Output_EB_RIN_ACS!P50*10^6,NA)</f>
        <v>N/A</v>
      </c>
      <c r="AJ37" s="188" t="str">
        <f>IFERROR(Output_EB_RIN_ACS!Q50*10^6,NA)</f>
        <v>N/A</v>
      </c>
      <c r="AK37" s="188" t="str">
        <f>IFERROR(Output_EB_RIN_ACS!R50*10^6,NA)</f>
        <v>N/A</v>
      </c>
      <c r="AL37" s="189" t="str">
        <f>IFERROR(Output_EB_RIN_ACS!S50*10^6,NA)</f>
        <v>N/A</v>
      </c>
      <c r="AM37" s="191" t="str">
        <f>IFERROR(Output_EB_RIN_ACS!T50*10^6,NA)</f>
        <v>N/A</v>
      </c>
      <c r="AN37" s="189" t="str">
        <f>IFERROR(Output_EB_RIN_ACS!U50*10^6,NA)</f>
        <v>N/A</v>
      </c>
      <c r="AO37" s="157"/>
      <c r="AP37" s="157"/>
      <c r="AQ37" s="157"/>
      <c r="AR37" s="157"/>
      <c r="AS37" s="157"/>
      <c r="AT37" s="157"/>
      <c r="AU37" s="157"/>
      <c r="AV37" s="157"/>
      <c r="AW37" s="157"/>
      <c r="AX37" s="157"/>
      <c r="AY37" s="157"/>
      <c r="AZ37" s="157"/>
      <c r="BA37" s="157"/>
      <c r="BB37" s="157"/>
      <c r="BC37" s="157"/>
      <c r="BD37" s="157"/>
    </row>
    <row r="38" spans="1:56" ht="14.7" outlineLevel="2" thickBot="1" x14ac:dyDescent="0.6">
      <c r="A38" s="179" t="s">
        <v>304</v>
      </c>
      <c r="B38" s="192" t="s">
        <v>289</v>
      </c>
      <c r="C38" s="193">
        <f>SUM(C33:C37)</f>
        <v>84061721.445565358</v>
      </c>
      <c r="D38" s="194">
        <f t="shared" ref="D38" si="6">SUM(D33:D37)</f>
        <v>91140920.923402548</v>
      </c>
      <c r="E38" s="194">
        <f t="shared" ref="E38" si="7">SUM(E33:E37)</f>
        <v>100629766.25333701</v>
      </c>
      <c r="F38" s="194">
        <f t="shared" ref="F38" si="8">SUM(F33:F37)</f>
        <v>107751247.79233634</v>
      </c>
      <c r="G38" s="195">
        <f t="shared" ref="G38" si="9">SUM(G33:G37)</f>
        <v>115327352.00659792</v>
      </c>
      <c r="H38" s="196">
        <f t="shared" ref="H38" si="10">SUM(H33:H37)</f>
        <v>123387424.33764841</v>
      </c>
      <c r="I38" s="194">
        <f t="shared" ref="I38" si="11">SUM(I33:I37)</f>
        <v>130854346.2205272</v>
      </c>
      <c r="J38" s="194">
        <f t="shared" ref="J38" si="12">SUM(J33:J37)</f>
        <v>146623260.69173825</v>
      </c>
      <c r="K38" s="194">
        <f t="shared" ref="K38" si="13">SUM(K33:K37)</f>
        <v>157038444.05373135</v>
      </c>
      <c r="L38" s="195">
        <f t="shared" ref="L38" si="14">SUM(L33:L37)</f>
        <v>164027108.36171773</v>
      </c>
      <c r="M38" s="197">
        <f t="shared" ref="M38" si="15">SUM(M33:M37)</f>
        <v>167575939.34634802</v>
      </c>
      <c r="N38" s="195">
        <f t="shared" ref="N38" si="16">SUM(N33:N37)</f>
        <v>171843648.48128191</v>
      </c>
      <c r="P38" s="193">
        <f t="shared" ref="P38" si="17">SUM(P33:P37)</f>
        <v>81885727.290221721</v>
      </c>
      <c r="Q38" s="194">
        <f t="shared" ref="Q38" si="18">SUM(Q33:Q37)</f>
        <v>88781676.931826815</v>
      </c>
      <c r="R38" s="194">
        <f t="shared" ref="R38" si="19">SUM(R33:R37)</f>
        <v>98024897.123186573</v>
      </c>
      <c r="S38" s="194">
        <f t="shared" ref="S38" si="20">SUM(S33:S37)</f>
        <v>104962034.32638398</v>
      </c>
      <c r="T38" s="195">
        <f t="shared" ref="T38" si="21">SUM(T33:T37)</f>
        <v>112342025.99135424</v>
      </c>
      <c r="U38" s="196">
        <f t="shared" ref="U38" si="22">SUM(U33:U37)</f>
        <v>120193457.93314777</v>
      </c>
      <c r="V38" s="194">
        <f t="shared" ref="V38" si="23">SUM(V33:V37)</f>
        <v>127467093.52476174</v>
      </c>
      <c r="W38" s="194">
        <f t="shared" ref="W38" si="24">SUM(W33:W37)</f>
        <v>142827819.04700282</v>
      </c>
      <c r="X38" s="194">
        <f t="shared" ref="X38" si="25">SUM(X33:X37)</f>
        <v>152973398.38789335</v>
      </c>
      <c r="Y38" s="195">
        <f t="shared" ref="Y38" si="26">SUM(Y33:Y37)</f>
        <v>159781156.42336559</v>
      </c>
      <c r="Z38" s="197">
        <f t="shared" ref="Z38" si="27">SUM(Z33:Z37)</f>
        <v>163238123.53288054</v>
      </c>
      <c r="AA38" s="195">
        <f t="shared" ref="AA38" si="28">SUM(AA33:AA37)</f>
        <v>167395360.1486389</v>
      </c>
      <c r="AB38" s="157"/>
      <c r="AC38" s="193">
        <f t="shared" ref="AC38" si="29">SUM(AC33:AC37)</f>
        <v>0</v>
      </c>
      <c r="AD38" s="194">
        <f t="shared" ref="AD38" si="30">SUM(AD33:AD37)</f>
        <v>0</v>
      </c>
      <c r="AE38" s="194">
        <f t="shared" ref="AE38" si="31">SUM(AE33:AE37)</f>
        <v>0</v>
      </c>
      <c r="AF38" s="194">
        <f t="shared" ref="AF38" si="32">SUM(AF33:AF37)</f>
        <v>0</v>
      </c>
      <c r="AG38" s="195">
        <f t="shared" ref="AG38" si="33">SUM(AG33:AG37)</f>
        <v>0</v>
      </c>
      <c r="AH38" s="196">
        <f t="shared" ref="AH38" si="34">SUM(AH33:AH37)</f>
        <v>0</v>
      </c>
      <c r="AI38" s="194">
        <f t="shared" ref="AI38" si="35">SUM(AI33:AI37)</f>
        <v>0</v>
      </c>
      <c r="AJ38" s="194">
        <f t="shared" ref="AJ38" si="36">SUM(AJ33:AJ37)</f>
        <v>0</v>
      </c>
      <c r="AK38" s="194">
        <f t="shared" ref="AK38" si="37">SUM(AK33:AK37)</f>
        <v>0</v>
      </c>
      <c r="AL38" s="195">
        <f t="shared" ref="AL38" si="38">SUM(AL33:AL37)</f>
        <v>0</v>
      </c>
      <c r="AM38" s="197">
        <f t="shared" ref="AM38" si="39">SUM(AM33:AM37)</f>
        <v>0</v>
      </c>
      <c r="AN38" s="195">
        <f t="shared" ref="AN38" si="40">SUM(AN33:AN37)</f>
        <v>0</v>
      </c>
      <c r="AO38" s="157"/>
      <c r="AP38" s="157"/>
      <c r="AQ38" s="157"/>
      <c r="AR38" s="157"/>
      <c r="AS38" s="157"/>
      <c r="AT38" s="157"/>
      <c r="AU38" s="157"/>
      <c r="AV38" s="157"/>
      <c r="AW38" s="157"/>
      <c r="AX38" s="157"/>
      <c r="AY38" s="157"/>
      <c r="AZ38" s="157"/>
      <c r="BA38" s="157"/>
      <c r="BB38" s="157"/>
      <c r="BC38" s="157"/>
      <c r="BD38" s="157"/>
    </row>
    <row r="39" spans="1:56" ht="20.2" customHeight="1" outlineLevel="1" thickBot="1" x14ac:dyDescent="0.6">
      <c r="A39" s="70">
        <f>IF(SUM(C39:N39,P39:AA39,AC39:AN39)&lt;&gt;0,1,0)</f>
        <v>0</v>
      </c>
      <c r="B39" s="201" t="s">
        <v>305</v>
      </c>
      <c r="C39" s="327">
        <f>IF(ROUND(C38-(Output_EB_RIN_NS!J52*10^6),4)=0,0,1)</f>
        <v>0</v>
      </c>
      <c r="D39" s="327">
        <f>IF(ROUND(D38-(Output_EB_RIN_NS!K52*10^6),4)=0,0,1)</f>
        <v>0</v>
      </c>
      <c r="E39" s="327">
        <f>IF(ROUND(E38-(Output_EB_RIN_NS!L52*10^6),4)=0,0,1)</f>
        <v>0</v>
      </c>
      <c r="F39" s="327">
        <f>IF(ROUND(F38-(Output_EB_RIN_NS!M52*10^6),4)=0,0,1)</f>
        <v>0</v>
      </c>
      <c r="G39" s="327">
        <f>IF(ROUND(G38-(Output_EB_RIN_NS!N52*10^6),4)=0,0,1)</f>
        <v>0</v>
      </c>
      <c r="H39" s="327">
        <f>IF(ROUND(H38-(Output_EB_RIN_NS!O52*10^6),4)=0,0,1)</f>
        <v>0</v>
      </c>
      <c r="I39" s="327">
        <f>IF(ROUND(I38-(Output_EB_RIN_NS!P52*10^6),4)=0,0,1)</f>
        <v>0</v>
      </c>
      <c r="J39" s="327">
        <f>IF(ROUND(J38-(Output_EB_RIN_NS!Q52*10^6),4)=0,0,1)</f>
        <v>0</v>
      </c>
      <c r="K39" s="327">
        <f>IF(ROUND(K38-(Output_EB_RIN_NS!R52*10^6),4)=0,0,1)</f>
        <v>0</v>
      </c>
      <c r="L39" s="327">
        <f>IF(ROUND(L38-(Output_EB_RIN_NS!S52*10^6),4)=0,0,1)</f>
        <v>0</v>
      </c>
      <c r="M39" s="327">
        <f>IF(ROUND(M38-(Output_EB_RIN_NS!T52*10^6),4)=0,0,1)</f>
        <v>0</v>
      </c>
      <c r="N39" s="327">
        <f>IF(ROUND(N38-(Output_EB_RIN_NS!U52*10^6),4)=0,0,1)</f>
        <v>0</v>
      </c>
      <c r="P39" s="327">
        <f>IF(ROUND(P38-(Output_EB_RIN_SCS!J52*10^6),4)=0,0,1)</f>
        <v>0</v>
      </c>
      <c r="Q39" s="327">
        <f>IF(ROUND(Q38-(Output_EB_RIN_SCS!K52*10^6),4)=0,0,1)</f>
        <v>0</v>
      </c>
      <c r="R39" s="327">
        <f>IF(ROUND(R38-(Output_EB_RIN_SCS!L52*10^6),4)=0,0,1)</f>
        <v>0</v>
      </c>
      <c r="S39" s="327">
        <f>IF(ROUND(S38-(Output_EB_RIN_SCS!M52*10^6),4)=0,0,1)</f>
        <v>0</v>
      </c>
      <c r="T39" s="327">
        <f>IF(ROUND(T38-(Output_EB_RIN_SCS!N52*10^6),4)=0,0,1)</f>
        <v>0</v>
      </c>
      <c r="U39" s="327">
        <f>IF(ROUND(U38-(Output_EB_RIN_SCS!O52*10^6),4)=0,0,1)</f>
        <v>0</v>
      </c>
      <c r="V39" s="327">
        <f>IF(ROUND(V38-(Output_EB_RIN_SCS!P52*10^6),4)=0,0,1)</f>
        <v>0</v>
      </c>
      <c r="W39" s="327">
        <f>IF(ROUND(W38-(Output_EB_RIN_SCS!Q52*10^6),4)=0,0,1)</f>
        <v>0</v>
      </c>
      <c r="X39" s="327">
        <f>IF(ROUND(X38-(Output_EB_RIN_SCS!R52*10^6),4)=0,0,1)</f>
        <v>0</v>
      </c>
      <c r="Y39" s="327">
        <f>IF(ROUND(Y38-(Output_EB_RIN_SCS!S52*10^6),4)=0,0,1)</f>
        <v>0</v>
      </c>
      <c r="Z39" s="327">
        <f>IF(ROUND(Z38-(Output_EB_RIN_SCS!T52*10^6),4)=0,0,1)</f>
        <v>0</v>
      </c>
      <c r="AA39" s="327">
        <f>IF(ROUND(AA38-(Output_EB_RIN_SCS!U52*10^6),4)=0,0,1)</f>
        <v>0</v>
      </c>
      <c r="AB39" s="157"/>
      <c r="AC39" s="327">
        <f>IF(ROUND(AC38-(Output_EB_RIN_ACS!J52*10^6),4)=0,0,1)</f>
        <v>0</v>
      </c>
      <c r="AD39" s="327">
        <f>IF(ROUND(AD38-(Output_EB_RIN_ACS!K52*10^6),4)=0,0,1)</f>
        <v>0</v>
      </c>
      <c r="AE39" s="327">
        <f>IF(ROUND(AE38-(Output_EB_RIN_ACS!L52*10^6),4)=0,0,1)</f>
        <v>0</v>
      </c>
      <c r="AF39" s="327">
        <f>IF(ROUND(AF38-(Output_EB_RIN_ACS!M52*10^6),4)=0,0,1)</f>
        <v>0</v>
      </c>
      <c r="AG39" s="327">
        <f>IF(ROUND(AG38-(Output_EB_RIN_ACS!N52*10^6),4)=0,0,1)</f>
        <v>0</v>
      </c>
      <c r="AH39" s="327">
        <f>IF(ROUND(AH38-(Output_EB_RIN_ACS!O52*10^6),4)=0,0,1)</f>
        <v>0</v>
      </c>
      <c r="AI39" s="327">
        <f>IF(ROUND(AI38-(Output_EB_RIN_ACS!P52*10^6),4)=0,0,1)</f>
        <v>0</v>
      </c>
      <c r="AJ39" s="327">
        <f>IF(ROUND(AJ38-(Output_EB_RIN_ACS!Q52*10^6),4)=0,0,1)</f>
        <v>0</v>
      </c>
      <c r="AK39" s="327">
        <f>IF(ROUND(AK38-(Output_EB_RIN_ACS!R52*10^6),4)=0,0,1)</f>
        <v>0</v>
      </c>
      <c r="AL39" s="327">
        <f>IF(ROUND(AL38-(Output_EB_RIN_ACS!S52*10^6),4)=0,0,1)</f>
        <v>0</v>
      </c>
      <c r="AM39" s="327">
        <f>IF(ROUND(AM38-(Output_EB_RIN_ACS!T52*10^6),4)=0,0,1)</f>
        <v>0</v>
      </c>
      <c r="AN39" s="327">
        <f>IF(ROUND(AN38-(Output_EB_RIN_ACS!U52*10^6),4)=0,0,1)</f>
        <v>0</v>
      </c>
      <c r="AO39" s="157"/>
      <c r="AP39" s="157"/>
      <c r="AQ39" s="157"/>
      <c r="AR39" s="157"/>
      <c r="AS39" s="157"/>
      <c r="AT39" s="157"/>
      <c r="AU39" s="157"/>
      <c r="AV39" s="157"/>
      <c r="AW39" s="157"/>
      <c r="AX39" s="157"/>
      <c r="AY39" s="157"/>
      <c r="AZ39" s="157"/>
      <c r="BA39" s="157"/>
      <c r="BB39" s="157"/>
      <c r="BC39" s="157"/>
      <c r="BD39" s="157"/>
    </row>
    <row r="40" spans="1:56" outlineLevel="2" x14ac:dyDescent="0.55000000000000004">
      <c r="A40" s="179" t="s">
        <v>306</v>
      </c>
      <c r="B40" s="180" t="s">
        <v>279</v>
      </c>
      <c r="C40" s="181">
        <f>Output_EB_RIN_NS!J60*10^6</f>
        <v>56507230.561560802</v>
      </c>
      <c r="D40" s="182">
        <f>Output_EB_RIN_NS!K60*10^6</f>
        <v>55066758.148958437</v>
      </c>
      <c r="E40" s="182">
        <f>Output_EB_RIN_NS!L60*10^6</f>
        <v>53511958.775880493</v>
      </c>
      <c r="F40" s="182">
        <f>Output_EB_RIN_NS!M60*10^6</f>
        <v>59796961.032124922</v>
      </c>
      <c r="G40" s="183">
        <f>Output_EB_RIN_NS!N60*10^6</f>
        <v>68281614.135150284</v>
      </c>
      <c r="H40" s="184">
        <f>Output_EB_RIN_NS!O60*10^6</f>
        <v>80384183.096319184</v>
      </c>
      <c r="I40" s="182">
        <f>Output_EB_RIN_NS!P60*10^6</f>
        <v>91927764.552293435</v>
      </c>
      <c r="J40" s="182">
        <f>Output_EB_RIN_NS!Q60*10^6</f>
        <v>94368202.669798657</v>
      </c>
      <c r="K40" s="182">
        <f>Output_EB_RIN_NS!R60*10^6</f>
        <v>97269887.866474077</v>
      </c>
      <c r="L40" s="183">
        <f>Output_EB_RIN_NS!S60*10^6</f>
        <v>100474416.71974134</v>
      </c>
      <c r="M40" s="185">
        <f>Output_EB_RIN_NS!T60*10^6</f>
        <v>111296023.47145031</v>
      </c>
      <c r="N40" s="183">
        <f>Output_EB_RIN_NS!U60*10^6</f>
        <v>120248498.56743078</v>
      </c>
      <c r="P40" s="181">
        <f>Output_EB_RIN_SCS!J60*10^6</f>
        <v>55044502.92141562</v>
      </c>
      <c r="Q40" s="182">
        <f>Output_EB_RIN_SCS!K60*10^6</f>
        <v>53641318.105318002</v>
      </c>
      <c r="R40" s="182">
        <f>Output_EB_RIN_SCS!L60*10^6</f>
        <v>52126765.758952931</v>
      </c>
      <c r="S40" s="182">
        <f>Output_EB_RIN_SCS!M60*10^6</f>
        <v>58249076.50780578</v>
      </c>
      <c r="T40" s="183">
        <f>Output_EB_RIN_SCS!N60*10^6</f>
        <v>66514098.662941776</v>
      </c>
      <c r="U40" s="184">
        <f>Output_EB_RIN_SCS!O60*10^6</f>
        <v>78303384.492724881</v>
      </c>
      <c r="V40" s="182">
        <f>Output_EB_RIN_SCS!P60*10^6</f>
        <v>89548152.584566459</v>
      </c>
      <c r="W40" s="182">
        <f>Output_EB_RIN_SCS!Q60*10^6</f>
        <v>91925418.321244255</v>
      </c>
      <c r="X40" s="182">
        <f>Output_EB_RIN_SCS!R60*10^6</f>
        <v>94751991.446455598</v>
      </c>
      <c r="Y40" s="183">
        <f>Output_EB_RIN_SCS!S60*10^6</f>
        <v>97873568.916674435</v>
      </c>
      <c r="Z40" s="185">
        <f>Output_EB_RIN_SCS!T60*10^6</f>
        <v>108415051.1046913</v>
      </c>
      <c r="AA40" s="183">
        <f>Output_EB_RIN_SCS!U60*10^6</f>
        <v>117135785.36608359</v>
      </c>
      <c r="AB40" s="157"/>
      <c r="AC40" s="181" t="str">
        <f>IFERROR(Output_EB_RIN_ACS!J60*10^6,NA)</f>
        <v>N/A</v>
      </c>
      <c r="AD40" s="182" t="str">
        <f>IFERROR(Output_EB_RIN_ACS!K60*10^6,NA)</f>
        <v>N/A</v>
      </c>
      <c r="AE40" s="182" t="str">
        <f>IFERROR(Output_EB_RIN_ACS!L60*10^6,NA)</f>
        <v>N/A</v>
      </c>
      <c r="AF40" s="182" t="str">
        <f>IFERROR(Output_EB_RIN_ACS!M60*10^6,NA)</f>
        <v>N/A</v>
      </c>
      <c r="AG40" s="183" t="str">
        <f>IFERROR(Output_EB_RIN_ACS!N60*10^6,NA)</f>
        <v>N/A</v>
      </c>
      <c r="AH40" s="184" t="str">
        <f>IFERROR(Output_EB_RIN_ACS!O60*10^6,NA)</f>
        <v>N/A</v>
      </c>
      <c r="AI40" s="182" t="str">
        <f>IFERROR(Output_EB_RIN_ACS!P60*10^6,NA)</f>
        <v>N/A</v>
      </c>
      <c r="AJ40" s="182" t="str">
        <f>IFERROR(Output_EB_RIN_ACS!Q60*10^6,NA)</f>
        <v>N/A</v>
      </c>
      <c r="AK40" s="182" t="str">
        <f>IFERROR(Output_EB_RIN_ACS!R60*10^6,NA)</f>
        <v>N/A</v>
      </c>
      <c r="AL40" s="183" t="str">
        <f>IFERROR(Output_EB_RIN_ACS!S60*10^6,NA)</f>
        <v>N/A</v>
      </c>
      <c r="AM40" s="185" t="str">
        <f>IFERROR(Output_EB_RIN_ACS!T60*10^6,NA)</f>
        <v>N/A</v>
      </c>
      <c r="AN40" s="183" t="str">
        <f>IFERROR(Output_EB_RIN_ACS!U60*10^6,NA)</f>
        <v>N/A</v>
      </c>
      <c r="AO40" s="157"/>
      <c r="AP40" s="157"/>
      <c r="AQ40" s="157"/>
      <c r="AR40" s="157"/>
      <c r="AS40" s="157"/>
      <c r="AT40" s="157"/>
      <c r="AU40" s="157"/>
      <c r="AV40" s="157"/>
      <c r="AW40" s="157"/>
      <c r="AX40" s="157"/>
      <c r="AY40" s="157"/>
      <c r="AZ40" s="157"/>
      <c r="BA40" s="157"/>
      <c r="BB40" s="157"/>
      <c r="BC40" s="157"/>
      <c r="BD40" s="157"/>
    </row>
    <row r="41" spans="1:56" outlineLevel="2" x14ac:dyDescent="0.55000000000000004">
      <c r="A41" s="179" t="s">
        <v>307</v>
      </c>
      <c r="B41" s="186" t="s">
        <v>281</v>
      </c>
      <c r="C41" s="187">
        <f>Output_EB_RIN_NS!J61*10^6</f>
        <v>1651855.7046010499</v>
      </c>
      <c r="D41" s="188">
        <f>Output_EB_RIN_NS!K61*10^6</f>
        <v>1368522.9835835746</v>
      </c>
      <c r="E41" s="188">
        <f>Output_EB_RIN_NS!L61*10^6</f>
        <v>2286307.7075145249</v>
      </c>
      <c r="F41" s="188">
        <f>Output_EB_RIN_NS!M61*10^6</f>
        <v>1456847.3341160011</v>
      </c>
      <c r="G41" s="189">
        <f>Output_EB_RIN_NS!N61*10^6</f>
        <v>1993084.9531341114</v>
      </c>
      <c r="H41" s="190">
        <f>Output_EB_RIN_NS!O61*10^6</f>
        <v>2617552.1806574431</v>
      </c>
      <c r="I41" s="188">
        <f>Output_EB_RIN_NS!P61*10^6</f>
        <v>1496281.0100068238</v>
      </c>
      <c r="J41" s="188">
        <f>Output_EB_RIN_NS!Q61*10^6</f>
        <v>2361566.6333783437</v>
      </c>
      <c r="K41" s="188">
        <f>Output_EB_RIN_NS!R61*10^6</f>
        <v>2383003.9343679622</v>
      </c>
      <c r="L41" s="189">
        <f>Output_EB_RIN_NS!S61*10^6</f>
        <v>1334574.7951388699</v>
      </c>
      <c r="M41" s="191">
        <f>Output_EB_RIN_NS!T61*10^6</f>
        <v>1458936.6372662184</v>
      </c>
      <c r="N41" s="189">
        <f>Output_EB_RIN_NS!U61*10^6</f>
        <v>2556114.1100285575</v>
      </c>
      <c r="P41" s="187">
        <f>Output_EB_RIN_SCS!J61*10^6</f>
        <v>1609096.3095176343</v>
      </c>
      <c r="Q41" s="188">
        <f>Output_EB_RIN_SCS!K61*10^6</f>
        <v>1333097.8464043452</v>
      </c>
      <c r="R41" s="188">
        <f>Output_EB_RIN_SCS!L61*10^6</f>
        <v>2227125.0959367882</v>
      </c>
      <c r="S41" s="188">
        <f>Output_EB_RIN_SCS!M61*10^6</f>
        <v>1419135.8617627111</v>
      </c>
      <c r="T41" s="189">
        <f>Output_EB_RIN_SCS!N61*10^6</f>
        <v>1941492.6096209984</v>
      </c>
      <c r="U41" s="190">
        <f>Output_EB_RIN_SCS!O61*10^6</f>
        <v>2549795.0832714946</v>
      </c>
      <c r="V41" s="188">
        <f>Output_EB_RIN_SCS!P61*10^6</f>
        <v>1457548.7704507385</v>
      </c>
      <c r="W41" s="188">
        <f>Output_EB_RIN_SCS!Q61*10^6</f>
        <v>2300435.8939250303</v>
      </c>
      <c r="X41" s="188">
        <f>Output_EB_RIN_SCS!R61*10^6</f>
        <v>2321318.2759710723</v>
      </c>
      <c r="Y41" s="189">
        <f>Output_EB_RIN_SCS!S61*10^6</f>
        <v>1300028.4296332377</v>
      </c>
      <c r="Z41" s="191">
        <f>Output_EB_RIN_SCS!T61*10^6</f>
        <v>1421171.0818967181</v>
      </c>
      <c r="AA41" s="189">
        <f>Output_EB_RIN_SCS!U61*10^6</f>
        <v>2489947.3783917879</v>
      </c>
      <c r="AB41" s="157"/>
      <c r="AC41" s="187" t="str">
        <f>IFERROR(Output_EB_RIN_ACS!J61*10^6,NA)</f>
        <v>N/A</v>
      </c>
      <c r="AD41" s="188" t="str">
        <f>IFERROR(Output_EB_RIN_ACS!K61*10^6,NA)</f>
        <v>N/A</v>
      </c>
      <c r="AE41" s="188" t="str">
        <f>IFERROR(Output_EB_RIN_ACS!L61*10^6,NA)</f>
        <v>N/A</v>
      </c>
      <c r="AF41" s="188" t="str">
        <f>IFERROR(Output_EB_RIN_ACS!M61*10^6,NA)</f>
        <v>N/A</v>
      </c>
      <c r="AG41" s="189" t="str">
        <f>IFERROR(Output_EB_RIN_ACS!N61*10^6,NA)</f>
        <v>N/A</v>
      </c>
      <c r="AH41" s="190" t="str">
        <f>IFERROR(Output_EB_RIN_ACS!O61*10^6,NA)</f>
        <v>N/A</v>
      </c>
      <c r="AI41" s="188" t="str">
        <f>IFERROR(Output_EB_RIN_ACS!P61*10^6,NA)</f>
        <v>N/A</v>
      </c>
      <c r="AJ41" s="188" t="str">
        <f>IFERROR(Output_EB_RIN_ACS!Q61*10^6,NA)</f>
        <v>N/A</v>
      </c>
      <c r="AK41" s="188" t="str">
        <f>IFERROR(Output_EB_RIN_ACS!R61*10^6,NA)</f>
        <v>N/A</v>
      </c>
      <c r="AL41" s="189" t="str">
        <f>IFERROR(Output_EB_RIN_ACS!S61*10^6,NA)</f>
        <v>N/A</v>
      </c>
      <c r="AM41" s="191" t="str">
        <f>IFERROR(Output_EB_RIN_ACS!T61*10^6,NA)</f>
        <v>N/A</v>
      </c>
      <c r="AN41" s="189" t="str">
        <f>IFERROR(Output_EB_RIN_ACS!U61*10^6,NA)</f>
        <v>N/A</v>
      </c>
      <c r="AO41" s="157"/>
      <c r="AP41" s="157"/>
      <c r="AQ41" s="157"/>
      <c r="AR41" s="157"/>
      <c r="AS41" s="157"/>
      <c r="AT41" s="157"/>
      <c r="AU41" s="157"/>
      <c r="AV41" s="157"/>
      <c r="AW41" s="157"/>
      <c r="AX41" s="157"/>
      <c r="AY41" s="157"/>
      <c r="AZ41" s="157"/>
      <c r="BA41" s="157"/>
      <c r="BB41" s="157"/>
      <c r="BC41" s="157"/>
      <c r="BD41" s="157"/>
    </row>
    <row r="42" spans="1:56" outlineLevel="2" x14ac:dyDescent="0.55000000000000004">
      <c r="A42" s="179" t="s">
        <v>308</v>
      </c>
      <c r="B42" s="186" t="s">
        <v>283</v>
      </c>
      <c r="C42" s="187">
        <f>Output_EB_RIN_NS!J62*10^6</f>
        <v>-4299418.3608565284</v>
      </c>
      <c r="D42" s="188">
        <f>Output_EB_RIN_NS!K62*10^6</f>
        <v>-4445688.5995154306</v>
      </c>
      <c r="E42" s="188">
        <f>Output_EB_RIN_NS!L62*10^6</f>
        <v>-217761.00950617672</v>
      </c>
      <c r="F42" s="188">
        <f>Output_EB_RIN_NS!M62*10^6</f>
        <v>-372958.39675304398</v>
      </c>
      <c r="G42" s="189">
        <f>Output_EB_RIN_NS!N62*10^6</f>
        <v>-2856443.1898719491</v>
      </c>
      <c r="H42" s="190">
        <f>Output_EB_RIN_NS!O62*10^6</f>
        <v>-3269989.4010926858</v>
      </c>
      <c r="I42" s="188">
        <f>Output_EB_RIN_NS!P62*10^6</f>
        <v>-3605563.365136547</v>
      </c>
      <c r="J42" s="188">
        <f>Output_EB_RIN_NS!Q62*10^6</f>
        <v>-3815438.4119507754</v>
      </c>
      <c r="K42" s="188">
        <f>Output_EB_RIN_NS!R62*10^6</f>
        <v>-4018895.5917811207</v>
      </c>
      <c r="L42" s="189">
        <f>Output_EB_RIN_NS!S62*10^6</f>
        <v>-4394319.3367606951</v>
      </c>
      <c r="M42" s="191">
        <f>Output_EB_RIN_NS!T62*10^6</f>
        <v>-4501258.9248640537</v>
      </c>
      <c r="N42" s="189">
        <f>Output_EB_RIN_NS!U62*10^6</f>
        <v>-4599614.1205797456</v>
      </c>
      <c r="P42" s="187">
        <f>Output_EB_RIN_SCS!J62*10^6</f>
        <v>-4188125.0270570377</v>
      </c>
      <c r="Q42" s="188">
        <f>Output_EB_RIN_SCS!K62*10^6</f>
        <v>-4330608.9622837827</v>
      </c>
      <c r="R42" s="188">
        <f>Output_EB_RIN_SCS!L62*10^6</f>
        <v>-212124.11942352453</v>
      </c>
      <c r="S42" s="188">
        <f>Output_EB_RIN_SCS!M62*10^6</f>
        <v>-363304.11799732648</v>
      </c>
      <c r="T42" s="189">
        <f>Output_EB_RIN_SCS!N62*10^6</f>
        <v>-2782502.2381599681</v>
      </c>
      <c r="U42" s="190">
        <f>Output_EB_RIN_SCS!O62*10^6</f>
        <v>-3185343.5277694627</v>
      </c>
      <c r="V42" s="188">
        <f>Output_EB_RIN_SCS!P62*10^6</f>
        <v>-3512230.9342234004</v>
      </c>
      <c r="W42" s="188">
        <f>Output_EB_RIN_SCS!Q62*10^6</f>
        <v>-3716673.2243992118</v>
      </c>
      <c r="X42" s="188">
        <f>Output_EB_RIN_SCS!R62*10^6</f>
        <v>-3914863.7783913002</v>
      </c>
      <c r="Y42" s="189">
        <f>Output_EB_RIN_SCS!S62*10^6</f>
        <v>-4280569.4274194166</v>
      </c>
      <c r="Z42" s="191">
        <f>Output_EB_RIN_SCS!T62*10^6</f>
        <v>-4384740.8124133665</v>
      </c>
      <c r="AA42" s="189">
        <f>Output_EB_RIN_SCS!U62*10^6</f>
        <v>-4480550.0177859571</v>
      </c>
      <c r="AB42" s="157"/>
      <c r="AC42" s="187" t="str">
        <f>IFERROR(Output_EB_RIN_ACS!J62*10^6,NA)</f>
        <v>N/A</v>
      </c>
      <c r="AD42" s="188" t="str">
        <f>IFERROR(Output_EB_RIN_ACS!K62*10^6,NA)</f>
        <v>N/A</v>
      </c>
      <c r="AE42" s="188" t="str">
        <f>IFERROR(Output_EB_RIN_ACS!L62*10^6,NA)</f>
        <v>N/A</v>
      </c>
      <c r="AF42" s="188" t="str">
        <f>IFERROR(Output_EB_RIN_ACS!M62*10^6,NA)</f>
        <v>N/A</v>
      </c>
      <c r="AG42" s="189" t="str">
        <f>IFERROR(Output_EB_RIN_ACS!N62*10^6,NA)</f>
        <v>N/A</v>
      </c>
      <c r="AH42" s="190" t="str">
        <f>IFERROR(Output_EB_RIN_ACS!O62*10^6,NA)</f>
        <v>N/A</v>
      </c>
      <c r="AI42" s="188" t="str">
        <f>IFERROR(Output_EB_RIN_ACS!P62*10^6,NA)</f>
        <v>N/A</v>
      </c>
      <c r="AJ42" s="188" t="str">
        <f>IFERROR(Output_EB_RIN_ACS!Q62*10^6,NA)</f>
        <v>N/A</v>
      </c>
      <c r="AK42" s="188" t="str">
        <f>IFERROR(Output_EB_RIN_ACS!R62*10^6,NA)</f>
        <v>N/A</v>
      </c>
      <c r="AL42" s="189" t="str">
        <f>IFERROR(Output_EB_RIN_ACS!S62*10^6,NA)</f>
        <v>N/A</v>
      </c>
      <c r="AM42" s="191" t="str">
        <f>IFERROR(Output_EB_RIN_ACS!T62*10^6,NA)</f>
        <v>N/A</v>
      </c>
      <c r="AN42" s="189" t="str">
        <f>IFERROR(Output_EB_RIN_ACS!U62*10^6,NA)</f>
        <v>N/A</v>
      </c>
      <c r="AO42" s="157"/>
      <c r="AP42" s="157"/>
      <c r="AQ42" s="157"/>
      <c r="AR42" s="157"/>
      <c r="AS42" s="157"/>
      <c r="AT42" s="157"/>
      <c r="AU42" s="157"/>
      <c r="AV42" s="157"/>
      <c r="AW42" s="157"/>
      <c r="AX42" s="157"/>
      <c r="AY42" s="157"/>
      <c r="AZ42" s="157"/>
      <c r="BA42" s="157"/>
      <c r="BB42" s="157"/>
      <c r="BC42" s="157"/>
      <c r="BD42" s="157"/>
    </row>
    <row r="43" spans="1:56" outlineLevel="2" x14ac:dyDescent="0.55000000000000004">
      <c r="A43" s="179" t="s">
        <v>309</v>
      </c>
      <c r="B43" s="186" t="s">
        <v>285</v>
      </c>
      <c r="C43" s="187">
        <f>Output_EB_RIN_NS!J63*10^6</f>
        <v>1207090.2436531149</v>
      </c>
      <c r="D43" s="188">
        <f>Output_EB_RIN_NS!K63*10^6</f>
        <v>1522366.2428539149</v>
      </c>
      <c r="E43" s="188">
        <f>Output_EB_RIN_NS!L63*10^6</f>
        <v>4216455.5582360784</v>
      </c>
      <c r="F43" s="188">
        <f>Output_EB_RIN_NS!M63*10^6</f>
        <v>7400764.1656624032</v>
      </c>
      <c r="G43" s="189">
        <f>Output_EB_RIN_NS!N63*10^6</f>
        <v>12965927.197906746</v>
      </c>
      <c r="H43" s="190">
        <f>Output_EB_RIN_NS!O63*10^6</f>
        <v>12610711.778961103</v>
      </c>
      <c r="I43" s="188">
        <f>Output_EB_RIN_NS!P63*10^6</f>
        <v>5111326.321986299</v>
      </c>
      <c r="J43" s="188">
        <f>Output_EB_RIN_NS!Q63*10^6</f>
        <v>5050242.7958916053</v>
      </c>
      <c r="K43" s="188">
        <f>Output_EB_RIN_NS!R63*10^6</f>
        <v>5302795.2469993997</v>
      </c>
      <c r="L43" s="189">
        <f>Output_EB_RIN_NS!S63*10^6</f>
        <v>13889400.906160299</v>
      </c>
      <c r="M43" s="191">
        <f>Output_EB_RIN_NS!T63*10^6</f>
        <v>11994797.383578295</v>
      </c>
      <c r="N43" s="189">
        <f>Output_EB_RIN_NS!U63*10^6</f>
        <v>8863924.4240556546</v>
      </c>
      <c r="P43" s="187">
        <f>Output_EB_RIN_SCS!J63*10^6</f>
        <v>1175843.9014417857</v>
      </c>
      <c r="Q43" s="188">
        <f>Output_EB_RIN_SCS!K63*10^6</f>
        <v>1482958.7695143672</v>
      </c>
      <c r="R43" s="188">
        <f>Output_EB_RIN_SCS!L63*10^6</f>
        <v>4107309.7723395894</v>
      </c>
      <c r="S43" s="188">
        <f>Output_EB_RIN_SCS!M63*10^6</f>
        <v>7209190.4113706062</v>
      </c>
      <c r="T43" s="189">
        <f>Output_EB_RIN_SCS!N63*10^6</f>
        <v>12630295.458322084</v>
      </c>
      <c r="U43" s="190">
        <f>Output_EB_RIN_SCS!O63*10^6</f>
        <v>12284275.029227013</v>
      </c>
      <c r="V43" s="188">
        <f>Output_EB_RIN_SCS!P63*10^6</f>
        <v>4979016.2049504649</v>
      </c>
      <c r="W43" s="188">
        <f>Output_EB_RIN_SCS!Q63*10^6</f>
        <v>4919513.866981402</v>
      </c>
      <c r="X43" s="188">
        <f>Output_EB_RIN_SCS!R63*10^6</f>
        <v>5165528.8281582519</v>
      </c>
      <c r="Y43" s="189">
        <f>Output_EB_RIN_SCS!S63*10^6</f>
        <v>13529864.428994518</v>
      </c>
      <c r="Z43" s="191">
        <f>Output_EB_RIN_SCS!T63*10^6</f>
        <v>11684303.991908943</v>
      </c>
      <c r="AA43" s="189">
        <f>Output_EB_RIN_SCS!U63*10^6</f>
        <v>8634475.783122899</v>
      </c>
      <c r="AB43" s="157"/>
      <c r="AC43" s="187" t="str">
        <f>IFERROR(Output_EB_RIN_ACS!J63*10^6,NA)</f>
        <v>N/A</v>
      </c>
      <c r="AD43" s="188" t="str">
        <f>IFERROR(Output_EB_RIN_ACS!K63*10^6,NA)</f>
        <v>N/A</v>
      </c>
      <c r="AE43" s="188" t="str">
        <f>IFERROR(Output_EB_RIN_ACS!L63*10^6,NA)</f>
        <v>N/A</v>
      </c>
      <c r="AF43" s="188" t="str">
        <f>IFERROR(Output_EB_RIN_ACS!M63*10^6,NA)</f>
        <v>N/A</v>
      </c>
      <c r="AG43" s="189" t="str">
        <f>IFERROR(Output_EB_RIN_ACS!N63*10^6,NA)</f>
        <v>N/A</v>
      </c>
      <c r="AH43" s="190" t="str">
        <f>IFERROR(Output_EB_RIN_ACS!O63*10^6,NA)</f>
        <v>N/A</v>
      </c>
      <c r="AI43" s="188" t="str">
        <f>IFERROR(Output_EB_RIN_ACS!P63*10^6,NA)</f>
        <v>N/A</v>
      </c>
      <c r="AJ43" s="188" t="str">
        <f>IFERROR(Output_EB_RIN_ACS!Q63*10^6,NA)</f>
        <v>N/A</v>
      </c>
      <c r="AK43" s="188" t="str">
        <f>IFERROR(Output_EB_RIN_ACS!R63*10^6,NA)</f>
        <v>N/A</v>
      </c>
      <c r="AL43" s="189" t="str">
        <f>IFERROR(Output_EB_RIN_ACS!S63*10^6,NA)</f>
        <v>N/A</v>
      </c>
      <c r="AM43" s="191" t="str">
        <f>IFERROR(Output_EB_RIN_ACS!T63*10^6,NA)</f>
        <v>N/A</v>
      </c>
      <c r="AN43" s="189" t="str">
        <f>IFERROR(Output_EB_RIN_ACS!U63*10^6,NA)</f>
        <v>N/A</v>
      </c>
      <c r="AO43" s="157"/>
      <c r="AP43" s="157"/>
      <c r="AQ43" s="157"/>
      <c r="AR43" s="157"/>
      <c r="AS43" s="157"/>
      <c r="AT43" s="157"/>
      <c r="AU43" s="157"/>
      <c r="AV43" s="157"/>
      <c r="AW43" s="157"/>
      <c r="AX43" s="157"/>
      <c r="AY43" s="157"/>
      <c r="AZ43" s="157"/>
      <c r="BA43" s="157"/>
      <c r="BB43" s="157"/>
      <c r="BC43" s="157"/>
      <c r="BD43" s="157"/>
    </row>
    <row r="44" spans="1:56" outlineLevel="2" x14ac:dyDescent="0.55000000000000004">
      <c r="A44" s="179" t="s">
        <v>310</v>
      </c>
      <c r="B44" s="186" t="s">
        <v>287</v>
      </c>
      <c r="C44" s="187">
        <f>Output_EB_RIN_NS!J64*10^6</f>
        <v>0</v>
      </c>
      <c r="D44" s="188">
        <f>Output_EB_RIN_NS!K64*10^6</f>
        <v>0</v>
      </c>
      <c r="E44" s="188">
        <f>Output_EB_RIN_NS!L64*10^6</f>
        <v>0</v>
      </c>
      <c r="F44" s="188">
        <f>Output_EB_RIN_NS!M64*10^6</f>
        <v>0</v>
      </c>
      <c r="G44" s="189">
        <f>Output_EB_RIN_NS!N64*10^6</f>
        <v>0</v>
      </c>
      <c r="H44" s="190">
        <f>Output_EB_RIN_NS!O64*10^6</f>
        <v>-414693.10255161586</v>
      </c>
      <c r="I44" s="188">
        <f>Output_EB_RIN_NS!P64*10^6</f>
        <v>-561605.84935134847</v>
      </c>
      <c r="J44" s="188">
        <f>Output_EB_RIN_NS!Q64*10^6</f>
        <v>-694685.82064374851</v>
      </c>
      <c r="K44" s="188">
        <f>Output_EB_RIN_NS!R64*10^6</f>
        <v>-462374.73631898477</v>
      </c>
      <c r="L44" s="189">
        <f>Output_EB_RIN_NS!S64*10^6</f>
        <v>-8049.6128294960581</v>
      </c>
      <c r="M44" s="191">
        <f>Output_EB_RIN_NS!T64*10^6</f>
        <v>0</v>
      </c>
      <c r="N44" s="189">
        <f>Output_EB_RIN_NS!U64*10^6</f>
        <v>0</v>
      </c>
      <c r="P44" s="187">
        <f>Output_EB_RIN_SCS!J64*10^6</f>
        <v>0</v>
      </c>
      <c r="Q44" s="188">
        <f>Output_EB_RIN_SCS!K64*10^6</f>
        <v>0</v>
      </c>
      <c r="R44" s="188">
        <f>Output_EB_RIN_SCS!L64*10^6</f>
        <v>0</v>
      </c>
      <c r="S44" s="188">
        <f>Output_EB_RIN_SCS!M64*10^6</f>
        <v>0</v>
      </c>
      <c r="T44" s="189">
        <f>Output_EB_RIN_SCS!N64*10^6</f>
        <v>0</v>
      </c>
      <c r="U44" s="190">
        <f>Output_EB_RIN_SCS!O64*10^6</f>
        <v>-403958.4928874778</v>
      </c>
      <c r="V44" s="188">
        <f>Output_EB_RIN_SCS!P64*10^6</f>
        <v>-547068.30450001336</v>
      </c>
      <c r="W44" s="188">
        <f>Output_EB_RIN_SCS!Q64*10^6</f>
        <v>-676703.41129587695</v>
      </c>
      <c r="X44" s="188">
        <f>Output_EB_RIN_SCS!R64*10^6</f>
        <v>-450405.85551917623</v>
      </c>
      <c r="Y44" s="189">
        <f>Output_EB_RIN_SCS!S64*10^6</f>
        <v>-7841.2431914663957</v>
      </c>
      <c r="Z44" s="191">
        <f>Output_EB_RIN_SCS!T64*10^6</f>
        <v>0</v>
      </c>
      <c r="AA44" s="189">
        <f>Output_EB_RIN_SCS!U64*10^6</f>
        <v>0</v>
      </c>
      <c r="AB44" s="157"/>
      <c r="AC44" s="187" t="str">
        <f>IFERROR(Output_EB_RIN_ACS!J64*10^6,NA)</f>
        <v>N/A</v>
      </c>
      <c r="AD44" s="188" t="str">
        <f>IFERROR(Output_EB_RIN_ACS!K64*10^6,NA)</f>
        <v>N/A</v>
      </c>
      <c r="AE44" s="188" t="str">
        <f>IFERROR(Output_EB_RIN_ACS!L64*10^6,NA)</f>
        <v>N/A</v>
      </c>
      <c r="AF44" s="188" t="str">
        <f>IFERROR(Output_EB_RIN_ACS!M64*10^6,NA)</f>
        <v>N/A</v>
      </c>
      <c r="AG44" s="189" t="str">
        <f>IFERROR(Output_EB_RIN_ACS!N64*10^6,NA)</f>
        <v>N/A</v>
      </c>
      <c r="AH44" s="190" t="str">
        <f>IFERROR(Output_EB_RIN_ACS!O64*10^6,NA)</f>
        <v>N/A</v>
      </c>
      <c r="AI44" s="188" t="str">
        <f>IFERROR(Output_EB_RIN_ACS!P64*10^6,NA)</f>
        <v>N/A</v>
      </c>
      <c r="AJ44" s="188" t="str">
        <f>IFERROR(Output_EB_RIN_ACS!Q64*10^6,NA)</f>
        <v>N/A</v>
      </c>
      <c r="AK44" s="188" t="str">
        <f>IFERROR(Output_EB_RIN_ACS!R64*10^6,NA)</f>
        <v>N/A</v>
      </c>
      <c r="AL44" s="189" t="str">
        <f>IFERROR(Output_EB_RIN_ACS!S64*10^6,NA)</f>
        <v>N/A</v>
      </c>
      <c r="AM44" s="191" t="str">
        <f>IFERROR(Output_EB_RIN_ACS!T64*10^6,NA)</f>
        <v>N/A</v>
      </c>
      <c r="AN44" s="189" t="str">
        <f>IFERROR(Output_EB_RIN_ACS!U64*10^6,NA)</f>
        <v>N/A</v>
      </c>
      <c r="AO44" s="157"/>
      <c r="AP44" s="157"/>
      <c r="AQ44" s="157"/>
      <c r="AR44" s="157"/>
      <c r="AS44" s="157"/>
      <c r="AT44" s="157"/>
      <c r="AU44" s="157"/>
      <c r="AV44" s="157"/>
      <c r="AW44" s="157"/>
      <c r="AX44" s="157"/>
      <c r="AY44" s="157"/>
      <c r="AZ44" s="157"/>
      <c r="BA44" s="157"/>
      <c r="BB44" s="157"/>
      <c r="BC44" s="157"/>
      <c r="BD44" s="157"/>
    </row>
    <row r="45" spans="1:56" ht="14.7" outlineLevel="2" thickBot="1" x14ac:dyDescent="0.6">
      <c r="A45" s="179" t="s">
        <v>311</v>
      </c>
      <c r="B45" s="192" t="s">
        <v>289</v>
      </c>
      <c r="C45" s="193">
        <f>SUM(C40:C44)</f>
        <v>55066758.148958445</v>
      </c>
      <c r="D45" s="194">
        <f t="shared" ref="D45" si="41">SUM(D40:D44)</f>
        <v>53511958.775880501</v>
      </c>
      <c r="E45" s="194">
        <f t="shared" ref="E45" si="42">SUM(E40:E44)</f>
        <v>59796961.032124922</v>
      </c>
      <c r="F45" s="194">
        <f t="shared" ref="F45" si="43">SUM(F40:F44)</f>
        <v>68281614.135150284</v>
      </c>
      <c r="G45" s="195">
        <f t="shared" ref="G45" si="44">SUM(G40:G44)</f>
        <v>80384183.096319184</v>
      </c>
      <c r="H45" s="196">
        <f t="shared" ref="H45" si="45">SUM(H40:H44)</f>
        <v>91927764.552293435</v>
      </c>
      <c r="I45" s="194">
        <f t="shared" ref="I45" si="46">SUM(I40:I44)</f>
        <v>94368202.669798672</v>
      </c>
      <c r="J45" s="194">
        <f t="shared" ref="J45" si="47">SUM(J40:J44)</f>
        <v>97269887.866474062</v>
      </c>
      <c r="K45" s="194">
        <f t="shared" ref="K45" si="48">SUM(K40:K44)</f>
        <v>100474416.71974133</v>
      </c>
      <c r="L45" s="195">
        <f t="shared" ref="L45" si="49">SUM(L40:L44)</f>
        <v>111296023.47145031</v>
      </c>
      <c r="M45" s="197">
        <f t="shared" ref="M45" si="50">SUM(M40:M44)</f>
        <v>120248498.56743078</v>
      </c>
      <c r="N45" s="195">
        <f t="shared" ref="N45" si="51">SUM(N40:N44)</f>
        <v>127068922.98093523</v>
      </c>
      <c r="P45" s="193">
        <f t="shared" ref="P45" si="52">SUM(P40:P44)</f>
        <v>53641318.105318002</v>
      </c>
      <c r="Q45" s="194">
        <f t="shared" ref="Q45" si="53">SUM(Q40:Q44)</f>
        <v>52126765.758952931</v>
      </c>
      <c r="R45" s="194">
        <f t="shared" ref="R45" si="54">SUM(R40:R44)</f>
        <v>58249076.507805787</v>
      </c>
      <c r="S45" s="194">
        <f t="shared" ref="S45" si="55">SUM(S40:S44)</f>
        <v>66514098.662941769</v>
      </c>
      <c r="T45" s="195">
        <f t="shared" ref="T45" si="56">SUM(T40:T44)</f>
        <v>78303384.492724881</v>
      </c>
      <c r="U45" s="196">
        <f t="shared" ref="U45" si="57">SUM(U40:U44)</f>
        <v>89548152.584566444</v>
      </c>
      <c r="V45" s="194">
        <f t="shared" ref="V45" si="58">SUM(V40:V44)</f>
        <v>91925418.321244255</v>
      </c>
      <c r="W45" s="194">
        <f t="shared" ref="W45" si="59">SUM(W40:W44)</f>
        <v>94751991.446455598</v>
      </c>
      <c r="X45" s="194">
        <f t="shared" ref="X45" si="60">SUM(X40:X44)</f>
        <v>97873568.916674435</v>
      </c>
      <c r="Y45" s="195">
        <f t="shared" ref="Y45" si="61">SUM(Y40:Y44)</f>
        <v>108415051.10469133</v>
      </c>
      <c r="Z45" s="197">
        <f t="shared" ref="Z45" si="62">SUM(Z40:Z44)</f>
        <v>117135785.36608359</v>
      </c>
      <c r="AA45" s="195">
        <f t="shared" ref="AA45" si="63">SUM(AA40:AA44)</f>
        <v>123779658.50981233</v>
      </c>
      <c r="AB45" s="157"/>
      <c r="AC45" s="193">
        <f t="shared" ref="AC45" si="64">SUM(AC40:AC44)</f>
        <v>0</v>
      </c>
      <c r="AD45" s="194">
        <f t="shared" ref="AD45" si="65">SUM(AD40:AD44)</f>
        <v>0</v>
      </c>
      <c r="AE45" s="194">
        <f t="shared" ref="AE45" si="66">SUM(AE40:AE44)</f>
        <v>0</v>
      </c>
      <c r="AF45" s="194">
        <f t="shared" ref="AF45" si="67">SUM(AF40:AF44)</f>
        <v>0</v>
      </c>
      <c r="AG45" s="195">
        <f t="shared" ref="AG45" si="68">SUM(AG40:AG44)</f>
        <v>0</v>
      </c>
      <c r="AH45" s="196">
        <f t="shared" ref="AH45" si="69">SUM(AH40:AH44)</f>
        <v>0</v>
      </c>
      <c r="AI45" s="194">
        <f t="shared" ref="AI45" si="70">SUM(AI40:AI44)</f>
        <v>0</v>
      </c>
      <c r="AJ45" s="194">
        <f t="shared" ref="AJ45" si="71">SUM(AJ40:AJ44)</f>
        <v>0</v>
      </c>
      <c r="AK45" s="194">
        <f t="shared" ref="AK45" si="72">SUM(AK40:AK44)</f>
        <v>0</v>
      </c>
      <c r="AL45" s="195">
        <f t="shared" ref="AL45" si="73">SUM(AL40:AL44)</f>
        <v>0</v>
      </c>
      <c r="AM45" s="197">
        <f t="shared" ref="AM45" si="74">SUM(AM40:AM44)</f>
        <v>0</v>
      </c>
      <c r="AN45" s="195">
        <f t="shared" ref="AN45" si="75">SUM(AN40:AN44)</f>
        <v>0</v>
      </c>
      <c r="AO45" s="157"/>
      <c r="AP45" s="157"/>
      <c r="AQ45" s="157"/>
      <c r="AR45" s="157"/>
      <c r="AS45" s="157"/>
      <c r="AT45" s="157"/>
      <c r="AU45" s="157"/>
      <c r="AV45" s="157"/>
      <c r="AW45" s="157"/>
      <c r="AX45" s="157"/>
      <c r="AY45" s="157"/>
      <c r="AZ45" s="157"/>
      <c r="BA45" s="157"/>
      <c r="BB45" s="157"/>
      <c r="BC45" s="157"/>
      <c r="BD45" s="157"/>
    </row>
    <row r="46" spans="1:56" ht="20.2" customHeight="1" outlineLevel="1" thickBot="1" x14ac:dyDescent="0.6">
      <c r="A46" s="70">
        <f>IF(SUM(C46:N46,P46:AA46,AC46:AN46)&lt;&gt;0,1,0)</f>
        <v>0</v>
      </c>
      <c r="B46" s="201" t="s">
        <v>312</v>
      </c>
      <c r="C46" s="327">
        <f>IF(ROUND(C45-(Output_EB_RIN_NS!J66*10^6),4)=0,0,1)</f>
        <v>0</v>
      </c>
      <c r="D46" s="327">
        <f>IF(ROUND(D45-(Output_EB_RIN_NS!K66*10^6),4)=0,0,1)</f>
        <v>0</v>
      </c>
      <c r="E46" s="327">
        <f>IF(ROUND(E45-(Output_EB_RIN_NS!L66*10^6),4)=0,0,1)</f>
        <v>0</v>
      </c>
      <c r="F46" s="327">
        <f>IF(ROUND(F45-(Output_EB_RIN_NS!M66*10^6),4)=0,0,1)</f>
        <v>0</v>
      </c>
      <c r="G46" s="327">
        <f>IF(ROUND(G45-(Output_EB_RIN_NS!N66*10^6),4)=0,0,1)</f>
        <v>0</v>
      </c>
      <c r="H46" s="327">
        <f>IF(ROUND(H45-(Output_EB_RIN_NS!O66*10^6),4)=0,0,1)</f>
        <v>0</v>
      </c>
      <c r="I46" s="327">
        <f>IF(ROUND(I45-(Output_EB_RIN_NS!P66*10^6),4)=0,0,1)</f>
        <v>0</v>
      </c>
      <c r="J46" s="327">
        <f>IF(ROUND(J45-(Output_EB_RIN_NS!Q66*10^6),4)=0,0,1)</f>
        <v>0</v>
      </c>
      <c r="K46" s="327">
        <f>IF(ROUND(K45-(Output_EB_RIN_NS!R66*10^6),4)=0,0,1)</f>
        <v>0</v>
      </c>
      <c r="L46" s="327">
        <f>IF(ROUND(L45-(Output_EB_RIN_NS!S66*10^6),4)=0,0,1)</f>
        <v>0</v>
      </c>
      <c r="M46" s="327">
        <f>IF(ROUND(M45-(Output_EB_RIN_NS!T66*10^6),4)=0,0,1)</f>
        <v>0</v>
      </c>
      <c r="N46" s="327">
        <f>IF(ROUND(N45-(Output_EB_RIN_NS!U66*10^6),4)=0,0,1)</f>
        <v>0</v>
      </c>
      <c r="P46" s="327">
        <f>IF(ROUND(P45-(Output_EB_RIN_SCS!J66*10^6),4)=0,0,1)</f>
        <v>0</v>
      </c>
      <c r="Q46" s="327">
        <f>IF(ROUND(Q45-(Output_EB_RIN_SCS!K66*10^6),4)=0,0,1)</f>
        <v>0</v>
      </c>
      <c r="R46" s="327">
        <f>IF(ROUND(R45-(Output_EB_RIN_SCS!L66*10^6),4)=0,0,1)</f>
        <v>0</v>
      </c>
      <c r="S46" s="327">
        <f>IF(ROUND(S45-(Output_EB_RIN_SCS!M66*10^6),4)=0,0,1)</f>
        <v>0</v>
      </c>
      <c r="T46" s="327">
        <f>IF(ROUND(T45-(Output_EB_RIN_SCS!N66*10^6),4)=0,0,1)</f>
        <v>0</v>
      </c>
      <c r="U46" s="327">
        <f>IF(ROUND(U45-(Output_EB_RIN_SCS!O66*10^6),4)=0,0,1)</f>
        <v>0</v>
      </c>
      <c r="V46" s="327">
        <f>IF(ROUND(V45-(Output_EB_RIN_SCS!P66*10^6),4)=0,0,1)</f>
        <v>0</v>
      </c>
      <c r="W46" s="327">
        <f>IF(ROUND(W45-(Output_EB_RIN_SCS!Q66*10^6),4)=0,0,1)</f>
        <v>0</v>
      </c>
      <c r="X46" s="327">
        <f>IF(ROUND(X45-(Output_EB_RIN_SCS!R66*10^6),4)=0,0,1)</f>
        <v>0</v>
      </c>
      <c r="Y46" s="327">
        <f>IF(ROUND(Y45-(Output_EB_RIN_SCS!S66*10^6),4)=0,0,1)</f>
        <v>0</v>
      </c>
      <c r="Z46" s="327">
        <f>IF(ROUND(Z45-(Output_EB_RIN_SCS!T66*10^6),4)=0,0,1)</f>
        <v>0</v>
      </c>
      <c r="AA46" s="327">
        <f>IF(ROUND(AA45-(Output_EB_RIN_SCS!U66*10^6),4)=0,0,1)</f>
        <v>0</v>
      </c>
      <c r="AB46" s="157"/>
      <c r="AC46" s="327">
        <f>IF(ROUND(AC45-(Output_EB_RIN_ACS!J66*10^6),4)=0,0,1)</f>
        <v>0</v>
      </c>
      <c r="AD46" s="327">
        <f>IF(ROUND(AD45-(Output_EB_RIN_ACS!K66*10^6),4)=0,0,1)</f>
        <v>0</v>
      </c>
      <c r="AE46" s="327">
        <f>IF(ROUND(AE45-(Output_EB_RIN_ACS!L66*10^6),4)=0,0,1)</f>
        <v>0</v>
      </c>
      <c r="AF46" s="327">
        <f>IF(ROUND(AF45-(Output_EB_RIN_ACS!M66*10^6),4)=0,0,1)</f>
        <v>0</v>
      </c>
      <c r="AG46" s="327">
        <f>IF(ROUND(AG45-(Output_EB_RIN_ACS!N66*10^6),4)=0,0,1)</f>
        <v>0</v>
      </c>
      <c r="AH46" s="327">
        <f>IF(ROUND(AH45-(Output_EB_RIN_ACS!O66*10^6),4)=0,0,1)</f>
        <v>0</v>
      </c>
      <c r="AI46" s="327">
        <f>IF(ROUND(AI45-(Output_EB_RIN_ACS!P66*10^6),4)=0,0,1)</f>
        <v>0</v>
      </c>
      <c r="AJ46" s="327">
        <f>IF(ROUND(AJ45-(Output_EB_RIN_ACS!Q66*10^6),4)=0,0,1)</f>
        <v>0</v>
      </c>
      <c r="AK46" s="327">
        <f>IF(ROUND(AK45-(Output_EB_RIN_ACS!R66*10^6),4)=0,0,1)</f>
        <v>0</v>
      </c>
      <c r="AL46" s="327">
        <f>IF(ROUND(AL45-(Output_EB_RIN_ACS!S66*10^6),4)=0,0,1)</f>
        <v>0</v>
      </c>
      <c r="AM46" s="327">
        <f>IF(ROUND(AM45-(Output_EB_RIN_ACS!T66*10^6),4)=0,0,1)</f>
        <v>0</v>
      </c>
      <c r="AN46" s="327">
        <f>IF(ROUND(AN45-(Output_EB_RIN_ACS!U66*10^6),4)=0,0,1)</f>
        <v>0</v>
      </c>
      <c r="AO46" s="157"/>
      <c r="AP46" s="157"/>
      <c r="AQ46" s="157"/>
      <c r="AR46" s="157"/>
      <c r="AS46" s="157"/>
      <c r="AT46" s="157"/>
      <c r="AU46" s="157"/>
      <c r="AV46" s="157"/>
      <c r="AW46" s="157"/>
      <c r="AX46" s="157"/>
      <c r="AY46" s="157"/>
      <c r="AZ46" s="157"/>
      <c r="BA46" s="157"/>
      <c r="BB46" s="157"/>
      <c r="BC46" s="157"/>
      <c r="BD46" s="157"/>
    </row>
    <row r="47" spans="1:56" outlineLevel="2" x14ac:dyDescent="0.55000000000000004">
      <c r="A47" s="179" t="s">
        <v>313</v>
      </c>
      <c r="B47" s="180" t="s">
        <v>279</v>
      </c>
      <c r="C47" s="181">
        <f>Output_EB_RIN_NS!J74*10^6</f>
        <v>66801062.937318772</v>
      </c>
      <c r="D47" s="182">
        <f>Output_EB_RIN_NS!K74*10^6</f>
        <v>70740199.656719193</v>
      </c>
      <c r="E47" s="182">
        <f>Output_EB_RIN_NS!L74*10^6</f>
        <v>75612645.019104376</v>
      </c>
      <c r="F47" s="182">
        <f>Output_EB_RIN_NS!M74*10^6</f>
        <v>76897616.946939394</v>
      </c>
      <c r="G47" s="183">
        <f>Output_EB_RIN_NS!N74*10^6</f>
        <v>76242035.307053596</v>
      </c>
      <c r="H47" s="184">
        <f>Output_EB_RIN_NS!O74*10^6</f>
        <v>86989103.942939952</v>
      </c>
      <c r="I47" s="182">
        <f>Output_EB_RIN_NS!P74*10^6</f>
        <v>97554269.173773751</v>
      </c>
      <c r="J47" s="182">
        <f>Output_EB_RIN_NS!Q74*10^6</f>
        <v>101949555.5982164</v>
      </c>
      <c r="K47" s="182">
        <f>Output_EB_RIN_NS!R74*10^6</f>
        <v>111321956.64985137</v>
      </c>
      <c r="L47" s="183">
        <f>Output_EB_RIN_NS!S74*10^6</f>
        <v>112691145.32304692</v>
      </c>
      <c r="M47" s="185">
        <f>Output_EB_RIN_NS!T74*10^6</f>
        <v>112643940.26495373</v>
      </c>
      <c r="N47" s="183">
        <f>Output_EB_RIN_NS!U74*10^6</f>
        <v>114136067.17696348</v>
      </c>
      <c r="P47" s="181">
        <f>Output_EB_RIN_SCS!J74*10^6</f>
        <v>66801062.937318772</v>
      </c>
      <c r="Q47" s="182">
        <f>Output_EB_RIN_SCS!K74*10^6</f>
        <v>70740199.656719193</v>
      </c>
      <c r="R47" s="182">
        <f>Output_EB_RIN_SCS!L74*10^6</f>
        <v>75612645.019104376</v>
      </c>
      <c r="S47" s="182">
        <f>Output_EB_RIN_SCS!M74*10^6</f>
        <v>76897616.946939394</v>
      </c>
      <c r="T47" s="183">
        <f>Output_EB_RIN_SCS!N74*10^6</f>
        <v>76242035.307053596</v>
      </c>
      <c r="U47" s="184">
        <f>Output_EB_RIN_SCS!O74*10^6</f>
        <v>86989103.942939952</v>
      </c>
      <c r="V47" s="182">
        <f>Output_EB_RIN_SCS!P74*10^6</f>
        <v>97554269.173773751</v>
      </c>
      <c r="W47" s="182">
        <f>Output_EB_RIN_SCS!Q74*10^6</f>
        <v>101949555.5982164</v>
      </c>
      <c r="X47" s="182">
        <f>Output_EB_RIN_SCS!R74*10^6</f>
        <v>111321956.64985137</v>
      </c>
      <c r="Y47" s="183">
        <f>Output_EB_RIN_SCS!S74*10^6</f>
        <v>112691145.32304692</v>
      </c>
      <c r="Z47" s="185">
        <f>Output_EB_RIN_SCS!T74*10^6</f>
        <v>112643940.26495373</v>
      </c>
      <c r="AA47" s="183">
        <f>Output_EB_RIN_SCS!U74*10^6</f>
        <v>114136067.17696348</v>
      </c>
      <c r="AB47" s="157"/>
      <c r="AC47" s="181" t="str">
        <f>IFERROR(Output_EB_RIN_ACS!J74*10^6,NA)</f>
        <v>N/A</v>
      </c>
      <c r="AD47" s="182" t="str">
        <f>IFERROR(Output_EB_RIN_ACS!K74*10^6,NA)</f>
        <v>N/A</v>
      </c>
      <c r="AE47" s="182" t="str">
        <f>IFERROR(Output_EB_RIN_ACS!L74*10^6,NA)</f>
        <v>N/A</v>
      </c>
      <c r="AF47" s="182" t="str">
        <f>IFERROR(Output_EB_RIN_ACS!M74*10^6,NA)</f>
        <v>N/A</v>
      </c>
      <c r="AG47" s="183" t="str">
        <f>IFERROR(Output_EB_RIN_ACS!N74*10^6,NA)</f>
        <v>N/A</v>
      </c>
      <c r="AH47" s="184" t="str">
        <f>IFERROR(Output_EB_RIN_ACS!O74*10^6,NA)</f>
        <v>N/A</v>
      </c>
      <c r="AI47" s="182" t="str">
        <f>IFERROR(Output_EB_RIN_ACS!P74*10^6,NA)</f>
        <v>N/A</v>
      </c>
      <c r="AJ47" s="182" t="str">
        <f>IFERROR(Output_EB_RIN_ACS!Q74*10^6,NA)</f>
        <v>N/A</v>
      </c>
      <c r="AK47" s="182" t="str">
        <f>IFERROR(Output_EB_RIN_ACS!R74*10^6,NA)</f>
        <v>N/A</v>
      </c>
      <c r="AL47" s="183" t="str">
        <f>IFERROR(Output_EB_RIN_ACS!S74*10^6,NA)</f>
        <v>N/A</v>
      </c>
      <c r="AM47" s="185" t="str">
        <f>IFERROR(Output_EB_RIN_ACS!T74*10^6,NA)</f>
        <v>N/A</v>
      </c>
      <c r="AN47" s="183" t="str">
        <f>IFERROR(Output_EB_RIN_ACS!U74*10^6,NA)</f>
        <v>N/A</v>
      </c>
      <c r="AO47" s="157"/>
      <c r="AP47" s="157"/>
      <c r="AQ47" s="157"/>
      <c r="AR47" s="157"/>
      <c r="AS47" s="157"/>
      <c r="AT47" s="157"/>
      <c r="AU47" s="157"/>
      <c r="AV47" s="157"/>
      <c r="AW47" s="157"/>
      <c r="AX47" s="157"/>
      <c r="AY47" s="157"/>
      <c r="AZ47" s="157"/>
      <c r="BA47" s="157"/>
      <c r="BB47" s="157"/>
      <c r="BC47" s="157"/>
      <c r="BD47" s="157"/>
    </row>
    <row r="48" spans="1:56" outlineLevel="2" x14ac:dyDescent="0.55000000000000004">
      <c r="A48" s="179" t="s">
        <v>314</v>
      </c>
      <c r="B48" s="186" t="s">
        <v>281</v>
      </c>
      <c r="C48" s="187">
        <f>Output_EB_RIN_NS!J75*10^6</f>
        <v>1952771.6327596272</v>
      </c>
      <c r="D48" s="188">
        <f>Output_EB_RIN_NS!K75*10^6</f>
        <v>1758040.4648415325</v>
      </c>
      <c r="E48" s="188">
        <f>Output_EB_RIN_NS!L75*10^6</f>
        <v>3230563.3553197025</v>
      </c>
      <c r="F48" s="188">
        <f>Output_EB_RIN_NS!M75*10^6</f>
        <v>1873474.6100029538</v>
      </c>
      <c r="G48" s="189">
        <f>Output_EB_RIN_NS!N75*10^6</f>
        <v>2225443.1927464237</v>
      </c>
      <c r="H48" s="190">
        <f>Output_EB_RIN_NS!O75*10^6</f>
        <v>2832628.3846965632</v>
      </c>
      <c r="I48" s="188">
        <f>Output_EB_RIN_NS!P75*10^6</f>
        <v>1587861.96010213</v>
      </c>
      <c r="J48" s="188">
        <f>Output_EB_RIN_NS!Q75*10^6</f>
        <v>2551290.1801355444</v>
      </c>
      <c r="K48" s="188">
        <f>Output_EB_RIN_NS!R75*10^6</f>
        <v>2727263.9713772056</v>
      </c>
      <c r="L48" s="189">
        <f>Output_EB_RIN_NS!S75*10^6</f>
        <v>1496846.3325641803</v>
      </c>
      <c r="M48" s="191">
        <f>Output_EB_RIN_NS!T75*10^6</f>
        <v>1476605.9585293715</v>
      </c>
      <c r="N48" s="189">
        <f>Output_EB_RIN_NS!U75*10^6</f>
        <v>2426182.5740019879</v>
      </c>
      <c r="P48" s="187">
        <f>Output_EB_RIN_SCS!J75*10^6</f>
        <v>1952771.6327596272</v>
      </c>
      <c r="Q48" s="188">
        <f>Output_EB_RIN_SCS!K75*10^6</f>
        <v>1758040.4648415325</v>
      </c>
      <c r="R48" s="188">
        <f>Output_EB_RIN_SCS!L75*10^6</f>
        <v>3230563.3553197025</v>
      </c>
      <c r="S48" s="188">
        <f>Output_EB_RIN_SCS!M75*10^6</f>
        <v>1873474.6100029538</v>
      </c>
      <c r="T48" s="189">
        <f>Output_EB_RIN_SCS!N75*10^6</f>
        <v>2225443.1927464237</v>
      </c>
      <c r="U48" s="190">
        <f>Output_EB_RIN_SCS!O75*10^6</f>
        <v>2832628.3846965632</v>
      </c>
      <c r="V48" s="188">
        <f>Output_EB_RIN_SCS!P75*10^6</f>
        <v>1587861.96010213</v>
      </c>
      <c r="W48" s="188">
        <f>Output_EB_RIN_SCS!Q75*10^6</f>
        <v>2551290.1801355444</v>
      </c>
      <c r="X48" s="188">
        <f>Output_EB_RIN_SCS!R75*10^6</f>
        <v>2727263.9713772056</v>
      </c>
      <c r="Y48" s="189">
        <f>Output_EB_RIN_SCS!S75*10^6</f>
        <v>1496846.3325641803</v>
      </c>
      <c r="Z48" s="191">
        <f>Output_EB_RIN_SCS!T75*10^6</f>
        <v>1476605.9585293715</v>
      </c>
      <c r="AA48" s="189">
        <f>Output_EB_RIN_SCS!U75*10^6</f>
        <v>2426182.5740019879</v>
      </c>
      <c r="AB48" s="157"/>
      <c r="AC48" s="187" t="str">
        <f>IFERROR(Output_EB_RIN_ACS!J75*10^6,NA)</f>
        <v>N/A</v>
      </c>
      <c r="AD48" s="188" t="str">
        <f>IFERROR(Output_EB_RIN_ACS!K75*10^6,NA)</f>
        <v>N/A</v>
      </c>
      <c r="AE48" s="188" t="str">
        <f>IFERROR(Output_EB_RIN_ACS!L75*10^6,NA)</f>
        <v>N/A</v>
      </c>
      <c r="AF48" s="188" t="str">
        <f>IFERROR(Output_EB_RIN_ACS!M75*10^6,NA)</f>
        <v>N/A</v>
      </c>
      <c r="AG48" s="189" t="str">
        <f>IFERROR(Output_EB_RIN_ACS!N75*10^6,NA)</f>
        <v>N/A</v>
      </c>
      <c r="AH48" s="190" t="str">
        <f>IFERROR(Output_EB_RIN_ACS!O75*10^6,NA)</f>
        <v>N/A</v>
      </c>
      <c r="AI48" s="188" t="str">
        <f>IFERROR(Output_EB_RIN_ACS!P75*10^6,NA)</f>
        <v>N/A</v>
      </c>
      <c r="AJ48" s="188" t="str">
        <f>IFERROR(Output_EB_RIN_ACS!Q75*10^6,NA)</f>
        <v>N/A</v>
      </c>
      <c r="AK48" s="188" t="str">
        <f>IFERROR(Output_EB_RIN_ACS!R75*10^6,NA)</f>
        <v>N/A</v>
      </c>
      <c r="AL48" s="189" t="str">
        <f>IFERROR(Output_EB_RIN_ACS!S75*10^6,NA)</f>
        <v>N/A</v>
      </c>
      <c r="AM48" s="191" t="str">
        <f>IFERROR(Output_EB_RIN_ACS!T75*10^6,NA)</f>
        <v>N/A</v>
      </c>
      <c r="AN48" s="189" t="str">
        <f>IFERROR(Output_EB_RIN_ACS!U75*10^6,NA)</f>
        <v>N/A</v>
      </c>
      <c r="AO48" s="157"/>
      <c r="AP48" s="157"/>
      <c r="AQ48" s="157"/>
      <c r="AR48" s="157"/>
      <c r="AS48" s="157"/>
      <c r="AT48" s="157"/>
      <c r="AU48" s="157"/>
      <c r="AV48" s="157"/>
      <c r="AW48" s="157"/>
      <c r="AX48" s="157"/>
      <c r="AY48" s="157"/>
      <c r="AZ48" s="157"/>
      <c r="BA48" s="157"/>
      <c r="BB48" s="157"/>
      <c r="BC48" s="157"/>
      <c r="BD48" s="157"/>
    </row>
    <row r="49" spans="1:56" outlineLevel="2" x14ac:dyDescent="0.55000000000000004">
      <c r="A49" s="179" t="s">
        <v>315</v>
      </c>
      <c r="B49" s="186" t="s">
        <v>283</v>
      </c>
      <c r="C49" s="187">
        <f>Output_EB_RIN_NS!J76*10^6</f>
        <v>-3069692.345818392</v>
      </c>
      <c r="D49" s="188">
        <f>Output_EB_RIN_NS!K76*10^6</f>
        <v>-3262227.83358667</v>
      </c>
      <c r="E49" s="188">
        <f>Output_EB_RIN_NS!L76*10^6</f>
        <v>-3484369.7962262714</v>
      </c>
      <c r="F49" s="188">
        <f>Output_EB_RIN_NS!M76*10^6</f>
        <v>-3596410.6323108627</v>
      </c>
      <c r="G49" s="189">
        <f>Output_EB_RIN_NS!N76*10^6</f>
        <v>-2142180.3856213065</v>
      </c>
      <c r="H49" s="190">
        <f>Output_EB_RIN_NS!O76*10^6</f>
        <v>-2427839.232205166</v>
      </c>
      <c r="I49" s="188">
        <f>Output_EB_RIN_NS!P76*10^6</f>
        <v>-2669822.2078049402</v>
      </c>
      <c r="J49" s="188">
        <f>Output_EB_RIN_NS!Q76*10^6</f>
        <v>-2846719.1813908448</v>
      </c>
      <c r="K49" s="188">
        <f>Output_EB_RIN_NS!R76*10^6</f>
        <v>-3525164.5088707861</v>
      </c>
      <c r="L49" s="189">
        <f>Output_EB_RIN_NS!S76*10^6</f>
        <v>-3825560.4657202349</v>
      </c>
      <c r="M49" s="191">
        <f>Output_EB_RIN_NS!T76*10^6</f>
        <v>-4027415.9611676089</v>
      </c>
      <c r="N49" s="189">
        <f>Output_EB_RIN_NS!U76*10^6</f>
        <v>-4152095.5439456566</v>
      </c>
      <c r="P49" s="187">
        <f>Output_EB_RIN_SCS!J76*10^6</f>
        <v>-3069692.345818392</v>
      </c>
      <c r="Q49" s="188">
        <f>Output_EB_RIN_SCS!K76*10^6</f>
        <v>-3262227.83358667</v>
      </c>
      <c r="R49" s="188">
        <f>Output_EB_RIN_SCS!L76*10^6</f>
        <v>-3484369.7962262714</v>
      </c>
      <c r="S49" s="188">
        <f>Output_EB_RIN_SCS!M76*10^6</f>
        <v>-3596410.6323108627</v>
      </c>
      <c r="T49" s="189">
        <f>Output_EB_RIN_SCS!N76*10^6</f>
        <v>-2142180.3856213065</v>
      </c>
      <c r="U49" s="190">
        <f>Output_EB_RIN_SCS!O76*10^6</f>
        <v>-2427839.232205166</v>
      </c>
      <c r="V49" s="188">
        <f>Output_EB_RIN_SCS!P76*10^6</f>
        <v>-2669822.2078049402</v>
      </c>
      <c r="W49" s="188">
        <f>Output_EB_RIN_SCS!Q76*10^6</f>
        <v>-2846719.1813908448</v>
      </c>
      <c r="X49" s="188">
        <f>Output_EB_RIN_SCS!R76*10^6</f>
        <v>-3525164.5088707861</v>
      </c>
      <c r="Y49" s="189">
        <f>Output_EB_RIN_SCS!S76*10^6</f>
        <v>-3825560.4657202349</v>
      </c>
      <c r="Z49" s="191">
        <f>Output_EB_RIN_SCS!T76*10^6</f>
        <v>-4027415.9611676089</v>
      </c>
      <c r="AA49" s="189">
        <f>Output_EB_RIN_SCS!U76*10^6</f>
        <v>-4152095.5439456566</v>
      </c>
      <c r="AB49" s="157"/>
      <c r="AC49" s="187" t="str">
        <f>IFERROR(Output_EB_RIN_ACS!J76*10^6,NA)</f>
        <v>N/A</v>
      </c>
      <c r="AD49" s="188" t="str">
        <f>IFERROR(Output_EB_RIN_ACS!K76*10^6,NA)</f>
        <v>N/A</v>
      </c>
      <c r="AE49" s="188" t="str">
        <f>IFERROR(Output_EB_RIN_ACS!L76*10^6,NA)</f>
        <v>N/A</v>
      </c>
      <c r="AF49" s="188" t="str">
        <f>IFERROR(Output_EB_RIN_ACS!M76*10^6,NA)</f>
        <v>N/A</v>
      </c>
      <c r="AG49" s="189" t="str">
        <f>IFERROR(Output_EB_RIN_ACS!N76*10^6,NA)</f>
        <v>N/A</v>
      </c>
      <c r="AH49" s="190" t="str">
        <f>IFERROR(Output_EB_RIN_ACS!O76*10^6,NA)</f>
        <v>N/A</v>
      </c>
      <c r="AI49" s="188" t="str">
        <f>IFERROR(Output_EB_RIN_ACS!P76*10^6,NA)</f>
        <v>N/A</v>
      </c>
      <c r="AJ49" s="188" t="str">
        <f>IFERROR(Output_EB_RIN_ACS!Q76*10^6,NA)</f>
        <v>N/A</v>
      </c>
      <c r="AK49" s="188" t="str">
        <f>IFERROR(Output_EB_RIN_ACS!R76*10^6,NA)</f>
        <v>N/A</v>
      </c>
      <c r="AL49" s="189" t="str">
        <f>IFERROR(Output_EB_RIN_ACS!S76*10^6,NA)</f>
        <v>N/A</v>
      </c>
      <c r="AM49" s="191" t="str">
        <f>IFERROR(Output_EB_RIN_ACS!T76*10^6,NA)</f>
        <v>N/A</v>
      </c>
      <c r="AN49" s="189" t="str">
        <f>IFERROR(Output_EB_RIN_ACS!U76*10^6,NA)</f>
        <v>N/A</v>
      </c>
      <c r="AO49" s="157"/>
      <c r="AP49" s="157"/>
      <c r="AQ49" s="157"/>
      <c r="AR49" s="157"/>
      <c r="AS49" s="157"/>
      <c r="AT49" s="157"/>
      <c r="AU49" s="157"/>
      <c r="AV49" s="157"/>
      <c r="AW49" s="157"/>
      <c r="AX49" s="157"/>
      <c r="AY49" s="157"/>
      <c r="AZ49" s="157"/>
      <c r="BA49" s="157"/>
      <c r="BB49" s="157"/>
      <c r="BC49" s="157"/>
      <c r="BD49" s="157"/>
    </row>
    <row r="50" spans="1:56" outlineLevel="2" x14ac:dyDescent="0.55000000000000004">
      <c r="A50" s="179" t="s">
        <v>316</v>
      </c>
      <c r="B50" s="186" t="s">
        <v>285</v>
      </c>
      <c r="C50" s="187">
        <f>Output_EB_RIN_NS!J77*10^6</f>
        <v>5056057.4324591933</v>
      </c>
      <c r="D50" s="188">
        <f>Output_EB_RIN_NS!K77*10^6</f>
        <v>6376632.7311303113</v>
      </c>
      <c r="E50" s="188">
        <f>Output_EB_RIN_NS!L77*10^6</f>
        <v>1538778.3687415891</v>
      </c>
      <c r="F50" s="188">
        <f>Output_EB_RIN_NS!M77*10^6</f>
        <v>1067354.3824221049</v>
      </c>
      <c r="G50" s="189">
        <f>Output_EB_RIN_NS!N77*10^6</f>
        <v>10663805.828761231</v>
      </c>
      <c r="H50" s="190">
        <f>Output_EB_RIN_NS!O77*10^6</f>
        <v>10160376.078342406</v>
      </c>
      <c r="I50" s="188">
        <f>Output_EB_RIN_NS!P77*10^6</f>
        <v>5477246.6721454673</v>
      </c>
      <c r="J50" s="188">
        <f>Output_EB_RIN_NS!Q77*10^6</f>
        <v>9667830.0528902691</v>
      </c>
      <c r="K50" s="188">
        <f>Output_EB_RIN_NS!R77*10^6</f>
        <v>2169568.1224965602</v>
      </c>
      <c r="L50" s="189">
        <f>Output_EB_RIN_NS!S77*10^6</f>
        <v>2288671.5378856561</v>
      </c>
      <c r="M50" s="191">
        <f>Output_EB_RIN_NS!T77*10^6</f>
        <v>4050078.0782482931</v>
      </c>
      <c r="N50" s="189">
        <f>Output_EB_RIN_NS!U77*10^6</f>
        <v>3998976.7724754964</v>
      </c>
      <c r="P50" s="187">
        <f>Output_EB_RIN_SCS!J77*10^6</f>
        <v>5056057.4324591933</v>
      </c>
      <c r="Q50" s="188">
        <f>Output_EB_RIN_SCS!K77*10^6</f>
        <v>6376632.7311303113</v>
      </c>
      <c r="R50" s="188">
        <f>Output_EB_RIN_SCS!L77*10^6</f>
        <v>1538778.3687415891</v>
      </c>
      <c r="S50" s="188">
        <f>Output_EB_RIN_SCS!M77*10^6</f>
        <v>1067354.3824221049</v>
      </c>
      <c r="T50" s="189">
        <f>Output_EB_RIN_SCS!N77*10^6</f>
        <v>10663805.828761231</v>
      </c>
      <c r="U50" s="190">
        <f>Output_EB_RIN_SCS!O77*10^6</f>
        <v>10160376.078342406</v>
      </c>
      <c r="V50" s="188">
        <f>Output_EB_RIN_SCS!P77*10^6</f>
        <v>5477246.6721454673</v>
      </c>
      <c r="W50" s="188">
        <f>Output_EB_RIN_SCS!Q77*10^6</f>
        <v>9667830.0528902691</v>
      </c>
      <c r="X50" s="188">
        <f>Output_EB_RIN_SCS!R77*10^6</f>
        <v>2169568.1224965602</v>
      </c>
      <c r="Y50" s="189">
        <f>Output_EB_RIN_SCS!S77*10^6</f>
        <v>2288671.5378856561</v>
      </c>
      <c r="Z50" s="191">
        <f>Output_EB_RIN_SCS!T77*10^6</f>
        <v>4050078.0782482931</v>
      </c>
      <c r="AA50" s="189">
        <f>Output_EB_RIN_SCS!U77*10^6</f>
        <v>3998976.7724754964</v>
      </c>
      <c r="AB50" s="157"/>
      <c r="AC50" s="187" t="str">
        <f>IFERROR(Output_EB_RIN_ACS!J77*10^6,NA)</f>
        <v>N/A</v>
      </c>
      <c r="AD50" s="188" t="str">
        <f>IFERROR(Output_EB_RIN_ACS!K77*10^6,NA)</f>
        <v>N/A</v>
      </c>
      <c r="AE50" s="188" t="str">
        <f>IFERROR(Output_EB_RIN_ACS!L77*10^6,NA)</f>
        <v>N/A</v>
      </c>
      <c r="AF50" s="188" t="str">
        <f>IFERROR(Output_EB_RIN_ACS!M77*10^6,NA)</f>
        <v>N/A</v>
      </c>
      <c r="AG50" s="189" t="str">
        <f>IFERROR(Output_EB_RIN_ACS!N77*10^6,NA)</f>
        <v>N/A</v>
      </c>
      <c r="AH50" s="190" t="str">
        <f>IFERROR(Output_EB_RIN_ACS!O77*10^6,NA)</f>
        <v>N/A</v>
      </c>
      <c r="AI50" s="188" t="str">
        <f>IFERROR(Output_EB_RIN_ACS!P77*10^6,NA)</f>
        <v>N/A</v>
      </c>
      <c r="AJ50" s="188" t="str">
        <f>IFERROR(Output_EB_RIN_ACS!Q77*10^6,NA)</f>
        <v>N/A</v>
      </c>
      <c r="AK50" s="188" t="str">
        <f>IFERROR(Output_EB_RIN_ACS!R77*10^6,NA)</f>
        <v>N/A</v>
      </c>
      <c r="AL50" s="189" t="str">
        <f>IFERROR(Output_EB_RIN_ACS!S77*10^6,NA)</f>
        <v>N/A</v>
      </c>
      <c r="AM50" s="191" t="str">
        <f>IFERROR(Output_EB_RIN_ACS!T77*10^6,NA)</f>
        <v>N/A</v>
      </c>
      <c r="AN50" s="189" t="str">
        <f>IFERROR(Output_EB_RIN_ACS!U77*10^6,NA)</f>
        <v>N/A</v>
      </c>
      <c r="AO50" s="157"/>
      <c r="AP50" s="157"/>
      <c r="AQ50" s="157"/>
      <c r="AR50" s="157"/>
      <c r="AS50" s="157"/>
      <c r="AT50" s="157"/>
      <c r="AU50" s="157"/>
      <c r="AV50" s="157"/>
      <c r="AW50" s="157"/>
      <c r="AX50" s="157"/>
      <c r="AY50" s="157"/>
      <c r="AZ50" s="157"/>
      <c r="BA50" s="157"/>
      <c r="BB50" s="157"/>
      <c r="BC50" s="157"/>
      <c r="BD50" s="157"/>
    </row>
    <row r="51" spans="1:56" outlineLevel="2" x14ac:dyDescent="0.55000000000000004">
      <c r="A51" s="179" t="s">
        <v>317</v>
      </c>
      <c r="B51" s="186" t="s">
        <v>287</v>
      </c>
      <c r="C51" s="187">
        <f>Output_EB_RIN_NS!J78*10^6</f>
        <v>0</v>
      </c>
      <c r="D51" s="188">
        <f>Output_EB_RIN_NS!K78*10^6</f>
        <v>0</v>
      </c>
      <c r="E51" s="188">
        <f>Output_EB_RIN_NS!L78*10^6</f>
        <v>0</v>
      </c>
      <c r="F51" s="188">
        <f>Output_EB_RIN_NS!M78*10^6</f>
        <v>0</v>
      </c>
      <c r="G51" s="189">
        <f>Output_EB_RIN_NS!N78*10^6</f>
        <v>0</v>
      </c>
      <c r="H51" s="190">
        <f>Output_EB_RIN_NS!O78*10^6</f>
        <v>0</v>
      </c>
      <c r="I51" s="188">
        <f>Output_EB_RIN_NS!P78*10^6</f>
        <v>0</v>
      </c>
      <c r="J51" s="188">
        <f>Output_EB_RIN_NS!Q78*10^6</f>
        <v>0</v>
      </c>
      <c r="K51" s="188">
        <f>Output_EB_RIN_NS!R78*10^6</f>
        <v>-2478.9118074350308</v>
      </c>
      <c r="L51" s="189">
        <f>Output_EB_RIN_NS!S78*10^6</f>
        <v>-7162.4628228102474</v>
      </c>
      <c r="M51" s="191">
        <f>Output_EB_RIN_NS!T78*10^6</f>
        <v>-7141.1636003059748</v>
      </c>
      <c r="N51" s="189">
        <f>Output_EB_RIN_NS!U78*10^6</f>
        <v>-13619.365301383054</v>
      </c>
      <c r="P51" s="187">
        <f>Output_EB_RIN_SCS!J78*10^6</f>
        <v>0</v>
      </c>
      <c r="Q51" s="188">
        <f>Output_EB_RIN_SCS!K78*10^6</f>
        <v>0</v>
      </c>
      <c r="R51" s="188">
        <f>Output_EB_RIN_SCS!L78*10^6</f>
        <v>0</v>
      </c>
      <c r="S51" s="188">
        <f>Output_EB_RIN_SCS!M78*10^6</f>
        <v>0</v>
      </c>
      <c r="T51" s="189">
        <f>Output_EB_RIN_SCS!N78*10^6</f>
        <v>0</v>
      </c>
      <c r="U51" s="190">
        <f>Output_EB_RIN_SCS!O78*10^6</f>
        <v>0</v>
      </c>
      <c r="V51" s="188">
        <f>Output_EB_RIN_SCS!P78*10^6</f>
        <v>0</v>
      </c>
      <c r="W51" s="188">
        <f>Output_EB_RIN_SCS!Q78*10^6</f>
        <v>0</v>
      </c>
      <c r="X51" s="188">
        <f>Output_EB_RIN_SCS!R78*10^6</f>
        <v>-2478.9118074350308</v>
      </c>
      <c r="Y51" s="189">
        <f>Output_EB_RIN_SCS!S78*10^6</f>
        <v>-7162.4628228102474</v>
      </c>
      <c r="Z51" s="191">
        <f>Output_EB_RIN_SCS!T78*10^6</f>
        <v>-7141.1636003059748</v>
      </c>
      <c r="AA51" s="189">
        <f>Output_EB_RIN_SCS!U78*10^6</f>
        <v>-13619.365301383054</v>
      </c>
      <c r="AB51" s="157"/>
      <c r="AC51" s="187" t="str">
        <f>IFERROR(Output_EB_RIN_ACS!J78*10^6,NA)</f>
        <v>N/A</v>
      </c>
      <c r="AD51" s="188" t="str">
        <f>IFERROR(Output_EB_RIN_ACS!K78*10^6,NA)</f>
        <v>N/A</v>
      </c>
      <c r="AE51" s="188" t="str">
        <f>IFERROR(Output_EB_RIN_ACS!L78*10^6,NA)</f>
        <v>N/A</v>
      </c>
      <c r="AF51" s="188" t="str">
        <f>IFERROR(Output_EB_RIN_ACS!M78*10^6,NA)</f>
        <v>N/A</v>
      </c>
      <c r="AG51" s="189" t="str">
        <f>IFERROR(Output_EB_RIN_ACS!N78*10^6,NA)</f>
        <v>N/A</v>
      </c>
      <c r="AH51" s="190" t="str">
        <f>IFERROR(Output_EB_RIN_ACS!O78*10^6,NA)</f>
        <v>N/A</v>
      </c>
      <c r="AI51" s="188" t="str">
        <f>IFERROR(Output_EB_RIN_ACS!P78*10^6,NA)</f>
        <v>N/A</v>
      </c>
      <c r="AJ51" s="188" t="str">
        <f>IFERROR(Output_EB_RIN_ACS!Q78*10^6,NA)</f>
        <v>N/A</v>
      </c>
      <c r="AK51" s="188" t="str">
        <f>IFERROR(Output_EB_RIN_ACS!R78*10^6,NA)</f>
        <v>N/A</v>
      </c>
      <c r="AL51" s="189" t="str">
        <f>IFERROR(Output_EB_RIN_ACS!S78*10^6,NA)</f>
        <v>N/A</v>
      </c>
      <c r="AM51" s="191" t="str">
        <f>IFERROR(Output_EB_RIN_ACS!T78*10^6,NA)</f>
        <v>N/A</v>
      </c>
      <c r="AN51" s="189" t="str">
        <f>IFERROR(Output_EB_RIN_ACS!U78*10^6,NA)</f>
        <v>N/A</v>
      </c>
      <c r="AO51" s="157"/>
      <c r="AP51" s="157"/>
      <c r="AQ51" s="157"/>
      <c r="AR51" s="157"/>
      <c r="AS51" s="157"/>
      <c r="AT51" s="157"/>
      <c r="AU51" s="157"/>
      <c r="AV51" s="157"/>
      <c r="AW51" s="157"/>
      <c r="AX51" s="157"/>
      <c r="AY51" s="157"/>
      <c r="AZ51" s="157"/>
      <c r="BA51" s="157"/>
      <c r="BB51" s="157"/>
      <c r="BC51" s="157"/>
      <c r="BD51" s="157"/>
    </row>
    <row r="52" spans="1:56" ht="14.7" outlineLevel="2" thickBot="1" x14ac:dyDescent="0.6">
      <c r="A52" s="179" t="s">
        <v>318</v>
      </c>
      <c r="B52" s="192" t="s">
        <v>289</v>
      </c>
      <c r="C52" s="193">
        <f>SUM(C47:C51)</f>
        <v>70740199.656719208</v>
      </c>
      <c r="D52" s="194">
        <f t="shared" ref="D52" si="76">SUM(D47:D51)</f>
        <v>75612645.019104376</v>
      </c>
      <c r="E52" s="194">
        <f t="shared" ref="E52" si="77">SUM(E47:E51)</f>
        <v>76897616.946939394</v>
      </c>
      <c r="F52" s="194">
        <f t="shared" ref="F52" si="78">SUM(F47:F51)</f>
        <v>76242035.307053581</v>
      </c>
      <c r="G52" s="195">
        <f t="shared" ref="G52" si="79">SUM(G47:G51)</f>
        <v>86989103.942939952</v>
      </c>
      <c r="H52" s="196">
        <f t="shared" ref="H52" si="80">SUM(H47:H51)</f>
        <v>97554269.173773751</v>
      </c>
      <c r="I52" s="194">
        <f t="shared" ref="I52" si="81">SUM(I47:I51)</f>
        <v>101949555.59821641</v>
      </c>
      <c r="J52" s="194">
        <f t="shared" ref="J52" si="82">SUM(J47:J51)</f>
        <v>111321956.64985137</v>
      </c>
      <c r="K52" s="194">
        <f t="shared" ref="K52" si="83">SUM(K47:K51)</f>
        <v>112691145.32304692</v>
      </c>
      <c r="L52" s="195">
        <f t="shared" ref="L52" si="84">SUM(L47:L51)</f>
        <v>112643940.2649537</v>
      </c>
      <c r="M52" s="197">
        <f t="shared" ref="M52" si="85">SUM(M47:M51)</f>
        <v>114136067.17696348</v>
      </c>
      <c r="N52" s="195">
        <f t="shared" ref="N52" si="86">SUM(N47:N51)</f>
        <v>116395511.61419392</v>
      </c>
      <c r="P52" s="193">
        <f t="shared" ref="P52" si="87">SUM(P47:P51)</f>
        <v>70740199.656719208</v>
      </c>
      <c r="Q52" s="194">
        <f t="shared" ref="Q52" si="88">SUM(Q47:Q51)</f>
        <v>75612645.019104376</v>
      </c>
      <c r="R52" s="194">
        <f t="shared" ref="R52" si="89">SUM(R47:R51)</f>
        <v>76897616.946939394</v>
      </c>
      <c r="S52" s="194">
        <f t="shared" ref="S52" si="90">SUM(S47:S51)</f>
        <v>76242035.307053581</v>
      </c>
      <c r="T52" s="195">
        <f t="shared" ref="T52" si="91">SUM(T47:T51)</f>
        <v>86989103.942939952</v>
      </c>
      <c r="U52" s="196">
        <f t="shared" ref="U52" si="92">SUM(U47:U51)</f>
        <v>97554269.173773751</v>
      </c>
      <c r="V52" s="194">
        <f t="shared" ref="V52" si="93">SUM(V47:V51)</f>
        <v>101949555.59821641</v>
      </c>
      <c r="W52" s="194">
        <f t="shared" ref="W52" si="94">SUM(W47:W51)</f>
        <v>111321956.64985137</v>
      </c>
      <c r="X52" s="194">
        <f t="shared" ref="X52" si="95">SUM(X47:X51)</f>
        <v>112691145.32304692</v>
      </c>
      <c r="Y52" s="195">
        <f t="shared" ref="Y52" si="96">SUM(Y47:Y51)</f>
        <v>112643940.2649537</v>
      </c>
      <c r="Z52" s="197">
        <f t="shared" ref="Z52" si="97">SUM(Z47:Z51)</f>
        <v>114136067.17696348</v>
      </c>
      <c r="AA52" s="195">
        <f t="shared" ref="AA52" si="98">SUM(AA47:AA51)</f>
        <v>116395511.61419392</v>
      </c>
      <c r="AB52" s="157"/>
      <c r="AC52" s="193">
        <f t="shared" ref="AC52" si="99">SUM(AC47:AC51)</f>
        <v>0</v>
      </c>
      <c r="AD52" s="194">
        <f t="shared" ref="AD52" si="100">SUM(AD47:AD51)</f>
        <v>0</v>
      </c>
      <c r="AE52" s="194">
        <f t="shared" ref="AE52" si="101">SUM(AE47:AE51)</f>
        <v>0</v>
      </c>
      <c r="AF52" s="194">
        <f t="shared" ref="AF52" si="102">SUM(AF47:AF51)</f>
        <v>0</v>
      </c>
      <c r="AG52" s="195">
        <f t="shared" ref="AG52" si="103">SUM(AG47:AG51)</f>
        <v>0</v>
      </c>
      <c r="AH52" s="196">
        <f t="shared" ref="AH52" si="104">SUM(AH47:AH51)</f>
        <v>0</v>
      </c>
      <c r="AI52" s="194">
        <f t="shared" ref="AI52" si="105">SUM(AI47:AI51)</f>
        <v>0</v>
      </c>
      <c r="AJ52" s="194">
        <f t="shared" ref="AJ52" si="106">SUM(AJ47:AJ51)</f>
        <v>0</v>
      </c>
      <c r="AK52" s="194">
        <f t="shared" ref="AK52" si="107">SUM(AK47:AK51)</f>
        <v>0</v>
      </c>
      <c r="AL52" s="195">
        <f t="shared" ref="AL52" si="108">SUM(AL47:AL51)</f>
        <v>0</v>
      </c>
      <c r="AM52" s="197">
        <f t="shared" ref="AM52" si="109">SUM(AM47:AM51)</f>
        <v>0</v>
      </c>
      <c r="AN52" s="195">
        <f t="shared" ref="AN52" si="110">SUM(AN47:AN51)</f>
        <v>0</v>
      </c>
      <c r="AO52" s="157"/>
      <c r="AP52" s="157"/>
      <c r="AQ52" s="157"/>
      <c r="AR52" s="157"/>
      <c r="AS52" s="157"/>
      <c r="AT52" s="157"/>
      <c r="AU52" s="157"/>
      <c r="AV52" s="157"/>
      <c r="AW52" s="157"/>
      <c r="AX52" s="157"/>
      <c r="AY52" s="157"/>
      <c r="AZ52" s="157"/>
      <c r="BA52" s="157"/>
      <c r="BB52" s="157"/>
      <c r="BC52" s="157"/>
      <c r="BD52" s="157"/>
    </row>
    <row r="53" spans="1:56" ht="20.2" customHeight="1" outlineLevel="1" thickBot="1" x14ac:dyDescent="0.6">
      <c r="A53" s="70">
        <f>IF(SUM(C53:N53,P53:AA53,AC53:AN53)&lt;&gt;0,1,0)</f>
        <v>0</v>
      </c>
      <c r="B53" s="201" t="s">
        <v>319</v>
      </c>
      <c r="C53" s="327">
        <f>IF(ROUND(C52-(Output_EB_RIN_NS!J80*10^6),4)=0,0,1)</f>
        <v>0</v>
      </c>
      <c r="D53" s="327">
        <f>IF(ROUND(D52-(Output_EB_RIN_NS!K80*10^6),4)=0,0,1)</f>
        <v>0</v>
      </c>
      <c r="E53" s="327">
        <f>IF(ROUND(E52-(Output_EB_RIN_NS!L80*10^6),4)=0,0,1)</f>
        <v>0</v>
      </c>
      <c r="F53" s="327">
        <f>IF(ROUND(F52-(Output_EB_RIN_NS!M80*10^6),4)=0,0,1)</f>
        <v>0</v>
      </c>
      <c r="G53" s="327">
        <f>IF(ROUND(G52-(Output_EB_RIN_NS!N80*10^6),4)=0,0,1)</f>
        <v>0</v>
      </c>
      <c r="H53" s="327">
        <f>IF(ROUND(H52-(Output_EB_RIN_NS!O80*10^6),4)=0,0,1)</f>
        <v>0</v>
      </c>
      <c r="I53" s="327">
        <f>IF(ROUND(I52-(Output_EB_RIN_NS!P80*10^6),4)=0,0,1)</f>
        <v>0</v>
      </c>
      <c r="J53" s="327">
        <f>IF(ROUND(J52-(Output_EB_RIN_NS!Q80*10^6),4)=0,0,1)</f>
        <v>0</v>
      </c>
      <c r="K53" s="327">
        <f>IF(ROUND(K52-(Output_EB_RIN_NS!R80*10^6),4)=0,0,1)</f>
        <v>0</v>
      </c>
      <c r="L53" s="327">
        <f>IF(ROUND(L52-(Output_EB_RIN_NS!S80*10^6),4)=0,0,1)</f>
        <v>0</v>
      </c>
      <c r="M53" s="327">
        <f>IF(ROUND(M52-(Output_EB_RIN_NS!T80*10^6),4)=0,0,1)</f>
        <v>0</v>
      </c>
      <c r="N53" s="327">
        <f>IF(ROUND(N52-(Output_EB_RIN_NS!U80*10^6),4)=0,0,1)</f>
        <v>0</v>
      </c>
      <c r="P53" s="327">
        <f>IF(ROUND(P52-(Output_EB_RIN_SCS!J80*10^6),4)=0,0,1)</f>
        <v>0</v>
      </c>
      <c r="Q53" s="327">
        <f>IF(ROUND(Q52-(Output_EB_RIN_SCS!K80*10^6),4)=0,0,1)</f>
        <v>0</v>
      </c>
      <c r="R53" s="327">
        <f>IF(ROUND(R52-(Output_EB_RIN_SCS!L80*10^6),4)=0,0,1)</f>
        <v>0</v>
      </c>
      <c r="S53" s="327">
        <f>IF(ROUND(S52-(Output_EB_RIN_SCS!M80*10^6),4)=0,0,1)</f>
        <v>0</v>
      </c>
      <c r="T53" s="327">
        <f>IF(ROUND(T52-(Output_EB_RIN_SCS!N80*10^6),4)=0,0,1)</f>
        <v>0</v>
      </c>
      <c r="U53" s="327">
        <f>IF(ROUND(U52-(Output_EB_RIN_SCS!O80*10^6),4)=0,0,1)</f>
        <v>0</v>
      </c>
      <c r="V53" s="327">
        <f>IF(ROUND(V52-(Output_EB_RIN_SCS!P80*10^6),4)=0,0,1)</f>
        <v>0</v>
      </c>
      <c r="W53" s="327">
        <f>IF(ROUND(W52-(Output_EB_RIN_SCS!Q80*10^6),4)=0,0,1)</f>
        <v>0</v>
      </c>
      <c r="X53" s="327">
        <f>IF(ROUND(X52-(Output_EB_RIN_SCS!R80*10^6),4)=0,0,1)</f>
        <v>0</v>
      </c>
      <c r="Y53" s="327">
        <f>IF(ROUND(Y52-(Output_EB_RIN_SCS!S80*10^6),4)=0,0,1)</f>
        <v>0</v>
      </c>
      <c r="Z53" s="327">
        <f>IF(ROUND(Z52-(Output_EB_RIN_SCS!T80*10^6),4)=0,0,1)</f>
        <v>0</v>
      </c>
      <c r="AA53" s="327">
        <f>IF(ROUND(AA52-(Output_EB_RIN_SCS!U80*10^6),4)=0,0,1)</f>
        <v>0</v>
      </c>
      <c r="AB53" s="157"/>
      <c r="AC53" s="327">
        <f>IF(ROUND(AC52-(Output_EB_RIN_ACS!J80*10^6),4)=0,0,1)</f>
        <v>0</v>
      </c>
      <c r="AD53" s="327">
        <f>IF(ROUND(AD52-(Output_EB_RIN_ACS!K80*10^6),4)=0,0,1)</f>
        <v>0</v>
      </c>
      <c r="AE53" s="327">
        <f>IF(ROUND(AE52-(Output_EB_RIN_ACS!L80*10^6),4)=0,0,1)</f>
        <v>0</v>
      </c>
      <c r="AF53" s="327">
        <f>IF(ROUND(AF52-(Output_EB_RIN_ACS!M80*10^6),4)=0,0,1)</f>
        <v>0</v>
      </c>
      <c r="AG53" s="327">
        <f>IF(ROUND(AG52-(Output_EB_RIN_ACS!N80*10^6),4)=0,0,1)</f>
        <v>0</v>
      </c>
      <c r="AH53" s="327">
        <f>IF(ROUND(AH52-(Output_EB_RIN_ACS!O80*10^6),4)=0,0,1)</f>
        <v>0</v>
      </c>
      <c r="AI53" s="327">
        <f>IF(ROUND(AI52-(Output_EB_RIN_ACS!P80*10^6),4)=0,0,1)</f>
        <v>0</v>
      </c>
      <c r="AJ53" s="327">
        <f>IF(ROUND(AJ52-(Output_EB_RIN_ACS!Q80*10^6),4)=0,0,1)</f>
        <v>0</v>
      </c>
      <c r="AK53" s="327">
        <f>IF(ROUND(AK52-(Output_EB_RIN_ACS!R80*10^6),4)=0,0,1)</f>
        <v>0</v>
      </c>
      <c r="AL53" s="327">
        <f>IF(ROUND(AL52-(Output_EB_RIN_ACS!S80*10^6),4)=0,0,1)</f>
        <v>0</v>
      </c>
      <c r="AM53" s="327">
        <f>IF(ROUND(AM52-(Output_EB_RIN_ACS!T80*10^6),4)=0,0,1)</f>
        <v>0</v>
      </c>
      <c r="AN53" s="327">
        <f>IF(ROUND(AN52-(Output_EB_RIN_ACS!U80*10^6),4)=0,0,1)</f>
        <v>0</v>
      </c>
      <c r="AO53" s="157"/>
      <c r="AP53" s="157"/>
      <c r="AQ53" s="157"/>
      <c r="AR53" s="157"/>
      <c r="AS53" s="157"/>
      <c r="AT53" s="157"/>
      <c r="AU53" s="157"/>
      <c r="AV53" s="157"/>
      <c r="AW53" s="157"/>
      <c r="AX53" s="157"/>
      <c r="AY53" s="157"/>
      <c r="AZ53" s="157"/>
      <c r="BA53" s="157"/>
      <c r="BB53" s="157"/>
      <c r="BC53" s="157"/>
      <c r="BD53" s="157"/>
    </row>
    <row r="54" spans="1:56" outlineLevel="2" x14ac:dyDescent="0.55000000000000004">
      <c r="A54" s="179" t="s">
        <v>320</v>
      </c>
      <c r="B54" s="180" t="s">
        <v>279</v>
      </c>
      <c r="C54" s="181">
        <f>Output_EB_RIN_NS!J88*10^6</f>
        <v>33426313.108768936</v>
      </c>
      <c r="D54" s="182">
        <f>Output_EB_RIN_NS!K88*10^6</f>
        <v>35397401.76471559</v>
      </c>
      <c r="E54" s="182">
        <f>Output_EB_RIN_NS!L88*10^6</f>
        <v>37835504.949410111</v>
      </c>
      <c r="F54" s="182">
        <f>Output_EB_RIN_NS!M88*10^6</f>
        <v>38478486.843816414</v>
      </c>
      <c r="G54" s="183">
        <f>Output_EB_RIN_NS!N88*10^6</f>
        <v>38150443.004398093</v>
      </c>
      <c r="H54" s="184">
        <f>Output_EB_RIN_NS!O88*10^6</f>
        <v>43528125.116457395</v>
      </c>
      <c r="I54" s="182">
        <f>Output_EB_RIN_NS!P88*10^6</f>
        <v>48814785.320997916</v>
      </c>
      <c r="J54" s="182">
        <f>Output_EB_RIN_NS!Q88*10^6</f>
        <v>51014124.878872901</v>
      </c>
      <c r="K54" s="182">
        <f>Output_EB_RIN_NS!R88*10^6</f>
        <v>55703942.65058814</v>
      </c>
      <c r="L54" s="183">
        <f>Output_EB_RIN_NS!S88*10^6</f>
        <v>56389065.420837447</v>
      </c>
      <c r="M54" s="185">
        <f>Output_EB_RIN_NS!T88*10^6</f>
        <v>56365444.673161298</v>
      </c>
      <c r="N54" s="183">
        <f>Output_EB_RIN_NS!U88*10^6</f>
        <v>57112084.010407448</v>
      </c>
      <c r="P54" s="181">
        <f>Output_EB_RIN_SCS!J88*10^6</f>
        <v>33426313.108768936</v>
      </c>
      <c r="Q54" s="182">
        <f>Output_EB_RIN_SCS!K88*10^6</f>
        <v>35397401.76471559</v>
      </c>
      <c r="R54" s="182">
        <f>Output_EB_RIN_SCS!L88*10^6</f>
        <v>37835504.949410111</v>
      </c>
      <c r="S54" s="182">
        <f>Output_EB_RIN_SCS!M88*10^6</f>
        <v>38478486.843816414</v>
      </c>
      <c r="T54" s="183">
        <f>Output_EB_RIN_SCS!N88*10^6</f>
        <v>38150443.004398093</v>
      </c>
      <c r="U54" s="184">
        <f>Output_EB_RIN_SCS!O88*10^6</f>
        <v>43528125.116457395</v>
      </c>
      <c r="V54" s="182">
        <f>Output_EB_RIN_SCS!P88*10^6</f>
        <v>48814785.320997916</v>
      </c>
      <c r="W54" s="182">
        <f>Output_EB_RIN_SCS!Q88*10^6</f>
        <v>51014124.878872901</v>
      </c>
      <c r="X54" s="182">
        <f>Output_EB_RIN_SCS!R88*10^6</f>
        <v>55703942.65058814</v>
      </c>
      <c r="Y54" s="183">
        <f>Output_EB_RIN_SCS!S88*10^6</f>
        <v>56389065.420837447</v>
      </c>
      <c r="Z54" s="185">
        <f>Output_EB_RIN_SCS!T88*10^6</f>
        <v>56365444.673161298</v>
      </c>
      <c r="AA54" s="183">
        <f>Output_EB_RIN_SCS!U88*10^6</f>
        <v>57112084.010407448</v>
      </c>
      <c r="AB54" s="157"/>
      <c r="AC54" s="181" t="str">
        <f>IFERROR(Output_EB_RIN_ACS!J88*10^6,NA)</f>
        <v>N/A</v>
      </c>
      <c r="AD54" s="182" t="str">
        <f>IFERROR(Output_EB_RIN_ACS!K88*10^6,NA)</f>
        <v>N/A</v>
      </c>
      <c r="AE54" s="182" t="str">
        <f>IFERROR(Output_EB_RIN_ACS!L88*10^6,NA)</f>
        <v>N/A</v>
      </c>
      <c r="AF54" s="182" t="str">
        <f>IFERROR(Output_EB_RIN_ACS!M88*10^6,NA)</f>
        <v>N/A</v>
      </c>
      <c r="AG54" s="183" t="str">
        <f>IFERROR(Output_EB_RIN_ACS!N88*10^6,NA)</f>
        <v>N/A</v>
      </c>
      <c r="AH54" s="184" t="str">
        <f>IFERROR(Output_EB_RIN_ACS!O88*10^6,NA)</f>
        <v>N/A</v>
      </c>
      <c r="AI54" s="182" t="str">
        <f>IFERROR(Output_EB_RIN_ACS!P88*10^6,NA)</f>
        <v>N/A</v>
      </c>
      <c r="AJ54" s="182" t="str">
        <f>IFERROR(Output_EB_RIN_ACS!Q88*10^6,NA)</f>
        <v>N/A</v>
      </c>
      <c r="AK54" s="182" t="str">
        <f>IFERROR(Output_EB_RIN_ACS!R88*10^6,NA)</f>
        <v>N/A</v>
      </c>
      <c r="AL54" s="183" t="str">
        <f>IFERROR(Output_EB_RIN_ACS!S88*10^6,NA)</f>
        <v>N/A</v>
      </c>
      <c r="AM54" s="185" t="str">
        <f>IFERROR(Output_EB_RIN_ACS!T88*10^6,NA)</f>
        <v>N/A</v>
      </c>
      <c r="AN54" s="183" t="str">
        <f>IFERROR(Output_EB_RIN_ACS!U88*10^6,NA)</f>
        <v>N/A</v>
      </c>
      <c r="AO54" s="157"/>
      <c r="AP54" s="157"/>
      <c r="AQ54" s="157"/>
      <c r="AR54" s="157"/>
      <c r="AS54" s="157"/>
      <c r="AT54" s="157"/>
      <c r="AU54" s="157"/>
      <c r="AV54" s="157"/>
      <c r="AW54" s="157"/>
      <c r="AX54" s="157"/>
      <c r="AY54" s="157"/>
      <c r="AZ54" s="157"/>
      <c r="BA54" s="157"/>
      <c r="BB54" s="157"/>
      <c r="BC54" s="157"/>
      <c r="BD54" s="157"/>
    </row>
    <row r="55" spans="1:56" outlineLevel="2" x14ac:dyDescent="0.55000000000000004">
      <c r="A55" s="179" t="s">
        <v>321</v>
      </c>
      <c r="B55" s="186" t="s">
        <v>281</v>
      </c>
      <c r="C55" s="187">
        <f>Output_EB_RIN_NS!J89*10^6</f>
        <v>977139.48186413653</v>
      </c>
      <c r="D55" s="188">
        <f>Output_EB_RIN_NS!K89*10^6</f>
        <v>879698.74208168441</v>
      </c>
      <c r="E55" s="188">
        <f>Output_EB_RIN_NS!L89*10^6</f>
        <v>1616528.502457476</v>
      </c>
      <c r="F55" s="188">
        <f>Output_EB_RIN_NS!M89*10^6</f>
        <v>937460.36607304693</v>
      </c>
      <c r="G55" s="189">
        <f>Output_EB_RIN_NS!N89*10^6</f>
        <v>1113580.4985067521</v>
      </c>
      <c r="H55" s="190">
        <f>Output_EB_RIN_NS!O89*10^6</f>
        <v>1417407.4355148892</v>
      </c>
      <c r="I55" s="188">
        <f>Output_EB_RIN_NS!P89*10^6</f>
        <v>794543.80990434752</v>
      </c>
      <c r="J55" s="188">
        <f>Output_EB_RIN_NS!Q89*10^6</f>
        <v>1276629.7517235456</v>
      </c>
      <c r="K55" s="188">
        <f>Output_EB_RIN_NS!R89*10^6</f>
        <v>1364684.5638228725</v>
      </c>
      <c r="L55" s="189">
        <f>Output_EB_RIN_NS!S89*10^6</f>
        <v>749000.86896747525</v>
      </c>
      <c r="M55" s="191">
        <f>Output_EB_RIN_NS!T89*10^6</f>
        <v>738872.87024744076</v>
      </c>
      <c r="N55" s="189">
        <f>Output_EB_RIN_NS!U89*10^6</f>
        <v>1214027.6638071786</v>
      </c>
      <c r="P55" s="187">
        <f>Output_EB_RIN_SCS!J89*10^6</f>
        <v>977139.48186413653</v>
      </c>
      <c r="Q55" s="188">
        <f>Output_EB_RIN_SCS!K89*10^6</f>
        <v>879698.74208168441</v>
      </c>
      <c r="R55" s="188">
        <f>Output_EB_RIN_SCS!L89*10^6</f>
        <v>1616528.502457476</v>
      </c>
      <c r="S55" s="188">
        <f>Output_EB_RIN_SCS!M89*10^6</f>
        <v>937460.36607304693</v>
      </c>
      <c r="T55" s="189">
        <f>Output_EB_RIN_SCS!N89*10^6</f>
        <v>1113580.4985067521</v>
      </c>
      <c r="U55" s="190">
        <f>Output_EB_RIN_SCS!O89*10^6</f>
        <v>1417407.4355148892</v>
      </c>
      <c r="V55" s="188">
        <f>Output_EB_RIN_SCS!P89*10^6</f>
        <v>794543.80990434752</v>
      </c>
      <c r="W55" s="188">
        <f>Output_EB_RIN_SCS!Q89*10^6</f>
        <v>1276629.7517235456</v>
      </c>
      <c r="X55" s="188">
        <f>Output_EB_RIN_SCS!R89*10^6</f>
        <v>1364684.5638228725</v>
      </c>
      <c r="Y55" s="189">
        <f>Output_EB_RIN_SCS!S89*10^6</f>
        <v>749000.86896747525</v>
      </c>
      <c r="Z55" s="191">
        <f>Output_EB_RIN_SCS!T89*10^6</f>
        <v>738872.87024744076</v>
      </c>
      <c r="AA55" s="189">
        <f>Output_EB_RIN_SCS!U89*10^6</f>
        <v>1214027.6638071786</v>
      </c>
      <c r="AB55" s="157"/>
      <c r="AC55" s="187" t="str">
        <f>IFERROR(Output_EB_RIN_ACS!J89*10^6,NA)</f>
        <v>N/A</v>
      </c>
      <c r="AD55" s="188" t="str">
        <f>IFERROR(Output_EB_RIN_ACS!K89*10^6,NA)</f>
        <v>N/A</v>
      </c>
      <c r="AE55" s="188" t="str">
        <f>IFERROR(Output_EB_RIN_ACS!L89*10^6,NA)</f>
        <v>N/A</v>
      </c>
      <c r="AF55" s="188" t="str">
        <f>IFERROR(Output_EB_RIN_ACS!M89*10^6,NA)</f>
        <v>N/A</v>
      </c>
      <c r="AG55" s="189" t="str">
        <f>IFERROR(Output_EB_RIN_ACS!N89*10^6,NA)</f>
        <v>N/A</v>
      </c>
      <c r="AH55" s="190" t="str">
        <f>IFERROR(Output_EB_RIN_ACS!O89*10^6,NA)</f>
        <v>N/A</v>
      </c>
      <c r="AI55" s="188" t="str">
        <f>IFERROR(Output_EB_RIN_ACS!P89*10^6,NA)</f>
        <v>N/A</v>
      </c>
      <c r="AJ55" s="188" t="str">
        <f>IFERROR(Output_EB_RIN_ACS!Q89*10^6,NA)</f>
        <v>N/A</v>
      </c>
      <c r="AK55" s="188" t="str">
        <f>IFERROR(Output_EB_RIN_ACS!R89*10^6,NA)</f>
        <v>N/A</v>
      </c>
      <c r="AL55" s="189" t="str">
        <f>IFERROR(Output_EB_RIN_ACS!S89*10^6,NA)</f>
        <v>N/A</v>
      </c>
      <c r="AM55" s="191" t="str">
        <f>IFERROR(Output_EB_RIN_ACS!T89*10^6,NA)</f>
        <v>N/A</v>
      </c>
      <c r="AN55" s="189" t="str">
        <f>IFERROR(Output_EB_RIN_ACS!U89*10^6,NA)</f>
        <v>N/A</v>
      </c>
      <c r="AO55" s="157"/>
      <c r="AP55" s="157"/>
      <c r="AQ55" s="157"/>
      <c r="AR55" s="157"/>
      <c r="AS55" s="157"/>
      <c r="AT55" s="157"/>
      <c r="AU55" s="157"/>
      <c r="AV55" s="157"/>
      <c r="AW55" s="157"/>
      <c r="AX55" s="157"/>
      <c r="AY55" s="157"/>
      <c r="AZ55" s="157"/>
      <c r="BA55" s="157"/>
      <c r="BB55" s="157"/>
      <c r="BC55" s="157"/>
      <c r="BD55" s="157"/>
    </row>
    <row r="56" spans="1:56" outlineLevel="2" x14ac:dyDescent="0.55000000000000004">
      <c r="A56" s="179" t="s">
        <v>322</v>
      </c>
      <c r="B56" s="186" t="s">
        <v>283</v>
      </c>
      <c r="C56" s="187">
        <f>Output_EB_RIN_NS!J90*10^6</f>
        <v>-1536030.9100949082</v>
      </c>
      <c r="D56" s="188">
        <f>Output_EB_RIN_NS!K90*10^6</f>
        <v>-1632372.9623872621</v>
      </c>
      <c r="E56" s="188">
        <f>Output_EB_RIN_NS!L90*10^6</f>
        <v>-1743529.6786322601</v>
      </c>
      <c r="F56" s="188">
        <f>Output_EB_RIN_NS!M90*10^6</f>
        <v>-1799593.3384492591</v>
      </c>
      <c r="G56" s="189">
        <f>Output_EB_RIN_NS!N90*10^6</f>
        <v>-1071916.9599506259</v>
      </c>
      <c r="H56" s="190">
        <f>Output_EB_RIN_NS!O90*10^6</f>
        <v>-1214856.6322902939</v>
      </c>
      <c r="I56" s="188">
        <f>Output_EB_RIN_NS!P90*10^6</f>
        <v>-1335941.5125859771</v>
      </c>
      <c r="J56" s="188">
        <f>Output_EB_RIN_NS!Q90*10^6</f>
        <v>-1424458.2721564709</v>
      </c>
      <c r="K56" s="188">
        <f>Output_EB_RIN_NS!R90*10^6</f>
        <v>-1763942.7795333236</v>
      </c>
      <c r="L56" s="189">
        <f>Output_EB_RIN_NS!S90*10^6</f>
        <v>-1914256.6947427236</v>
      </c>
      <c r="M56" s="191">
        <f>Output_EB_RIN_NS!T90*10^6</f>
        <v>-2015262.3478994819</v>
      </c>
      <c r="N56" s="189">
        <f>Output_EB_RIN_NS!U90*10^6</f>
        <v>-2077650.2589439549</v>
      </c>
      <c r="P56" s="187">
        <f>Output_EB_RIN_SCS!J90*10^6</f>
        <v>-1536030.9100949082</v>
      </c>
      <c r="Q56" s="188">
        <f>Output_EB_RIN_SCS!K90*10^6</f>
        <v>-1632372.9623872621</v>
      </c>
      <c r="R56" s="188">
        <f>Output_EB_RIN_SCS!L90*10^6</f>
        <v>-1743529.6786322601</v>
      </c>
      <c r="S56" s="188">
        <f>Output_EB_RIN_SCS!M90*10^6</f>
        <v>-1799593.3384492591</v>
      </c>
      <c r="T56" s="189">
        <f>Output_EB_RIN_SCS!N90*10^6</f>
        <v>-1071916.9599506259</v>
      </c>
      <c r="U56" s="190">
        <f>Output_EB_RIN_SCS!O90*10^6</f>
        <v>-1214856.6322902939</v>
      </c>
      <c r="V56" s="188">
        <f>Output_EB_RIN_SCS!P90*10^6</f>
        <v>-1335941.5125859771</v>
      </c>
      <c r="W56" s="188">
        <f>Output_EB_RIN_SCS!Q90*10^6</f>
        <v>-1424458.2721564709</v>
      </c>
      <c r="X56" s="188">
        <f>Output_EB_RIN_SCS!R90*10^6</f>
        <v>-1763942.7795333236</v>
      </c>
      <c r="Y56" s="189">
        <f>Output_EB_RIN_SCS!S90*10^6</f>
        <v>-1914256.6947427236</v>
      </c>
      <c r="Z56" s="191">
        <f>Output_EB_RIN_SCS!T90*10^6</f>
        <v>-2015262.3478994819</v>
      </c>
      <c r="AA56" s="189">
        <f>Output_EB_RIN_SCS!U90*10^6</f>
        <v>-2077650.2589439549</v>
      </c>
      <c r="AB56" s="157"/>
      <c r="AC56" s="187" t="str">
        <f>IFERROR(Output_EB_RIN_ACS!J90*10^6,NA)</f>
        <v>N/A</v>
      </c>
      <c r="AD56" s="188" t="str">
        <f>IFERROR(Output_EB_RIN_ACS!K90*10^6,NA)</f>
        <v>N/A</v>
      </c>
      <c r="AE56" s="188" t="str">
        <f>IFERROR(Output_EB_RIN_ACS!L90*10^6,NA)</f>
        <v>N/A</v>
      </c>
      <c r="AF56" s="188" t="str">
        <f>IFERROR(Output_EB_RIN_ACS!M90*10^6,NA)</f>
        <v>N/A</v>
      </c>
      <c r="AG56" s="189" t="str">
        <f>IFERROR(Output_EB_RIN_ACS!N90*10^6,NA)</f>
        <v>N/A</v>
      </c>
      <c r="AH56" s="190" t="str">
        <f>IFERROR(Output_EB_RIN_ACS!O90*10^6,NA)</f>
        <v>N/A</v>
      </c>
      <c r="AI56" s="188" t="str">
        <f>IFERROR(Output_EB_RIN_ACS!P90*10^6,NA)</f>
        <v>N/A</v>
      </c>
      <c r="AJ56" s="188" t="str">
        <f>IFERROR(Output_EB_RIN_ACS!Q90*10^6,NA)</f>
        <v>N/A</v>
      </c>
      <c r="AK56" s="188" t="str">
        <f>IFERROR(Output_EB_RIN_ACS!R90*10^6,NA)</f>
        <v>N/A</v>
      </c>
      <c r="AL56" s="189" t="str">
        <f>IFERROR(Output_EB_RIN_ACS!S90*10^6,NA)</f>
        <v>N/A</v>
      </c>
      <c r="AM56" s="191" t="str">
        <f>IFERROR(Output_EB_RIN_ACS!T90*10^6,NA)</f>
        <v>N/A</v>
      </c>
      <c r="AN56" s="189" t="str">
        <f>IFERROR(Output_EB_RIN_ACS!U90*10^6,NA)</f>
        <v>N/A</v>
      </c>
      <c r="AO56" s="157"/>
      <c r="AP56" s="157"/>
      <c r="AQ56" s="157"/>
      <c r="AR56" s="157"/>
      <c r="AS56" s="157"/>
      <c r="AT56" s="157"/>
      <c r="AU56" s="157"/>
      <c r="AV56" s="157"/>
      <c r="AW56" s="157"/>
      <c r="AX56" s="157"/>
      <c r="AY56" s="157"/>
      <c r="AZ56" s="157"/>
      <c r="BA56" s="157"/>
      <c r="BB56" s="157"/>
      <c r="BC56" s="157"/>
      <c r="BD56" s="157"/>
    </row>
    <row r="57" spans="1:56" outlineLevel="2" x14ac:dyDescent="0.55000000000000004">
      <c r="A57" s="179" t="s">
        <v>323</v>
      </c>
      <c r="B57" s="186" t="s">
        <v>285</v>
      </c>
      <c r="C57" s="187">
        <f>Output_EB_RIN_NS!J91*10^6</f>
        <v>2529980.084177427</v>
      </c>
      <c r="D57" s="188">
        <f>Output_EB_RIN_NS!K91*10^6</f>
        <v>3190777.4050000971</v>
      </c>
      <c r="E57" s="188">
        <f>Output_EB_RIN_NS!L91*10^6</f>
        <v>769983.07058108551</v>
      </c>
      <c r="F57" s="188">
        <f>Output_EB_RIN_NS!M91*10^6</f>
        <v>534089.13295788935</v>
      </c>
      <c r="G57" s="189">
        <f>Output_EB_RIN_NS!N91*10^6</f>
        <v>5336018.5735031841</v>
      </c>
      <c r="H57" s="190">
        <f>Output_EB_RIN_NS!O91*10^6</f>
        <v>5084109.4013159238</v>
      </c>
      <c r="I57" s="188">
        <f>Output_EB_RIN_NS!P91*10^6</f>
        <v>2740737.2605566145</v>
      </c>
      <c r="J57" s="188">
        <f>Output_EB_RIN_NS!Q91*10^6</f>
        <v>4837646.2921481626</v>
      </c>
      <c r="K57" s="188">
        <f>Output_EB_RIN_NS!R91*10^6</f>
        <v>1085621.3985909487</v>
      </c>
      <c r="L57" s="189">
        <f>Output_EB_RIN_NS!S91*10^6</f>
        <v>1145219.0738383518</v>
      </c>
      <c r="M57" s="191">
        <f>Output_EB_RIN_NS!T91*10^6</f>
        <v>2026602.1528058397</v>
      </c>
      <c r="N57" s="189">
        <f>Output_EB_RIN_NS!U91*10^6</f>
        <v>2001031.7775465234</v>
      </c>
      <c r="P57" s="187">
        <f>Output_EB_RIN_SCS!J91*10^6</f>
        <v>2529980.084177427</v>
      </c>
      <c r="Q57" s="188">
        <f>Output_EB_RIN_SCS!K91*10^6</f>
        <v>3190777.4050000971</v>
      </c>
      <c r="R57" s="188">
        <f>Output_EB_RIN_SCS!L91*10^6</f>
        <v>769983.07058108551</v>
      </c>
      <c r="S57" s="188">
        <f>Output_EB_RIN_SCS!M91*10^6</f>
        <v>534089.13295788935</v>
      </c>
      <c r="T57" s="189">
        <f>Output_EB_RIN_SCS!N91*10^6</f>
        <v>5336018.5735031841</v>
      </c>
      <c r="U57" s="190">
        <f>Output_EB_RIN_SCS!O91*10^6</f>
        <v>5084109.4013159238</v>
      </c>
      <c r="V57" s="188">
        <f>Output_EB_RIN_SCS!P91*10^6</f>
        <v>2740737.2605566145</v>
      </c>
      <c r="W57" s="188">
        <f>Output_EB_RIN_SCS!Q91*10^6</f>
        <v>4837646.2921481626</v>
      </c>
      <c r="X57" s="188">
        <f>Output_EB_RIN_SCS!R91*10^6</f>
        <v>1085621.3985909487</v>
      </c>
      <c r="Y57" s="189">
        <f>Output_EB_RIN_SCS!S91*10^6</f>
        <v>1145219.0738383518</v>
      </c>
      <c r="Z57" s="191">
        <f>Output_EB_RIN_SCS!T91*10^6</f>
        <v>2026602.1528058397</v>
      </c>
      <c r="AA57" s="189">
        <f>Output_EB_RIN_SCS!U91*10^6</f>
        <v>2001031.7775465234</v>
      </c>
      <c r="AB57" s="157"/>
      <c r="AC57" s="187" t="str">
        <f>IFERROR(Output_EB_RIN_ACS!J91*10^6,NA)</f>
        <v>N/A</v>
      </c>
      <c r="AD57" s="188" t="str">
        <f>IFERROR(Output_EB_RIN_ACS!K91*10^6,NA)</f>
        <v>N/A</v>
      </c>
      <c r="AE57" s="188" t="str">
        <f>IFERROR(Output_EB_RIN_ACS!L91*10^6,NA)</f>
        <v>N/A</v>
      </c>
      <c r="AF57" s="188" t="str">
        <f>IFERROR(Output_EB_RIN_ACS!M91*10^6,NA)</f>
        <v>N/A</v>
      </c>
      <c r="AG57" s="189" t="str">
        <f>IFERROR(Output_EB_RIN_ACS!N91*10^6,NA)</f>
        <v>N/A</v>
      </c>
      <c r="AH57" s="190" t="str">
        <f>IFERROR(Output_EB_RIN_ACS!O91*10^6,NA)</f>
        <v>N/A</v>
      </c>
      <c r="AI57" s="188" t="str">
        <f>IFERROR(Output_EB_RIN_ACS!P91*10^6,NA)</f>
        <v>N/A</v>
      </c>
      <c r="AJ57" s="188" t="str">
        <f>IFERROR(Output_EB_RIN_ACS!Q91*10^6,NA)</f>
        <v>N/A</v>
      </c>
      <c r="AK57" s="188" t="str">
        <f>IFERROR(Output_EB_RIN_ACS!R91*10^6,NA)</f>
        <v>N/A</v>
      </c>
      <c r="AL57" s="189" t="str">
        <f>IFERROR(Output_EB_RIN_ACS!S91*10^6,NA)</f>
        <v>N/A</v>
      </c>
      <c r="AM57" s="191" t="str">
        <f>IFERROR(Output_EB_RIN_ACS!T91*10^6,NA)</f>
        <v>N/A</v>
      </c>
      <c r="AN57" s="189" t="str">
        <f>IFERROR(Output_EB_RIN_ACS!U91*10^6,NA)</f>
        <v>N/A</v>
      </c>
      <c r="AO57" s="157"/>
      <c r="AP57" s="157"/>
      <c r="AQ57" s="157"/>
      <c r="AR57" s="157"/>
      <c r="AS57" s="157"/>
      <c r="AT57" s="157"/>
      <c r="AU57" s="157"/>
      <c r="AV57" s="157"/>
      <c r="AW57" s="157"/>
      <c r="AX57" s="157"/>
      <c r="AY57" s="157"/>
      <c r="AZ57" s="157"/>
      <c r="BA57" s="157"/>
      <c r="BB57" s="157"/>
      <c r="BC57" s="157"/>
      <c r="BD57" s="157"/>
    </row>
    <row r="58" spans="1:56" outlineLevel="2" x14ac:dyDescent="0.55000000000000004">
      <c r="A58" s="179" t="s">
        <v>324</v>
      </c>
      <c r="B58" s="186" t="s">
        <v>287</v>
      </c>
      <c r="C58" s="187">
        <f>Output_EB_RIN_NS!J92*10^6</f>
        <v>0</v>
      </c>
      <c r="D58" s="188">
        <f>Output_EB_RIN_NS!K92*10^6</f>
        <v>0</v>
      </c>
      <c r="E58" s="188">
        <f>Output_EB_RIN_NS!L92*10^6</f>
        <v>0</v>
      </c>
      <c r="F58" s="188">
        <f>Output_EB_RIN_NS!M92*10^6</f>
        <v>0</v>
      </c>
      <c r="G58" s="189">
        <f>Output_EB_RIN_NS!N92*10^6</f>
        <v>0</v>
      </c>
      <c r="H58" s="190">
        <f>Output_EB_RIN_NS!O92*10^6</f>
        <v>0</v>
      </c>
      <c r="I58" s="188">
        <f>Output_EB_RIN_NS!P92*10^6</f>
        <v>0</v>
      </c>
      <c r="J58" s="188">
        <f>Output_EB_RIN_NS!Q92*10^6</f>
        <v>0</v>
      </c>
      <c r="K58" s="188">
        <f>Output_EB_RIN_NS!R92*10^6</f>
        <v>-1240.41263118969</v>
      </c>
      <c r="L58" s="189">
        <f>Output_EB_RIN_NS!S92*10^6</f>
        <v>-3583.9957392567476</v>
      </c>
      <c r="M58" s="191">
        <f>Output_EB_RIN_NS!T92*10^6</f>
        <v>-3573.3379076430624</v>
      </c>
      <c r="N58" s="189">
        <f>Output_EB_RIN_NS!U92*10^6</f>
        <v>-6814.9389978105874</v>
      </c>
      <c r="P58" s="187">
        <f>Output_EB_RIN_SCS!J92*10^6</f>
        <v>0</v>
      </c>
      <c r="Q58" s="188">
        <f>Output_EB_RIN_SCS!K92*10^6</f>
        <v>0</v>
      </c>
      <c r="R58" s="188">
        <f>Output_EB_RIN_SCS!L92*10^6</f>
        <v>0</v>
      </c>
      <c r="S58" s="188">
        <f>Output_EB_RIN_SCS!M92*10^6</f>
        <v>0</v>
      </c>
      <c r="T58" s="189">
        <f>Output_EB_RIN_SCS!N92*10^6</f>
        <v>0</v>
      </c>
      <c r="U58" s="190">
        <f>Output_EB_RIN_SCS!O92*10^6</f>
        <v>0</v>
      </c>
      <c r="V58" s="188">
        <f>Output_EB_RIN_SCS!P92*10^6</f>
        <v>0</v>
      </c>
      <c r="W58" s="188">
        <f>Output_EB_RIN_SCS!Q92*10^6</f>
        <v>0</v>
      </c>
      <c r="X58" s="188">
        <f>Output_EB_RIN_SCS!R92*10^6</f>
        <v>-1240.41263118969</v>
      </c>
      <c r="Y58" s="189">
        <f>Output_EB_RIN_SCS!S92*10^6</f>
        <v>-3583.9957392567476</v>
      </c>
      <c r="Z58" s="191">
        <f>Output_EB_RIN_SCS!T92*10^6</f>
        <v>-3573.3379076430624</v>
      </c>
      <c r="AA58" s="189">
        <f>Output_EB_RIN_SCS!U92*10^6</f>
        <v>-6814.9389978105874</v>
      </c>
      <c r="AB58" s="157"/>
      <c r="AC58" s="187" t="str">
        <f>IFERROR(Output_EB_RIN_ACS!J92*10^6,NA)</f>
        <v>N/A</v>
      </c>
      <c r="AD58" s="188" t="str">
        <f>IFERROR(Output_EB_RIN_ACS!K92*10^6,NA)</f>
        <v>N/A</v>
      </c>
      <c r="AE58" s="188" t="str">
        <f>IFERROR(Output_EB_RIN_ACS!L92*10^6,NA)</f>
        <v>N/A</v>
      </c>
      <c r="AF58" s="188" t="str">
        <f>IFERROR(Output_EB_RIN_ACS!M92*10^6,NA)</f>
        <v>N/A</v>
      </c>
      <c r="AG58" s="189" t="str">
        <f>IFERROR(Output_EB_RIN_ACS!N92*10^6,NA)</f>
        <v>N/A</v>
      </c>
      <c r="AH58" s="190" t="str">
        <f>IFERROR(Output_EB_RIN_ACS!O92*10^6,NA)</f>
        <v>N/A</v>
      </c>
      <c r="AI58" s="188" t="str">
        <f>IFERROR(Output_EB_RIN_ACS!P92*10^6,NA)</f>
        <v>N/A</v>
      </c>
      <c r="AJ58" s="188" t="str">
        <f>IFERROR(Output_EB_RIN_ACS!Q92*10^6,NA)</f>
        <v>N/A</v>
      </c>
      <c r="AK58" s="188" t="str">
        <f>IFERROR(Output_EB_RIN_ACS!R92*10^6,NA)</f>
        <v>N/A</v>
      </c>
      <c r="AL58" s="189" t="str">
        <f>IFERROR(Output_EB_RIN_ACS!S92*10^6,NA)</f>
        <v>N/A</v>
      </c>
      <c r="AM58" s="191" t="str">
        <f>IFERROR(Output_EB_RIN_ACS!T92*10^6,NA)</f>
        <v>N/A</v>
      </c>
      <c r="AN58" s="189" t="str">
        <f>IFERROR(Output_EB_RIN_ACS!U92*10^6,NA)</f>
        <v>N/A</v>
      </c>
      <c r="AO58" s="157"/>
      <c r="AP58" s="157"/>
      <c r="AQ58" s="157"/>
      <c r="AR58" s="157"/>
      <c r="AS58" s="157"/>
      <c r="AT58" s="157"/>
      <c r="AU58" s="157"/>
      <c r="AV58" s="157"/>
      <c r="AW58" s="157"/>
      <c r="AX58" s="157"/>
      <c r="AY58" s="157"/>
      <c r="AZ58" s="157"/>
      <c r="BA58" s="157"/>
      <c r="BB58" s="157"/>
      <c r="BC58" s="157"/>
      <c r="BD58" s="157"/>
    </row>
    <row r="59" spans="1:56" ht="14.7" outlineLevel="2" thickBot="1" x14ac:dyDescent="0.6">
      <c r="A59" s="179" t="s">
        <v>325</v>
      </c>
      <c r="B59" s="192" t="s">
        <v>289</v>
      </c>
      <c r="C59" s="193">
        <f>SUM(C54:C58)</f>
        <v>35397401.76471559</v>
      </c>
      <c r="D59" s="194">
        <f t="shared" ref="D59" si="111">SUM(D54:D58)</f>
        <v>37835504.949410111</v>
      </c>
      <c r="E59" s="194">
        <f t="shared" ref="E59" si="112">SUM(E54:E58)</f>
        <v>38478486.843816414</v>
      </c>
      <c r="F59" s="194">
        <f t="shared" ref="F59" si="113">SUM(F54:F58)</f>
        <v>38150443.004398093</v>
      </c>
      <c r="G59" s="195">
        <f t="shared" ref="G59" si="114">SUM(G54:G58)</f>
        <v>43528125.116457403</v>
      </c>
      <c r="H59" s="196">
        <f t="shared" ref="H59" si="115">SUM(H54:H58)</f>
        <v>48814785.320997909</v>
      </c>
      <c r="I59" s="194">
        <f t="shared" ref="I59" si="116">SUM(I54:I58)</f>
        <v>51014124.878872901</v>
      </c>
      <c r="J59" s="194">
        <f t="shared" ref="J59" si="117">SUM(J54:J58)</f>
        <v>55703942.65058814</v>
      </c>
      <c r="K59" s="194">
        <f t="shared" ref="K59" si="118">SUM(K54:K58)</f>
        <v>56389065.420837447</v>
      </c>
      <c r="L59" s="195">
        <f t="shared" ref="L59" si="119">SUM(L54:L58)</f>
        <v>56365444.673161291</v>
      </c>
      <c r="M59" s="197">
        <f t="shared" ref="M59" si="120">SUM(M54:M58)</f>
        <v>57112084.010407455</v>
      </c>
      <c r="N59" s="195">
        <f t="shared" ref="N59" si="121">SUM(N54:N58)</f>
        <v>58242678.253819384</v>
      </c>
      <c r="P59" s="193">
        <f t="shared" ref="P59" si="122">SUM(P54:P58)</f>
        <v>35397401.76471559</v>
      </c>
      <c r="Q59" s="194">
        <f t="shared" ref="Q59" si="123">SUM(Q54:Q58)</f>
        <v>37835504.949410111</v>
      </c>
      <c r="R59" s="194">
        <f t="shared" ref="R59" si="124">SUM(R54:R58)</f>
        <v>38478486.843816414</v>
      </c>
      <c r="S59" s="194">
        <f t="shared" ref="S59" si="125">SUM(S54:S58)</f>
        <v>38150443.004398093</v>
      </c>
      <c r="T59" s="195">
        <f t="shared" ref="T59" si="126">SUM(T54:T58)</f>
        <v>43528125.116457403</v>
      </c>
      <c r="U59" s="196">
        <f t="shared" ref="U59" si="127">SUM(U54:U58)</f>
        <v>48814785.320997909</v>
      </c>
      <c r="V59" s="194">
        <f t="shared" ref="V59" si="128">SUM(V54:V58)</f>
        <v>51014124.878872901</v>
      </c>
      <c r="W59" s="194">
        <f t="shared" ref="W59" si="129">SUM(W54:W58)</f>
        <v>55703942.65058814</v>
      </c>
      <c r="X59" s="194">
        <f t="shared" ref="X59" si="130">SUM(X54:X58)</f>
        <v>56389065.420837447</v>
      </c>
      <c r="Y59" s="195">
        <f t="shared" ref="Y59" si="131">SUM(Y54:Y58)</f>
        <v>56365444.673161291</v>
      </c>
      <c r="Z59" s="197">
        <f t="shared" ref="Z59" si="132">SUM(Z54:Z58)</f>
        <v>57112084.010407455</v>
      </c>
      <c r="AA59" s="195">
        <f t="shared" ref="AA59" si="133">SUM(AA54:AA58)</f>
        <v>58242678.253819384</v>
      </c>
      <c r="AB59" s="157"/>
      <c r="AC59" s="193">
        <f t="shared" ref="AC59" si="134">SUM(AC54:AC58)</f>
        <v>0</v>
      </c>
      <c r="AD59" s="194">
        <f t="shared" ref="AD59" si="135">SUM(AD54:AD58)</f>
        <v>0</v>
      </c>
      <c r="AE59" s="194">
        <f t="shared" ref="AE59" si="136">SUM(AE54:AE58)</f>
        <v>0</v>
      </c>
      <c r="AF59" s="194">
        <f t="shared" ref="AF59" si="137">SUM(AF54:AF58)</f>
        <v>0</v>
      </c>
      <c r="AG59" s="195">
        <f t="shared" ref="AG59" si="138">SUM(AG54:AG58)</f>
        <v>0</v>
      </c>
      <c r="AH59" s="196">
        <f t="shared" ref="AH59" si="139">SUM(AH54:AH58)</f>
        <v>0</v>
      </c>
      <c r="AI59" s="194">
        <f t="shared" ref="AI59" si="140">SUM(AI54:AI58)</f>
        <v>0</v>
      </c>
      <c r="AJ59" s="194">
        <f t="shared" ref="AJ59" si="141">SUM(AJ54:AJ58)</f>
        <v>0</v>
      </c>
      <c r="AK59" s="194">
        <f t="shared" ref="AK59" si="142">SUM(AK54:AK58)</f>
        <v>0</v>
      </c>
      <c r="AL59" s="195">
        <f t="shared" ref="AL59" si="143">SUM(AL54:AL58)</f>
        <v>0</v>
      </c>
      <c r="AM59" s="197">
        <f t="shared" ref="AM59" si="144">SUM(AM54:AM58)</f>
        <v>0</v>
      </c>
      <c r="AN59" s="195">
        <f t="shared" ref="AN59" si="145">SUM(AN54:AN58)</f>
        <v>0</v>
      </c>
      <c r="AO59" s="157"/>
      <c r="AP59" s="157"/>
      <c r="AQ59" s="157"/>
      <c r="AR59" s="157"/>
      <c r="AS59" s="157"/>
      <c r="AT59" s="157"/>
      <c r="AU59" s="157"/>
      <c r="AV59" s="157"/>
      <c r="AW59" s="157"/>
      <c r="AX59" s="157"/>
      <c r="AY59" s="157"/>
      <c r="AZ59" s="157"/>
      <c r="BA59" s="157"/>
      <c r="BB59" s="157"/>
      <c r="BC59" s="157"/>
      <c r="BD59" s="157"/>
    </row>
    <row r="60" spans="1:56" ht="20.2" customHeight="1" outlineLevel="1" thickBot="1" x14ac:dyDescent="0.6">
      <c r="A60" s="70">
        <f>IF(SUM(C60:N60,P60:AA60,AC60:AN60)&lt;&gt;0,1,0)</f>
        <v>0</v>
      </c>
      <c r="B60" s="201" t="s">
        <v>136</v>
      </c>
      <c r="C60" s="327">
        <f>IF(ROUND(C59-(Output_EB_RIN_NS!J94*10^6),4)=0,0,1)</f>
        <v>0</v>
      </c>
      <c r="D60" s="327">
        <f>IF(ROUND(D59-(Output_EB_RIN_NS!K94*10^6),4)=0,0,1)</f>
        <v>0</v>
      </c>
      <c r="E60" s="327">
        <f>IF(ROUND(E59-(Output_EB_RIN_NS!L94*10^6),4)=0,0,1)</f>
        <v>0</v>
      </c>
      <c r="F60" s="327">
        <f>IF(ROUND(F59-(Output_EB_RIN_NS!M94*10^6),4)=0,0,1)</f>
        <v>0</v>
      </c>
      <c r="G60" s="327">
        <f>IF(ROUND(G59-(Output_EB_RIN_NS!N94*10^6),4)=0,0,1)</f>
        <v>0</v>
      </c>
      <c r="H60" s="327">
        <f>IF(ROUND(H59-(Output_EB_RIN_NS!O94*10^6),4)=0,0,1)</f>
        <v>0</v>
      </c>
      <c r="I60" s="327">
        <f>IF(ROUND(I59-(Output_EB_RIN_NS!P94*10^6),4)=0,0,1)</f>
        <v>0</v>
      </c>
      <c r="J60" s="327">
        <f>IF(ROUND(J59-(Output_EB_RIN_NS!Q94*10^6),4)=0,0,1)</f>
        <v>0</v>
      </c>
      <c r="K60" s="327">
        <f>IF(ROUND(K59-(Output_EB_RIN_NS!R94*10^6),4)=0,0,1)</f>
        <v>0</v>
      </c>
      <c r="L60" s="327">
        <f>IF(ROUND(L59-(Output_EB_RIN_NS!S94*10^6),4)=0,0,1)</f>
        <v>0</v>
      </c>
      <c r="M60" s="327">
        <f>IF(ROUND(M59-(Output_EB_RIN_NS!T94*10^6),4)=0,0,1)</f>
        <v>0</v>
      </c>
      <c r="N60" s="327">
        <f>IF(ROUND(N59-(Output_EB_RIN_NS!U94*10^6),4)=0,0,1)</f>
        <v>0</v>
      </c>
      <c r="P60" s="327">
        <f>IF(ROUND(P59-(Output_EB_RIN_SCS!J94*10^6),4)=0,0,1)</f>
        <v>0</v>
      </c>
      <c r="Q60" s="327">
        <f>IF(ROUND(Q59-(Output_EB_RIN_SCS!K94*10^6),4)=0,0,1)</f>
        <v>0</v>
      </c>
      <c r="R60" s="327">
        <f>IF(ROUND(R59-(Output_EB_RIN_SCS!L94*10^6),4)=0,0,1)</f>
        <v>0</v>
      </c>
      <c r="S60" s="327">
        <f>IF(ROUND(S59-(Output_EB_RIN_SCS!M94*10^6),4)=0,0,1)</f>
        <v>0</v>
      </c>
      <c r="T60" s="327">
        <f>IF(ROUND(T59-(Output_EB_RIN_SCS!N94*10^6),4)=0,0,1)</f>
        <v>0</v>
      </c>
      <c r="U60" s="327">
        <f>IF(ROUND(U59-(Output_EB_RIN_SCS!O94*10^6),4)=0,0,1)</f>
        <v>0</v>
      </c>
      <c r="V60" s="327">
        <f>IF(ROUND(V59-(Output_EB_RIN_SCS!P94*10^6),4)=0,0,1)</f>
        <v>0</v>
      </c>
      <c r="W60" s="327">
        <f>IF(ROUND(W59-(Output_EB_RIN_SCS!Q94*10^6),4)=0,0,1)</f>
        <v>0</v>
      </c>
      <c r="X60" s="327">
        <f>IF(ROUND(X59-(Output_EB_RIN_SCS!R94*10^6),4)=0,0,1)</f>
        <v>0</v>
      </c>
      <c r="Y60" s="327">
        <f>IF(ROUND(Y59-(Output_EB_RIN_SCS!S94*10^6),4)=0,0,1)</f>
        <v>0</v>
      </c>
      <c r="Z60" s="327">
        <f>IF(ROUND(Z59-(Output_EB_RIN_SCS!T94*10^6),4)=0,0,1)</f>
        <v>0</v>
      </c>
      <c r="AA60" s="327">
        <f>IF(ROUND(AA59-(Output_EB_RIN_SCS!U94*10^6),4)=0,0,1)</f>
        <v>0</v>
      </c>
      <c r="AB60" s="157"/>
      <c r="AC60" s="327">
        <f>IF(ROUND(AC59-(Output_EB_RIN_ACS!J94*10^6),4)=0,0,1)</f>
        <v>0</v>
      </c>
      <c r="AD60" s="327">
        <f>IF(ROUND(AD59-(Output_EB_RIN_ACS!K94*10^6),4)=0,0,1)</f>
        <v>0</v>
      </c>
      <c r="AE60" s="327">
        <f>IF(ROUND(AE59-(Output_EB_RIN_ACS!L94*10^6),4)=0,0,1)</f>
        <v>0</v>
      </c>
      <c r="AF60" s="327">
        <f>IF(ROUND(AF59-(Output_EB_RIN_ACS!M94*10^6),4)=0,0,1)</f>
        <v>0</v>
      </c>
      <c r="AG60" s="327">
        <f>IF(ROUND(AG59-(Output_EB_RIN_ACS!N94*10^6),4)=0,0,1)</f>
        <v>0</v>
      </c>
      <c r="AH60" s="327">
        <f>IF(ROUND(AH59-(Output_EB_RIN_ACS!O94*10^6),4)=0,0,1)</f>
        <v>0</v>
      </c>
      <c r="AI60" s="327">
        <f>IF(ROUND(AI59-(Output_EB_RIN_ACS!P94*10^6),4)=0,0,1)</f>
        <v>0</v>
      </c>
      <c r="AJ60" s="327">
        <f>IF(ROUND(AJ59-(Output_EB_RIN_ACS!Q94*10^6),4)=0,0,1)</f>
        <v>0</v>
      </c>
      <c r="AK60" s="327">
        <f>IF(ROUND(AK59-(Output_EB_RIN_ACS!R94*10^6),4)=0,0,1)</f>
        <v>0</v>
      </c>
      <c r="AL60" s="327">
        <f>IF(ROUND(AL59-(Output_EB_RIN_ACS!S94*10^6),4)=0,0,1)</f>
        <v>0</v>
      </c>
      <c r="AM60" s="327">
        <f>IF(ROUND(AM59-(Output_EB_RIN_ACS!T94*10^6),4)=0,0,1)</f>
        <v>0</v>
      </c>
      <c r="AN60" s="327">
        <f>IF(ROUND(AN59-(Output_EB_RIN_ACS!U94*10^6),4)=0,0,1)</f>
        <v>0</v>
      </c>
      <c r="AO60" s="157"/>
      <c r="AP60" s="157"/>
      <c r="AQ60" s="157"/>
      <c r="AR60" s="157"/>
      <c r="AS60" s="157"/>
      <c r="AT60" s="157"/>
      <c r="AU60" s="157"/>
      <c r="AV60" s="157"/>
      <c r="AW60" s="157"/>
      <c r="AX60" s="157"/>
      <c r="AY60" s="157"/>
      <c r="AZ60" s="157"/>
      <c r="BA60" s="157"/>
      <c r="BB60" s="157"/>
      <c r="BC60" s="157"/>
      <c r="BD60" s="157"/>
    </row>
    <row r="61" spans="1:56" outlineLevel="2" x14ac:dyDescent="0.55000000000000004">
      <c r="A61" s="179" t="s">
        <v>326</v>
      </c>
      <c r="B61" s="180" t="s">
        <v>279</v>
      </c>
      <c r="C61" s="181">
        <f>Output_EB_RIN_NS!J102*10^6</f>
        <v>47071726.111497849</v>
      </c>
      <c r="D61" s="182">
        <f>Output_EB_RIN_NS!K102*10^6</f>
        <v>49257548.154962309</v>
      </c>
      <c r="E61" s="182">
        <f>Output_EB_RIN_NS!L102*10^6</f>
        <v>51933075.595932007</v>
      </c>
      <c r="F61" s="182">
        <f>Output_EB_RIN_NS!M102*10^6</f>
        <v>73566519.243986875</v>
      </c>
      <c r="G61" s="183">
        <f>Output_EB_RIN_NS!N102*10^6</f>
        <v>105487232.46211824</v>
      </c>
      <c r="H61" s="184">
        <f>Output_EB_RIN_NS!O102*10^6</f>
        <v>134257450.22204164</v>
      </c>
      <c r="I61" s="182">
        <f>Output_EB_RIN_NS!P102*10^6</f>
        <v>175947718.0867863</v>
      </c>
      <c r="J61" s="182">
        <f>Output_EB_RIN_NS!Q102*10^6</f>
        <v>211499791.12014323</v>
      </c>
      <c r="K61" s="182">
        <f>Output_EB_RIN_NS!R102*10^6</f>
        <v>264910403.89827988</v>
      </c>
      <c r="L61" s="183">
        <f>Output_EB_RIN_NS!S102*10^6</f>
        <v>314987608.45090568</v>
      </c>
      <c r="M61" s="185">
        <f>Output_EB_RIN_NS!T102*10^6</f>
        <v>334307816.02676624</v>
      </c>
      <c r="N61" s="183">
        <f>Output_EB_RIN_NS!U102*10^6</f>
        <v>344203340.3939026</v>
      </c>
      <c r="P61" s="181">
        <f>Output_EB_RIN_SCS!J102*10^6</f>
        <v>47071726.111497849</v>
      </c>
      <c r="Q61" s="182">
        <f>Output_EB_RIN_SCS!K102*10^6</f>
        <v>49257548.154962309</v>
      </c>
      <c r="R61" s="182">
        <f>Output_EB_RIN_SCS!L102*10^6</f>
        <v>51933075.595932007</v>
      </c>
      <c r="S61" s="182">
        <f>Output_EB_RIN_SCS!M102*10^6</f>
        <v>73566519.243986875</v>
      </c>
      <c r="T61" s="183">
        <f>Output_EB_RIN_SCS!N102*10^6</f>
        <v>105487232.46211824</v>
      </c>
      <c r="U61" s="184">
        <f>Output_EB_RIN_SCS!O102*10^6</f>
        <v>134257450.22204164</v>
      </c>
      <c r="V61" s="182">
        <f>Output_EB_RIN_SCS!P102*10^6</f>
        <v>175947718.0867863</v>
      </c>
      <c r="W61" s="182">
        <f>Output_EB_RIN_SCS!Q102*10^6</f>
        <v>211499791.12014323</v>
      </c>
      <c r="X61" s="182">
        <f>Output_EB_RIN_SCS!R102*10^6</f>
        <v>264910403.89827988</v>
      </c>
      <c r="Y61" s="183">
        <f>Output_EB_RIN_SCS!S102*10^6</f>
        <v>314987608.45090568</v>
      </c>
      <c r="Z61" s="185">
        <f>Output_EB_RIN_SCS!T102*10^6</f>
        <v>334307816.02676624</v>
      </c>
      <c r="AA61" s="183">
        <f>Output_EB_RIN_SCS!U102*10^6</f>
        <v>344203340.3939026</v>
      </c>
      <c r="AB61" s="157"/>
      <c r="AC61" s="181" t="str">
        <f>IFERROR(Output_EB_RIN_ACS!J102*10^6,NA)</f>
        <v>N/A</v>
      </c>
      <c r="AD61" s="182" t="str">
        <f>IFERROR(Output_EB_RIN_ACS!K102*10^6,NA)</f>
        <v>N/A</v>
      </c>
      <c r="AE61" s="182" t="str">
        <f>IFERROR(Output_EB_RIN_ACS!L102*10^6,NA)</f>
        <v>N/A</v>
      </c>
      <c r="AF61" s="182" t="str">
        <f>IFERROR(Output_EB_RIN_ACS!M102*10^6,NA)</f>
        <v>N/A</v>
      </c>
      <c r="AG61" s="183" t="str">
        <f>IFERROR(Output_EB_RIN_ACS!N102*10^6,NA)</f>
        <v>N/A</v>
      </c>
      <c r="AH61" s="184" t="str">
        <f>IFERROR(Output_EB_RIN_ACS!O102*10^6,NA)</f>
        <v>N/A</v>
      </c>
      <c r="AI61" s="182" t="str">
        <f>IFERROR(Output_EB_RIN_ACS!P102*10^6,NA)</f>
        <v>N/A</v>
      </c>
      <c r="AJ61" s="182" t="str">
        <f>IFERROR(Output_EB_RIN_ACS!Q102*10^6,NA)</f>
        <v>N/A</v>
      </c>
      <c r="AK61" s="182" t="str">
        <f>IFERROR(Output_EB_RIN_ACS!R102*10^6,NA)</f>
        <v>N/A</v>
      </c>
      <c r="AL61" s="183" t="str">
        <f>IFERROR(Output_EB_RIN_ACS!S102*10^6,NA)</f>
        <v>N/A</v>
      </c>
      <c r="AM61" s="185" t="str">
        <f>IFERROR(Output_EB_RIN_ACS!T102*10^6,NA)</f>
        <v>N/A</v>
      </c>
      <c r="AN61" s="183" t="str">
        <f>IFERROR(Output_EB_RIN_ACS!U102*10^6,NA)</f>
        <v>N/A</v>
      </c>
      <c r="AO61" s="157"/>
      <c r="AP61" s="157"/>
      <c r="AQ61" s="157"/>
      <c r="AR61" s="157"/>
      <c r="AS61" s="157"/>
      <c r="AT61" s="157"/>
      <c r="AU61" s="157"/>
      <c r="AV61" s="157"/>
      <c r="AW61" s="157"/>
      <c r="AX61" s="157"/>
      <c r="AY61" s="157"/>
      <c r="AZ61" s="157"/>
      <c r="BA61" s="157"/>
      <c r="BB61" s="157"/>
      <c r="BC61" s="157"/>
      <c r="BD61" s="157"/>
    </row>
    <row r="62" spans="1:56" outlineLevel="2" x14ac:dyDescent="0.55000000000000004">
      <c r="A62" s="179" t="s">
        <v>327</v>
      </c>
      <c r="B62" s="186" t="s">
        <v>281</v>
      </c>
      <c r="C62" s="187">
        <f>Output_EB_RIN_NS!J103*10^6</f>
        <v>1376030.9703726564</v>
      </c>
      <c r="D62" s="188">
        <f>Output_EB_RIN_NS!K103*10^6</f>
        <v>1224152.0843245003</v>
      </c>
      <c r="E62" s="188">
        <f>Output_EB_RIN_NS!L103*10^6</f>
        <v>2218849.6501726154</v>
      </c>
      <c r="F62" s="188">
        <f>Output_EB_RIN_NS!M103*10^6</f>
        <v>1792318.2983031143</v>
      </c>
      <c r="G62" s="189">
        <f>Output_EB_RIN_NS!N103*10^6</f>
        <v>3079086.7853807411</v>
      </c>
      <c r="H62" s="190">
        <f>Output_EB_RIN_NS!O103*10^6</f>
        <v>4371828.7362219281</v>
      </c>
      <c r="I62" s="188">
        <f>Output_EB_RIN_NS!P103*10^6</f>
        <v>2863848.9210463949</v>
      </c>
      <c r="J62" s="188">
        <f>Output_EB_RIN_NS!Q103*10^6</f>
        <v>5292787.5655691493</v>
      </c>
      <c r="K62" s="188">
        <f>Output_EB_RIN_NS!R103*10^6</f>
        <v>6490009.8950580843</v>
      </c>
      <c r="L62" s="189">
        <f>Output_EB_RIN_NS!S103*10^6</f>
        <v>4183896.1274313568</v>
      </c>
      <c r="M62" s="191">
        <f>Output_EB_RIN_NS!T103*10^6</f>
        <v>4382312.1951074693</v>
      </c>
      <c r="N62" s="189">
        <f>Output_EB_RIN_NS!U103*10^6</f>
        <v>7316706.8660441171</v>
      </c>
      <c r="P62" s="187">
        <f>Output_EB_RIN_SCS!J103*10^6</f>
        <v>1376030.9703726564</v>
      </c>
      <c r="Q62" s="188">
        <f>Output_EB_RIN_SCS!K103*10^6</f>
        <v>1224152.0843245003</v>
      </c>
      <c r="R62" s="188">
        <f>Output_EB_RIN_SCS!L103*10^6</f>
        <v>2218849.6501726154</v>
      </c>
      <c r="S62" s="188">
        <f>Output_EB_RIN_SCS!M103*10^6</f>
        <v>1792318.2983031143</v>
      </c>
      <c r="T62" s="189">
        <f>Output_EB_RIN_SCS!N103*10^6</f>
        <v>3079086.7853807411</v>
      </c>
      <c r="U62" s="190">
        <f>Output_EB_RIN_SCS!O103*10^6</f>
        <v>4371828.7362219281</v>
      </c>
      <c r="V62" s="188">
        <f>Output_EB_RIN_SCS!P103*10^6</f>
        <v>2863848.9210463949</v>
      </c>
      <c r="W62" s="188">
        <f>Output_EB_RIN_SCS!Q103*10^6</f>
        <v>5292787.5655691493</v>
      </c>
      <c r="X62" s="188">
        <f>Output_EB_RIN_SCS!R103*10^6</f>
        <v>6490009.8950580843</v>
      </c>
      <c r="Y62" s="189">
        <f>Output_EB_RIN_SCS!S103*10^6</f>
        <v>4183896.1274313568</v>
      </c>
      <c r="Z62" s="191">
        <f>Output_EB_RIN_SCS!T103*10^6</f>
        <v>4382312.1951074693</v>
      </c>
      <c r="AA62" s="189">
        <f>Output_EB_RIN_SCS!U103*10^6</f>
        <v>7316706.8660441171</v>
      </c>
      <c r="AB62" s="157"/>
      <c r="AC62" s="187" t="str">
        <f>IFERROR(Output_EB_RIN_ACS!J103*10^6,NA)</f>
        <v>N/A</v>
      </c>
      <c r="AD62" s="188" t="str">
        <f>IFERROR(Output_EB_RIN_ACS!K103*10^6,NA)</f>
        <v>N/A</v>
      </c>
      <c r="AE62" s="188" t="str">
        <f>IFERROR(Output_EB_RIN_ACS!L103*10^6,NA)</f>
        <v>N/A</v>
      </c>
      <c r="AF62" s="188" t="str">
        <f>IFERROR(Output_EB_RIN_ACS!M103*10^6,NA)</f>
        <v>N/A</v>
      </c>
      <c r="AG62" s="189" t="str">
        <f>IFERROR(Output_EB_RIN_ACS!N103*10^6,NA)</f>
        <v>N/A</v>
      </c>
      <c r="AH62" s="190" t="str">
        <f>IFERROR(Output_EB_RIN_ACS!O103*10^6,NA)</f>
        <v>N/A</v>
      </c>
      <c r="AI62" s="188" t="str">
        <f>IFERROR(Output_EB_RIN_ACS!P103*10^6,NA)</f>
        <v>N/A</v>
      </c>
      <c r="AJ62" s="188" t="str">
        <f>IFERROR(Output_EB_RIN_ACS!Q103*10^6,NA)</f>
        <v>N/A</v>
      </c>
      <c r="AK62" s="188" t="str">
        <f>IFERROR(Output_EB_RIN_ACS!R103*10^6,NA)</f>
        <v>N/A</v>
      </c>
      <c r="AL62" s="189" t="str">
        <f>IFERROR(Output_EB_RIN_ACS!S103*10^6,NA)</f>
        <v>N/A</v>
      </c>
      <c r="AM62" s="191" t="str">
        <f>IFERROR(Output_EB_RIN_ACS!T103*10^6,NA)</f>
        <v>N/A</v>
      </c>
      <c r="AN62" s="189" t="str">
        <f>IFERROR(Output_EB_RIN_ACS!U103*10^6,NA)</f>
        <v>N/A</v>
      </c>
      <c r="AO62" s="157"/>
      <c r="AP62" s="157"/>
      <c r="AQ62" s="157"/>
      <c r="AR62" s="157"/>
      <c r="AS62" s="157"/>
      <c r="AT62" s="157"/>
      <c r="AU62" s="157"/>
      <c r="AV62" s="157"/>
      <c r="AW62" s="157"/>
      <c r="AX62" s="157"/>
      <c r="AY62" s="157"/>
      <c r="AZ62" s="157"/>
      <c r="BA62" s="157"/>
      <c r="BB62" s="157"/>
      <c r="BC62" s="157"/>
      <c r="BD62" s="157"/>
    </row>
    <row r="63" spans="1:56" outlineLevel="2" x14ac:dyDescent="0.55000000000000004">
      <c r="A63" s="179" t="s">
        <v>328</v>
      </c>
      <c r="B63" s="186" t="s">
        <v>283</v>
      </c>
      <c r="C63" s="187">
        <f>Output_EB_RIN_NS!J104*10^6</f>
        <v>-2207468.2474033176</v>
      </c>
      <c r="D63" s="188">
        <f>Output_EB_RIN_NS!K104*10^6</f>
        <v>-2353952.1734297792</v>
      </c>
      <c r="E63" s="188">
        <f>Output_EB_RIN_NS!L104*10^6</f>
        <v>-3474339.8366165701</v>
      </c>
      <c r="F63" s="188">
        <f>Output_EB_RIN_NS!M104*10^6</f>
        <v>-3774300.0258034612</v>
      </c>
      <c r="G63" s="189">
        <f>Output_EB_RIN_NS!N104*10^6</f>
        <v>-9648598.131739568</v>
      </c>
      <c r="H63" s="190">
        <f>Output_EB_RIN_NS!O104*10^6</f>
        <v>-10984840.820686102</v>
      </c>
      <c r="I63" s="188">
        <f>Output_EB_RIN_NS!P104*10^6</f>
        <v>-12442862.590473061</v>
      </c>
      <c r="J63" s="188">
        <f>Output_EB_RIN_NS!Q104*10^6</f>
        <v>-7313445.1142680543</v>
      </c>
      <c r="K63" s="188">
        <f>Output_EB_RIN_NS!R104*10^6</f>
        <v>-21912937.728005789</v>
      </c>
      <c r="L63" s="189">
        <f>Output_EB_RIN_NS!S104*10^6</f>
        <v>-28995427.905109778</v>
      </c>
      <c r="M63" s="191">
        <f>Output_EB_RIN_NS!T104*10^6</f>
        <v>-30630083.961773615</v>
      </c>
      <c r="N63" s="189">
        <f>Output_EB_RIN_NS!U104*10^6</f>
        <v>-25435071.226427868</v>
      </c>
      <c r="P63" s="187">
        <f>Output_EB_RIN_SCS!J104*10^6</f>
        <v>-2207468.2474033176</v>
      </c>
      <c r="Q63" s="188">
        <f>Output_EB_RIN_SCS!K104*10^6</f>
        <v>-2353952.1734297792</v>
      </c>
      <c r="R63" s="188">
        <f>Output_EB_RIN_SCS!L104*10^6</f>
        <v>-3474339.8366165701</v>
      </c>
      <c r="S63" s="188">
        <f>Output_EB_RIN_SCS!M104*10^6</f>
        <v>-3774300.0258034612</v>
      </c>
      <c r="T63" s="189">
        <f>Output_EB_RIN_SCS!N104*10^6</f>
        <v>-9648598.131739568</v>
      </c>
      <c r="U63" s="190">
        <f>Output_EB_RIN_SCS!O104*10^6</f>
        <v>-10984840.820686102</v>
      </c>
      <c r="V63" s="188">
        <f>Output_EB_RIN_SCS!P104*10^6</f>
        <v>-12442862.590473061</v>
      </c>
      <c r="W63" s="188">
        <f>Output_EB_RIN_SCS!Q104*10^6</f>
        <v>-7313445.1142680543</v>
      </c>
      <c r="X63" s="188">
        <f>Output_EB_RIN_SCS!R104*10^6</f>
        <v>-21912937.728005789</v>
      </c>
      <c r="Y63" s="189">
        <f>Output_EB_RIN_SCS!S104*10^6</f>
        <v>-28995427.905109778</v>
      </c>
      <c r="Z63" s="191">
        <f>Output_EB_RIN_SCS!T104*10^6</f>
        <v>-30630083.961773615</v>
      </c>
      <c r="AA63" s="189">
        <f>Output_EB_RIN_SCS!U104*10^6</f>
        <v>-25435071.226427868</v>
      </c>
      <c r="AB63" s="157"/>
      <c r="AC63" s="187" t="str">
        <f>IFERROR(Output_EB_RIN_ACS!J104*10^6,NA)</f>
        <v>N/A</v>
      </c>
      <c r="AD63" s="188" t="str">
        <f>IFERROR(Output_EB_RIN_ACS!K104*10^6,NA)</f>
        <v>N/A</v>
      </c>
      <c r="AE63" s="188" t="str">
        <f>IFERROR(Output_EB_RIN_ACS!L104*10^6,NA)</f>
        <v>N/A</v>
      </c>
      <c r="AF63" s="188" t="str">
        <f>IFERROR(Output_EB_RIN_ACS!M104*10^6,NA)</f>
        <v>N/A</v>
      </c>
      <c r="AG63" s="189" t="str">
        <f>IFERROR(Output_EB_RIN_ACS!N104*10^6,NA)</f>
        <v>N/A</v>
      </c>
      <c r="AH63" s="190" t="str">
        <f>IFERROR(Output_EB_RIN_ACS!O104*10^6,NA)</f>
        <v>N/A</v>
      </c>
      <c r="AI63" s="188" t="str">
        <f>IFERROR(Output_EB_RIN_ACS!P104*10^6,NA)</f>
        <v>N/A</v>
      </c>
      <c r="AJ63" s="188" t="str">
        <f>IFERROR(Output_EB_RIN_ACS!Q104*10^6,NA)</f>
        <v>N/A</v>
      </c>
      <c r="AK63" s="188" t="str">
        <f>IFERROR(Output_EB_RIN_ACS!R104*10^6,NA)</f>
        <v>N/A</v>
      </c>
      <c r="AL63" s="189" t="str">
        <f>IFERROR(Output_EB_RIN_ACS!S104*10^6,NA)</f>
        <v>N/A</v>
      </c>
      <c r="AM63" s="191" t="str">
        <f>IFERROR(Output_EB_RIN_ACS!T104*10^6,NA)</f>
        <v>N/A</v>
      </c>
      <c r="AN63" s="189" t="str">
        <f>IFERROR(Output_EB_RIN_ACS!U104*10^6,NA)</f>
        <v>N/A</v>
      </c>
      <c r="AO63" s="157"/>
      <c r="AP63" s="157"/>
      <c r="AQ63" s="157"/>
      <c r="AR63" s="157"/>
      <c r="AS63" s="157"/>
      <c r="AT63" s="157"/>
      <c r="AU63" s="157"/>
      <c r="AV63" s="157"/>
      <c r="AW63" s="157"/>
      <c r="AX63" s="157"/>
      <c r="AY63" s="157"/>
      <c r="AZ63" s="157"/>
      <c r="BA63" s="157"/>
      <c r="BB63" s="157"/>
      <c r="BC63" s="157"/>
      <c r="BD63" s="157"/>
    </row>
    <row r="64" spans="1:56" outlineLevel="2" x14ac:dyDescent="0.55000000000000004">
      <c r="A64" s="179" t="s">
        <v>329</v>
      </c>
      <c r="B64" s="186" t="s">
        <v>285</v>
      </c>
      <c r="C64" s="187">
        <f>Output_EB_RIN_NS!J105*10^6</f>
        <v>3017259.320495123</v>
      </c>
      <c r="D64" s="188">
        <f>Output_EB_RIN_NS!K105*10^6</f>
        <v>3805327.5300749834</v>
      </c>
      <c r="E64" s="188">
        <f>Output_EB_RIN_NS!L105*10^6</f>
        <v>22888933.83449883</v>
      </c>
      <c r="F64" s="188">
        <f>Output_EB_RIN_NS!M105*10^6</f>
        <v>33902694.945631698</v>
      </c>
      <c r="G64" s="189">
        <f>Output_EB_RIN_NS!N105*10^6</f>
        <v>35522326.060781352</v>
      </c>
      <c r="H64" s="190">
        <f>Output_EB_RIN_NS!O105*10^6</f>
        <v>48489640.774936043</v>
      </c>
      <c r="I64" s="188">
        <f>Output_EB_RIN_NS!P105*10^6</f>
        <v>45238627.848901138</v>
      </c>
      <c r="J64" s="188">
        <f>Output_EB_RIN_NS!Q105*10^6</f>
        <v>55449775.467945278</v>
      </c>
      <c r="K64" s="188">
        <f>Output_EB_RIN_NS!R105*10^6</f>
        <v>65634841.0403255</v>
      </c>
      <c r="L64" s="189">
        <f>Output_EB_RIN_NS!S105*10^6</f>
        <v>44163978.729225159</v>
      </c>
      <c r="M64" s="191">
        <f>Output_EB_RIN_NS!T105*10^6</f>
        <v>36176617.665472396</v>
      </c>
      <c r="N64" s="189">
        <f>Output_EB_RIN_NS!U105*10^6</f>
        <v>18993715.949713603</v>
      </c>
      <c r="P64" s="187">
        <f>Output_EB_RIN_SCS!J105*10^6</f>
        <v>3017259.320495123</v>
      </c>
      <c r="Q64" s="188">
        <f>Output_EB_RIN_SCS!K105*10^6</f>
        <v>3805327.5300749834</v>
      </c>
      <c r="R64" s="188">
        <f>Output_EB_RIN_SCS!L105*10^6</f>
        <v>22888933.83449883</v>
      </c>
      <c r="S64" s="188">
        <f>Output_EB_RIN_SCS!M105*10^6</f>
        <v>33902694.945631698</v>
      </c>
      <c r="T64" s="189">
        <f>Output_EB_RIN_SCS!N105*10^6</f>
        <v>35522326.060781352</v>
      </c>
      <c r="U64" s="190">
        <f>Output_EB_RIN_SCS!O105*10^6</f>
        <v>48489640.774936043</v>
      </c>
      <c r="V64" s="188">
        <f>Output_EB_RIN_SCS!P105*10^6</f>
        <v>45238627.848901138</v>
      </c>
      <c r="W64" s="188">
        <f>Output_EB_RIN_SCS!Q105*10^6</f>
        <v>55449775.467945278</v>
      </c>
      <c r="X64" s="188">
        <f>Output_EB_RIN_SCS!R105*10^6</f>
        <v>65634841.0403255</v>
      </c>
      <c r="Y64" s="189">
        <f>Output_EB_RIN_SCS!S105*10^6</f>
        <v>44163978.729225159</v>
      </c>
      <c r="Z64" s="191">
        <f>Output_EB_RIN_SCS!T105*10^6</f>
        <v>36176617.665472396</v>
      </c>
      <c r="AA64" s="189">
        <f>Output_EB_RIN_SCS!U105*10^6</f>
        <v>18993715.949713603</v>
      </c>
      <c r="AB64" s="157"/>
      <c r="AC64" s="187" t="str">
        <f>IFERROR(Output_EB_RIN_ACS!J105*10^6,NA)</f>
        <v>N/A</v>
      </c>
      <c r="AD64" s="188" t="str">
        <f>IFERROR(Output_EB_RIN_ACS!K105*10^6,NA)</f>
        <v>N/A</v>
      </c>
      <c r="AE64" s="188" t="str">
        <f>IFERROR(Output_EB_RIN_ACS!L105*10^6,NA)</f>
        <v>N/A</v>
      </c>
      <c r="AF64" s="188" t="str">
        <f>IFERROR(Output_EB_RIN_ACS!M105*10^6,NA)</f>
        <v>N/A</v>
      </c>
      <c r="AG64" s="189" t="str">
        <f>IFERROR(Output_EB_RIN_ACS!N105*10^6,NA)</f>
        <v>N/A</v>
      </c>
      <c r="AH64" s="190" t="str">
        <f>IFERROR(Output_EB_RIN_ACS!O105*10^6,NA)</f>
        <v>N/A</v>
      </c>
      <c r="AI64" s="188" t="str">
        <f>IFERROR(Output_EB_RIN_ACS!P105*10^6,NA)</f>
        <v>N/A</v>
      </c>
      <c r="AJ64" s="188" t="str">
        <f>IFERROR(Output_EB_RIN_ACS!Q105*10^6,NA)</f>
        <v>N/A</v>
      </c>
      <c r="AK64" s="188" t="str">
        <f>IFERROR(Output_EB_RIN_ACS!R105*10^6,NA)</f>
        <v>N/A</v>
      </c>
      <c r="AL64" s="189" t="str">
        <f>IFERROR(Output_EB_RIN_ACS!S105*10^6,NA)</f>
        <v>N/A</v>
      </c>
      <c r="AM64" s="191" t="str">
        <f>IFERROR(Output_EB_RIN_ACS!T105*10^6,NA)</f>
        <v>N/A</v>
      </c>
      <c r="AN64" s="189" t="str">
        <f>IFERROR(Output_EB_RIN_ACS!U105*10^6,NA)</f>
        <v>N/A</v>
      </c>
      <c r="AO64" s="157"/>
      <c r="AP64" s="157"/>
      <c r="AQ64" s="157"/>
      <c r="AR64" s="157"/>
      <c r="AS64" s="157"/>
      <c r="AT64" s="157"/>
      <c r="AU64" s="157"/>
      <c r="AV64" s="157"/>
      <c r="AW64" s="157"/>
      <c r="AX64" s="157"/>
      <c r="AY64" s="157"/>
      <c r="AZ64" s="157"/>
      <c r="BA64" s="157"/>
      <c r="BB64" s="157"/>
      <c r="BC64" s="157"/>
      <c r="BD64" s="157"/>
    </row>
    <row r="65" spans="1:56" outlineLevel="2" x14ac:dyDescent="0.55000000000000004">
      <c r="A65" s="179" t="s">
        <v>330</v>
      </c>
      <c r="B65" s="186" t="s">
        <v>287</v>
      </c>
      <c r="C65" s="187">
        <f>Output_EB_RIN_NS!J106*10^6</f>
        <v>0</v>
      </c>
      <c r="D65" s="188">
        <f>Output_EB_RIN_NS!K106*10^6</f>
        <v>0</v>
      </c>
      <c r="E65" s="188">
        <f>Output_EB_RIN_NS!L106*10^6</f>
        <v>0</v>
      </c>
      <c r="F65" s="188">
        <f>Output_EB_RIN_NS!M106*10^6</f>
        <v>0</v>
      </c>
      <c r="G65" s="189">
        <f>Output_EB_RIN_NS!N106*10^6</f>
        <v>-182596.95449911931</v>
      </c>
      <c r="H65" s="190">
        <f>Output_EB_RIN_NS!O106*10^6</f>
        <v>-186360.82572719792</v>
      </c>
      <c r="I65" s="188">
        <f>Output_EB_RIN_NS!P106*10^6</f>
        <v>-107541.14611750819</v>
      </c>
      <c r="J65" s="188">
        <f>Output_EB_RIN_NS!Q106*10^6</f>
        <v>-18505.141109755419</v>
      </c>
      <c r="K65" s="188">
        <f>Output_EB_RIN_NS!R106*10^6</f>
        <v>-134708.6547520062</v>
      </c>
      <c r="L65" s="189">
        <f>Output_EB_RIN_NS!S106*10^6</f>
        <v>-32239.37568620098</v>
      </c>
      <c r="M65" s="191">
        <f>Output_EB_RIN_NS!T106*10^6</f>
        <v>-33321.531669982898</v>
      </c>
      <c r="N65" s="189">
        <f>Output_EB_RIN_NS!U106*10^6</f>
        <v>-139496.509908362</v>
      </c>
      <c r="P65" s="187">
        <f>Output_EB_RIN_SCS!J106*10^6</f>
        <v>0</v>
      </c>
      <c r="Q65" s="188">
        <f>Output_EB_RIN_SCS!K106*10^6</f>
        <v>0</v>
      </c>
      <c r="R65" s="188">
        <f>Output_EB_RIN_SCS!L106*10^6</f>
        <v>0</v>
      </c>
      <c r="S65" s="188">
        <f>Output_EB_RIN_SCS!M106*10^6</f>
        <v>0</v>
      </c>
      <c r="T65" s="189">
        <f>Output_EB_RIN_SCS!N106*10^6</f>
        <v>-182596.95449911931</v>
      </c>
      <c r="U65" s="190">
        <f>Output_EB_RIN_SCS!O106*10^6</f>
        <v>-186360.82572719792</v>
      </c>
      <c r="V65" s="188">
        <f>Output_EB_RIN_SCS!P106*10^6</f>
        <v>-107541.14611750819</v>
      </c>
      <c r="W65" s="188">
        <f>Output_EB_RIN_SCS!Q106*10^6</f>
        <v>-18505.141109755419</v>
      </c>
      <c r="X65" s="188">
        <f>Output_EB_RIN_SCS!R106*10^6</f>
        <v>-134708.6547520062</v>
      </c>
      <c r="Y65" s="189">
        <f>Output_EB_RIN_SCS!S106*10^6</f>
        <v>-32239.37568620098</v>
      </c>
      <c r="Z65" s="191">
        <f>Output_EB_RIN_SCS!T106*10^6</f>
        <v>-33321.531669982898</v>
      </c>
      <c r="AA65" s="189">
        <f>Output_EB_RIN_SCS!U106*10^6</f>
        <v>-139496.509908362</v>
      </c>
      <c r="AB65" s="157"/>
      <c r="AC65" s="187" t="str">
        <f>IFERROR(Output_EB_RIN_ACS!J106*10^6,NA)</f>
        <v>N/A</v>
      </c>
      <c r="AD65" s="188" t="str">
        <f>IFERROR(Output_EB_RIN_ACS!K106*10^6,NA)</f>
        <v>N/A</v>
      </c>
      <c r="AE65" s="188" t="str">
        <f>IFERROR(Output_EB_RIN_ACS!L106*10^6,NA)</f>
        <v>N/A</v>
      </c>
      <c r="AF65" s="188" t="str">
        <f>IFERROR(Output_EB_RIN_ACS!M106*10^6,NA)</f>
        <v>N/A</v>
      </c>
      <c r="AG65" s="189" t="str">
        <f>IFERROR(Output_EB_RIN_ACS!N106*10^6,NA)</f>
        <v>N/A</v>
      </c>
      <c r="AH65" s="190" t="str">
        <f>IFERROR(Output_EB_RIN_ACS!O106*10^6,NA)</f>
        <v>N/A</v>
      </c>
      <c r="AI65" s="188" t="str">
        <f>IFERROR(Output_EB_RIN_ACS!P106*10^6,NA)</f>
        <v>N/A</v>
      </c>
      <c r="AJ65" s="188" t="str">
        <f>IFERROR(Output_EB_RIN_ACS!Q106*10^6,NA)</f>
        <v>N/A</v>
      </c>
      <c r="AK65" s="188" t="str">
        <f>IFERROR(Output_EB_RIN_ACS!R106*10^6,NA)</f>
        <v>N/A</v>
      </c>
      <c r="AL65" s="189" t="str">
        <f>IFERROR(Output_EB_RIN_ACS!S106*10^6,NA)</f>
        <v>N/A</v>
      </c>
      <c r="AM65" s="191" t="str">
        <f>IFERROR(Output_EB_RIN_ACS!T106*10^6,NA)</f>
        <v>N/A</v>
      </c>
      <c r="AN65" s="189" t="str">
        <f>IFERROR(Output_EB_RIN_ACS!U106*10^6,NA)</f>
        <v>N/A</v>
      </c>
      <c r="AO65" s="157"/>
      <c r="AP65" s="157"/>
      <c r="AQ65" s="157"/>
      <c r="AR65" s="157"/>
      <c r="AS65" s="157"/>
      <c r="AT65" s="157"/>
      <c r="AU65" s="157"/>
      <c r="AV65" s="157"/>
      <c r="AW65" s="157"/>
      <c r="AX65" s="157"/>
      <c r="AY65" s="157"/>
      <c r="AZ65" s="157"/>
      <c r="BA65" s="157"/>
      <c r="BB65" s="157"/>
      <c r="BC65" s="157"/>
      <c r="BD65" s="157"/>
    </row>
    <row r="66" spans="1:56" ht="14.7" outlineLevel="2" thickBot="1" x14ac:dyDescent="0.6">
      <c r="A66" s="179" t="s">
        <v>331</v>
      </c>
      <c r="B66" s="192" t="s">
        <v>289</v>
      </c>
      <c r="C66" s="193">
        <f>SUM(C61:C65)</f>
        <v>49257548.154962309</v>
      </c>
      <c r="D66" s="194">
        <f t="shared" ref="D66" si="146">SUM(D61:D65)</f>
        <v>51933075.595932014</v>
      </c>
      <c r="E66" s="194">
        <f t="shared" ref="E66" si="147">SUM(E61:E65)</f>
        <v>73566519.243986875</v>
      </c>
      <c r="F66" s="194">
        <f t="shared" ref="F66" si="148">SUM(F61:F65)</f>
        <v>105487232.46211822</v>
      </c>
      <c r="G66" s="195">
        <f t="shared" ref="G66" si="149">SUM(G61:G65)</f>
        <v>134257450.22204164</v>
      </c>
      <c r="H66" s="196">
        <f t="shared" ref="H66" si="150">SUM(H61:H65)</f>
        <v>175947718.08678633</v>
      </c>
      <c r="I66" s="194">
        <f t="shared" ref="I66" si="151">SUM(I61:I65)</f>
        <v>211499791.12014329</v>
      </c>
      <c r="J66" s="194">
        <f t="shared" ref="J66" si="152">SUM(J61:J65)</f>
        <v>264910403.89827985</v>
      </c>
      <c r="K66" s="194">
        <f t="shared" ref="K66" si="153">SUM(K61:K65)</f>
        <v>314987608.45090562</v>
      </c>
      <c r="L66" s="195">
        <f t="shared" ref="L66" si="154">SUM(L61:L65)</f>
        <v>334307816.02676618</v>
      </c>
      <c r="M66" s="197">
        <f t="shared" ref="M66" si="155">SUM(M61:M65)</f>
        <v>344203340.39390248</v>
      </c>
      <c r="N66" s="195">
        <f t="shared" ref="N66" si="156">SUM(N61:N65)</f>
        <v>344939195.47332406</v>
      </c>
      <c r="P66" s="193">
        <f t="shared" ref="P66" si="157">SUM(P61:P65)</f>
        <v>49257548.154962309</v>
      </c>
      <c r="Q66" s="194">
        <f t="shared" ref="Q66" si="158">SUM(Q61:Q65)</f>
        <v>51933075.595932014</v>
      </c>
      <c r="R66" s="194">
        <f t="shared" ref="R66" si="159">SUM(R61:R65)</f>
        <v>73566519.243986875</v>
      </c>
      <c r="S66" s="194">
        <f t="shared" ref="S66" si="160">SUM(S61:S65)</f>
        <v>105487232.46211822</v>
      </c>
      <c r="T66" s="195">
        <f t="shared" ref="T66" si="161">SUM(T61:T65)</f>
        <v>134257450.22204164</v>
      </c>
      <c r="U66" s="196">
        <f t="shared" ref="U66" si="162">SUM(U61:U65)</f>
        <v>175947718.08678633</v>
      </c>
      <c r="V66" s="194">
        <f t="shared" ref="V66" si="163">SUM(V61:V65)</f>
        <v>211499791.12014329</v>
      </c>
      <c r="W66" s="194">
        <f t="shared" ref="W66" si="164">SUM(W61:W65)</f>
        <v>264910403.89827985</v>
      </c>
      <c r="X66" s="194">
        <f t="shared" ref="X66" si="165">SUM(X61:X65)</f>
        <v>314987608.45090562</v>
      </c>
      <c r="Y66" s="195">
        <f t="shared" ref="Y66" si="166">SUM(Y61:Y65)</f>
        <v>334307816.02676618</v>
      </c>
      <c r="Z66" s="197">
        <f t="shared" ref="Z66" si="167">SUM(Z61:Z65)</f>
        <v>344203340.39390248</v>
      </c>
      <c r="AA66" s="195">
        <f t="shared" ref="AA66" si="168">SUM(AA61:AA65)</f>
        <v>344939195.47332406</v>
      </c>
      <c r="AB66" s="157"/>
      <c r="AC66" s="193">
        <f t="shared" ref="AC66" si="169">SUM(AC61:AC65)</f>
        <v>0</v>
      </c>
      <c r="AD66" s="194">
        <f t="shared" ref="AD66" si="170">SUM(AD61:AD65)</f>
        <v>0</v>
      </c>
      <c r="AE66" s="194">
        <f t="shared" ref="AE66" si="171">SUM(AE61:AE65)</f>
        <v>0</v>
      </c>
      <c r="AF66" s="194">
        <f t="shared" ref="AF66" si="172">SUM(AF61:AF65)</f>
        <v>0</v>
      </c>
      <c r="AG66" s="195">
        <f t="shared" ref="AG66" si="173">SUM(AG61:AG65)</f>
        <v>0</v>
      </c>
      <c r="AH66" s="196">
        <f t="shared" ref="AH66" si="174">SUM(AH61:AH65)</f>
        <v>0</v>
      </c>
      <c r="AI66" s="194">
        <f t="shared" ref="AI66" si="175">SUM(AI61:AI65)</f>
        <v>0</v>
      </c>
      <c r="AJ66" s="194">
        <f t="shared" ref="AJ66" si="176">SUM(AJ61:AJ65)</f>
        <v>0</v>
      </c>
      <c r="AK66" s="194">
        <f t="shared" ref="AK66" si="177">SUM(AK61:AK65)</f>
        <v>0</v>
      </c>
      <c r="AL66" s="195">
        <f t="shared" ref="AL66" si="178">SUM(AL61:AL65)</f>
        <v>0</v>
      </c>
      <c r="AM66" s="197">
        <f t="shared" ref="AM66" si="179">SUM(AM61:AM65)</f>
        <v>0</v>
      </c>
      <c r="AN66" s="195">
        <f t="shared" ref="AN66" si="180">SUM(AN61:AN65)</f>
        <v>0</v>
      </c>
      <c r="AO66" s="157"/>
      <c r="AP66" s="157"/>
      <c r="AQ66" s="157"/>
      <c r="AR66" s="157"/>
      <c r="AS66" s="157"/>
      <c r="AT66" s="157"/>
      <c r="AU66" s="157"/>
      <c r="AV66" s="157"/>
      <c r="AW66" s="157"/>
      <c r="AX66" s="157"/>
      <c r="AY66" s="157"/>
      <c r="AZ66" s="157"/>
      <c r="BA66" s="157"/>
      <c r="BB66" s="157"/>
      <c r="BC66" s="157"/>
      <c r="BD66" s="157"/>
    </row>
    <row r="67" spans="1:56" ht="20.2" customHeight="1" outlineLevel="1" thickBot="1" x14ac:dyDescent="0.6">
      <c r="A67" s="70">
        <f>IF(SUM(C67:N67,P67:AA67,AC67:AN67)&lt;&gt;0,1,0)</f>
        <v>0</v>
      </c>
      <c r="B67" s="201" t="s">
        <v>332</v>
      </c>
      <c r="C67" s="327">
        <f>IF(ROUND(C66-(Output_EB_RIN_NS!J108*10^6),4)=0,0,1)</f>
        <v>0</v>
      </c>
      <c r="D67" s="327">
        <f>IF(ROUND(D66-(Output_EB_RIN_NS!K108*10^6),4)=0,0,1)</f>
        <v>0</v>
      </c>
      <c r="E67" s="327">
        <f>IF(ROUND(E66-(Output_EB_RIN_NS!L108*10^6),4)=0,0,1)</f>
        <v>0</v>
      </c>
      <c r="F67" s="327">
        <f>IF(ROUND(F66-(Output_EB_RIN_NS!M108*10^6),4)=0,0,1)</f>
        <v>0</v>
      </c>
      <c r="G67" s="327">
        <f>IF(ROUND(G66-(Output_EB_RIN_NS!N108*10^6),4)=0,0,1)</f>
        <v>0</v>
      </c>
      <c r="H67" s="327">
        <f>IF(ROUND(H66-(Output_EB_RIN_NS!O108*10^6),4)=0,0,1)</f>
        <v>0</v>
      </c>
      <c r="I67" s="327">
        <f>IF(ROUND(I66-(Output_EB_RIN_NS!P108*10^6),4)=0,0,1)</f>
        <v>0</v>
      </c>
      <c r="J67" s="327">
        <f>IF(ROUND(J66-(Output_EB_RIN_NS!Q108*10^6),4)=0,0,1)</f>
        <v>0</v>
      </c>
      <c r="K67" s="327">
        <f>IF(ROUND(K66-(Output_EB_RIN_NS!R108*10^6),4)=0,0,1)</f>
        <v>0</v>
      </c>
      <c r="L67" s="327">
        <f>IF(ROUND(L66-(Output_EB_RIN_NS!S108*10^6),4)=0,0,1)</f>
        <v>0</v>
      </c>
      <c r="M67" s="327">
        <f>IF(ROUND(M66-(Output_EB_RIN_NS!T108*10^6),4)=0,0,1)</f>
        <v>0</v>
      </c>
      <c r="N67" s="327">
        <f>IF(ROUND(N66-(Output_EB_RIN_NS!U108*10^6),4)=0,0,1)</f>
        <v>0</v>
      </c>
      <c r="O67" s="204"/>
      <c r="P67" s="327">
        <f>IF(ROUND(P66-(Output_EB_RIN_SCS!J108*10^6),4)=0,0,1)</f>
        <v>0</v>
      </c>
      <c r="Q67" s="327">
        <f>IF(ROUND(Q66-(Output_EB_RIN_SCS!K108*10^6),4)=0,0,1)</f>
        <v>0</v>
      </c>
      <c r="R67" s="327">
        <f>IF(ROUND(R66-(Output_EB_RIN_SCS!L108*10^6),4)=0,0,1)</f>
        <v>0</v>
      </c>
      <c r="S67" s="327">
        <f>IF(ROUND(S66-(Output_EB_RIN_SCS!M108*10^6),4)=0,0,1)</f>
        <v>0</v>
      </c>
      <c r="T67" s="327">
        <f>IF(ROUND(T66-(Output_EB_RIN_SCS!N108*10^6),4)=0,0,1)</f>
        <v>0</v>
      </c>
      <c r="U67" s="327">
        <f>IF(ROUND(U66-(Output_EB_RIN_SCS!O108*10^6),4)=0,0,1)</f>
        <v>0</v>
      </c>
      <c r="V67" s="327">
        <f>IF(ROUND(V66-(Output_EB_RIN_SCS!P108*10^6),4)=0,0,1)</f>
        <v>0</v>
      </c>
      <c r="W67" s="327">
        <f>IF(ROUND(W66-(Output_EB_RIN_SCS!Q108*10^6),4)=0,0,1)</f>
        <v>0</v>
      </c>
      <c r="X67" s="327">
        <f>IF(ROUND(X66-(Output_EB_RIN_SCS!R108*10^6),4)=0,0,1)</f>
        <v>0</v>
      </c>
      <c r="Y67" s="327">
        <f>IF(ROUND(Y66-(Output_EB_RIN_SCS!S108*10^6),4)=0,0,1)</f>
        <v>0</v>
      </c>
      <c r="Z67" s="327">
        <f>IF(ROUND(Z66-(Output_EB_RIN_SCS!T108*10^6),4)=0,0,1)</f>
        <v>0</v>
      </c>
      <c r="AA67" s="327">
        <f>IF(ROUND(AA66-(Output_EB_RIN_SCS!U108*10^6),4)=0,0,1)</f>
        <v>0</v>
      </c>
      <c r="AB67" s="202"/>
      <c r="AC67" s="327">
        <f>IF(ROUND(AC66-(Output_EB_RIN_ACS!J108*10^6),4)=0,0,1)</f>
        <v>0</v>
      </c>
      <c r="AD67" s="327">
        <f>IF(ROUND(AD66-(Output_EB_RIN_ACS!K108*10^6),4)=0,0,1)</f>
        <v>0</v>
      </c>
      <c r="AE67" s="327">
        <f>IF(ROUND(AE66-(Output_EB_RIN_ACS!L108*10^6),4)=0,0,1)</f>
        <v>0</v>
      </c>
      <c r="AF67" s="327">
        <f>IF(ROUND(AF66-(Output_EB_RIN_ACS!M108*10^6),4)=0,0,1)</f>
        <v>0</v>
      </c>
      <c r="AG67" s="327">
        <f>IF(ROUND(AG66-(Output_EB_RIN_ACS!N108*10^6),4)=0,0,1)</f>
        <v>0</v>
      </c>
      <c r="AH67" s="327">
        <f>IF(ROUND(AH66-(Output_EB_RIN_ACS!O108*10^6),4)=0,0,1)</f>
        <v>0</v>
      </c>
      <c r="AI67" s="327">
        <f>IF(ROUND(AI66-(Output_EB_RIN_ACS!P108*10^6),4)=0,0,1)</f>
        <v>0</v>
      </c>
      <c r="AJ67" s="327">
        <f>IF(ROUND(AJ66-(Output_EB_RIN_ACS!Q108*10^6),4)=0,0,1)</f>
        <v>0</v>
      </c>
      <c r="AK67" s="327">
        <f>IF(ROUND(AK66-(Output_EB_RIN_ACS!R108*10^6),4)=0,0,1)</f>
        <v>0</v>
      </c>
      <c r="AL67" s="327">
        <f>IF(ROUND(AL66-(Output_EB_RIN_ACS!S108*10^6),4)=0,0,1)</f>
        <v>0</v>
      </c>
      <c r="AM67" s="327">
        <f>IF(ROUND(AM66-(Output_EB_RIN_ACS!T108*10^6),4)=0,0,1)</f>
        <v>0</v>
      </c>
      <c r="AN67" s="327">
        <f>IF(ROUND(AN66-(Output_EB_RIN_ACS!U108*10^6),4)=0,0,1)</f>
        <v>0</v>
      </c>
      <c r="AO67" s="157"/>
      <c r="AP67" s="157"/>
      <c r="AQ67" s="157"/>
      <c r="AR67" s="157"/>
      <c r="AS67" s="157"/>
      <c r="AT67" s="157"/>
      <c r="AU67" s="157"/>
      <c r="AV67" s="157"/>
      <c r="AW67" s="157"/>
      <c r="AX67" s="157"/>
      <c r="AY67" s="157"/>
      <c r="AZ67" s="157"/>
      <c r="BA67" s="157"/>
      <c r="BB67" s="157"/>
      <c r="BC67" s="157"/>
      <c r="BD67" s="157"/>
    </row>
    <row r="68" spans="1:56" outlineLevel="2" x14ac:dyDescent="0.55000000000000004">
      <c r="A68" s="179" t="s">
        <v>333</v>
      </c>
      <c r="B68" s="180" t="s">
        <v>279</v>
      </c>
      <c r="C68" s="205">
        <f>Output_EB_RIN_NS!J116*10^6</f>
        <v>28033947.003089052</v>
      </c>
      <c r="D68" s="206">
        <f>Output_EB_RIN_NS!K116*10^6</f>
        <v>29444843.897374325</v>
      </c>
      <c r="E68" s="206">
        <f>Output_EB_RIN_NS!L116*10^6</f>
        <v>30922463.155114897</v>
      </c>
      <c r="F68" s="206">
        <f>Output_EB_RIN_NS!M116*10^6</f>
        <v>32243630.749502026</v>
      </c>
      <c r="G68" s="207">
        <f>Output_EB_RIN_NS!N116*10^6</f>
        <v>33029189.859678157</v>
      </c>
      <c r="H68" s="208">
        <f>Output_EB_RIN_NS!O116*10^6</f>
        <v>33993285.131257951</v>
      </c>
      <c r="I68" s="206">
        <f>Output_EB_RIN_NS!P116*10^6</f>
        <v>35100209.331960671</v>
      </c>
      <c r="J68" s="206">
        <f>Output_EB_RIN_NS!Q116*10^6</f>
        <v>35671525.0484524</v>
      </c>
      <c r="K68" s="206">
        <f>Output_EB_RIN_NS!R116*10^6</f>
        <v>33025000</v>
      </c>
      <c r="L68" s="207">
        <f>Output_EB_RIN_NS!S116*10^6</f>
        <v>34471252.90902666</v>
      </c>
      <c r="M68" s="209">
        <f>Output_EB_RIN_NS!T116*10^6</f>
        <v>34929125.338558324</v>
      </c>
      <c r="N68" s="207">
        <f>Output_EB_RIN_NS!U116*10^6</f>
        <v>35386997.768089987</v>
      </c>
      <c r="P68" s="205">
        <f>Output_EB_RIN_SCS!J116*10^6</f>
        <v>28033947.003089052</v>
      </c>
      <c r="Q68" s="206">
        <f>Output_EB_RIN_SCS!K116*10^6</f>
        <v>29444843.897374325</v>
      </c>
      <c r="R68" s="206">
        <f>Output_EB_RIN_SCS!L116*10^6</f>
        <v>30922463.155114897</v>
      </c>
      <c r="S68" s="206">
        <f>Output_EB_RIN_SCS!M116*10^6</f>
        <v>32243630.749502026</v>
      </c>
      <c r="T68" s="207">
        <f>Output_EB_RIN_SCS!N116*10^6</f>
        <v>33029189.859678157</v>
      </c>
      <c r="U68" s="208">
        <f>Output_EB_RIN_SCS!O116*10^6</f>
        <v>33993285.131257951</v>
      </c>
      <c r="V68" s="206">
        <f>Output_EB_RIN_SCS!P116*10^6</f>
        <v>35100209.331960671</v>
      </c>
      <c r="W68" s="206">
        <f>Output_EB_RIN_SCS!Q116*10^6</f>
        <v>35671525.0484524</v>
      </c>
      <c r="X68" s="206">
        <f>Output_EB_RIN_SCS!R116*10^6</f>
        <v>33025000</v>
      </c>
      <c r="Y68" s="207">
        <f>Output_EB_RIN_SCS!S116*10^6</f>
        <v>34471252.90902666</v>
      </c>
      <c r="Z68" s="209">
        <f>Output_EB_RIN_SCS!T116*10^6</f>
        <v>34929125.338558324</v>
      </c>
      <c r="AA68" s="207">
        <f>Output_EB_RIN_SCS!U116*10^6</f>
        <v>35386997.768089987</v>
      </c>
      <c r="AB68" s="157"/>
      <c r="AC68" s="205" t="str">
        <f>IFERROR(Output_EB_RIN_ACS!J116*10^6,NA)</f>
        <v>N/A</v>
      </c>
      <c r="AD68" s="206" t="str">
        <f>IFERROR(Output_EB_RIN_ACS!K116*10^6,NA)</f>
        <v>N/A</v>
      </c>
      <c r="AE68" s="206" t="str">
        <f>IFERROR(Output_EB_RIN_ACS!L116*10^6,NA)</f>
        <v>N/A</v>
      </c>
      <c r="AF68" s="206" t="str">
        <f>IFERROR(Output_EB_RIN_ACS!M116*10^6,NA)</f>
        <v>N/A</v>
      </c>
      <c r="AG68" s="207" t="str">
        <f>IFERROR(Output_EB_RIN_ACS!N116*10^6,NA)</f>
        <v>N/A</v>
      </c>
      <c r="AH68" s="208" t="str">
        <f>IFERROR(Output_EB_RIN_ACS!O116*10^6,NA)</f>
        <v>N/A</v>
      </c>
      <c r="AI68" s="206" t="str">
        <f>IFERROR(Output_EB_RIN_ACS!P116*10^6,NA)</f>
        <v>N/A</v>
      </c>
      <c r="AJ68" s="206" t="str">
        <f>IFERROR(Output_EB_RIN_ACS!Q116*10^6,NA)</f>
        <v>N/A</v>
      </c>
      <c r="AK68" s="206" t="str">
        <f>IFERROR(Output_EB_RIN_ACS!R116*10^6,NA)</f>
        <v>N/A</v>
      </c>
      <c r="AL68" s="207" t="str">
        <f>IFERROR(Output_EB_RIN_ACS!S116*10^6,NA)</f>
        <v>N/A</v>
      </c>
      <c r="AM68" s="209" t="str">
        <f>IFERROR(Output_EB_RIN_ACS!T116*10^6,NA)</f>
        <v>N/A</v>
      </c>
      <c r="AN68" s="207" t="str">
        <f>IFERROR(Output_EB_RIN_ACS!U116*10^6,NA)</f>
        <v>N/A</v>
      </c>
      <c r="AO68" s="157"/>
      <c r="AP68" s="157"/>
      <c r="AQ68" s="157"/>
      <c r="AR68" s="157"/>
      <c r="AS68" s="157"/>
      <c r="AT68" s="157"/>
      <c r="AU68" s="157"/>
      <c r="AV68" s="157"/>
      <c r="AW68" s="157"/>
      <c r="AX68" s="157"/>
      <c r="AY68" s="157"/>
      <c r="AZ68" s="157"/>
      <c r="BA68" s="157"/>
      <c r="BB68" s="157"/>
      <c r="BC68" s="157"/>
      <c r="BD68" s="157"/>
    </row>
    <row r="69" spans="1:56" outlineLevel="2" x14ac:dyDescent="0.55000000000000004">
      <c r="A69" s="179" t="s">
        <v>334</v>
      </c>
      <c r="B69" s="186" t="s">
        <v>281</v>
      </c>
      <c r="C69" s="210">
        <f>Output_EB_RIN_NS!J117*10^6</f>
        <v>819506.36793439533</v>
      </c>
      <c r="D69" s="211">
        <f>Output_EB_RIN_NS!K117*10^6</f>
        <v>731765.35129568912</v>
      </c>
      <c r="E69" s="211">
        <f>Output_EB_RIN_NS!L117*10^6</f>
        <v>1321167.5943871264</v>
      </c>
      <c r="F69" s="211">
        <f>Output_EB_RIN_NS!M117*10^6</f>
        <v>785559.1101761295</v>
      </c>
      <c r="G69" s="212">
        <f>Output_EB_RIN_NS!N117*10^6</f>
        <v>964095.27157979226</v>
      </c>
      <c r="H69" s="213">
        <f>Output_EB_RIN_NS!O117*10^6</f>
        <v>1106924.2007027233</v>
      </c>
      <c r="I69" s="211">
        <f>Output_EB_RIN_NS!P117*10^6</f>
        <v>571315.71649173519</v>
      </c>
      <c r="J69" s="211">
        <f>Output_EB_RIN_NS!Q117*10^6</f>
        <v>892680.80701832811</v>
      </c>
      <c r="K69" s="211">
        <f>Output_EB_RIN_NS!R117*10^6</f>
        <v>809075.72383073519</v>
      </c>
      <c r="L69" s="212">
        <f>Output_EB_RIN_NS!S117*10^6</f>
        <v>457872.42953166028</v>
      </c>
      <c r="M69" s="214">
        <f>Output_EB_RIN_NS!T117*10^6</f>
        <v>457872.42953166843</v>
      </c>
      <c r="N69" s="212">
        <f>Output_EB_RIN_NS!U117*10^6</f>
        <v>752218.99137344479</v>
      </c>
      <c r="P69" s="210">
        <f>Output_EB_RIN_SCS!J117*10^6</f>
        <v>819506.36793439533</v>
      </c>
      <c r="Q69" s="211">
        <f>Output_EB_RIN_SCS!K117*10^6</f>
        <v>731765.35129568912</v>
      </c>
      <c r="R69" s="211">
        <f>Output_EB_RIN_SCS!L117*10^6</f>
        <v>1321167.5943871264</v>
      </c>
      <c r="S69" s="211">
        <f>Output_EB_RIN_SCS!M117*10^6</f>
        <v>785559.1101761295</v>
      </c>
      <c r="T69" s="212">
        <f>Output_EB_RIN_SCS!N117*10^6</f>
        <v>964095.27157979226</v>
      </c>
      <c r="U69" s="213">
        <f>Output_EB_RIN_SCS!O117*10^6</f>
        <v>1106924.2007027233</v>
      </c>
      <c r="V69" s="211">
        <f>Output_EB_RIN_SCS!P117*10^6</f>
        <v>571315.71649173519</v>
      </c>
      <c r="W69" s="211">
        <f>Output_EB_RIN_SCS!Q117*10^6</f>
        <v>892680.80701832811</v>
      </c>
      <c r="X69" s="211">
        <f>Output_EB_RIN_SCS!R117*10^6</f>
        <v>809075.72383073519</v>
      </c>
      <c r="Y69" s="212">
        <f>Output_EB_RIN_SCS!S117*10^6</f>
        <v>457872.42953166028</v>
      </c>
      <c r="Z69" s="214">
        <f>Output_EB_RIN_SCS!T117*10^6</f>
        <v>457872.42953166843</v>
      </c>
      <c r="AA69" s="212">
        <f>Output_EB_RIN_SCS!U117*10^6</f>
        <v>752218.99137344479</v>
      </c>
      <c r="AB69" s="157"/>
      <c r="AC69" s="210" t="str">
        <f>IFERROR(Output_EB_RIN_ACS!J117*10^6,NA)</f>
        <v>N/A</v>
      </c>
      <c r="AD69" s="211" t="str">
        <f>IFERROR(Output_EB_RIN_ACS!K117*10^6,NA)</f>
        <v>N/A</v>
      </c>
      <c r="AE69" s="211" t="str">
        <f>IFERROR(Output_EB_RIN_ACS!L117*10^6,NA)</f>
        <v>N/A</v>
      </c>
      <c r="AF69" s="211" t="str">
        <f>IFERROR(Output_EB_RIN_ACS!M117*10^6,NA)</f>
        <v>N/A</v>
      </c>
      <c r="AG69" s="212" t="str">
        <f>IFERROR(Output_EB_RIN_ACS!N117*10^6,NA)</f>
        <v>N/A</v>
      </c>
      <c r="AH69" s="213" t="str">
        <f>IFERROR(Output_EB_RIN_ACS!O117*10^6,NA)</f>
        <v>N/A</v>
      </c>
      <c r="AI69" s="211" t="str">
        <f>IFERROR(Output_EB_RIN_ACS!P117*10^6,NA)</f>
        <v>N/A</v>
      </c>
      <c r="AJ69" s="211" t="str">
        <f>IFERROR(Output_EB_RIN_ACS!Q117*10^6,NA)</f>
        <v>N/A</v>
      </c>
      <c r="AK69" s="211" t="str">
        <f>IFERROR(Output_EB_RIN_ACS!R117*10^6,NA)</f>
        <v>N/A</v>
      </c>
      <c r="AL69" s="212" t="str">
        <f>IFERROR(Output_EB_RIN_ACS!S117*10^6,NA)</f>
        <v>N/A</v>
      </c>
      <c r="AM69" s="214" t="str">
        <f>IFERROR(Output_EB_RIN_ACS!T117*10^6,NA)</f>
        <v>N/A</v>
      </c>
      <c r="AN69" s="212" t="str">
        <f>IFERROR(Output_EB_RIN_ACS!U117*10^6,NA)</f>
        <v>N/A</v>
      </c>
      <c r="AO69" s="157"/>
      <c r="AP69" s="157"/>
      <c r="AQ69" s="157"/>
      <c r="AR69" s="157"/>
      <c r="AS69" s="157"/>
      <c r="AT69" s="157"/>
      <c r="AU69" s="157"/>
      <c r="AV69" s="157"/>
      <c r="AW69" s="157"/>
      <c r="AX69" s="157"/>
      <c r="AY69" s="157"/>
      <c r="AZ69" s="157"/>
      <c r="BA69" s="157"/>
      <c r="BB69" s="157"/>
      <c r="BC69" s="157"/>
      <c r="BD69" s="157"/>
    </row>
    <row r="70" spans="1:56" outlineLevel="2" x14ac:dyDescent="0.55000000000000004">
      <c r="A70" s="179" t="s">
        <v>335</v>
      </c>
      <c r="B70" s="186" t="s">
        <v>285</v>
      </c>
      <c r="C70" s="210">
        <f>(Output_EB_RIN_NS!J119+Output_EB_RIN_NS!J118)*10^6</f>
        <v>591390.52635087736</v>
      </c>
      <c r="D70" s="211">
        <f>(Output_EB_RIN_NS!K119+Output_EB_RIN_NS!K118)*10^6</f>
        <v>745853.90644488554</v>
      </c>
      <c r="E70" s="211">
        <f>(Output_EB_RIN_NS!L119+Output_EB_RIN_NS!L118)*10^6</f>
        <v>0</v>
      </c>
      <c r="F70" s="211">
        <f>(Output_EB_RIN_NS!M119+Output_EB_RIN_NS!M118)*10^6</f>
        <v>0</v>
      </c>
      <c r="G70" s="212">
        <f>(Output_EB_RIN_NS!N119+Output_EB_RIN_NS!N118)*10^6</f>
        <v>0</v>
      </c>
      <c r="H70" s="213">
        <f>(Output_EB_RIN_NS!O119+Output_EB_RIN_NS!O118)*10^6</f>
        <v>0</v>
      </c>
      <c r="I70" s="211">
        <f>(Output_EB_RIN_NS!P119+Output_EB_RIN_NS!P118)*10^6</f>
        <v>0</v>
      </c>
      <c r="J70" s="211">
        <f>(Output_EB_RIN_NS!Q119+Output_EB_RIN_NS!Q118)*10^6</f>
        <v>-44607.753397497785</v>
      </c>
      <c r="K70" s="211">
        <f>(Output_EB_RIN_NS!R119+Output_EB_RIN_NS!R118)*10^6</f>
        <v>637177.18519592343</v>
      </c>
      <c r="L70" s="212">
        <f>(Output_EB_RIN_NS!S119+Output_EB_RIN_NS!S118)*10^6</f>
        <v>0</v>
      </c>
      <c r="M70" s="214">
        <f>(Output_EB_RIN_NS!T119+Output_EB_RIN_NS!T118)*10^6</f>
        <v>0</v>
      </c>
      <c r="N70" s="212">
        <f>(Output_EB_RIN_NS!U119+Output_EB_RIN_NS!U118)*10^6</f>
        <v>-108.1144242647495</v>
      </c>
      <c r="P70" s="210">
        <f>(Output_EB_RIN_SCS!J119+Output_EB_RIN_SCS!J118)*10^6</f>
        <v>591390.52635087736</v>
      </c>
      <c r="Q70" s="211">
        <f>(Output_EB_RIN_SCS!K119+Output_EB_RIN_SCS!K118)*10^6</f>
        <v>745853.90644488554</v>
      </c>
      <c r="R70" s="211">
        <f>(Output_EB_RIN_SCS!L119+Output_EB_RIN_SCS!L118)*10^6</f>
        <v>0</v>
      </c>
      <c r="S70" s="211">
        <f>(Output_EB_RIN_SCS!M119+Output_EB_RIN_SCS!M118)*10^6</f>
        <v>0</v>
      </c>
      <c r="T70" s="212">
        <f>(Output_EB_RIN_SCS!N119+Output_EB_RIN_SCS!N118)*10^6</f>
        <v>0</v>
      </c>
      <c r="U70" s="213">
        <f>(Output_EB_RIN_SCS!O119+Output_EB_RIN_SCS!O118)*10^6</f>
        <v>0</v>
      </c>
      <c r="V70" s="211">
        <f>(Output_EB_RIN_SCS!P119+Output_EB_RIN_SCS!P118)*10^6</f>
        <v>0</v>
      </c>
      <c r="W70" s="211">
        <f>(Output_EB_RIN_SCS!Q119+Output_EB_RIN_SCS!Q118)*10^6</f>
        <v>-44607.753397497785</v>
      </c>
      <c r="X70" s="211">
        <f>(Output_EB_RIN_SCS!R119+Output_EB_RIN_SCS!R118)*10^6</f>
        <v>637177.18519592343</v>
      </c>
      <c r="Y70" s="212">
        <f>(Output_EB_RIN_SCS!S119+Output_EB_RIN_SCS!S118)*10^6</f>
        <v>0</v>
      </c>
      <c r="Z70" s="214">
        <f>(Output_EB_RIN_SCS!T119+Output_EB_RIN_SCS!T118)*10^6</f>
        <v>0</v>
      </c>
      <c r="AA70" s="212">
        <f>(Output_EB_RIN_SCS!U119+Output_EB_RIN_SCS!U118)*10^6</f>
        <v>-108.1144242647495</v>
      </c>
      <c r="AB70" s="157"/>
      <c r="AC70" s="210" t="str">
        <f>IFERROR(Output_EB_RIN_ACS!J119*10^6,NA)</f>
        <v>N/A</v>
      </c>
      <c r="AD70" s="211" t="str">
        <f>IFERROR(Output_EB_RIN_ACS!K119*10^6,NA)</f>
        <v>N/A</v>
      </c>
      <c r="AE70" s="211" t="str">
        <f>IFERROR(Output_EB_RIN_ACS!L119*10^6,NA)</f>
        <v>N/A</v>
      </c>
      <c r="AF70" s="211" t="str">
        <f>IFERROR(Output_EB_RIN_ACS!M119*10^6,NA)</f>
        <v>N/A</v>
      </c>
      <c r="AG70" s="212" t="str">
        <f>IFERROR(Output_EB_RIN_ACS!N119*10^6,NA)</f>
        <v>N/A</v>
      </c>
      <c r="AH70" s="213" t="str">
        <f>IFERROR(Output_EB_RIN_ACS!O119*10^6,NA)</f>
        <v>N/A</v>
      </c>
      <c r="AI70" s="211" t="str">
        <f>IFERROR(Output_EB_RIN_ACS!P119*10^6,NA)</f>
        <v>N/A</v>
      </c>
      <c r="AJ70" s="211" t="str">
        <f>IFERROR(Output_EB_RIN_ACS!Q119*10^6,NA)</f>
        <v>N/A</v>
      </c>
      <c r="AK70" s="211" t="str">
        <f>IFERROR(Output_EB_RIN_ACS!R119*10^6,NA)</f>
        <v>N/A</v>
      </c>
      <c r="AL70" s="212" t="str">
        <f>IFERROR(Output_EB_RIN_ACS!S119*10^6,NA)</f>
        <v>N/A</v>
      </c>
      <c r="AM70" s="214" t="str">
        <f>IFERROR(Output_EB_RIN_ACS!T119*10^6,NA)</f>
        <v>N/A</v>
      </c>
      <c r="AN70" s="212" t="str">
        <f>IFERROR(Output_EB_RIN_ACS!U119*10^6,NA)</f>
        <v>N/A</v>
      </c>
      <c r="AO70" s="157"/>
      <c r="AP70" s="157"/>
      <c r="AQ70" s="157"/>
      <c r="AR70" s="157"/>
      <c r="AS70" s="157"/>
      <c r="AT70" s="157"/>
      <c r="AU70" s="157"/>
      <c r="AV70" s="157"/>
      <c r="AW70" s="157"/>
      <c r="AX70" s="157"/>
      <c r="AY70" s="157"/>
      <c r="AZ70" s="157"/>
      <c r="BA70" s="157"/>
      <c r="BB70" s="157"/>
      <c r="BC70" s="157"/>
      <c r="BD70" s="157"/>
    </row>
    <row r="71" spans="1:56" outlineLevel="2" x14ac:dyDescent="0.55000000000000004">
      <c r="A71" s="179" t="s">
        <v>336</v>
      </c>
      <c r="B71" s="186" t="s">
        <v>287</v>
      </c>
      <c r="C71" s="210">
        <f>Output_EB_RIN_NS!J120*10^6</f>
        <v>0</v>
      </c>
      <c r="D71" s="211">
        <f>Output_EB_RIN_NS!K120*10^6</f>
        <v>0</v>
      </c>
      <c r="E71" s="211">
        <f>Output_EB_RIN_NS!L120*10^6</f>
        <v>0</v>
      </c>
      <c r="F71" s="211">
        <f>Output_EB_RIN_NS!M120*10^6</f>
        <v>0</v>
      </c>
      <c r="G71" s="212">
        <f>Output_EB_RIN_NS!N120*10^6</f>
        <v>0</v>
      </c>
      <c r="H71" s="213">
        <f>Output_EB_RIN_NS!O120*10^6</f>
        <v>0</v>
      </c>
      <c r="I71" s="211">
        <f>Output_EB_RIN_NS!P120*10^6</f>
        <v>0</v>
      </c>
      <c r="J71" s="211">
        <f>Output_EB_RIN_NS!Q120*10^6</f>
        <v>-3494598.102073234</v>
      </c>
      <c r="K71" s="211">
        <f>Output_EB_RIN_NS!R120*10^6</f>
        <v>0</v>
      </c>
      <c r="L71" s="212">
        <f>Output_EB_RIN_NS!S120*10^6</f>
        <v>0</v>
      </c>
      <c r="M71" s="214">
        <f>Output_EB_RIN_NS!T120*10^6</f>
        <v>0</v>
      </c>
      <c r="N71" s="212">
        <f>Output_EB_RIN_NS!U120*10^6</f>
        <v>-10225.930087984345</v>
      </c>
      <c r="P71" s="210">
        <f>Output_EB_RIN_SCS!J120*10^6</f>
        <v>0</v>
      </c>
      <c r="Q71" s="211">
        <f>Output_EB_RIN_SCS!K120*10^6</f>
        <v>0</v>
      </c>
      <c r="R71" s="211">
        <f>Output_EB_RIN_SCS!L120*10^6</f>
        <v>0</v>
      </c>
      <c r="S71" s="211">
        <f>Output_EB_RIN_SCS!M120*10^6</f>
        <v>0</v>
      </c>
      <c r="T71" s="212">
        <f>Output_EB_RIN_SCS!N120*10^6</f>
        <v>0</v>
      </c>
      <c r="U71" s="213">
        <f>Output_EB_RIN_SCS!O120*10^6</f>
        <v>0</v>
      </c>
      <c r="V71" s="211">
        <f>Output_EB_RIN_SCS!P120*10^6</f>
        <v>0</v>
      </c>
      <c r="W71" s="211">
        <f>Output_EB_RIN_SCS!Q120*10^6</f>
        <v>-3494598.102073234</v>
      </c>
      <c r="X71" s="211">
        <f>Output_EB_RIN_SCS!R120*10^6</f>
        <v>0</v>
      </c>
      <c r="Y71" s="212">
        <f>Output_EB_RIN_SCS!S120*10^6</f>
        <v>0</v>
      </c>
      <c r="Z71" s="214">
        <f>Output_EB_RIN_SCS!T120*10^6</f>
        <v>0</v>
      </c>
      <c r="AA71" s="212">
        <f>Output_EB_RIN_SCS!U120*10^6</f>
        <v>-10225.930087984345</v>
      </c>
      <c r="AB71" s="157"/>
      <c r="AC71" s="210" t="str">
        <f>IFERROR(Output_EB_RIN_ACS!J120*10^6,NA)</f>
        <v>N/A</v>
      </c>
      <c r="AD71" s="211" t="str">
        <f>IFERROR(Output_EB_RIN_ACS!K120*10^6,NA)</f>
        <v>N/A</v>
      </c>
      <c r="AE71" s="211" t="str">
        <f>IFERROR(Output_EB_RIN_ACS!L120*10^6,NA)</f>
        <v>N/A</v>
      </c>
      <c r="AF71" s="211" t="str">
        <f>IFERROR(Output_EB_RIN_ACS!M120*10^6,NA)</f>
        <v>N/A</v>
      </c>
      <c r="AG71" s="212" t="str">
        <f>IFERROR(Output_EB_RIN_ACS!N120*10^6,NA)</f>
        <v>N/A</v>
      </c>
      <c r="AH71" s="213" t="str">
        <f>IFERROR(Output_EB_RIN_ACS!O120*10^6,NA)</f>
        <v>N/A</v>
      </c>
      <c r="AI71" s="211" t="str">
        <f>IFERROR(Output_EB_RIN_ACS!P120*10^6,NA)</f>
        <v>N/A</v>
      </c>
      <c r="AJ71" s="211" t="str">
        <f>IFERROR(Output_EB_RIN_ACS!Q120*10^6,NA)</f>
        <v>N/A</v>
      </c>
      <c r="AK71" s="211" t="str">
        <f>IFERROR(Output_EB_RIN_ACS!R120*10^6,NA)</f>
        <v>N/A</v>
      </c>
      <c r="AL71" s="212" t="str">
        <f>IFERROR(Output_EB_RIN_ACS!S120*10^6,NA)</f>
        <v>N/A</v>
      </c>
      <c r="AM71" s="214" t="str">
        <f>IFERROR(Output_EB_RIN_ACS!T120*10^6,NA)</f>
        <v>N/A</v>
      </c>
      <c r="AN71" s="212" t="str">
        <f>IFERROR(Output_EB_RIN_ACS!U120*10^6,NA)</f>
        <v>N/A</v>
      </c>
      <c r="AO71" s="157"/>
      <c r="AP71" s="157"/>
      <c r="AQ71" s="157"/>
      <c r="AR71" s="157"/>
      <c r="AS71" s="157"/>
      <c r="AT71" s="157"/>
      <c r="AU71" s="157"/>
      <c r="AV71" s="157"/>
      <c r="AW71" s="157"/>
      <c r="AX71" s="157"/>
      <c r="AY71" s="157"/>
      <c r="AZ71" s="157"/>
      <c r="BA71" s="157"/>
      <c r="BB71" s="157"/>
      <c r="BC71" s="157"/>
      <c r="BD71" s="157"/>
    </row>
    <row r="72" spans="1:56" ht="14.7" outlineLevel="2" thickBot="1" x14ac:dyDescent="0.6">
      <c r="A72" s="179" t="s">
        <v>337</v>
      </c>
      <c r="B72" s="192" t="s">
        <v>289</v>
      </c>
      <c r="C72" s="193">
        <f>SUM(C68:C71)</f>
        <v>29444843.897374325</v>
      </c>
      <c r="D72" s="194">
        <f t="shared" ref="D72:N72" si="181">SUM(D68:D71)</f>
        <v>30922463.155114897</v>
      </c>
      <c r="E72" s="194">
        <f t="shared" si="181"/>
        <v>32243630.749502022</v>
      </c>
      <c r="F72" s="194">
        <f t="shared" si="181"/>
        <v>33029189.859678157</v>
      </c>
      <c r="G72" s="195">
        <f t="shared" si="181"/>
        <v>33993285.131257951</v>
      </c>
      <c r="H72" s="196">
        <f t="shared" si="181"/>
        <v>35100209.331960678</v>
      </c>
      <c r="I72" s="194">
        <f t="shared" si="181"/>
        <v>35671525.048452407</v>
      </c>
      <c r="J72" s="194">
        <f t="shared" si="181"/>
        <v>33024999.999999996</v>
      </c>
      <c r="K72" s="194">
        <f t="shared" si="181"/>
        <v>34471252.90902666</v>
      </c>
      <c r="L72" s="195">
        <f t="shared" si="181"/>
        <v>34929125.338558324</v>
      </c>
      <c r="M72" s="197">
        <f t="shared" si="181"/>
        <v>35386997.768089995</v>
      </c>
      <c r="N72" s="195">
        <f t="shared" si="181"/>
        <v>36128882.71495118</v>
      </c>
      <c r="P72" s="193">
        <f t="shared" ref="P72:AA72" si="182">SUM(P68:P71)</f>
        <v>29444843.897374325</v>
      </c>
      <c r="Q72" s="194">
        <f t="shared" si="182"/>
        <v>30922463.155114897</v>
      </c>
      <c r="R72" s="194">
        <f t="shared" si="182"/>
        <v>32243630.749502022</v>
      </c>
      <c r="S72" s="194">
        <f t="shared" si="182"/>
        <v>33029189.859678157</v>
      </c>
      <c r="T72" s="195">
        <f t="shared" si="182"/>
        <v>33993285.131257951</v>
      </c>
      <c r="U72" s="196">
        <f t="shared" si="182"/>
        <v>35100209.331960678</v>
      </c>
      <c r="V72" s="194">
        <f t="shared" si="182"/>
        <v>35671525.048452407</v>
      </c>
      <c r="W72" s="194">
        <f t="shared" si="182"/>
        <v>33024999.999999996</v>
      </c>
      <c r="X72" s="194">
        <f t="shared" si="182"/>
        <v>34471252.90902666</v>
      </c>
      <c r="Y72" s="195">
        <f t="shared" si="182"/>
        <v>34929125.338558324</v>
      </c>
      <c r="Z72" s="197">
        <f t="shared" si="182"/>
        <v>35386997.768089995</v>
      </c>
      <c r="AA72" s="195">
        <f t="shared" si="182"/>
        <v>36128882.71495118</v>
      </c>
      <c r="AB72" s="157"/>
      <c r="AC72" s="193">
        <f t="shared" ref="AC72:AN72" si="183">SUM(AC68:AC71)</f>
        <v>0</v>
      </c>
      <c r="AD72" s="194">
        <f t="shared" si="183"/>
        <v>0</v>
      </c>
      <c r="AE72" s="194">
        <f t="shared" si="183"/>
        <v>0</v>
      </c>
      <c r="AF72" s="194">
        <f t="shared" si="183"/>
        <v>0</v>
      </c>
      <c r="AG72" s="195">
        <f t="shared" si="183"/>
        <v>0</v>
      </c>
      <c r="AH72" s="196">
        <f t="shared" si="183"/>
        <v>0</v>
      </c>
      <c r="AI72" s="194">
        <f t="shared" si="183"/>
        <v>0</v>
      </c>
      <c r="AJ72" s="194">
        <f t="shared" si="183"/>
        <v>0</v>
      </c>
      <c r="AK72" s="194">
        <f t="shared" si="183"/>
        <v>0</v>
      </c>
      <c r="AL72" s="195">
        <f t="shared" si="183"/>
        <v>0</v>
      </c>
      <c r="AM72" s="197">
        <f t="shared" si="183"/>
        <v>0</v>
      </c>
      <c r="AN72" s="195">
        <f t="shared" si="183"/>
        <v>0</v>
      </c>
      <c r="AO72" s="157"/>
      <c r="AP72" s="157"/>
      <c r="AQ72" s="157"/>
      <c r="AR72" s="157"/>
      <c r="AS72" s="157"/>
      <c r="AT72" s="157"/>
      <c r="AU72" s="157"/>
      <c r="AV72" s="157"/>
      <c r="AW72" s="157"/>
      <c r="AX72" s="157"/>
      <c r="AY72" s="157"/>
      <c r="AZ72" s="157"/>
      <c r="BA72" s="157"/>
      <c r="BB72" s="157"/>
      <c r="BC72" s="157"/>
      <c r="BD72" s="157"/>
    </row>
    <row r="73" spans="1:56" ht="20.2" customHeight="1" outlineLevel="1" thickBot="1" x14ac:dyDescent="0.6">
      <c r="A73" s="70">
        <f>IF(SUM(C73:N73,P73:AA73,AC73:AN73)&lt;&gt;0,1,0)</f>
        <v>0</v>
      </c>
      <c r="B73" s="201" t="s">
        <v>338</v>
      </c>
      <c r="C73" s="327">
        <f>IF(ROUND(C72-(Output_EB_RIN_NS!J122*10^6),4)=0,0,1)</f>
        <v>0</v>
      </c>
      <c r="D73" s="327">
        <f>IF(ROUND(D72-(Output_EB_RIN_NS!K122*10^6),4)=0,0,1)</f>
        <v>0</v>
      </c>
      <c r="E73" s="327">
        <f>IF(ROUND(E72-(Output_EB_RIN_NS!L122*10^6),4)=0,0,1)</f>
        <v>0</v>
      </c>
      <c r="F73" s="327">
        <f>IF(ROUND(F72-(Output_EB_RIN_NS!M122*10^6),4)=0,0,1)</f>
        <v>0</v>
      </c>
      <c r="G73" s="327">
        <f>IF(ROUND(G72-(Output_EB_RIN_NS!N122*10^6),4)=0,0,1)</f>
        <v>0</v>
      </c>
      <c r="H73" s="327">
        <f>IF(ROUND(H72-(Output_EB_RIN_NS!O122*10^6),4)=0,0,1)</f>
        <v>0</v>
      </c>
      <c r="I73" s="327">
        <f>IF(ROUND(I72-(Output_EB_RIN_NS!P122*10^6),4)=0,0,1)</f>
        <v>0</v>
      </c>
      <c r="J73" s="327">
        <f>IF(ROUND(J72-(Output_EB_RIN_NS!Q122*10^6),4)=0,0,1)</f>
        <v>0</v>
      </c>
      <c r="K73" s="327">
        <f>IF(ROUND(K72-(Output_EB_RIN_NS!R122*10^6),4)=0,0,1)</f>
        <v>0</v>
      </c>
      <c r="L73" s="327">
        <f>IF(ROUND(L72-(Output_EB_RIN_NS!S122*10^6),4)=0,0,1)</f>
        <v>0</v>
      </c>
      <c r="M73" s="327">
        <f>IF(ROUND(M72-(Output_EB_RIN_NS!T122*10^6),4)=0,0,1)</f>
        <v>0</v>
      </c>
      <c r="N73" s="327">
        <f>IF(ROUND(N72-(Output_EB_RIN_NS!U122*10^6),4)=0,0,1)</f>
        <v>0</v>
      </c>
      <c r="P73" s="327">
        <f>IF(ROUND(P72-(Output_EB_RIN_SCS!J122*10^6),4)=0,0,1)</f>
        <v>0</v>
      </c>
      <c r="Q73" s="327">
        <f>IF(ROUND(Q72-(Output_EB_RIN_SCS!K122*10^6),4)=0,0,1)</f>
        <v>0</v>
      </c>
      <c r="R73" s="327">
        <f>IF(ROUND(R72-(Output_EB_RIN_SCS!L122*10^6),4)=0,0,1)</f>
        <v>0</v>
      </c>
      <c r="S73" s="327">
        <f>IF(ROUND(S72-(Output_EB_RIN_SCS!M122*10^6),4)=0,0,1)</f>
        <v>0</v>
      </c>
      <c r="T73" s="327">
        <f>IF(ROUND(T72-(Output_EB_RIN_SCS!N122*10^6),4)=0,0,1)</f>
        <v>0</v>
      </c>
      <c r="U73" s="327">
        <f>IF(ROUND(U72-(Output_EB_RIN_SCS!O122*10^6),4)=0,0,1)</f>
        <v>0</v>
      </c>
      <c r="V73" s="327">
        <f>IF(ROUND(V72-(Output_EB_RIN_SCS!P122*10^6),4)=0,0,1)</f>
        <v>0</v>
      </c>
      <c r="W73" s="327">
        <f>IF(ROUND(W72-(Output_EB_RIN_SCS!Q122*10^6),4)=0,0,1)</f>
        <v>0</v>
      </c>
      <c r="X73" s="327">
        <f>IF(ROUND(X72-(Output_EB_RIN_SCS!R122*10^6),4)=0,0,1)</f>
        <v>0</v>
      </c>
      <c r="Y73" s="327">
        <f>IF(ROUND(Y72-(Output_EB_RIN_SCS!S122*10^6),4)=0,0,1)</f>
        <v>0</v>
      </c>
      <c r="Z73" s="327">
        <f>IF(ROUND(Z72-(Output_EB_RIN_SCS!T122*10^6),4)=0,0,1)</f>
        <v>0</v>
      </c>
      <c r="AA73" s="327">
        <f>IF(ROUND(AA72-(Output_EB_RIN_SCS!U122*10^6),4)=0,0,1)</f>
        <v>0</v>
      </c>
      <c r="AB73" s="157"/>
      <c r="AC73" s="327">
        <f>IF(ROUND(AC72-(Output_EB_RIN_ACS!J122*10^6),4)=0,0,1)</f>
        <v>0</v>
      </c>
      <c r="AD73" s="327">
        <f>IF(ROUND(AD72-(Output_EB_RIN_ACS!K122*10^6),4)=0,0,1)</f>
        <v>0</v>
      </c>
      <c r="AE73" s="327">
        <f>IF(ROUND(AE72-(Output_EB_RIN_ACS!L122*10^6),4)=0,0,1)</f>
        <v>0</v>
      </c>
      <c r="AF73" s="327">
        <f>IF(ROUND(AF72-(Output_EB_RIN_ACS!M122*10^6),4)=0,0,1)</f>
        <v>0</v>
      </c>
      <c r="AG73" s="327">
        <f>IF(ROUND(AG72-(Output_EB_RIN_ACS!N122*10^6),4)=0,0,1)</f>
        <v>0</v>
      </c>
      <c r="AH73" s="327">
        <f>IF(ROUND(AH72-(Output_EB_RIN_ACS!O122*10^6),4)=0,0,1)</f>
        <v>0</v>
      </c>
      <c r="AI73" s="327">
        <f>IF(ROUND(AI72-(Output_EB_RIN_ACS!P122*10^6),4)=0,0,1)</f>
        <v>0</v>
      </c>
      <c r="AJ73" s="327">
        <f>IF(ROUND(AJ72-(Output_EB_RIN_ACS!Q122*10^6),4)=0,0,1)</f>
        <v>0</v>
      </c>
      <c r="AK73" s="327">
        <f>IF(ROUND(AK72-(Output_EB_RIN_ACS!R122*10^6),4)=0,0,1)</f>
        <v>0</v>
      </c>
      <c r="AL73" s="327">
        <f>IF(ROUND(AL72-(Output_EB_RIN_ACS!S122*10^6),4)=0,0,1)</f>
        <v>0</v>
      </c>
      <c r="AM73" s="327">
        <f>IF(ROUND(AM72-(Output_EB_RIN_ACS!T122*10^6),4)=0,0,1)</f>
        <v>0</v>
      </c>
      <c r="AN73" s="327">
        <f>IF(ROUND(AN72-(Output_EB_RIN_ACS!U122*10^6),4)=0,0,1)</f>
        <v>0</v>
      </c>
      <c r="AO73" s="157"/>
      <c r="AP73" s="157"/>
      <c r="AQ73" s="157"/>
      <c r="AR73" s="157"/>
      <c r="AS73" s="157"/>
      <c r="AT73" s="157"/>
      <c r="AU73" s="157"/>
      <c r="AV73" s="157"/>
      <c r="AW73" s="157"/>
      <c r="AX73" s="157"/>
      <c r="AY73" s="157"/>
      <c r="AZ73" s="157"/>
      <c r="BA73" s="157"/>
      <c r="BB73" s="157"/>
      <c r="BC73" s="157"/>
      <c r="BD73" s="157"/>
    </row>
    <row r="74" spans="1:56" outlineLevel="2" x14ac:dyDescent="0.55000000000000004">
      <c r="A74" s="179" t="s">
        <v>339</v>
      </c>
      <c r="B74" s="180" t="s">
        <v>279</v>
      </c>
      <c r="C74" s="181">
        <f>Output_EB_RIN_NS!J130*10^6</f>
        <v>0</v>
      </c>
      <c r="D74" s="182">
        <f>Output_EB_RIN_NS!K130*10^6</f>
        <v>0</v>
      </c>
      <c r="E74" s="182">
        <f>Output_EB_RIN_NS!L130*10^6</f>
        <v>0</v>
      </c>
      <c r="F74" s="182">
        <f>Output_EB_RIN_NS!M130*10^6</f>
        <v>0</v>
      </c>
      <c r="G74" s="183">
        <f>Output_EB_RIN_NS!N130*10^6</f>
        <v>0</v>
      </c>
      <c r="H74" s="184">
        <f>Output_EB_RIN_NS!O130*10^6</f>
        <v>0</v>
      </c>
      <c r="I74" s="182">
        <f>Output_EB_RIN_NS!P130*10^6</f>
        <v>0</v>
      </c>
      <c r="J74" s="182">
        <f>Output_EB_RIN_NS!Q130*10^6</f>
        <v>0</v>
      </c>
      <c r="K74" s="182">
        <f>Output_EB_RIN_NS!R130*10^6</f>
        <v>0</v>
      </c>
      <c r="L74" s="183">
        <f>Output_EB_RIN_NS!S130*10^6</f>
        <v>0</v>
      </c>
      <c r="M74" s="185">
        <f>Output_EB_RIN_NS!T130*10^6</f>
        <v>0</v>
      </c>
      <c r="N74" s="183">
        <f>Output_EB_RIN_NS!U130*10^6</f>
        <v>0</v>
      </c>
      <c r="P74" s="181">
        <f>Output_EB_RIN_SCS!J130*10^6</f>
        <v>0</v>
      </c>
      <c r="Q74" s="182">
        <f>Output_EB_RIN_SCS!K130*10^6</f>
        <v>0</v>
      </c>
      <c r="R74" s="182">
        <f>Output_EB_RIN_SCS!L130*10^6</f>
        <v>0</v>
      </c>
      <c r="S74" s="182">
        <f>Output_EB_RIN_SCS!M130*10^6</f>
        <v>0</v>
      </c>
      <c r="T74" s="183">
        <f>Output_EB_RIN_SCS!N130*10^6</f>
        <v>0</v>
      </c>
      <c r="U74" s="184">
        <f>Output_EB_RIN_SCS!O130*10^6</f>
        <v>0</v>
      </c>
      <c r="V74" s="182">
        <f>Output_EB_RIN_SCS!P130*10^6</f>
        <v>0</v>
      </c>
      <c r="W74" s="182">
        <f>Output_EB_RIN_SCS!Q130*10^6</f>
        <v>0</v>
      </c>
      <c r="X74" s="182">
        <f>Output_EB_RIN_SCS!R130*10^6</f>
        <v>0</v>
      </c>
      <c r="Y74" s="183">
        <f>Output_EB_RIN_SCS!S130*10^6</f>
        <v>0</v>
      </c>
      <c r="Z74" s="185">
        <f>Output_EB_RIN_SCS!T130*10^6</f>
        <v>0</v>
      </c>
      <c r="AA74" s="183">
        <f>Output_EB_RIN_SCS!U130*10^6</f>
        <v>0</v>
      </c>
      <c r="AB74" s="157"/>
      <c r="AC74" s="181">
        <f>IFERROR(Output_EB_RIN_ACS!J130*10^6,NA)</f>
        <v>3607129.2897898955</v>
      </c>
      <c r="AD74" s="182">
        <f>IFERROR(Output_EB_RIN_ACS!K130*10^6,NA)</f>
        <v>3741776.7788194758</v>
      </c>
      <c r="AE74" s="182">
        <f>IFERROR(Output_EB_RIN_ACS!L130*10^6,NA)</f>
        <v>3874216.2665417762</v>
      </c>
      <c r="AF74" s="182">
        <f>IFERROR(Output_EB_RIN_ACS!M130*10^6,NA)</f>
        <v>4493627.8567248816</v>
      </c>
      <c r="AG74" s="183">
        <f>IFERROR(Output_EB_RIN_ACS!N130*10^6,NA)</f>
        <v>5120998.2106660903</v>
      </c>
      <c r="AH74" s="184">
        <f>IFERROR(Output_EB_RIN_ACS!O130*10^6,NA)</f>
        <v>5787433.3599239662</v>
      </c>
      <c r="AI74" s="182">
        <f>IFERROR(Output_EB_RIN_ACS!P130*10^6,NA)</f>
        <v>6252538.9109370513</v>
      </c>
      <c r="AJ74" s="182">
        <f>IFERROR(Output_EB_RIN_ACS!Q130*10^6,NA)</f>
        <v>6707825.5713431882</v>
      </c>
      <c r="AK74" s="182">
        <f>IFERROR(Output_EB_RIN_ACS!R130*10^6,NA)</f>
        <v>7439541.9472342962</v>
      </c>
      <c r="AL74" s="183">
        <f>IFERROR(Output_EB_RIN_ACS!S130*10^6,NA)</f>
        <v>7337106.3938218029</v>
      </c>
      <c r="AM74" s="185">
        <f>IFERROR(Output_EB_RIN_ACS!T130*10^6,NA)</f>
        <v>8264027.951712993</v>
      </c>
      <c r="AN74" s="183">
        <f>IFERROR(Output_EB_RIN_ACS!U130*10^6,NA)</f>
        <v>10191258.788110532</v>
      </c>
      <c r="AO74" s="157"/>
      <c r="AP74" s="157"/>
      <c r="AQ74" s="157"/>
      <c r="AR74" s="157"/>
      <c r="AS74" s="157"/>
      <c r="AT74" s="157"/>
      <c r="AU74" s="157"/>
      <c r="AV74" s="157"/>
      <c r="AW74" s="157"/>
      <c r="AX74" s="157"/>
      <c r="AY74" s="157"/>
      <c r="AZ74" s="157"/>
      <c r="BA74" s="157"/>
      <c r="BB74" s="157"/>
      <c r="BC74" s="157"/>
      <c r="BD74" s="157"/>
    </row>
    <row r="75" spans="1:56" outlineLevel="2" x14ac:dyDescent="0.55000000000000004">
      <c r="A75" s="179" t="s">
        <v>340</v>
      </c>
      <c r="B75" s="186" t="s">
        <v>281</v>
      </c>
      <c r="C75" s="187">
        <f>Output_EB_RIN_NS!J131*10^6</f>
        <v>0</v>
      </c>
      <c r="D75" s="188">
        <f>Output_EB_RIN_NS!K131*10^6</f>
        <v>0</v>
      </c>
      <c r="E75" s="188">
        <f>Output_EB_RIN_NS!L131*10^6</f>
        <v>0</v>
      </c>
      <c r="F75" s="188">
        <f>Output_EB_RIN_NS!M131*10^6</f>
        <v>0</v>
      </c>
      <c r="G75" s="189">
        <f>Output_EB_RIN_NS!N131*10^6</f>
        <v>0</v>
      </c>
      <c r="H75" s="190">
        <f>Output_EB_RIN_NS!O131*10^6</f>
        <v>0</v>
      </c>
      <c r="I75" s="188">
        <f>Output_EB_RIN_NS!P131*10^6</f>
        <v>0</v>
      </c>
      <c r="J75" s="188">
        <f>Output_EB_RIN_NS!Q131*10^6</f>
        <v>0</v>
      </c>
      <c r="K75" s="188">
        <f>Output_EB_RIN_NS!R131*10^6</f>
        <v>0</v>
      </c>
      <c r="L75" s="189">
        <f>Output_EB_RIN_NS!S131*10^6</f>
        <v>0</v>
      </c>
      <c r="M75" s="191">
        <f>Output_EB_RIN_NS!T131*10^6</f>
        <v>0</v>
      </c>
      <c r="N75" s="189">
        <f>Output_EB_RIN_NS!U131*10^6</f>
        <v>0</v>
      </c>
      <c r="P75" s="187">
        <f>Output_EB_RIN_SCS!J131*10^6</f>
        <v>0</v>
      </c>
      <c r="Q75" s="188">
        <f>Output_EB_RIN_SCS!K131*10^6</f>
        <v>0</v>
      </c>
      <c r="R75" s="188">
        <f>Output_EB_RIN_SCS!L131*10^6</f>
        <v>0</v>
      </c>
      <c r="S75" s="188">
        <f>Output_EB_RIN_SCS!M131*10^6</f>
        <v>0</v>
      </c>
      <c r="T75" s="189">
        <f>Output_EB_RIN_SCS!N131*10^6</f>
        <v>0</v>
      </c>
      <c r="U75" s="190">
        <f>Output_EB_RIN_SCS!O131*10^6</f>
        <v>0</v>
      </c>
      <c r="V75" s="188">
        <f>Output_EB_RIN_SCS!P131*10^6</f>
        <v>0</v>
      </c>
      <c r="W75" s="188">
        <f>Output_EB_RIN_SCS!Q131*10^6</f>
        <v>0</v>
      </c>
      <c r="X75" s="188">
        <f>Output_EB_RIN_SCS!R131*10^6</f>
        <v>0</v>
      </c>
      <c r="Y75" s="189">
        <f>Output_EB_RIN_SCS!S131*10^6</f>
        <v>0</v>
      </c>
      <c r="Z75" s="191">
        <f>Output_EB_RIN_SCS!T131*10^6</f>
        <v>0</v>
      </c>
      <c r="AA75" s="189">
        <f>Output_EB_RIN_SCS!U131*10^6</f>
        <v>0</v>
      </c>
      <c r="AB75" s="157"/>
      <c r="AC75" s="187">
        <f>IFERROR(Output_EB_RIN_ACS!J131*10^6,NA)</f>
        <v>105445.92320944906</v>
      </c>
      <c r="AD75" s="188">
        <f>IFERROR(Output_EB_RIN_ACS!K131*10^6,NA)</f>
        <v>92990.902195513074</v>
      </c>
      <c r="AE75" s="188">
        <f>IFERROR(Output_EB_RIN_ACS!L131*10^6,NA)</f>
        <v>165526.56104162327</v>
      </c>
      <c r="AF75" s="188">
        <f>IFERROR(Output_EB_RIN_ACS!M131*10^6,NA)</f>
        <v>109479.30547945453</v>
      </c>
      <c r="AG75" s="189">
        <f>IFERROR(Output_EB_RIN_ACS!N131*10^6,NA)</f>
        <v>149477.78560863144</v>
      </c>
      <c r="AH75" s="190">
        <f>IFERROR(Output_EB_RIN_ACS!O131*10^6,NA)</f>
        <v>188456.33840088482</v>
      </c>
      <c r="AI75" s="188">
        <f>IFERROR(Output_EB_RIN_ACS!P131*10^6,NA)</f>
        <v>101770.72489826423</v>
      </c>
      <c r="AJ75" s="188">
        <f>IFERROR(Output_EB_RIN_ACS!Q131*10^6,NA)</f>
        <v>167863.50278636604</v>
      </c>
      <c r="AK75" s="188">
        <f>IFERROR(Output_EB_RIN_ACS!R131*10^6,NA)</f>
        <v>182260.49313937037</v>
      </c>
      <c r="AL75" s="189">
        <f>IFERROR(Output_EB_RIN_ACS!S131*10^6,NA)</f>
        <v>97456.8211703079</v>
      </c>
      <c r="AM75" s="191">
        <f>IFERROR(Output_EB_RIN_ACS!T131*10^6,NA)</f>
        <v>108329.95442320521</v>
      </c>
      <c r="AN75" s="189">
        <f>IFERROR(Output_EB_RIN_ACS!U131*10^6,NA)</f>
        <v>216634.89105965022</v>
      </c>
      <c r="AO75" s="157"/>
      <c r="AP75" s="157"/>
      <c r="AQ75" s="157"/>
      <c r="AR75" s="157"/>
      <c r="AS75" s="157"/>
      <c r="AT75" s="157"/>
      <c r="AU75" s="157"/>
      <c r="AV75" s="157"/>
      <c r="AW75" s="157"/>
      <c r="AX75" s="157"/>
      <c r="AY75" s="157"/>
      <c r="AZ75" s="157"/>
      <c r="BA75" s="157"/>
      <c r="BB75" s="157"/>
      <c r="BC75" s="157"/>
      <c r="BD75" s="157"/>
    </row>
    <row r="76" spans="1:56" outlineLevel="2" x14ac:dyDescent="0.55000000000000004">
      <c r="A76" s="179" t="s">
        <v>341</v>
      </c>
      <c r="B76" s="186" t="s">
        <v>283</v>
      </c>
      <c r="C76" s="187">
        <f>Output_EB_RIN_NS!J132*10^6</f>
        <v>0</v>
      </c>
      <c r="D76" s="188">
        <f>Output_EB_RIN_NS!K132*10^6</f>
        <v>0</v>
      </c>
      <c r="E76" s="188">
        <f>Output_EB_RIN_NS!L132*10^6</f>
        <v>0</v>
      </c>
      <c r="F76" s="188">
        <f>Output_EB_RIN_NS!M132*10^6</f>
        <v>0</v>
      </c>
      <c r="G76" s="189">
        <f>Output_EB_RIN_NS!N132*10^6</f>
        <v>0</v>
      </c>
      <c r="H76" s="190">
        <f>Output_EB_RIN_NS!O132*10^6</f>
        <v>0</v>
      </c>
      <c r="I76" s="188">
        <f>Output_EB_RIN_NS!P132*10^6</f>
        <v>0</v>
      </c>
      <c r="J76" s="188">
        <f>Output_EB_RIN_NS!Q132*10^6</f>
        <v>0</v>
      </c>
      <c r="K76" s="188">
        <f>Output_EB_RIN_NS!R132*10^6</f>
        <v>0</v>
      </c>
      <c r="L76" s="189">
        <f>Output_EB_RIN_NS!S132*10^6</f>
        <v>0</v>
      </c>
      <c r="M76" s="191">
        <f>Output_EB_RIN_NS!T132*10^6</f>
        <v>0</v>
      </c>
      <c r="N76" s="189">
        <f>Output_EB_RIN_NS!U132*10^6</f>
        <v>0</v>
      </c>
      <c r="P76" s="187">
        <f>Output_EB_RIN_SCS!J132*10^6</f>
        <v>0</v>
      </c>
      <c r="Q76" s="188">
        <f>Output_EB_RIN_SCS!K132*10^6</f>
        <v>0</v>
      </c>
      <c r="R76" s="188">
        <f>Output_EB_RIN_SCS!L132*10^6</f>
        <v>0</v>
      </c>
      <c r="S76" s="188">
        <f>Output_EB_RIN_SCS!M132*10^6</f>
        <v>0</v>
      </c>
      <c r="T76" s="189">
        <f>Output_EB_RIN_SCS!N132*10^6</f>
        <v>0</v>
      </c>
      <c r="U76" s="190">
        <f>Output_EB_RIN_SCS!O132*10^6</f>
        <v>0</v>
      </c>
      <c r="V76" s="188">
        <f>Output_EB_RIN_SCS!P132*10^6</f>
        <v>0</v>
      </c>
      <c r="W76" s="188">
        <f>Output_EB_RIN_SCS!Q132*10^6</f>
        <v>0</v>
      </c>
      <c r="X76" s="188">
        <f>Output_EB_RIN_SCS!R132*10^6</f>
        <v>0</v>
      </c>
      <c r="Y76" s="189">
        <f>Output_EB_RIN_SCS!S132*10^6</f>
        <v>0</v>
      </c>
      <c r="Z76" s="191">
        <f>Output_EB_RIN_SCS!T132*10^6</f>
        <v>0</v>
      </c>
      <c r="AA76" s="189">
        <f>Output_EB_RIN_SCS!U132*10^6</f>
        <v>0</v>
      </c>
      <c r="AB76" s="157"/>
      <c r="AC76" s="187">
        <f>IFERROR(Output_EB_RIN_ACS!J132*10^6,NA)</f>
        <v>-14617.969755665827</v>
      </c>
      <c r="AD76" s="188">
        <f>IFERROR(Output_EB_RIN_ACS!K132*10^6,NA)</f>
        <v>-15816.032913207382</v>
      </c>
      <c r="AE76" s="188">
        <f>IFERROR(Output_EB_RIN_ACS!L132*10^6,NA)</f>
        <v>-20928.772412162463</v>
      </c>
      <c r="AF76" s="188">
        <f>IFERROR(Output_EB_RIN_ACS!M132*10^6,NA)</f>
        <v>-30058.089477168709</v>
      </c>
      <c r="AG76" s="189">
        <f>IFERROR(Output_EB_RIN_ACS!N132*10^6,NA)</f>
        <v>-36489.8252886806</v>
      </c>
      <c r="AH76" s="190">
        <f>IFERROR(Output_EB_RIN_ACS!O132*10^6,NA)</f>
        <v>-37678.044389467475</v>
      </c>
      <c r="AI76" s="188">
        <f>IFERROR(Output_EB_RIN_ACS!P132*10^6,NA)</f>
        <v>-38291.318764067146</v>
      </c>
      <c r="AJ76" s="188">
        <f>IFERROR(Output_EB_RIN_ACS!Q132*10^6,NA)</f>
        <v>-39249.559974379139</v>
      </c>
      <c r="AK76" s="188">
        <f>IFERROR(Output_EB_RIN_ACS!R132*10^6,NA)</f>
        <v>-967151.03314228472</v>
      </c>
      <c r="AL76" s="189">
        <f>IFERROR(Output_EB_RIN_ACS!S132*10^6,NA)</f>
        <v>-1211398.4690515543</v>
      </c>
      <c r="AM76" s="191">
        <f>IFERROR(Output_EB_RIN_ACS!T132*10^6,NA)</f>
        <v>-1323454.2362008556</v>
      </c>
      <c r="AN76" s="189">
        <f>IFERROR(Output_EB_RIN_ACS!U132*10^6,NA)</f>
        <v>-1456422.1249611613</v>
      </c>
      <c r="AO76" s="157"/>
      <c r="AP76" s="157"/>
      <c r="AQ76" s="157"/>
      <c r="AR76" s="157"/>
      <c r="AS76" s="157"/>
      <c r="AT76" s="157"/>
      <c r="AU76" s="157"/>
      <c r="AV76" s="157"/>
      <c r="AW76" s="157"/>
      <c r="AX76" s="157"/>
      <c r="AY76" s="157"/>
      <c r="AZ76" s="157"/>
      <c r="BA76" s="157"/>
      <c r="BB76" s="157"/>
      <c r="BC76" s="157"/>
      <c r="BD76" s="157"/>
    </row>
    <row r="77" spans="1:56" outlineLevel="2" x14ac:dyDescent="0.55000000000000004">
      <c r="A77" s="179" t="s">
        <v>342</v>
      </c>
      <c r="B77" s="186" t="s">
        <v>285</v>
      </c>
      <c r="C77" s="187">
        <f>Output_EB_RIN_NS!J133*10^6</f>
        <v>0</v>
      </c>
      <c r="D77" s="188">
        <f>Output_EB_RIN_NS!K133*10^6</f>
        <v>0</v>
      </c>
      <c r="E77" s="188">
        <f>Output_EB_RIN_NS!L133*10^6</f>
        <v>0</v>
      </c>
      <c r="F77" s="188">
        <f>Output_EB_RIN_NS!M133*10^6</f>
        <v>0</v>
      </c>
      <c r="G77" s="189">
        <f>Output_EB_RIN_NS!N133*10^6</f>
        <v>0</v>
      </c>
      <c r="H77" s="190">
        <f>Output_EB_RIN_NS!O133*10^6</f>
        <v>0</v>
      </c>
      <c r="I77" s="188">
        <f>Output_EB_RIN_NS!P133*10^6</f>
        <v>0</v>
      </c>
      <c r="J77" s="188">
        <f>Output_EB_RIN_NS!Q133*10^6</f>
        <v>0</v>
      </c>
      <c r="K77" s="188">
        <f>Output_EB_RIN_NS!R133*10^6</f>
        <v>0</v>
      </c>
      <c r="L77" s="189">
        <f>Output_EB_RIN_NS!S133*10^6</f>
        <v>0</v>
      </c>
      <c r="M77" s="191">
        <f>Output_EB_RIN_NS!T133*10^6</f>
        <v>0</v>
      </c>
      <c r="N77" s="189">
        <f>Output_EB_RIN_NS!U133*10^6</f>
        <v>0</v>
      </c>
      <c r="P77" s="187">
        <f>Output_EB_RIN_SCS!J133*10^6</f>
        <v>0</v>
      </c>
      <c r="Q77" s="188">
        <f>Output_EB_RIN_SCS!K133*10^6</f>
        <v>0</v>
      </c>
      <c r="R77" s="188">
        <f>Output_EB_RIN_SCS!L133*10^6</f>
        <v>0</v>
      </c>
      <c r="S77" s="188">
        <f>Output_EB_RIN_SCS!M133*10^6</f>
        <v>0</v>
      </c>
      <c r="T77" s="189">
        <f>Output_EB_RIN_SCS!N133*10^6</f>
        <v>0</v>
      </c>
      <c r="U77" s="190">
        <f>Output_EB_RIN_SCS!O133*10^6</f>
        <v>0</v>
      </c>
      <c r="V77" s="188">
        <f>Output_EB_RIN_SCS!P133*10^6</f>
        <v>0</v>
      </c>
      <c r="W77" s="188">
        <f>Output_EB_RIN_SCS!Q133*10^6</f>
        <v>0</v>
      </c>
      <c r="X77" s="188">
        <f>Output_EB_RIN_SCS!R133*10^6</f>
        <v>0</v>
      </c>
      <c r="Y77" s="189">
        <f>Output_EB_RIN_SCS!S133*10^6</f>
        <v>0</v>
      </c>
      <c r="Z77" s="191">
        <f>Output_EB_RIN_SCS!T133*10^6</f>
        <v>0</v>
      </c>
      <c r="AA77" s="189">
        <f>Output_EB_RIN_SCS!U133*10^6</f>
        <v>0</v>
      </c>
      <c r="AB77" s="157"/>
      <c r="AC77" s="187">
        <f>IFERROR(Output_EB_RIN_ACS!J133*10^6,NA)</f>
        <v>43819.535575797112</v>
      </c>
      <c r="AD77" s="188">
        <f>IFERROR(Output_EB_RIN_ACS!K133*10^6,NA)</f>
        <v>55264.618439994782</v>
      </c>
      <c r="AE77" s="188">
        <f>IFERROR(Output_EB_RIN_ACS!L133*10^6,NA)</f>
        <v>474813.80155364418</v>
      </c>
      <c r="AF77" s="188">
        <f>IFERROR(Output_EB_RIN_ACS!M133*10^6,NA)</f>
        <v>547949.13793892378</v>
      </c>
      <c r="AG77" s="189">
        <f>IFERROR(Output_EB_RIN_ACS!N133*10^6,NA)</f>
        <v>553447.18893792538</v>
      </c>
      <c r="AH77" s="190">
        <f>IFERROR(Output_EB_RIN_ACS!O133*10^6,NA)</f>
        <v>314327.25700166874</v>
      </c>
      <c r="AI77" s="188">
        <f>IFERROR(Output_EB_RIN_ACS!P133*10^6,NA)</f>
        <v>393723.09557915782</v>
      </c>
      <c r="AJ77" s="188">
        <f>IFERROR(Output_EB_RIN_ACS!Q133*10^6,NA)</f>
        <v>603102.43307912059</v>
      </c>
      <c r="AK77" s="188">
        <f>IFERROR(Output_EB_RIN_ACS!R133*10^6,NA)</f>
        <v>682965.22271655756</v>
      </c>
      <c r="AL77" s="189">
        <f>IFERROR(Output_EB_RIN_ACS!S133*10^6,NA)</f>
        <v>2040863.2057724372</v>
      </c>
      <c r="AM77" s="191">
        <f>IFERROR(Output_EB_RIN_ACS!T133*10^6,NA)</f>
        <v>3142355.118175189</v>
      </c>
      <c r="AN77" s="189">
        <f>IFERROR(Output_EB_RIN_ACS!U133*10^6,NA)</f>
        <v>3105498.0904242122</v>
      </c>
      <c r="AO77" s="157"/>
      <c r="AP77" s="157"/>
      <c r="AQ77" s="157"/>
      <c r="AR77" s="157"/>
      <c r="AS77" s="157"/>
      <c r="AT77" s="157"/>
      <c r="AU77" s="157"/>
      <c r="AV77" s="157"/>
      <c r="AW77" s="157"/>
      <c r="AX77" s="157"/>
      <c r="AY77" s="157"/>
      <c r="AZ77" s="157"/>
      <c r="BA77" s="157"/>
      <c r="BB77" s="157"/>
      <c r="BC77" s="157"/>
      <c r="BD77" s="157"/>
    </row>
    <row r="78" spans="1:56" outlineLevel="2" x14ac:dyDescent="0.55000000000000004">
      <c r="A78" s="179" t="s">
        <v>343</v>
      </c>
      <c r="B78" s="186" t="s">
        <v>287</v>
      </c>
      <c r="C78" s="187">
        <f>Output_EB_RIN_NS!J134*10^6</f>
        <v>0</v>
      </c>
      <c r="D78" s="188">
        <f>Output_EB_RIN_NS!K134*10^6</f>
        <v>0</v>
      </c>
      <c r="E78" s="188">
        <f>Output_EB_RIN_NS!L134*10^6</f>
        <v>0</v>
      </c>
      <c r="F78" s="188">
        <f>Output_EB_RIN_NS!M134*10^6</f>
        <v>0</v>
      </c>
      <c r="G78" s="189">
        <f>Output_EB_RIN_NS!N134*10^6</f>
        <v>0</v>
      </c>
      <c r="H78" s="190">
        <f>Output_EB_RIN_NS!O134*10^6</f>
        <v>0</v>
      </c>
      <c r="I78" s="188">
        <f>Output_EB_RIN_NS!P134*10^6</f>
        <v>0</v>
      </c>
      <c r="J78" s="188">
        <f>Output_EB_RIN_NS!Q134*10^6</f>
        <v>0</v>
      </c>
      <c r="K78" s="188">
        <f>Output_EB_RIN_NS!R134*10^6</f>
        <v>0</v>
      </c>
      <c r="L78" s="189">
        <f>Output_EB_RIN_NS!S134*10^6</f>
        <v>0</v>
      </c>
      <c r="M78" s="191">
        <f>Output_EB_RIN_NS!T134*10^6</f>
        <v>0</v>
      </c>
      <c r="N78" s="189">
        <f>Output_EB_RIN_NS!U134*10^6</f>
        <v>0</v>
      </c>
      <c r="P78" s="187">
        <f>Output_EB_RIN_SCS!J134*10^6</f>
        <v>0</v>
      </c>
      <c r="Q78" s="188">
        <f>Output_EB_RIN_SCS!K134*10^6</f>
        <v>0</v>
      </c>
      <c r="R78" s="188">
        <f>Output_EB_RIN_SCS!L134*10^6</f>
        <v>0</v>
      </c>
      <c r="S78" s="188">
        <f>Output_EB_RIN_SCS!M134*10^6</f>
        <v>0</v>
      </c>
      <c r="T78" s="189">
        <f>Output_EB_RIN_SCS!N134*10^6</f>
        <v>0</v>
      </c>
      <c r="U78" s="190">
        <f>Output_EB_RIN_SCS!O134*10^6</f>
        <v>0</v>
      </c>
      <c r="V78" s="188">
        <f>Output_EB_RIN_SCS!P134*10^6</f>
        <v>0</v>
      </c>
      <c r="W78" s="188">
        <f>Output_EB_RIN_SCS!Q134*10^6</f>
        <v>0</v>
      </c>
      <c r="X78" s="188">
        <f>Output_EB_RIN_SCS!R134*10^6</f>
        <v>0</v>
      </c>
      <c r="Y78" s="189">
        <f>Output_EB_RIN_SCS!S134*10^6</f>
        <v>0</v>
      </c>
      <c r="Z78" s="191">
        <f>Output_EB_RIN_SCS!T134*10^6</f>
        <v>0</v>
      </c>
      <c r="AA78" s="189">
        <f>Output_EB_RIN_SCS!U134*10^6</f>
        <v>0</v>
      </c>
      <c r="AB78" s="157"/>
      <c r="AC78" s="187">
        <f>IFERROR(Output_EB_RIN_ACS!J134*10^6,NA)</f>
        <v>0</v>
      </c>
      <c r="AD78" s="188">
        <f>IFERROR(Output_EB_RIN_ACS!K134*10^6,NA)</f>
        <v>0</v>
      </c>
      <c r="AE78" s="188">
        <f>IFERROR(Output_EB_RIN_ACS!L134*10^6,NA)</f>
        <v>0</v>
      </c>
      <c r="AF78" s="188">
        <f>IFERROR(Output_EB_RIN_ACS!M134*10^6,NA)</f>
        <v>0</v>
      </c>
      <c r="AG78" s="189">
        <f>IFERROR(Output_EB_RIN_ACS!N134*10^6,NA)</f>
        <v>0</v>
      </c>
      <c r="AH78" s="190">
        <f>IFERROR(Output_EB_RIN_ACS!O134*10^6,NA)</f>
        <v>0</v>
      </c>
      <c r="AI78" s="188">
        <f>IFERROR(Output_EB_RIN_ACS!P134*10^6,NA)</f>
        <v>-1915.8413072182991</v>
      </c>
      <c r="AJ78" s="188">
        <f>IFERROR(Output_EB_RIN_ACS!Q134*10^6,NA)</f>
        <v>0</v>
      </c>
      <c r="AK78" s="188">
        <f>IFERROR(Output_EB_RIN_ACS!R134*10^6,NA)</f>
        <v>-510.23612613707451</v>
      </c>
      <c r="AL78" s="189">
        <f>IFERROR(Output_EB_RIN_ACS!S134*10^6,NA)</f>
        <v>0</v>
      </c>
      <c r="AM78" s="191">
        <f>IFERROR(Output_EB_RIN_ACS!T134*10^6,NA)</f>
        <v>0</v>
      </c>
      <c r="AN78" s="189">
        <f>IFERROR(Output_EB_RIN_ACS!U134*10^6,NA)</f>
        <v>0</v>
      </c>
      <c r="AO78" s="157"/>
      <c r="AP78" s="157"/>
      <c r="AQ78" s="157"/>
      <c r="AR78" s="157"/>
      <c r="AS78" s="157"/>
      <c r="AT78" s="157"/>
      <c r="AU78" s="157"/>
      <c r="AV78" s="157"/>
      <c r="AW78" s="157"/>
      <c r="AX78" s="157"/>
      <c r="AY78" s="157"/>
      <c r="AZ78" s="157"/>
      <c r="BA78" s="157"/>
      <c r="BB78" s="157"/>
      <c r="BC78" s="157"/>
      <c r="BD78" s="157"/>
    </row>
    <row r="79" spans="1:56" ht="14.7" outlineLevel="2" thickBot="1" x14ac:dyDescent="0.6">
      <c r="A79" s="179" t="s">
        <v>344</v>
      </c>
      <c r="B79" s="192" t="s">
        <v>289</v>
      </c>
      <c r="C79" s="193">
        <f>SUM(C74:C78)</f>
        <v>0</v>
      </c>
      <c r="D79" s="194">
        <f t="shared" ref="D79" si="184">SUM(D74:D78)</f>
        <v>0</v>
      </c>
      <c r="E79" s="194">
        <f t="shared" ref="E79" si="185">SUM(E74:E78)</f>
        <v>0</v>
      </c>
      <c r="F79" s="194">
        <f t="shared" ref="F79" si="186">SUM(F74:F78)</f>
        <v>0</v>
      </c>
      <c r="G79" s="195">
        <f t="shared" ref="G79" si="187">SUM(G74:G78)</f>
        <v>0</v>
      </c>
      <c r="H79" s="196">
        <f t="shared" ref="H79" si="188">SUM(H74:H78)</f>
        <v>0</v>
      </c>
      <c r="I79" s="194">
        <f t="shared" ref="I79" si="189">SUM(I74:I78)</f>
        <v>0</v>
      </c>
      <c r="J79" s="194">
        <f t="shared" ref="J79" si="190">SUM(J74:J78)</f>
        <v>0</v>
      </c>
      <c r="K79" s="194">
        <f t="shared" ref="K79" si="191">SUM(K74:K78)</f>
        <v>0</v>
      </c>
      <c r="L79" s="195">
        <f t="shared" ref="L79" si="192">SUM(L74:L78)</f>
        <v>0</v>
      </c>
      <c r="M79" s="197">
        <f t="shared" ref="M79" si="193">SUM(M74:M78)</f>
        <v>0</v>
      </c>
      <c r="N79" s="195">
        <f t="shared" ref="N79" si="194">SUM(N74:N78)</f>
        <v>0</v>
      </c>
      <c r="P79" s="193">
        <f t="shared" ref="P79" si="195">SUM(P74:P78)</f>
        <v>0</v>
      </c>
      <c r="Q79" s="194">
        <f t="shared" ref="Q79" si="196">SUM(Q74:Q78)</f>
        <v>0</v>
      </c>
      <c r="R79" s="194">
        <f t="shared" ref="R79" si="197">SUM(R74:R78)</f>
        <v>0</v>
      </c>
      <c r="S79" s="194">
        <f t="shared" ref="S79" si="198">SUM(S74:S78)</f>
        <v>0</v>
      </c>
      <c r="T79" s="195">
        <f t="shared" ref="T79" si="199">SUM(T74:T78)</f>
        <v>0</v>
      </c>
      <c r="U79" s="196">
        <f t="shared" ref="U79" si="200">SUM(U74:U78)</f>
        <v>0</v>
      </c>
      <c r="V79" s="194">
        <f t="shared" ref="V79" si="201">SUM(V74:V78)</f>
        <v>0</v>
      </c>
      <c r="W79" s="194">
        <f t="shared" ref="W79" si="202">SUM(W74:W78)</f>
        <v>0</v>
      </c>
      <c r="X79" s="194">
        <f t="shared" ref="X79" si="203">SUM(X74:X78)</f>
        <v>0</v>
      </c>
      <c r="Y79" s="195">
        <f t="shared" ref="Y79" si="204">SUM(Y74:Y78)</f>
        <v>0</v>
      </c>
      <c r="Z79" s="197">
        <f t="shared" ref="Z79" si="205">SUM(Z74:Z78)</f>
        <v>0</v>
      </c>
      <c r="AA79" s="195">
        <f t="shared" ref="AA79" si="206">SUM(AA74:AA78)</f>
        <v>0</v>
      </c>
      <c r="AB79" s="157"/>
      <c r="AC79" s="193">
        <f t="shared" ref="AC79" si="207">SUM(AC74:AC78)</f>
        <v>3741776.7788194763</v>
      </c>
      <c r="AD79" s="194">
        <f t="shared" ref="AD79" si="208">SUM(AD74:AD78)</f>
        <v>3874216.2665417762</v>
      </c>
      <c r="AE79" s="194">
        <f t="shared" ref="AE79" si="209">SUM(AE74:AE78)</f>
        <v>4493627.8567248816</v>
      </c>
      <c r="AF79" s="194">
        <f t="shared" ref="AF79" si="210">SUM(AF74:AF78)</f>
        <v>5120998.2106660921</v>
      </c>
      <c r="AG79" s="195">
        <f t="shared" ref="AG79" si="211">SUM(AG74:AG78)</f>
        <v>5787433.3599239672</v>
      </c>
      <c r="AH79" s="196">
        <f t="shared" ref="AH79" si="212">SUM(AH74:AH78)</f>
        <v>6252538.9109370522</v>
      </c>
      <c r="AI79" s="194">
        <f t="shared" ref="AI79" si="213">SUM(AI74:AI78)</f>
        <v>6707825.5713431872</v>
      </c>
      <c r="AJ79" s="194">
        <f t="shared" ref="AJ79" si="214">SUM(AJ74:AJ78)</f>
        <v>7439541.9472342962</v>
      </c>
      <c r="AK79" s="194">
        <f t="shared" ref="AK79" si="215">SUM(AK74:AK78)</f>
        <v>7337106.3938218029</v>
      </c>
      <c r="AL79" s="195">
        <f t="shared" ref="AL79" si="216">SUM(AL74:AL78)</f>
        <v>8264027.9517129939</v>
      </c>
      <c r="AM79" s="197">
        <f t="shared" ref="AM79" si="217">SUM(AM74:AM78)</f>
        <v>10191258.788110532</v>
      </c>
      <c r="AN79" s="195">
        <f t="shared" ref="AN79" si="218">SUM(AN74:AN78)</f>
        <v>12056969.644633232</v>
      </c>
      <c r="AO79" s="157"/>
      <c r="AP79" s="157"/>
      <c r="AQ79" s="157"/>
      <c r="AR79" s="157"/>
      <c r="AS79" s="157"/>
      <c r="AT79" s="157"/>
      <c r="AU79" s="157"/>
      <c r="AV79" s="157"/>
      <c r="AW79" s="157"/>
      <c r="AX79" s="157"/>
      <c r="AY79" s="157"/>
      <c r="AZ79" s="157"/>
      <c r="BA79" s="157"/>
      <c r="BB79" s="157"/>
      <c r="BC79" s="157"/>
      <c r="BD79" s="157"/>
    </row>
    <row r="80" spans="1:56" ht="20.2" customHeight="1" outlineLevel="1" thickBot="1" x14ac:dyDescent="0.6">
      <c r="A80" s="70">
        <f>IF(SUM(C80:N80,P80:AA80,AC80:AN80)&lt;&gt;0,1,0)</f>
        <v>0</v>
      </c>
      <c r="B80" s="201" t="s">
        <v>345</v>
      </c>
      <c r="C80" s="327">
        <f>IF(ROUND(C79-(Output_EB_RIN_NS!J136*10^6),4)=0,0,1)</f>
        <v>0</v>
      </c>
      <c r="D80" s="327">
        <f>IF(ROUND(D79-(Output_EB_RIN_NS!K136*10^6),4)=0,0,1)</f>
        <v>0</v>
      </c>
      <c r="E80" s="327">
        <f>IF(ROUND(E79-(Output_EB_RIN_NS!L136*10^6),4)=0,0,1)</f>
        <v>0</v>
      </c>
      <c r="F80" s="327">
        <f>IF(ROUND(F79-(Output_EB_RIN_NS!M136*10^6),4)=0,0,1)</f>
        <v>0</v>
      </c>
      <c r="G80" s="327">
        <f>IF(ROUND(G79-(Output_EB_RIN_NS!N136*10^6),4)=0,0,1)</f>
        <v>0</v>
      </c>
      <c r="H80" s="327">
        <f>IF(ROUND(H79-(Output_EB_RIN_NS!O136*10^6),4)=0,0,1)</f>
        <v>0</v>
      </c>
      <c r="I80" s="327">
        <f>IF(ROUND(I79-(Output_EB_RIN_NS!P136*10^6),4)=0,0,1)</f>
        <v>0</v>
      </c>
      <c r="J80" s="327">
        <f>IF(ROUND(J79-(Output_EB_RIN_NS!Q136*10^6),4)=0,0,1)</f>
        <v>0</v>
      </c>
      <c r="K80" s="327">
        <f>IF(ROUND(K79-(Output_EB_RIN_NS!R136*10^6),4)=0,0,1)</f>
        <v>0</v>
      </c>
      <c r="L80" s="327">
        <f>IF(ROUND(L79-(Output_EB_RIN_NS!S136*10^6),4)=0,0,1)</f>
        <v>0</v>
      </c>
      <c r="M80" s="327">
        <f>IF(ROUND(M79-(Output_EB_RIN_NS!T136*10^6),4)=0,0,1)</f>
        <v>0</v>
      </c>
      <c r="N80" s="327">
        <f>IF(ROUND(N79-(Output_EB_RIN_NS!U136*10^6),4)=0,0,1)</f>
        <v>0</v>
      </c>
      <c r="P80" s="327">
        <f>IF(ROUND(P79-(Output_EB_RIN_SCS!J136*10^6),4)=0,0,1)</f>
        <v>0</v>
      </c>
      <c r="Q80" s="327">
        <f>IF(ROUND(Q79-(Output_EB_RIN_SCS!K136*10^6),4)=0,0,1)</f>
        <v>0</v>
      </c>
      <c r="R80" s="327">
        <f>IF(ROUND(R79-(Output_EB_RIN_SCS!L136*10^6),4)=0,0,1)</f>
        <v>0</v>
      </c>
      <c r="S80" s="327">
        <f>IF(ROUND(S79-(Output_EB_RIN_SCS!M136*10^6),4)=0,0,1)</f>
        <v>0</v>
      </c>
      <c r="T80" s="327">
        <f>IF(ROUND(T79-(Output_EB_RIN_SCS!N136*10^6),4)=0,0,1)</f>
        <v>0</v>
      </c>
      <c r="U80" s="327">
        <f>IF(ROUND(U79-(Output_EB_RIN_SCS!O136*10^6),4)=0,0,1)</f>
        <v>0</v>
      </c>
      <c r="V80" s="327">
        <f>IF(ROUND(V79-(Output_EB_RIN_SCS!P136*10^6),4)=0,0,1)</f>
        <v>0</v>
      </c>
      <c r="W80" s="327">
        <f>IF(ROUND(W79-(Output_EB_RIN_SCS!Q136*10^6),4)=0,0,1)</f>
        <v>0</v>
      </c>
      <c r="X80" s="327">
        <f>IF(ROUND(X79-(Output_EB_RIN_SCS!R136*10^6),4)=0,0,1)</f>
        <v>0</v>
      </c>
      <c r="Y80" s="327">
        <f>IF(ROUND(Y79-(Output_EB_RIN_SCS!S136*10^6),4)=0,0,1)</f>
        <v>0</v>
      </c>
      <c r="Z80" s="327">
        <f>IF(ROUND(Z79-(Output_EB_RIN_SCS!T136*10^6),4)=0,0,1)</f>
        <v>0</v>
      </c>
      <c r="AA80" s="327">
        <f>IF(ROUND(AA79-(Output_EB_RIN_SCS!U136*10^6),4)=0,0,1)</f>
        <v>0</v>
      </c>
      <c r="AB80" s="157"/>
      <c r="AC80" s="327">
        <f>IF(ROUND(AC79-(Output_EB_RIN_ACS!J136*10^6),4)=0,0,1)</f>
        <v>0</v>
      </c>
      <c r="AD80" s="327">
        <f>IF(ROUND(AD79-(Output_EB_RIN_ACS!K136*10^6),4)=0,0,1)</f>
        <v>0</v>
      </c>
      <c r="AE80" s="327">
        <f>IF(ROUND(AE79-(Output_EB_RIN_ACS!L136*10^6),4)=0,0,1)</f>
        <v>0</v>
      </c>
      <c r="AF80" s="327">
        <f>IF(ROUND(AF79-(Output_EB_RIN_ACS!M136*10^6),4)=0,0,1)</f>
        <v>0</v>
      </c>
      <c r="AG80" s="327">
        <f>IF(ROUND(AG79-(Output_EB_RIN_ACS!N136*10^6),4)=0,0,1)</f>
        <v>0</v>
      </c>
      <c r="AH80" s="327">
        <f>IF(ROUND(AH79-(Output_EB_RIN_ACS!O136*10^6),4)=0,0,1)</f>
        <v>0</v>
      </c>
      <c r="AI80" s="327">
        <f>IF(ROUND(AI79-(Output_EB_RIN_ACS!P136*10^6),4)=0,0,1)</f>
        <v>0</v>
      </c>
      <c r="AJ80" s="327">
        <f>IF(ROUND(AJ79-(Output_EB_RIN_ACS!Q136*10^6),4)=0,0,1)</f>
        <v>0</v>
      </c>
      <c r="AK80" s="327">
        <f>IF(ROUND(AK79-(Output_EB_RIN_ACS!R136*10^6),4)=0,0,1)</f>
        <v>0</v>
      </c>
      <c r="AL80" s="327">
        <f>IF(ROUND(AL79-(Output_EB_RIN_ACS!S136*10^6),4)=0,0,1)</f>
        <v>0</v>
      </c>
      <c r="AM80" s="327">
        <f>IF(ROUND(AM79-(Output_EB_RIN_ACS!T136*10^6),4)=0,0,1)</f>
        <v>0</v>
      </c>
      <c r="AN80" s="327">
        <f>IF(ROUND(AN79-(Output_EB_RIN_ACS!U136*10^6),4)=0,0,1)</f>
        <v>0</v>
      </c>
      <c r="AO80" s="157"/>
      <c r="AP80" s="157"/>
      <c r="AQ80" s="157"/>
      <c r="AR80" s="157"/>
      <c r="AS80" s="157"/>
      <c r="AT80" s="157"/>
      <c r="AU80" s="157"/>
      <c r="AV80" s="157"/>
      <c r="AW80" s="157"/>
      <c r="AX80" s="157"/>
      <c r="AY80" s="157"/>
      <c r="AZ80" s="157"/>
      <c r="BA80" s="157"/>
      <c r="BB80" s="157"/>
      <c r="BC80" s="157"/>
      <c r="BD80" s="157"/>
    </row>
    <row r="81" spans="1:56" outlineLevel="2" x14ac:dyDescent="0.55000000000000004">
      <c r="A81" s="179" t="s">
        <v>346</v>
      </c>
      <c r="B81" s="180" t="s">
        <v>279</v>
      </c>
      <c r="C81" s="181">
        <f>Output_EB_RIN_NS!J144*10^6</f>
        <v>564270.78965620114</v>
      </c>
      <c r="D81" s="182">
        <f>Output_EB_RIN_NS!K144*10^6</f>
        <v>580765.91627221683</v>
      </c>
      <c r="E81" s="182">
        <f>Output_EB_RIN_NS!L144*10^6</f>
        <v>595199.15206123039</v>
      </c>
      <c r="F81" s="182">
        <f>Output_EB_RIN_NS!M144*10^6</f>
        <v>1157657.9982008738</v>
      </c>
      <c r="G81" s="183">
        <f>Output_EB_RIN_NS!N144*10^6</f>
        <v>1451549.7160196358</v>
      </c>
      <c r="H81" s="184">
        <f>Output_EB_RIN_NS!O144*10^6</f>
        <v>1493919.2752980466</v>
      </c>
      <c r="I81" s="182">
        <f>Output_EB_RIN_NS!P144*10^6</f>
        <v>1542565.8063214072</v>
      </c>
      <c r="J81" s="182">
        <f>Output_EB_RIN_NS!Q144*10^6</f>
        <v>1567673.6933012065</v>
      </c>
      <c r="K81" s="182">
        <f>Output_EB_RIN_NS!R144*10^6</f>
        <v>1606904.7667071426</v>
      </c>
      <c r="L81" s="183">
        <f>Output_EB_RIN_NS!S144*10^6</f>
        <v>1736675.383044163</v>
      </c>
      <c r="M81" s="185">
        <f>Output_EB_RIN_NS!T144*10^6</f>
        <v>1905066.2301253951</v>
      </c>
      <c r="N81" s="183">
        <f>Output_EB_RIN_NS!U144*10^6</f>
        <v>2452477.8089326909</v>
      </c>
      <c r="P81" s="181">
        <f>Output_EB_RIN_SCS!J144*10^6</f>
        <v>564270.78965620114</v>
      </c>
      <c r="Q81" s="182">
        <f>Output_EB_RIN_SCS!K144*10^6</f>
        <v>580765.91627221683</v>
      </c>
      <c r="R81" s="182">
        <f>Output_EB_RIN_SCS!L144*10^6</f>
        <v>595199.15206123039</v>
      </c>
      <c r="S81" s="182">
        <f>Output_EB_RIN_SCS!M144*10^6</f>
        <v>1157657.9982008738</v>
      </c>
      <c r="T81" s="183">
        <f>Output_EB_RIN_SCS!N144*10^6</f>
        <v>1451549.7160196358</v>
      </c>
      <c r="U81" s="184">
        <f>Output_EB_RIN_SCS!O144*10^6</f>
        <v>1493919.2752980466</v>
      </c>
      <c r="V81" s="182">
        <f>Output_EB_RIN_SCS!P144*10^6</f>
        <v>1542565.8063214072</v>
      </c>
      <c r="W81" s="182">
        <f>Output_EB_RIN_SCS!Q144*10^6</f>
        <v>1567673.6933012065</v>
      </c>
      <c r="X81" s="182">
        <f>Output_EB_RIN_SCS!R144*10^6</f>
        <v>1606904.7667071426</v>
      </c>
      <c r="Y81" s="183">
        <f>Output_EB_RIN_SCS!S144*10^6</f>
        <v>1736675.383044163</v>
      </c>
      <c r="Z81" s="185">
        <f>Output_EB_RIN_SCS!T144*10^6</f>
        <v>1905066.2301253951</v>
      </c>
      <c r="AA81" s="183">
        <f>Output_EB_RIN_SCS!U144*10^6</f>
        <v>2452477.8089326909</v>
      </c>
      <c r="AB81" s="157"/>
      <c r="AC81" s="181">
        <f>IFERROR(Output_EB_RIN_ACS!J144*10^6,NA)</f>
        <v>83019.154080943816</v>
      </c>
      <c r="AD81" s="182">
        <f>IFERROR(Output_EB_RIN_ACS!K144*10^6,NA)</f>
        <v>86118.106111856468</v>
      </c>
      <c r="AE81" s="182">
        <f>IFERROR(Output_EB_RIN_ACS!L144*10^6,NA)</f>
        <v>89166.240335584094</v>
      </c>
      <c r="AF81" s="182">
        <f>IFERROR(Output_EB_RIN_ACS!M144*10^6,NA)</f>
        <v>103422.18241963645</v>
      </c>
      <c r="AG81" s="183">
        <f>IFERROR(Output_EB_RIN_ACS!N144*10^6,NA)</f>
        <v>117861.29782009809</v>
      </c>
      <c r="AH81" s="184">
        <f>IFERROR(Output_EB_RIN_ACS!O144*10^6,NA)</f>
        <v>133199.50111039908</v>
      </c>
      <c r="AI81" s="182">
        <f>IFERROR(Output_EB_RIN_ACS!P144*10^6,NA)</f>
        <v>143904.04378170063</v>
      </c>
      <c r="AJ81" s="182">
        <f>IFERROR(Output_EB_RIN_ACS!Q144*10^6,NA)</f>
        <v>154382.60176359568</v>
      </c>
      <c r="AK81" s="182">
        <f>IFERROR(Output_EB_RIN_ACS!R144*10^6,NA)</f>
        <v>171223.27191245856</v>
      </c>
      <c r="AL81" s="183">
        <f>IFERROR(Output_EB_RIN_ACS!S144*10^6,NA)</f>
        <v>168865.6871659983</v>
      </c>
      <c r="AM81" s="185">
        <f>IFERROR(Output_EB_RIN_ACS!T144*10^6,NA)</f>
        <v>190199.0626713713</v>
      </c>
      <c r="AN81" s="183">
        <f>IFERROR(Output_EB_RIN_ACS!U144*10^6,NA)</f>
        <v>234554.85391215404</v>
      </c>
      <c r="AO81" s="157"/>
      <c r="AP81" s="157"/>
      <c r="AQ81" s="157"/>
      <c r="AR81" s="157"/>
      <c r="AS81" s="157"/>
      <c r="AT81" s="157"/>
      <c r="AU81" s="157"/>
      <c r="AV81" s="157"/>
      <c r="AW81" s="157"/>
      <c r="AX81" s="157"/>
      <c r="AY81" s="157"/>
      <c r="AZ81" s="157"/>
      <c r="BA81" s="157"/>
      <c r="BB81" s="157"/>
      <c r="BC81" s="157"/>
      <c r="BD81" s="157"/>
    </row>
    <row r="82" spans="1:56" outlineLevel="2" x14ac:dyDescent="0.55000000000000004">
      <c r="A82" s="179" t="s">
        <v>347</v>
      </c>
      <c r="B82" s="186" t="s">
        <v>281</v>
      </c>
      <c r="C82" s="187">
        <f>Output_EB_RIN_NS!J145*10^6</f>
        <v>16495.126616015659</v>
      </c>
      <c r="D82" s="188">
        <f>Output_EB_RIN_NS!K145*10^6</f>
        <v>14433.235789013592</v>
      </c>
      <c r="E82" s="188">
        <f>Output_EB_RIN_NS!L145*10^6</f>
        <v>25429.986866357423</v>
      </c>
      <c r="F82" s="188">
        <f>Output_EB_RIN_NS!M145*10^6</f>
        <v>28204.29231497147</v>
      </c>
      <c r="G82" s="189">
        <f>Output_EB_RIN_NS!N145*10^6</f>
        <v>42369.559278410881</v>
      </c>
      <c r="H82" s="190">
        <f>Output_EB_RIN_NS!O145*10^6</f>
        <v>48646.531023360585</v>
      </c>
      <c r="I82" s="188">
        <f>Output_EB_RIN_NS!P145*10^6</f>
        <v>25107.886979799325</v>
      </c>
      <c r="J82" s="188">
        <f>Output_EB_RIN_NS!Q145*10^6</f>
        <v>39231.073405936091</v>
      </c>
      <c r="K82" s="188">
        <f>Output_EB_RIN_NS!R145*10^6</f>
        <v>39367.37735808146</v>
      </c>
      <c r="L82" s="189">
        <f>Output_EB_RIN_NS!S145*10^6</f>
        <v>23067.794461687023</v>
      </c>
      <c r="M82" s="191">
        <f>Output_EB_RIN_NS!T145*10^6</f>
        <v>24972.778297524179</v>
      </c>
      <c r="N82" s="189">
        <f>Output_EB_RIN_NS!U145*10^6</f>
        <v>52132.153054946146</v>
      </c>
      <c r="P82" s="187">
        <f>Output_EB_RIN_SCS!J145*10^6</f>
        <v>16495.126616015659</v>
      </c>
      <c r="Q82" s="188">
        <f>Output_EB_RIN_SCS!K145*10^6</f>
        <v>14433.235789013592</v>
      </c>
      <c r="R82" s="188">
        <f>Output_EB_RIN_SCS!L145*10^6</f>
        <v>25429.986866357423</v>
      </c>
      <c r="S82" s="188">
        <f>Output_EB_RIN_SCS!M145*10^6</f>
        <v>28204.29231497147</v>
      </c>
      <c r="T82" s="189">
        <f>Output_EB_RIN_SCS!N145*10^6</f>
        <v>42369.559278410881</v>
      </c>
      <c r="U82" s="190">
        <f>Output_EB_RIN_SCS!O145*10^6</f>
        <v>48646.531023360585</v>
      </c>
      <c r="V82" s="188">
        <f>Output_EB_RIN_SCS!P145*10^6</f>
        <v>25107.886979799325</v>
      </c>
      <c r="W82" s="188">
        <f>Output_EB_RIN_SCS!Q145*10^6</f>
        <v>39231.073405936091</v>
      </c>
      <c r="X82" s="188">
        <f>Output_EB_RIN_SCS!R145*10^6</f>
        <v>39367.37735808146</v>
      </c>
      <c r="Y82" s="189">
        <f>Output_EB_RIN_SCS!S145*10^6</f>
        <v>23067.794461687023</v>
      </c>
      <c r="Z82" s="191">
        <f>Output_EB_RIN_SCS!T145*10^6</f>
        <v>24972.778297524179</v>
      </c>
      <c r="AA82" s="189">
        <f>Output_EB_RIN_SCS!U145*10^6</f>
        <v>52132.153054946146</v>
      </c>
      <c r="AB82" s="157"/>
      <c r="AC82" s="187">
        <f>IFERROR(Output_EB_RIN_ACS!J145*10^6,NA)</f>
        <v>2426.8693032188253</v>
      </c>
      <c r="AD82" s="188">
        <f>IFERROR(Output_EB_RIN_ACS!K145*10^6,NA)</f>
        <v>2140.2132879869537</v>
      </c>
      <c r="AE82" s="188">
        <f>IFERROR(Output_EB_RIN_ACS!L145*10^6,NA)</f>
        <v>3809.6430628367357</v>
      </c>
      <c r="AF82" s="188">
        <f>IFERROR(Output_EB_RIN_ACS!M145*10^6,NA)</f>
        <v>2519.6987964916975</v>
      </c>
      <c r="AG82" s="189">
        <f>IFERROR(Output_EB_RIN_ACS!N145*10^6,NA)</f>
        <v>3440.2757201542058</v>
      </c>
      <c r="AH82" s="190">
        <f>IFERROR(Output_EB_RIN_ACS!O145*10^6,NA)</f>
        <v>4337.378712628526</v>
      </c>
      <c r="AI82" s="188">
        <f>IFERROR(Output_EB_RIN_ACS!P145*10^6,NA)</f>
        <v>2342.2835203532359</v>
      </c>
      <c r="AJ82" s="188">
        <f>IFERROR(Output_EB_RIN_ACS!Q145*10^6,NA)</f>
        <v>3863.4284725624534</v>
      </c>
      <c r="AK82" s="188">
        <f>IFERROR(Output_EB_RIN_ACS!R145*10^6,NA)</f>
        <v>4194.7794900602339</v>
      </c>
      <c r="AL82" s="189">
        <f>IFERROR(Output_EB_RIN_ACS!S145*10^6,NA)</f>
        <v>2242.9977422428469</v>
      </c>
      <c r="AM82" s="191">
        <f>IFERROR(Output_EB_RIN_ACS!T145*10^6,NA)</f>
        <v>2493.2461398869173</v>
      </c>
      <c r="AN82" s="189">
        <f>IFERROR(Output_EB_RIN_ACS!U145*10^6,NA)</f>
        <v>4985.9164879662912</v>
      </c>
      <c r="AO82" s="157"/>
      <c r="AP82" s="157"/>
      <c r="AQ82" s="157"/>
      <c r="AR82" s="157"/>
      <c r="AS82" s="157"/>
      <c r="AT82" s="157"/>
      <c r="AU82" s="157"/>
      <c r="AV82" s="157"/>
      <c r="AW82" s="157"/>
      <c r="AX82" s="157"/>
      <c r="AY82" s="157"/>
      <c r="AZ82" s="157"/>
      <c r="BA82" s="157"/>
      <c r="BB82" s="157"/>
      <c r="BC82" s="157"/>
      <c r="BD82" s="157"/>
    </row>
    <row r="83" spans="1:56" outlineLevel="2" x14ac:dyDescent="0.55000000000000004">
      <c r="A83" s="179" t="s">
        <v>348</v>
      </c>
      <c r="B83" s="186" t="s">
        <v>283</v>
      </c>
      <c r="C83" s="187">
        <f>Output_EB_RIN_NS!J146*10^6</f>
        <v>-91570.493467389751</v>
      </c>
      <c r="D83" s="188">
        <f>Output_EB_RIN_NS!K146*10^6</f>
        <v>-115487.49468336358</v>
      </c>
      <c r="E83" s="188">
        <f>Output_EB_RIN_NS!L146*10^6</f>
        <v>-1250311.4474974337</v>
      </c>
      <c r="F83" s="188">
        <f>Output_EB_RIN_NS!M146*10^6</f>
        <v>-83950.888300187857</v>
      </c>
      <c r="G83" s="189">
        <f>Output_EB_RIN_NS!N146*10^6</f>
        <v>0</v>
      </c>
      <c r="H83" s="190">
        <f>Output_EB_RIN_NS!O146*10^6</f>
        <v>0</v>
      </c>
      <c r="I83" s="188">
        <f>Output_EB_RIN_NS!P146*10^6</f>
        <v>0</v>
      </c>
      <c r="J83" s="188">
        <f>Output_EB_RIN_NS!Q146*10^6</f>
        <v>0</v>
      </c>
      <c r="K83" s="188">
        <f>Output_EB_RIN_NS!R146*10^6</f>
        <v>-169067.91567837031</v>
      </c>
      <c r="L83" s="189">
        <f>Output_EB_RIN_NS!S146*10^6</f>
        <v>-300930.23473039735</v>
      </c>
      <c r="M83" s="191">
        <f>Output_EB_RIN_NS!T146*10^6</f>
        <v>-435248.35611150757</v>
      </c>
      <c r="N83" s="189">
        <f>Output_EB_RIN_NS!U146*10^6</f>
        <v>-497445.61920134001</v>
      </c>
      <c r="P83" s="187">
        <f>Output_EB_RIN_SCS!J146*10^6</f>
        <v>-91570.493467389751</v>
      </c>
      <c r="Q83" s="188">
        <f>Output_EB_RIN_SCS!K146*10^6</f>
        <v>-115487.49468336358</v>
      </c>
      <c r="R83" s="188">
        <f>Output_EB_RIN_SCS!L146*10^6</f>
        <v>-1250311.4474974337</v>
      </c>
      <c r="S83" s="188">
        <f>Output_EB_RIN_SCS!M146*10^6</f>
        <v>-83950.888300187857</v>
      </c>
      <c r="T83" s="189">
        <f>Output_EB_RIN_SCS!N146*10^6</f>
        <v>0</v>
      </c>
      <c r="U83" s="190">
        <f>Output_EB_RIN_SCS!O146*10^6</f>
        <v>0</v>
      </c>
      <c r="V83" s="188">
        <f>Output_EB_RIN_SCS!P146*10^6</f>
        <v>0</v>
      </c>
      <c r="W83" s="188">
        <f>Output_EB_RIN_SCS!Q146*10^6</f>
        <v>0</v>
      </c>
      <c r="X83" s="188">
        <f>Output_EB_RIN_SCS!R146*10^6</f>
        <v>-169067.91567837031</v>
      </c>
      <c r="Y83" s="189">
        <f>Output_EB_RIN_SCS!S146*10^6</f>
        <v>-300930.23473039735</v>
      </c>
      <c r="Z83" s="191">
        <f>Output_EB_RIN_SCS!T146*10^6</f>
        <v>-435248.35611150757</v>
      </c>
      <c r="AA83" s="189">
        <f>Output_EB_RIN_SCS!U146*10^6</f>
        <v>-497445.61920134001</v>
      </c>
      <c r="AB83" s="157"/>
      <c r="AC83" s="187">
        <f>IFERROR(Output_EB_RIN_ACS!J146*10^6,NA)</f>
        <v>-336.43692421318366</v>
      </c>
      <c r="AD83" s="188">
        <f>IFERROR(Output_EB_RIN_ACS!K146*10^6,NA)</f>
        <v>-364.01070432585539</v>
      </c>
      <c r="AE83" s="188">
        <f>IFERROR(Output_EB_RIN_ACS!L146*10^6,NA)</f>
        <v>-481.68192543814399</v>
      </c>
      <c r="AF83" s="188">
        <f>IFERROR(Output_EB_RIN_ACS!M146*10^6,NA)</f>
        <v>-691.79587456074103</v>
      </c>
      <c r="AG83" s="189">
        <f>IFERROR(Output_EB_RIN_ACS!N146*10^6,NA)</f>
        <v>-839.82418833790848</v>
      </c>
      <c r="AH83" s="190">
        <f>IFERROR(Output_EB_RIN_ACS!O146*10^6,NA)</f>
        <v>-867.17140455479421</v>
      </c>
      <c r="AI83" s="188">
        <f>IFERROR(Output_EB_RIN_ACS!P146*10^6,NA)</f>
        <v>-881.28609679576743</v>
      </c>
      <c r="AJ83" s="188">
        <f>IFERROR(Output_EB_RIN_ACS!Q146*10^6,NA)</f>
        <v>-903.34030342228812</v>
      </c>
      <c r="AK83" s="188">
        <f>IFERROR(Output_EB_RIN_ACS!R146*10^6,NA)</f>
        <v>-22259.268850510238</v>
      </c>
      <c r="AL83" s="189">
        <f>IFERROR(Output_EB_RIN_ACS!S146*10^6,NA)</f>
        <v>-27880.696275643699</v>
      </c>
      <c r="AM83" s="191">
        <f>IFERROR(Output_EB_RIN_ACS!T146*10^6,NA)</f>
        <v>-30459.693104218164</v>
      </c>
      <c r="AN83" s="189">
        <f>IFERROR(Output_EB_RIN_ACS!U146*10^6,NA)</f>
        <v>-33519.988635086869</v>
      </c>
      <c r="AO83" s="157"/>
      <c r="AP83" s="157"/>
      <c r="AQ83" s="157"/>
      <c r="AR83" s="157"/>
      <c r="AS83" s="157"/>
      <c r="AT83" s="157"/>
      <c r="AU83" s="157"/>
      <c r="AV83" s="157"/>
      <c r="AW83" s="157"/>
      <c r="AX83" s="157"/>
      <c r="AY83" s="157"/>
      <c r="AZ83" s="157"/>
      <c r="BA83" s="157"/>
      <c r="BB83" s="157"/>
      <c r="BC83" s="157"/>
      <c r="BD83" s="157"/>
    </row>
    <row r="84" spans="1:56" outlineLevel="2" x14ac:dyDescent="0.55000000000000004">
      <c r="A84" s="179" t="s">
        <v>349</v>
      </c>
      <c r="B84" s="186" t="s">
        <v>285</v>
      </c>
      <c r="C84" s="187">
        <f>Output_EB_RIN_NS!J147*10^6</f>
        <v>91570.493467389751</v>
      </c>
      <c r="D84" s="188">
        <f>Output_EB_RIN_NS!K147*10^6</f>
        <v>115487.49468336358</v>
      </c>
      <c r="E84" s="188">
        <f>Output_EB_RIN_NS!L147*10^6</f>
        <v>1787340.3067707198</v>
      </c>
      <c r="F84" s="188">
        <f>Output_EB_RIN_NS!M147*10^6</f>
        <v>349638.31380397821</v>
      </c>
      <c r="G84" s="189">
        <f>Output_EB_RIN_NS!N147*10^6</f>
        <v>0</v>
      </c>
      <c r="H84" s="190">
        <f>Output_EB_RIN_NS!O147*10^6</f>
        <v>0</v>
      </c>
      <c r="I84" s="188">
        <f>Output_EB_RIN_NS!P147*10^6</f>
        <v>0</v>
      </c>
      <c r="J84" s="188">
        <f>Output_EB_RIN_NS!Q147*10^6</f>
        <v>0</v>
      </c>
      <c r="K84" s="188">
        <f>Output_EB_RIN_NS!R147*10^6</f>
        <v>259471.15465730947</v>
      </c>
      <c r="L84" s="189">
        <f>Output_EB_RIN_NS!S147*10^6</f>
        <v>446253.28734994237</v>
      </c>
      <c r="M84" s="191">
        <f>Output_EB_RIN_NS!T147*10^6</f>
        <v>966755.8795567872</v>
      </c>
      <c r="N84" s="189">
        <f>Output_EB_RIN_NS!U147*10^6</f>
        <v>2867943.6362080821</v>
      </c>
      <c r="P84" s="187">
        <f>Output_EB_RIN_SCS!J147*10^6</f>
        <v>91570.493467389751</v>
      </c>
      <c r="Q84" s="188">
        <f>Output_EB_RIN_SCS!K147*10^6</f>
        <v>115487.49468336358</v>
      </c>
      <c r="R84" s="188">
        <f>Output_EB_RIN_SCS!L147*10^6</f>
        <v>1787340.3067707198</v>
      </c>
      <c r="S84" s="188">
        <f>Output_EB_RIN_SCS!M147*10^6</f>
        <v>349638.31380397821</v>
      </c>
      <c r="T84" s="189">
        <f>Output_EB_RIN_SCS!N147*10^6</f>
        <v>0</v>
      </c>
      <c r="U84" s="190">
        <f>Output_EB_RIN_SCS!O147*10^6</f>
        <v>0</v>
      </c>
      <c r="V84" s="188">
        <f>Output_EB_RIN_SCS!P147*10^6</f>
        <v>0</v>
      </c>
      <c r="W84" s="188">
        <f>Output_EB_RIN_SCS!Q147*10^6</f>
        <v>0</v>
      </c>
      <c r="X84" s="188">
        <f>Output_EB_RIN_SCS!R147*10^6</f>
        <v>259471.15465730947</v>
      </c>
      <c r="Y84" s="189">
        <f>Output_EB_RIN_SCS!S147*10^6</f>
        <v>446253.28734994237</v>
      </c>
      <c r="Z84" s="191">
        <f>Output_EB_RIN_SCS!T147*10^6</f>
        <v>966755.8795567872</v>
      </c>
      <c r="AA84" s="189">
        <f>Output_EB_RIN_SCS!U147*10^6</f>
        <v>2867943.6362080821</v>
      </c>
      <c r="AB84" s="157"/>
      <c r="AC84" s="187">
        <f>IFERROR(Output_EB_RIN_ACS!J147*10^6,NA)</f>
        <v>1008.5196519070139</v>
      </c>
      <c r="AD84" s="188">
        <f>IFERROR(Output_EB_RIN_ACS!K147*10^6,NA)</f>
        <v>1271.9316400665346</v>
      </c>
      <c r="AE84" s="188">
        <f>IFERROR(Output_EB_RIN_ACS!L147*10^6,NA)</f>
        <v>10927.980946653754</v>
      </c>
      <c r="AF84" s="188">
        <f>IFERROR(Output_EB_RIN_ACS!M147*10^6,NA)</f>
        <v>12611.212478530684</v>
      </c>
      <c r="AG84" s="189">
        <f>IFERROR(Output_EB_RIN_ACS!N147*10^6,NA)</f>
        <v>12737.751758484683</v>
      </c>
      <c r="AH84" s="190">
        <f>IFERROR(Output_EB_RIN_ACS!O147*10^6,NA)</f>
        <v>7234.3353632278395</v>
      </c>
      <c r="AI84" s="188">
        <f>IFERROR(Output_EB_RIN_ACS!P147*10^6,NA)</f>
        <v>9061.6542161748148</v>
      </c>
      <c r="AJ84" s="188">
        <f>IFERROR(Output_EB_RIN_ACS!Q147*10^6,NA)</f>
        <v>13880.581979722718</v>
      </c>
      <c r="AK84" s="188">
        <f>IFERROR(Output_EB_RIN_ACS!R147*10^6,NA)</f>
        <v>15718.647850278347</v>
      </c>
      <c r="AL84" s="189">
        <f>IFERROR(Output_EB_RIN_ACS!S147*10^6,NA)</f>
        <v>46971.074038773855</v>
      </c>
      <c r="AM84" s="191">
        <f>IFERROR(Output_EB_RIN_ACS!T147*10^6,NA)</f>
        <v>72322.238205113972</v>
      </c>
      <c r="AN84" s="189">
        <f>IFERROR(Output_EB_RIN_ACS!U147*10^6,NA)</f>
        <v>71473.962742827396</v>
      </c>
      <c r="AO84" s="157"/>
      <c r="AP84" s="157"/>
      <c r="AQ84" s="157"/>
      <c r="AR84" s="157"/>
      <c r="AS84" s="157"/>
      <c r="AT84" s="157"/>
      <c r="AU84" s="157"/>
      <c r="AV84" s="157"/>
      <c r="AW84" s="157"/>
      <c r="AX84" s="157"/>
      <c r="AY84" s="157"/>
      <c r="AZ84" s="157"/>
      <c r="BA84" s="157"/>
      <c r="BB84" s="157"/>
      <c r="BC84" s="157"/>
      <c r="BD84" s="157"/>
    </row>
    <row r="85" spans="1:56" outlineLevel="2" x14ac:dyDescent="0.55000000000000004">
      <c r="A85" s="179" t="s">
        <v>350</v>
      </c>
      <c r="B85" s="186" t="s">
        <v>287</v>
      </c>
      <c r="C85" s="187">
        <f>Output_EB_RIN_NS!J148*10^6</f>
        <v>0</v>
      </c>
      <c r="D85" s="188">
        <f>Output_EB_RIN_NS!K148*10^6</f>
        <v>0</v>
      </c>
      <c r="E85" s="188">
        <f>Output_EB_RIN_NS!L148*10^6</f>
        <v>0</v>
      </c>
      <c r="F85" s="188">
        <f>Output_EB_RIN_NS!M148*10^6</f>
        <v>0</v>
      </c>
      <c r="G85" s="189">
        <f>Output_EB_RIN_NS!N148*10^6</f>
        <v>0</v>
      </c>
      <c r="H85" s="190">
        <f>Output_EB_RIN_NS!O148*10^6</f>
        <v>0</v>
      </c>
      <c r="I85" s="188">
        <f>Output_EB_RIN_NS!P148*10^6</f>
        <v>0</v>
      </c>
      <c r="J85" s="188">
        <f>Output_EB_RIN_NS!Q148*10^6</f>
        <v>0</v>
      </c>
      <c r="K85" s="188">
        <f>Output_EB_RIN_NS!R148*10^6</f>
        <v>0</v>
      </c>
      <c r="L85" s="189">
        <f>Output_EB_RIN_NS!S148*10^6</f>
        <v>0</v>
      </c>
      <c r="M85" s="191">
        <f>Output_EB_RIN_NS!T148*10^6</f>
        <v>-9068.7229355076852</v>
      </c>
      <c r="N85" s="189">
        <f>Output_EB_RIN_NS!U148*10^6</f>
        <v>0</v>
      </c>
      <c r="P85" s="187">
        <f>Output_EB_RIN_SCS!J148*10^6</f>
        <v>0</v>
      </c>
      <c r="Q85" s="188">
        <f>Output_EB_RIN_SCS!K148*10^6</f>
        <v>0</v>
      </c>
      <c r="R85" s="188">
        <f>Output_EB_RIN_SCS!L148*10^6</f>
        <v>0</v>
      </c>
      <c r="S85" s="188">
        <f>Output_EB_RIN_SCS!M148*10^6</f>
        <v>0</v>
      </c>
      <c r="T85" s="189">
        <f>Output_EB_RIN_SCS!N148*10^6</f>
        <v>0</v>
      </c>
      <c r="U85" s="190">
        <f>Output_EB_RIN_SCS!O148*10^6</f>
        <v>0</v>
      </c>
      <c r="V85" s="188">
        <f>Output_EB_RIN_SCS!P148*10^6</f>
        <v>0</v>
      </c>
      <c r="W85" s="188">
        <f>Output_EB_RIN_SCS!Q148*10^6</f>
        <v>0</v>
      </c>
      <c r="X85" s="188">
        <f>Output_EB_RIN_SCS!R148*10^6</f>
        <v>0</v>
      </c>
      <c r="Y85" s="189">
        <f>Output_EB_RIN_SCS!S148*10^6</f>
        <v>0</v>
      </c>
      <c r="Z85" s="191">
        <f>Output_EB_RIN_SCS!T148*10^6</f>
        <v>-9068.7229355076852</v>
      </c>
      <c r="AA85" s="189">
        <f>Output_EB_RIN_SCS!U148*10^6</f>
        <v>0</v>
      </c>
      <c r="AB85" s="157"/>
      <c r="AC85" s="187">
        <f>IFERROR(Output_EB_RIN_ACS!J148*10^6,NA)</f>
        <v>0</v>
      </c>
      <c r="AD85" s="188">
        <f>IFERROR(Output_EB_RIN_ACS!K148*10^6,NA)</f>
        <v>0</v>
      </c>
      <c r="AE85" s="188">
        <f>IFERROR(Output_EB_RIN_ACS!L148*10^6,NA)</f>
        <v>0</v>
      </c>
      <c r="AF85" s="188">
        <f>IFERROR(Output_EB_RIN_ACS!M148*10^6,NA)</f>
        <v>0</v>
      </c>
      <c r="AG85" s="189">
        <f>IFERROR(Output_EB_RIN_ACS!N148*10^6,NA)</f>
        <v>0</v>
      </c>
      <c r="AH85" s="190">
        <f>IFERROR(Output_EB_RIN_ACS!O148*10^6,NA)</f>
        <v>0</v>
      </c>
      <c r="AI85" s="188">
        <f>IFERROR(Output_EB_RIN_ACS!P148*10^6,NA)</f>
        <v>-44.093657837215218</v>
      </c>
      <c r="AJ85" s="188">
        <f>IFERROR(Output_EB_RIN_ACS!Q148*10^6,NA)</f>
        <v>0</v>
      </c>
      <c r="AK85" s="188">
        <f>IFERROR(Output_EB_RIN_ACS!R148*10^6,NA)</f>
        <v>-11.743236288573671</v>
      </c>
      <c r="AL85" s="189">
        <f>IFERROR(Output_EB_RIN_ACS!S148*10^6,NA)</f>
        <v>0</v>
      </c>
      <c r="AM85" s="191">
        <f>IFERROR(Output_EB_RIN_ACS!T148*10^6,NA)</f>
        <v>0</v>
      </c>
      <c r="AN85" s="189">
        <f>IFERROR(Output_EB_RIN_ACS!U148*10^6,NA)</f>
        <v>0</v>
      </c>
      <c r="AO85" s="157"/>
      <c r="AP85" s="157"/>
      <c r="AQ85" s="157"/>
      <c r="AR85" s="157"/>
      <c r="AS85" s="157"/>
      <c r="AT85" s="157"/>
      <c r="AU85" s="157"/>
      <c r="AV85" s="157"/>
      <c r="AW85" s="157"/>
      <c r="AX85" s="157"/>
      <c r="AY85" s="157"/>
      <c r="AZ85" s="157"/>
      <c r="BA85" s="157"/>
      <c r="BB85" s="157"/>
      <c r="BC85" s="157"/>
      <c r="BD85" s="157"/>
    </row>
    <row r="86" spans="1:56" ht="14.7" outlineLevel="2" thickBot="1" x14ac:dyDescent="0.6">
      <c r="A86" s="179" t="s">
        <v>351</v>
      </c>
      <c r="B86" s="192" t="s">
        <v>289</v>
      </c>
      <c r="C86" s="193">
        <f>SUM(C81:C85)</f>
        <v>580765.91627221683</v>
      </c>
      <c r="D86" s="194">
        <f t="shared" ref="D86" si="219">SUM(D81:D85)</f>
        <v>595199.15206123039</v>
      </c>
      <c r="E86" s="194">
        <f t="shared" ref="E86" si="220">SUM(E81:E85)</f>
        <v>1157657.9982008738</v>
      </c>
      <c r="F86" s="194">
        <f t="shared" ref="F86" si="221">SUM(F81:F85)</f>
        <v>1451549.7160196358</v>
      </c>
      <c r="G86" s="195">
        <f t="shared" ref="G86" si="222">SUM(G81:G85)</f>
        <v>1493919.2752980466</v>
      </c>
      <c r="H86" s="196">
        <f t="shared" ref="H86" si="223">SUM(H81:H85)</f>
        <v>1542565.8063214072</v>
      </c>
      <c r="I86" s="194">
        <f t="shared" ref="I86" si="224">SUM(I81:I85)</f>
        <v>1567673.6933012065</v>
      </c>
      <c r="J86" s="194">
        <f t="shared" ref="J86" si="225">SUM(J81:J85)</f>
        <v>1606904.7667071426</v>
      </c>
      <c r="K86" s="194">
        <f t="shared" ref="K86" si="226">SUM(K81:K85)</f>
        <v>1736675.3830441632</v>
      </c>
      <c r="L86" s="195">
        <f t="shared" ref="L86" si="227">SUM(L81:L85)</f>
        <v>1905066.2301253951</v>
      </c>
      <c r="M86" s="197">
        <f t="shared" ref="M86" si="228">SUM(M81:M85)</f>
        <v>2452477.8089326913</v>
      </c>
      <c r="N86" s="195">
        <f t="shared" ref="N86" si="229">SUM(N81:N85)</f>
        <v>4875107.9789943788</v>
      </c>
      <c r="P86" s="193">
        <f t="shared" ref="P86" si="230">SUM(P81:P85)</f>
        <v>580765.91627221683</v>
      </c>
      <c r="Q86" s="194">
        <f t="shared" ref="Q86" si="231">SUM(Q81:Q85)</f>
        <v>595199.15206123039</v>
      </c>
      <c r="R86" s="194">
        <f t="shared" ref="R86" si="232">SUM(R81:R85)</f>
        <v>1157657.9982008738</v>
      </c>
      <c r="S86" s="194">
        <f t="shared" ref="S86" si="233">SUM(S81:S85)</f>
        <v>1451549.7160196358</v>
      </c>
      <c r="T86" s="195">
        <f t="shared" ref="T86" si="234">SUM(T81:T85)</f>
        <v>1493919.2752980466</v>
      </c>
      <c r="U86" s="196">
        <f t="shared" ref="U86" si="235">SUM(U81:U85)</f>
        <v>1542565.8063214072</v>
      </c>
      <c r="V86" s="194">
        <f t="shared" ref="V86" si="236">SUM(V81:V85)</f>
        <v>1567673.6933012065</v>
      </c>
      <c r="W86" s="194">
        <f t="shared" ref="W86" si="237">SUM(W81:W85)</f>
        <v>1606904.7667071426</v>
      </c>
      <c r="X86" s="194">
        <f t="shared" ref="X86" si="238">SUM(X81:X85)</f>
        <v>1736675.3830441632</v>
      </c>
      <c r="Y86" s="195">
        <f t="shared" ref="Y86" si="239">SUM(Y81:Y85)</f>
        <v>1905066.2301253951</v>
      </c>
      <c r="Z86" s="197">
        <f t="shared" ref="Z86" si="240">SUM(Z81:Z85)</f>
        <v>2452477.8089326913</v>
      </c>
      <c r="AA86" s="195">
        <f t="shared" ref="AA86" si="241">SUM(AA81:AA85)</f>
        <v>4875107.9789943788</v>
      </c>
      <c r="AB86" s="157"/>
      <c r="AC86" s="193">
        <f t="shared" ref="AC86" si="242">SUM(AC81:AC85)</f>
        <v>86118.106111856483</v>
      </c>
      <c r="AD86" s="194">
        <f t="shared" ref="AD86" si="243">SUM(AD81:AD85)</f>
        <v>89166.240335584109</v>
      </c>
      <c r="AE86" s="194">
        <f t="shared" ref="AE86" si="244">SUM(AE81:AE85)</f>
        <v>103422.18241963645</v>
      </c>
      <c r="AF86" s="194">
        <f t="shared" ref="AF86" si="245">SUM(AF81:AF85)</f>
        <v>117861.29782009807</v>
      </c>
      <c r="AG86" s="195">
        <f t="shared" ref="AG86" si="246">SUM(AG81:AG85)</f>
        <v>133199.50111039908</v>
      </c>
      <c r="AH86" s="196">
        <f t="shared" ref="AH86" si="247">SUM(AH81:AH85)</f>
        <v>143904.04378170066</v>
      </c>
      <c r="AI86" s="194">
        <f t="shared" ref="AI86" si="248">SUM(AI81:AI85)</f>
        <v>154382.60176359571</v>
      </c>
      <c r="AJ86" s="194">
        <f t="shared" ref="AJ86" si="249">SUM(AJ81:AJ85)</f>
        <v>171223.27191245856</v>
      </c>
      <c r="AK86" s="194">
        <f t="shared" ref="AK86" si="250">SUM(AK81:AK85)</f>
        <v>168865.68716599833</v>
      </c>
      <c r="AL86" s="195">
        <f t="shared" ref="AL86" si="251">SUM(AL81:AL85)</f>
        <v>190199.0626713713</v>
      </c>
      <c r="AM86" s="197">
        <f t="shared" ref="AM86" si="252">SUM(AM81:AM85)</f>
        <v>234554.85391215401</v>
      </c>
      <c r="AN86" s="195">
        <f t="shared" ref="AN86" si="253">SUM(AN81:AN85)</f>
        <v>277494.74450786086</v>
      </c>
      <c r="AO86" s="157"/>
      <c r="AP86" s="157"/>
      <c r="AQ86" s="157"/>
      <c r="AR86" s="157"/>
      <c r="AS86" s="157"/>
      <c r="AT86" s="157"/>
      <c r="AU86" s="157"/>
      <c r="AV86" s="157"/>
      <c r="AW86" s="157"/>
      <c r="AX86" s="157"/>
      <c r="AY86" s="157"/>
      <c r="AZ86" s="157"/>
      <c r="BA86" s="157"/>
      <c r="BB86" s="157"/>
      <c r="BC86" s="157"/>
      <c r="BD86" s="157"/>
    </row>
    <row r="87" spans="1:56" ht="20.2" customHeight="1" outlineLevel="1" thickBot="1" x14ac:dyDescent="0.6">
      <c r="A87" s="70">
        <f>IF(SUM(C87:N87,P87:AA87,AC87:AN87)&lt;&gt;0,1,0)</f>
        <v>0</v>
      </c>
      <c r="B87" s="201" t="s">
        <v>352</v>
      </c>
      <c r="C87" s="327">
        <f>IF(ROUND(C86-(Output_EB_RIN_NS!J150*10^6),4)=0,0,1)</f>
        <v>0</v>
      </c>
      <c r="D87" s="327">
        <f>IF(ROUND(D86-(Output_EB_RIN_NS!K150*10^6),4)=0,0,1)</f>
        <v>0</v>
      </c>
      <c r="E87" s="327">
        <f>IF(ROUND(E86-(Output_EB_RIN_NS!L150*10^6),4)=0,0,1)</f>
        <v>0</v>
      </c>
      <c r="F87" s="327">
        <f>IF(ROUND(F86-(Output_EB_RIN_NS!M150*10^6),4)=0,0,1)</f>
        <v>0</v>
      </c>
      <c r="G87" s="327">
        <f>IF(ROUND(G86-(Output_EB_RIN_NS!N150*10^6),4)=0,0,1)</f>
        <v>0</v>
      </c>
      <c r="H87" s="327">
        <f>IF(ROUND(H86-(Output_EB_RIN_NS!O150*10^6),4)=0,0,1)</f>
        <v>0</v>
      </c>
      <c r="I87" s="327">
        <f>IF(ROUND(I86-(Output_EB_RIN_NS!P150*10^6),4)=0,0,1)</f>
        <v>0</v>
      </c>
      <c r="J87" s="327">
        <f>IF(ROUND(J86-(Output_EB_RIN_NS!Q150*10^6),4)=0,0,1)</f>
        <v>0</v>
      </c>
      <c r="K87" s="327">
        <f>IF(ROUND(K86-(Output_EB_RIN_NS!R150*10^6),4)=0,0,1)</f>
        <v>0</v>
      </c>
      <c r="L87" s="327">
        <f>IF(ROUND(L86-(Output_EB_RIN_NS!S150*10^6),4)=0,0,1)</f>
        <v>0</v>
      </c>
      <c r="M87" s="327">
        <f>IF(ROUND(M86-(Output_EB_RIN_NS!T150*10^6),4)=0,0,1)</f>
        <v>0</v>
      </c>
      <c r="N87" s="327">
        <f>IF(ROUND(N86-(Output_EB_RIN_NS!U150*10^6),4)=0,0,1)</f>
        <v>0</v>
      </c>
      <c r="P87" s="327">
        <f>IF(ROUND(P86-(Output_EB_RIN_SCS!J150*10^6),4)=0,0,1)</f>
        <v>0</v>
      </c>
      <c r="Q87" s="327">
        <f>IF(ROUND(Q86-(Output_EB_RIN_SCS!K150*10^6),4)=0,0,1)</f>
        <v>0</v>
      </c>
      <c r="R87" s="327">
        <f>IF(ROUND(R86-(Output_EB_RIN_SCS!L150*10^6),4)=0,0,1)</f>
        <v>0</v>
      </c>
      <c r="S87" s="327">
        <f>IF(ROUND(S86-(Output_EB_RIN_SCS!M150*10^6),4)=0,0,1)</f>
        <v>0</v>
      </c>
      <c r="T87" s="327">
        <f>IF(ROUND(T86-(Output_EB_RIN_SCS!N150*10^6),4)=0,0,1)</f>
        <v>0</v>
      </c>
      <c r="U87" s="327">
        <f>IF(ROUND(U86-(Output_EB_RIN_SCS!O150*10^6),4)=0,0,1)</f>
        <v>0</v>
      </c>
      <c r="V87" s="327">
        <f>IF(ROUND(V86-(Output_EB_RIN_SCS!P150*10^6),4)=0,0,1)</f>
        <v>0</v>
      </c>
      <c r="W87" s="327">
        <f>IF(ROUND(W86-(Output_EB_RIN_SCS!Q150*10^6),4)=0,0,1)</f>
        <v>0</v>
      </c>
      <c r="X87" s="327">
        <f>IF(ROUND(X86-(Output_EB_RIN_SCS!R150*10^6),4)=0,0,1)</f>
        <v>0</v>
      </c>
      <c r="Y87" s="327">
        <f>IF(ROUND(Y86-(Output_EB_RIN_SCS!S150*10^6),4)=0,0,1)</f>
        <v>0</v>
      </c>
      <c r="Z87" s="327">
        <f>IF(ROUND(Z86-(Output_EB_RIN_SCS!T150*10^6),4)=0,0,1)</f>
        <v>0</v>
      </c>
      <c r="AA87" s="327">
        <f>IF(ROUND(AA86-(Output_EB_RIN_SCS!U150*10^6),4)=0,0,1)</f>
        <v>0</v>
      </c>
      <c r="AB87" s="157"/>
      <c r="AC87" s="327">
        <f>IF(ROUND(AC86-(Output_EB_RIN_ACS!J150*10^6),4)=0,0,1)</f>
        <v>0</v>
      </c>
      <c r="AD87" s="327">
        <f>IF(ROUND(AD86-(Output_EB_RIN_ACS!K150*10^6),4)=0,0,1)</f>
        <v>0</v>
      </c>
      <c r="AE87" s="327">
        <f>IF(ROUND(AE86-(Output_EB_RIN_ACS!L150*10^6),4)=0,0,1)</f>
        <v>0</v>
      </c>
      <c r="AF87" s="327">
        <f>IF(ROUND(AF86-(Output_EB_RIN_ACS!M150*10^6),4)=0,0,1)</f>
        <v>0</v>
      </c>
      <c r="AG87" s="327">
        <f>IF(ROUND(AG86-(Output_EB_RIN_ACS!N150*10^6),4)=0,0,1)</f>
        <v>0</v>
      </c>
      <c r="AH87" s="327">
        <f>IF(ROUND(AH86-(Output_EB_RIN_ACS!O150*10^6),4)=0,0,1)</f>
        <v>0</v>
      </c>
      <c r="AI87" s="327">
        <f>IF(ROUND(AI86-(Output_EB_RIN_ACS!P150*10^6),4)=0,0,1)</f>
        <v>0</v>
      </c>
      <c r="AJ87" s="327">
        <f>IF(ROUND(AJ86-(Output_EB_RIN_ACS!Q150*10^6),4)=0,0,1)</f>
        <v>0</v>
      </c>
      <c r="AK87" s="327">
        <f>IF(ROUND(AK86-(Output_EB_RIN_ACS!R150*10^6),4)=0,0,1)</f>
        <v>0</v>
      </c>
      <c r="AL87" s="327">
        <f>IF(ROUND(AL86-(Output_EB_RIN_ACS!S150*10^6),4)=0,0,1)</f>
        <v>0</v>
      </c>
      <c r="AM87" s="327">
        <f>IF(ROUND(AM86-(Output_EB_RIN_ACS!T150*10^6),4)=0,0,1)</f>
        <v>0</v>
      </c>
      <c r="AN87" s="327">
        <f>IF(ROUND(AN86-(Output_EB_RIN_ACS!U150*10^6),4)=0,0,1)</f>
        <v>0</v>
      </c>
      <c r="AO87" s="157"/>
      <c r="AP87" s="157"/>
      <c r="AQ87" s="157"/>
      <c r="AR87" s="157"/>
      <c r="AS87" s="157"/>
      <c r="AT87" s="157"/>
      <c r="AU87" s="157"/>
      <c r="AV87" s="157"/>
      <c r="AW87" s="157"/>
      <c r="AX87" s="157"/>
      <c r="AY87" s="157"/>
      <c r="AZ87" s="157"/>
      <c r="BA87" s="157"/>
      <c r="BB87" s="157"/>
      <c r="BC87" s="157"/>
      <c r="BD87" s="157"/>
    </row>
    <row r="88" spans="1:56" outlineLevel="2" x14ac:dyDescent="0.55000000000000004">
      <c r="A88" s="179" t="s">
        <v>353</v>
      </c>
      <c r="B88" s="180" t="s">
        <v>279</v>
      </c>
      <c r="C88" s="181">
        <f>Output_EB_RIN_NS!J158*10^6</f>
        <v>2088514.6676098499</v>
      </c>
      <c r="D88" s="182">
        <f>Output_EB_RIN_NS!K158*10^6</f>
        <v>820917.09057313914</v>
      </c>
      <c r="E88" s="182">
        <f>Output_EB_RIN_NS!L158*10^6</f>
        <v>600444.77799461514</v>
      </c>
      <c r="F88" s="182">
        <f>Output_EB_RIN_NS!M158*10^6</f>
        <v>292461.82684719696</v>
      </c>
      <c r="G88" s="183">
        <f>Output_EB_RIN_NS!N158*10^6</f>
        <v>39470.165527343321</v>
      </c>
      <c r="H88" s="184">
        <f>Output_EB_RIN_NS!O158*10^6</f>
        <v>40622.267656249547</v>
      </c>
      <c r="I88" s="182">
        <f>Output_EB_RIN_NS!P158*10^6</f>
        <v>315926.8400187245</v>
      </c>
      <c r="J88" s="182">
        <f>Output_EB_RIN_NS!Q158*10^6</f>
        <v>2818110.6960225855</v>
      </c>
      <c r="K88" s="182">
        <f>Output_EB_RIN_NS!R158*10^6</f>
        <v>7249089.9399153562</v>
      </c>
      <c r="L88" s="183">
        <f>Output_EB_RIN_NS!S158*10^6</f>
        <v>8170692.4591252254</v>
      </c>
      <c r="M88" s="185">
        <f>Output_EB_RIN_NS!T158*10^6</f>
        <v>7540595.0108274277</v>
      </c>
      <c r="N88" s="183">
        <f>Output_EB_RIN_NS!U158*10^6</f>
        <v>6059165.0950727733</v>
      </c>
      <c r="P88" s="181">
        <f>Output_EB_RIN_SCS!J158*10^6</f>
        <v>2088514.6676098499</v>
      </c>
      <c r="Q88" s="182">
        <f>Output_EB_RIN_SCS!K158*10^6</f>
        <v>820917.09057313914</v>
      </c>
      <c r="R88" s="182">
        <f>Output_EB_RIN_SCS!L158*10^6</f>
        <v>600444.77799461514</v>
      </c>
      <c r="S88" s="182">
        <f>Output_EB_RIN_SCS!M158*10^6</f>
        <v>292461.82684719696</v>
      </c>
      <c r="T88" s="183">
        <f>Output_EB_RIN_SCS!N158*10^6</f>
        <v>39470.165527343321</v>
      </c>
      <c r="U88" s="184">
        <f>Output_EB_RIN_SCS!O158*10^6</f>
        <v>40622.267656249547</v>
      </c>
      <c r="V88" s="182">
        <f>Output_EB_RIN_SCS!P158*10^6</f>
        <v>315926.8400187245</v>
      </c>
      <c r="W88" s="182">
        <f>Output_EB_RIN_SCS!Q158*10^6</f>
        <v>2818110.6960225855</v>
      </c>
      <c r="X88" s="182">
        <f>Output_EB_RIN_SCS!R158*10^6</f>
        <v>7249089.9399153562</v>
      </c>
      <c r="Y88" s="183">
        <f>Output_EB_RIN_SCS!S158*10^6</f>
        <v>8170692.4591252254</v>
      </c>
      <c r="Z88" s="185">
        <f>Output_EB_RIN_SCS!T158*10^6</f>
        <v>7540595.0108274277</v>
      </c>
      <c r="AA88" s="183">
        <f>Output_EB_RIN_SCS!U158*10^6</f>
        <v>6059165.0950727733</v>
      </c>
      <c r="AB88" s="157"/>
      <c r="AC88" s="181">
        <f>IFERROR(Output_EB_RIN_ACS!J158*10^6,NA)</f>
        <v>0</v>
      </c>
      <c r="AD88" s="182">
        <f>IFERROR(Output_EB_RIN_ACS!K158*10^6,NA)</f>
        <v>0</v>
      </c>
      <c r="AE88" s="182">
        <f>IFERROR(Output_EB_RIN_ACS!L158*10^6,NA)</f>
        <v>0</v>
      </c>
      <c r="AF88" s="182">
        <f>IFERROR(Output_EB_RIN_ACS!M158*10^6,NA)</f>
        <v>0</v>
      </c>
      <c r="AG88" s="183">
        <f>IFERROR(Output_EB_RIN_ACS!N158*10^6,NA)</f>
        <v>0</v>
      </c>
      <c r="AH88" s="184">
        <f>IFERROR(Output_EB_RIN_ACS!O158*10^6,NA)</f>
        <v>0</v>
      </c>
      <c r="AI88" s="182">
        <f>IFERROR(Output_EB_RIN_ACS!P158*10^6,NA)</f>
        <v>0</v>
      </c>
      <c r="AJ88" s="182">
        <f>IFERROR(Output_EB_RIN_ACS!Q158*10^6,NA)</f>
        <v>0</v>
      </c>
      <c r="AK88" s="182">
        <f>IFERROR(Output_EB_RIN_ACS!R158*10^6,NA)</f>
        <v>0</v>
      </c>
      <c r="AL88" s="183">
        <f>IFERROR(Output_EB_RIN_ACS!S158*10^6,NA)</f>
        <v>0</v>
      </c>
      <c r="AM88" s="185">
        <f>IFERROR(Output_EB_RIN_ACS!T158*10^6,NA)</f>
        <v>0</v>
      </c>
      <c r="AN88" s="183">
        <f>IFERROR(Output_EB_RIN_ACS!U158*10^6,NA)</f>
        <v>0</v>
      </c>
      <c r="AO88" s="157"/>
      <c r="AP88" s="157"/>
      <c r="AQ88" s="157"/>
      <c r="AR88" s="157"/>
      <c r="AS88" s="157"/>
      <c r="AT88" s="157"/>
      <c r="AU88" s="157"/>
      <c r="AV88" s="157"/>
      <c r="AW88" s="157"/>
      <c r="AX88" s="157"/>
      <c r="AY88" s="157"/>
      <c r="AZ88" s="157"/>
      <c r="BA88" s="157"/>
      <c r="BB88" s="157"/>
      <c r="BC88" s="157"/>
      <c r="BD88" s="157"/>
    </row>
    <row r="89" spans="1:56" outlineLevel="2" x14ac:dyDescent="0.55000000000000004">
      <c r="A89" s="179" t="s">
        <v>354</v>
      </c>
      <c r="B89" s="186" t="s">
        <v>281</v>
      </c>
      <c r="C89" s="187">
        <f>Output_EB_RIN_NS!J159*10^6</f>
        <v>61052.80392525762</v>
      </c>
      <c r="D89" s="188">
        <f>Output_EB_RIN_NS!K159*10^6</f>
        <v>20401.489824894477</v>
      </c>
      <c r="E89" s="188">
        <f>Output_EB_RIN_NS!L159*10^6</f>
        <v>25654.107142957018</v>
      </c>
      <c r="F89" s="188">
        <f>Output_EB_RIN_NS!M159*10^6</f>
        <v>7125.3158257346013</v>
      </c>
      <c r="G89" s="189">
        <f>Output_EB_RIN_NS!N159*10^6</f>
        <v>1152.1021289062471</v>
      </c>
      <c r="H89" s="190">
        <f>Output_EB_RIN_NS!O159*10^6</f>
        <v>1322.7839257812454</v>
      </c>
      <c r="I89" s="188">
        <f>Output_EB_RIN_NS!P159*10^6</f>
        <v>5142.2476503556918</v>
      </c>
      <c r="J89" s="188">
        <f>Output_EB_RIN_NS!Q159*10^6</f>
        <v>70523.290691255883</v>
      </c>
      <c r="K89" s="188">
        <f>Output_EB_RIN_NS!R159*10^6</f>
        <v>177594.63104469699</v>
      </c>
      <c r="L89" s="189">
        <f>Output_EB_RIN_NS!S159*10^6</f>
        <v>108529.12184796241</v>
      </c>
      <c r="M89" s="191">
        <f>Output_EB_RIN_NS!T159*10^6</f>
        <v>98846.751078263231</v>
      </c>
      <c r="N89" s="189">
        <f>Output_EB_RIN_NS!U159*10^6</f>
        <v>128799.25802834873</v>
      </c>
      <c r="P89" s="187">
        <f>Output_EB_RIN_SCS!J159*10^6</f>
        <v>61052.80392525762</v>
      </c>
      <c r="Q89" s="188">
        <f>Output_EB_RIN_SCS!K159*10^6</f>
        <v>20401.489824894477</v>
      </c>
      <c r="R89" s="188">
        <f>Output_EB_RIN_SCS!L159*10^6</f>
        <v>25654.107142957018</v>
      </c>
      <c r="S89" s="188">
        <f>Output_EB_RIN_SCS!M159*10^6</f>
        <v>7125.3158257346013</v>
      </c>
      <c r="T89" s="189">
        <f>Output_EB_RIN_SCS!N159*10^6</f>
        <v>1152.1021289062471</v>
      </c>
      <c r="U89" s="190">
        <f>Output_EB_RIN_SCS!O159*10^6</f>
        <v>1322.7839257812454</v>
      </c>
      <c r="V89" s="188">
        <f>Output_EB_RIN_SCS!P159*10^6</f>
        <v>5142.2476503556918</v>
      </c>
      <c r="W89" s="188">
        <f>Output_EB_RIN_SCS!Q159*10^6</f>
        <v>70523.290691255883</v>
      </c>
      <c r="X89" s="188">
        <f>Output_EB_RIN_SCS!R159*10^6</f>
        <v>177594.63104469699</v>
      </c>
      <c r="Y89" s="189">
        <f>Output_EB_RIN_SCS!S159*10^6</f>
        <v>108529.12184796241</v>
      </c>
      <c r="Z89" s="191">
        <f>Output_EB_RIN_SCS!T159*10^6</f>
        <v>98846.751078263231</v>
      </c>
      <c r="AA89" s="189">
        <f>Output_EB_RIN_SCS!U159*10^6</f>
        <v>128799.25802834873</v>
      </c>
      <c r="AB89" s="157"/>
      <c r="AC89" s="187">
        <f>IFERROR(Output_EB_RIN_ACS!J159*10^6,NA)</f>
        <v>0</v>
      </c>
      <c r="AD89" s="188">
        <f>IFERROR(Output_EB_RIN_ACS!K159*10^6,NA)</f>
        <v>0</v>
      </c>
      <c r="AE89" s="188">
        <f>IFERROR(Output_EB_RIN_ACS!L159*10^6,NA)</f>
        <v>0</v>
      </c>
      <c r="AF89" s="188">
        <f>IFERROR(Output_EB_RIN_ACS!M159*10^6,NA)</f>
        <v>0</v>
      </c>
      <c r="AG89" s="189">
        <f>IFERROR(Output_EB_RIN_ACS!N159*10^6,NA)</f>
        <v>0</v>
      </c>
      <c r="AH89" s="190">
        <f>IFERROR(Output_EB_RIN_ACS!O159*10^6,NA)</f>
        <v>0</v>
      </c>
      <c r="AI89" s="188">
        <f>IFERROR(Output_EB_RIN_ACS!P159*10^6,NA)</f>
        <v>0</v>
      </c>
      <c r="AJ89" s="188">
        <f>IFERROR(Output_EB_RIN_ACS!Q159*10^6,NA)</f>
        <v>0</v>
      </c>
      <c r="AK89" s="188">
        <f>IFERROR(Output_EB_RIN_ACS!R159*10^6,NA)</f>
        <v>0</v>
      </c>
      <c r="AL89" s="189">
        <f>IFERROR(Output_EB_RIN_ACS!S159*10^6,NA)</f>
        <v>0</v>
      </c>
      <c r="AM89" s="191">
        <f>IFERROR(Output_EB_RIN_ACS!T159*10^6,NA)</f>
        <v>0</v>
      </c>
      <c r="AN89" s="189">
        <f>IFERROR(Output_EB_RIN_ACS!U159*10^6,NA)</f>
        <v>0</v>
      </c>
      <c r="AO89" s="157"/>
      <c r="AP89" s="157"/>
      <c r="AQ89" s="157"/>
      <c r="AR89" s="157"/>
      <c r="AS89" s="157"/>
      <c r="AT89" s="157"/>
      <c r="AU89" s="157"/>
      <c r="AV89" s="157"/>
      <c r="AW89" s="157"/>
      <c r="AX89" s="157"/>
      <c r="AY89" s="157"/>
      <c r="AZ89" s="157"/>
      <c r="BA89" s="157"/>
      <c r="BB89" s="157"/>
      <c r="BC89" s="157"/>
      <c r="BD89" s="157"/>
    </row>
    <row r="90" spans="1:56" outlineLevel="2" x14ac:dyDescent="0.55000000000000004">
      <c r="A90" s="179" t="s">
        <v>355</v>
      </c>
      <c r="B90" s="186" t="s">
        <v>283</v>
      </c>
      <c r="C90" s="187">
        <f>Output_EB_RIN_NS!J160*10^6</f>
        <v>-1686615.420188217</v>
      </c>
      <c r="D90" s="188">
        <f>Output_EB_RIN_NS!K160*10^6</f>
        <v>-692334.5732159469</v>
      </c>
      <c r="E90" s="188">
        <f>Output_EB_RIN_NS!L160*10^6</f>
        <v>-338829.21743439359</v>
      </c>
      <c r="F90" s="188">
        <f>Output_EB_RIN_NS!M160*10^6</f>
        <v>-275964.60609987623</v>
      </c>
      <c r="G90" s="189">
        <f>Output_EB_RIN_NS!N160*10^6</f>
        <v>-2790334.2389835934</v>
      </c>
      <c r="H90" s="190">
        <f>Output_EB_RIN_NS!O160*10^6</f>
        <v>-1934144.0812118656</v>
      </c>
      <c r="I90" s="188">
        <f>Output_EB_RIN_NS!P160*10^6</f>
        <v>-661868.64003919286</v>
      </c>
      <c r="J90" s="188">
        <f>Output_EB_RIN_NS!Q160*10^6</f>
        <v>-774048.67680624721</v>
      </c>
      <c r="K90" s="188">
        <f>Output_EB_RIN_NS!R160*10^6</f>
        <v>-709571.94848141656</v>
      </c>
      <c r="L90" s="189">
        <f>Output_EB_RIN_NS!S160*10^6</f>
        <v>-1427351.7799783407</v>
      </c>
      <c r="M90" s="191">
        <f>Output_EB_RIN_NS!T160*10^6</f>
        <v>-1909585.3253764445</v>
      </c>
      <c r="N90" s="189">
        <f>Output_EB_RIN_NS!U160*10^6</f>
        <v>-2168937.6661917516</v>
      </c>
      <c r="P90" s="187">
        <f>Output_EB_RIN_SCS!J160*10^6</f>
        <v>-1686615.420188217</v>
      </c>
      <c r="Q90" s="188">
        <f>Output_EB_RIN_SCS!K160*10^6</f>
        <v>-692334.5732159469</v>
      </c>
      <c r="R90" s="188">
        <f>Output_EB_RIN_SCS!L160*10^6</f>
        <v>-338829.21743439359</v>
      </c>
      <c r="S90" s="188">
        <f>Output_EB_RIN_SCS!M160*10^6</f>
        <v>-275964.60609987623</v>
      </c>
      <c r="T90" s="189">
        <f>Output_EB_RIN_SCS!N160*10^6</f>
        <v>-2790334.2389835934</v>
      </c>
      <c r="U90" s="190">
        <f>Output_EB_RIN_SCS!O160*10^6</f>
        <v>-1934144.0812118656</v>
      </c>
      <c r="V90" s="188">
        <f>Output_EB_RIN_SCS!P160*10^6</f>
        <v>-661868.64003919286</v>
      </c>
      <c r="W90" s="188">
        <f>Output_EB_RIN_SCS!Q160*10^6</f>
        <v>-774048.67680624721</v>
      </c>
      <c r="X90" s="188">
        <f>Output_EB_RIN_SCS!R160*10^6</f>
        <v>-709571.94848141656</v>
      </c>
      <c r="Y90" s="189">
        <f>Output_EB_RIN_SCS!S160*10^6</f>
        <v>-1427351.7799783407</v>
      </c>
      <c r="Z90" s="191">
        <f>Output_EB_RIN_SCS!T160*10^6</f>
        <v>-1909585.3253764445</v>
      </c>
      <c r="AA90" s="189">
        <f>Output_EB_RIN_SCS!U160*10^6</f>
        <v>-2168937.6661917516</v>
      </c>
      <c r="AB90" s="157"/>
      <c r="AC90" s="187">
        <f>IFERROR(Output_EB_RIN_ACS!J160*10^6,NA)</f>
        <v>0</v>
      </c>
      <c r="AD90" s="188">
        <f>IFERROR(Output_EB_RIN_ACS!K160*10^6,NA)</f>
        <v>0</v>
      </c>
      <c r="AE90" s="188">
        <f>IFERROR(Output_EB_RIN_ACS!L160*10^6,NA)</f>
        <v>0</v>
      </c>
      <c r="AF90" s="188">
        <f>IFERROR(Output_EB_RIN_ACS!M160*10^6,NA)</f>
        <v>0</v>
      </c>
      <c r="AG90" s="189">
        <f>IFERROR(Output_EB_RIN_ACS!N160*10^6,NA)</f>
        <v>0</v>
      </c>
      <c r="AH90" s="190">
        <f>IFERROR(Output_EB_RIN_ACS!O160*10^6,NA)</f>
        <v>0</v>
      </c>
      <c r="AI90" s="188">
        <f>IFERROR(Output_EB_RIN_ACS!P160*10^6,NA)</f>
        <v>0</v>
      </c>
      <c r="AJ90" s="188">
        <f>IFERROR(Output_EB_RIN_ACS!Q160*10^6,NA)</f>
        <v>0</v>
      </c>
      <c r="AK90" s="188">
        <f>IFERROR(Output_EB_RIN_ACS!R160*10^6,NA)</f>
        <v>0</v>
      </c>
      <c r="AL90" s="189">
        <f>IFERROR(Output_EB_RIN_ACS!S160*10^6,NA)</f>
        <v>0</v>
      </c>
      <c r="AM90" s="191">
        <f>IFERROR(Output_EB_RIN_ACS!T160*10^6,NA)</f>
        <v>0</v>
      </c>
      <c r="AN90" s="189">
        <f>IFERROR(Output_EB_RIN_ACS!U160*10^6,NA)</f>
        <v>0</v>
      </c>
      <c r="AO90" s="157"/>
      <c r="AP90" s="157"/>
      <c r="AQ90" s="157"/>
      <c r="AR90" s="157"/>
      <c r="AS90" s="157"/>
      <c r="AT90" s="157"/>
      <c r="AU90" s="157"/>
      <c r="AV90" s="157"/>
      <c r="AW90" s="157"/>
      <c r="AX90" s="157"/>
      <c r="AY90" s="157"/>
      <c r="AZ90" s="157"/>
      <c r="BA90" s="157"/>
      <c r="BB90" s="157"/>
      <c r="BC90" s="157"/>
      <c r="BD90" s="157"/>
    </row>
    <row r="91" spans="1:56" outlineLevel="2" x14ac:dyDescent="0.55000000000000004">
      <c r="A91" s="179" t="s">
        <v>356</v>
      </c>
      <c r="B91" s="186" t="s">
        <v>285</v>
      </c>
      <c r="C91" s="187">
        <f>Output_EB_RIN_NS!J161*10^6</f>
        <v>357965.03922624839</v>
      </c>
      <c r="D91" s="188">
        <f>Output_EB_RIN_NS!K161*10^6</f>
        <v>451460.77081252856</v>
      </c>
      <c r="E91" s="188">
        <f>Output_EB_RIN_NS!L161*10^6</f>
        <v>5192.1591440183802</v>
      </c>
      <c r="F91" s="188">
        <f>Output_EB_RIN_NS!M161*10^6</f>
        <v>15847.628954287968</v>
      </c>
      <c r="G91" s="189">
        <f>Output_EB_RIN_NS!N161*10^6</f>
        <v>2790334.2389835934</v>
      </c>
      <c r="H91" s="190">
        <f>Output_EB_RIN_NS!O161*10^6</f>
        <v>2208125.8696485595</v>
      </c>
      <c r="I91" s="188">
        <f>Output_EB_RIN_NS!P161*10^6</f>
        <v>3158910.2483926984</v>
      </c>
      <c r="J91" s="188">
        <f>Output_EB_RIN_NS!Q161*10^6</f>
        <v>5141436.6399532091</v>
      </c>
      <c r="K91" s="188">
        <f>Output_EB_RIN_NS!R161*10^6</f>
        <v>1453579.836646589</v>
      </c>
      <c r="L91" s="189">
        <f>Output_EB_RIN_NS!S161*10^6</f>
        <v>691511.77578155661</v>
      </c>
      <c r="M91" s="191">
        <f>Output_EB_RIN_NS!T161*10^6</f>
        <v>331539.77242198365</v>
      </c>
      <c r="N91" s="189">
        <f>Output_EB_RIN_NS!U161*10^6</f>
        <v>468982.79470098705</v>
      </c>
      <c r="P91" s="187">
        <f>Output_EB_RIN_SCS!J161*10^6</f>
        <v>357965.03922624839</v>
      </c>
      <c r="Q91" s="188">
        <f>Output_EB_RIN_SCS!K161*10^6</f>
        <v>451460.77081252856</v>
      </c>
      <c r="R91" s="188">
        <f>Output_EB_RIN_SCS!L161*10^6</f>
        <v>5192.1591440183802</v>
      </c>
      <c r="S91" s="188">
        <f>Output_EB_RIN_SCS!M161*10^6</f>
        <v>15847.628954287968</v>
      </c>
      <c r="T91" s="189">
        <f>Output_EB_RIN_SCS!N161*10^6</f>
        <v>2790334.2389835934</v>
      </c>
      <c r="U91" s="190">
        <f>Output_EB_RIN_SCS!O161*10^6</f>
        <v>2208125.8696485595</v>
      </c>
      <c r="V91" s="188">
        <f>Output_EB_RIN_SCS!P161*10^6</f>
        <v>3158910.2483926984</v>
      </c>
      <c r="W91" s="188">
        <f>Output_EB_RIN_SCS!Q161*10^6</f>
        <v>5141436.6399532091</v>
      </c>
      <c r="X91" s="188">
        <f>Output_EB_RIN_SCS!R161*10^6</f>
        <v>1453579.836646589</v>
      </c>
      <c r="Y91" s="189">
        <f>Output_EB_RIN_SCS!S161*10^6</f>
        <v>691511.77578155661</v>
      </c>
      <c r="Z91" s="191">
        <f>Output_EB_RIN_SCS!T161*10^6</f>
        <v>331539.77242198365</v>
      </c>
      <c r="AA91" s="189">
        <f>Output_EB_RIN_SCS!U161*10^6</f>
        <v>468982.79470098705</v>
      </c>
      <c r="AB91" s="157"/>
      <c r="AC91" s="187">
        <f>IFERROR(Output_EB_RIN_ACS!J161*10^6,NA)</f>
        <v>0</v>
      </c>
      <c r="AD91" s="188">
        <f>IFERROR(Output_EB_RIN_ACS!K161*10^6,NA)</f>
        <v>0</v>
      </c>
      <c r="AE91" s="188">
        <f>IFERROR(Output_EB_RIN_ACS!L161*10^6,NA)</f>
        <v>0</v>
      </c>
      <c r="AF91" s="188">
        <f>IFERROR(Output_EB_RIN_ACS!M161*10^6,NA)</f>
        <v>0</v>
      </c>
      <c r="AG91" s="189">
        <f>IFERROR(Output_EB_RIN_ACS!N161*10^6,NA)</f>
        <v>0</v>
      </c>
      <c r="AH91" s="190">
        <f>IFERROR(Output_EB_RIN_ACS!O161*10^6,NA)</f>
        <v>0</v>
      </c>
      <c r="AI91" s="188">
        <f>IFERROR(Output_EB_RIN_ACS!P161*10^6,NA)</f>
        <v>0</v>
      </c>
      <c r="AJ91" s="188">
        <f>IFERROR(Output_EB_RIN_ACS!Q161*10^6,NA)</f>
        <v>0</v>
      </c>
      <c r="AK91" s="188">
        <f>IFERROR(Output_EB_RIN_ACS!R161*10^6,NA)</f>
        <v>0</v>
      </c>
      <c r="AL91" s="189">
        <f>IFERROR(Output_EB_RIN_ACS!S161*10^6,NA)</f>
        <v>0</v>
      </c>
      <c r="AM91" s="191">
        <f>IFERROR(Output_EB_RIN_ACS!T161*10^6,NA)</f>
        <v>0</v>
      </c>
      <c r="AN91" s="189">
        <f>IFERROR(Output_EB_RIN_ACS!U161*10^6,NA)</f>
        <v>0</v>
      </c>
      <c r="AO91" s="157"/>
      <c r="AP91" s="157"/>
      <c r="AQ91" s="157"/>
      <c r="AR91" s="157"/>
      <c r="AS91" s="157"/>
      <c r="AT91" s="157"/>
      <c r="AU91" s="157"/>
      <c r="AV91" s="157"/>
      <c r="AW91" s="157"/>
      <c r="AX91" s="157"/>
      <c r="AY91" s="157"/>
      <c r="AZ91" s="157"/>
      <c r="BA91" s="157"/>
      <c r="BB91" s="157"/>
      <c r="BC91" s="157"/>
      <c r="BD91" s="157"/>
    </row>
    <row r="92" spans="1:56" outlineLevel="2" x14ac:dyDescent="0.55000000000000004">
      <c r="A92" s="179" t="s">
        <v>357</v>
      </c>
      <c r="B92" s="186" t="s">
        <v>287</v>
      </c>
      <c r="C92" s="187">
        <f>Output_EB_RIN_NS!J162*10^6</f>
        <v>0</v>
      </c>
      <c r="D92" s="188">
        <f>Output_EB_RIN_NS!K162*10^6</f>
        <v>0</v>
      </c>
      <c r="E92" s="188">
        <f>Output_EB_RIN_NS!L162*10^6</f>
        <v>0</v>
      </c>
      <c r="F92" s="188">
        <f>Output_EB_RIN_NS!M162*10^6</f>
        <v>0</v>
      </c>
      <c r="G92" s="189">
        <f>Output_EB_RIN_NS!N162*10^6</f>
        <v>0</v>
      </c>
      <c r="H92" s="190">
        <f>Output_EB_RIN_NS!O162*10^6</f>
        <v>0</v>
      </c>
      <c r="I92" s="188">
        <f>Output_EB_RIN_NS!P162*10^6</f>
        <v>0</v>
      </c>
      <c r="J92" s="188">
        <f>Output_EB_RIN_NS!Q162*10^6</f>
        <v>-6932.0099454478905</v>
      </c>
      <c r="K92" s="188">
        <f>Output_EB_RIN_NS!R162*10^6</f>
        <v>0</v>
      </c>
      <c r="L92" s="189">
        <f>Output_EB_RIN_NS!S162*10^6</f>
        <v>-2786.565948975734</v>
      </c>
      <c r="M92" s="191">
        <f>Output_EB_RIN_NS!T162*10^6</f>
        <v>-2231.1138784566006</v>
      </c>
      <c r="N92" s="189">
        <f>Output_EB_RIN_NS!U162*10^6</f>
        <v>-4885.8675885982157</v>
      </c>
      <c r="P92" s="187">
        <f>Output_EB_RIN_SCS!J162*10^6</f>
        <v>0</v>
      </c>
      <c r="Q92" s="188">
        <f>Output_EB_RIN_SCS!K162*10^6</f>
        <v>0</v>
      </c>
      <c r="R92" s="188">
        <f>Output_EB_RIN_SCS!L162*10^6</f>
        <v>0</v>
      </c>
      <c r="S92" s="188">
        <f>Output_EB_RIN_SCS!M162*10^6</f>
        <v>0</v>
      </c>
      <c r="T92" s="189">
        <f>Output_EB_RIN_SCS!N162*10^6</f>
        <v>0</v>
      </c>
      <c r="U92" s="190">
        <f>Output_EB_RIN_SCS!O162*10^6</f>
        <v>0</v>
      </c>
      <c r="V92" s="188">
        <f>Output_EB_RIN_SCS!P162*10^6</f>
        <v>0</v>
      </c>
      <c r="W92" s="188">
        <f>Output_EB_RIN_SCS!Q162*10^6</f>
        <v>-6932.0099454478905</v>
      </c>
      <c r="X92" s="188">
        <f>Output_EB_RIN_SCS!R162*10^6</f>
        <v>0</v>
      </c>
      <c r="Y92" s="189">
        <f>Output_EB_RIN_SCS!S162*10^6</f>
        <v>-2786.565948975734</v>
      </c>
      <c r="Z92" s="191">
        <f>Output_EB_RIN_SCS!T162*10^6</f>
        <v>-2231.1138784566006</v>
      </c>
      <c r="AA92" s="189">
        <f>Output_EB_RIN_SCS!U162*10^6</f>
        <v>-4885.8675885982157</v>
      </c>
      <c r="AB92" s="157"/>
      <c r="AC92" s="187">
        <f>IFERROR(Output_EB_RIN_ACS!J162*10^6,NA)</f>
        <v>0</v>
      </c>
      <c r="AD92" s="188">
        <f>IFERROR(Output_EB_RIN_ACS!K162*10^6,NA)</f>
        <v>0</v>
      </c>
      <c r="AE92" s="188">
        <f>IFERROR(Output_EB_RIN_ACS!L162*10^6,NA)</f>
        <v>0</v>
      </c>
      <c r="AF92" s="188">
        <f>IFERROR(Output_EB_RIN_ACS!M162*10^6,NA)</f>
        <v>0</v>
      </c>
      <c r="AG92" s="189">
        <f>IFERROR(Output_EB_RIN_ACS!N162*10^6,NA)</f>
        <v>0</v>
      </c>
      <c r="AH92" s="190">
        <f>IFERROR(Output_EB_RIN_ACS!O162*10^6,NA)</f>
        <v>0</v>
      </c>
      <c r="AI92" s="188">
        <f>IFERROR(Output_EB_RIN_ACS!P162*10^6,NA)</f>
        <v>0</v>
      </c>
      <c r="AJ92" s="188">
        <f>IFERROR(Output_EB_RIN_ACS!Q162*10^6,NA)</f>
        <v>0</v>
      </c>
      <c r="AK92" s="188">
        <f>IFERROR(Output_EB_RIN_ACS!R162*10^6,NA)</f>
        <v>0</v>
      </c>
      <c r="AL92" s="189">
        <f>IFERROR(Output_EB_RIN_ACS!S162*10^6,NA)</f>
        <v>0</v>
      </c>
      <c r="AM92" s="191">
        <f>IFERROR(Output_EB_RIN_ACS!T162*10^6,NA)</f>
        <v>0</v>
      </c>
      <c r="AN92" s="189">
        <f>IFERROR(Output_EB_RIN_ACS!U162*10^6,NA)</f>
        <v>0</v>
      </c>
      <c r="AO92" s="157"/>
      <c r="AP92" s="157"/>
      <c r="AQ92" s="157"/>
      <c r="AR92" s="157"/>
      <c r="AS92" s="157"/>
      <c r="AT92" s="157"/>
      <c r="AU92" s="157"/>
      <c r="AV92" s="157"/>
      <c r="AW92" s="157"/>
      <c r="AX92" s="157"/>
      <c r="AY92" s="157"/>
      <c r="AZ92" s="157"/>
      <c r="BA92" s="157"/>
      <c r="BB92" s="157"/>
      <c r="BC92" s="157"/>
      <c r="BD92" s="157"/>
    </row>
    <row r="93" spans="1:56" ht="14.7" outlineLevel="2" thickBot="1" x14ac:dyDescent="0.6">
      <c r="A93" s="179" t="s">
        <v>358</v>
      </c>
      <c r="B93" s="192" t="s">
        <v>289</v>
      </c>
      <c r="C93" s="193">
        <f>SUM(C88:C92)</f>
        <v>820917.09057313902</v>
      </c>
      <c r="D93" s="194">
        <f t="shared" ref="D93" si="254">SUM(D88:D92)</f>
        <v>600444.77799461526</v>
      </c>
      <c r="E93" s="194">
        <f t="shared" ref="E93" si="255">SUM(E88:E92)</f>
        <v>292461.82684719696</v>
      </c>
      <c r="F93" s="194">
        <f t="shared" ref="F93" si="256">SUM(F88:F92)</f>
        <v>39470.165527343284</v>
      </c>
      <c r="G93" s="195">
        <f t="shared" ref="G93" si="257">SUM(G88:G92)</f>
        <v>40622.26765624946</v>
      </c>
      <c r="H93" s="196">
        <f t="shared" ref="H93" si="258">SUM(H88:H92)</f>
        <v>315926.84001872456</v>
      </c>
      <c r="I93" s="194">
        <f t="shared" ref="I93" si="259">SUM(I88:I92)</f>
        <v>2818110.6960225855</v>
      </c>
      <c r="J93" s="194">
        <f t="shared" ref="J93" si="260">SUM(J88:J92)</f>
        <v>7249089.9399153562</v>
      </c>
      <c r="K93" s="194">
        <f t="shared" ref="K93" si="261">SUM(K88:K92)</f>
        <v>8170692.4591252264</v>
      </c>
      <c r="L93" s="195">
        <f t="shared" ref="L93" si="262">SUM(L88:L92)</f>
        <v>7540595.0108274287</v>
      </c>
      <c r="M93" s="197">
        <f t="shared" ref="M93" si="263">SUM(M88:M92)</f>
        <v>6059165.0950727733</v>
      </c>
      <c r="N93" s="195">
        <f t="shared" ref="N93" si="264">SUM(N88:N92)</f>
        <v>4483123.6140217595</v>
      </c>
      <c r="P93" s="193">
        <f t="shared" ref="P93" si="265">SUM(P88:P92)</f>
        <v>820917.09057313902</v>
      </c>
      <c r="Q93" s="194">
        <f t="shared" ref="Q93" si="266">SUM(Q88:Q92)</f>
        <v>600444.77799461526</v>
      </c>
      <c r="R93" s="194">
        <f t="shared" ref="R93" si="267">SUM(R88:R92)</f>
        <v>292461.82684719696</v>
      </c>
      <c r="S93" s="194">
        <f t="shared" ref="S93" si="268">SUM(S88:S92)</f>
        <v>39470.165527343284</v>
      </c>
      <c r="T93" s="195">
        <f t="shared" ref="T93" si="269">SUM(T88:T92)</f>
        <v>40622.26765624946</v>
      </c>
      <c r="U93" s="196">
        <f t="shared" ref="U93" si="270">SUM(U88:U92)</f>
        <v>315926.84001872456</v>
      </c>
      <c r="V93" s="194">
        <f t="shared" ref="V93" si="271">SUM(V88:V92)</f>
        <v>2818110.6960225855</v>
      </c>
      <c r="W93" s="194">
        <f t="shared" ref="W93" si="272">SUM(W88:W92)</f>
        <v>7249089.9399153562</v>
      </c>
      <c r="X93" s="194">
        <f t="shared" ref="X93" si="273">SUM(X88:X92)</f>
        <v>8170692.4591252264</v>
      </c>
      <c r="Y93" s="195">
        <f t="shared" ref="Y93" si="274">SUM(Y88:Y92)</f>
        <v>7540595.0108274287</v>
      </c>
      <c r="Z93" s="197">
        <f t="shared" ref="Z93" si="275">SUM(Z88:Z92)</f>
        <v>6059165.0950727733</v>
      </c>
      <c r="AA93" s="195">
        <f t="shared" ref="AA93" si="276">SUM(AA88:AA92)</f>
        <v>4483123.6140217595</v>
      </c>
      <c r="AB93" s="157"/>
      <c r="AC93" s="193">
        <f t="shared" ref="AC93" si="277">SUM(AC88:AC92)</f>
        <v>0</v>
      </c>
      <c r="AD93" s="194">
        <f t="shared" ref="AD93" si="278">SUM(AD88:AD92)</f>
        <v>0</v>
      </c>
      <c r="AE93" s="194">
        <f t="shared" ref="AE93" si="279">SUM(AE88:AE92)</f>
        <v>0</v>
      </c>
      <c r="AF93" s="194">
        <f t="shared" ref="AF93" si="280">SUM(AF88:AF92)</f>
        <v>0</v>
      </c>
      <c r="AG93" s="195">
        <f t="shared" ref="AG93" si="281">SUM(AG88:AG92)</f>
        <v>0</v>
      </c>
      <c r="AH93" s="196">
        <f t="shared" ref="AH93" si="282">SUM(AH88:AH92)</f>
        <v>0</v>
      </c>
      <c r="AI93" s="194">
        <f t="shared" ref="AI93" si="283">SUM(AI88:AI92)</f>
        <v>0</v>
      </c>
      <c r="AJ93" s="194">
        <f t="shared" ref="AJ93" si="284">SUM(AJ88:AJ92)</f>
        <v>0</v>
      </c>
      <c r="AK93" s="194">
        <f t="shared" ref="AK93" si="285">SUM(AK88:AK92)</f>
        <v>0</v>
      </c>
      <c r="AL93" s="195">
        <f t="shared" ref="AL93" si="286">SUM(AL88:AL92)</f>
        <v>0</v>
      </c>
      <c r="AM93" s="197">
        <f t="shared" ref="AM93" si="287">SUM(AM88:AM92)</f>
        <v>0</v>
      </c>
      <c r="AN93" s="195">
        <f t="shared" ref="AN93" si="288">SUM(AN88:AN92)</f>
        <v>0</v>
      </c>
      <c r="AO93" s="157"/>
      <c r="AP93" s="157"/>
      <c r="AQ93" s="157"/>
      <c r="AR93" s="157"/>
      <c r="AS93" s="157"/>
      <c r="AT93" s="157"/>
      <c r="AU93" s="157"/>
      <c r="AV93" s="157"/>
      <c r="AW93" s="157"/>
      <c r="AX93" s="157"/>
      <c r="AY93" s="157"/>
      <c r="AZ93" s="157"/>
      <c r="BA93" s="157"/>
      <c r="BB93" s="157"/>
      <c r="BC93" s="157"/>
      <c r="BD93" s="157"/>
    </row>
    <row r="94" spans="1:56" s="176" customFormat="1" outlineLevel="1" x14ac:dyDescent="0.55000000000000004">
      <c r="A94" s="215"/>
      <c r="C94" s="327">
        <f>IF(ROUND(C93-(Output_EB_RIN_NS!J164*10^6),4)=0,0,1)</f>
        <v>0</v>
      </c>
      <c r="D94" s="327">
        <f>IF(ROUND(D93-(Output_EB_RIN_NS!K164*10^6),4)=0,0,1)</f>
        <v>0</v>
      </c>
      <c r="E94" s="327">
        <f>IF(ROUND(E93-(Output_EB_RIN_NS!L164*10^6),4)=0,0,1)</f>
        <v>0</v>
      </c>
      <c r="F94" s="327">
        <f>IF(ROUND(F93-(Output_EB_RIN_NS!M164*10^6),4)=0,0,1)</f>
        <v>0</v>
      </c>
      <c r="G94" s="327">
        <f>IF(ROUND(G93-(Output_EB_RIN_NS!N164*10^6),4)=0,0,1)</f>
        <v>0</v>
      </c>
      <c r="H94" s="327">
        <f>IF(ROUND(H93-(Output_EB_RIN_NS!O164*10^6),4)=0,0,1)</f>
        <v>0</v>
      </c>
      <c r="I94" s="327">
        <f>IF(ROUND(I93-(Output_EB_RIN_NS!P164*10^6),4)=0,0,1)</f>
        <v>0</v>
      </c>
      <c r="J94" s="327">
        <f>IF(ROUND(J93-(Output_EB_RIN_NS!Q164*10^6),4)=0,0,1)</f>
        <v>0</v>
      </c>
      <c r="K94" s="327">
        <f>IF(ROUND(K93-(Output_EB_RIN_NS!R164*10^6),4)=0,0,1)</f>
        <v>0</v>
      </c>
      <c r="L94" s="327">
        <f>IF(ROUND(L93-(Output_EB_RIN_NS!S164*10^6),4)=0,0,1)</f>
        <v>0</v>
      </c>
      <c r="M94" s="327">
        <f>IF(ROUND(M93-(Output_EB_RIN_NS!T164*10^6),4)=0,0,1)</f>
        <v>0</v>
      </c>
      <c r="N94" s="327">
        <f>IF(ROUND(N93-(Output_EB_RIN_NS!U164*10^6),4)=0,0,1)</f>
        <v>0</v>
      </c>
      <c r="O94" s="158"/>
      <c r="P94" s="327">
        <f>IF(ROUND(P93-(Output_EB_RIN_SCS!J164*10^6),4)=0,0,1)</f>
        <v>0</v>
      </c>
      <c r="Q94" s="327">
        <f>IF(ROUND(Q93-(Output_EB_RIN_SCS!K164*10^6),4)=0,0,1)</f>
        <v>0</v>
      </c>
      <c r="R94" s="327">
        <f>IF(ROUND(R93-(Output_EB_RIN_SCS!L164*10^6),4)=0,0,1)</f>
        <v>0</v>
      </c>
      <c r="S94" s="327">
        <f>IF(ROUND(S93-(Output_EB_RIN_SCS!M164*10^6),4)=0,0,1)</f>
        <v>0</v>
      </c>
      <c r="T94" s="327">
        <f>IF(ROUND(T93-(Output_EB_RIN_SCS!N164*10^6),4)=0,0,1)</f>
        <v>0</v>
      </c>
      <c r="U94" s="327">
        <f>IF(ROUND(U93-(Output_EB_RIN_SCS!O164*10^6),4)=0,0,1)</f>
        <v>0</v>
      </c>
      <c r="V94" s="327">
        <f>IF(ROUND(V93-(Output_EB_RIN_SCS!P164*10^6),4)=0,0,1)</f>
        <v>0</v>
      </c>
      <c r="W94" s="327">
        <f>IF(ROUND(W93-(Output_EB_RIN_SCS!Q164*10^6),4)=0,0,1)</f>
        <v>0</v>
      </c>
      <c r="X94" s="327">
        <f>IF(ROUND(X93-(Output_EB_RIN_SCS!R164*10^6),4)=0,0,1)</f>
        <v>0</v>
      </c>
      <c r="Y94" s="327">
        <f>IF(ROUND(Y93-(Output_EB_RIN_SCS!S164*10^6),4)=0,0,1)</f>
        <v>0</v>
      </c>
      <c r="Z94" s="327">
        <f>IF(ROUND(Z93-(Output_EB_RIN_SCS!T164*10^6),4)=0,0,1)</f>
        <v>0</v>
      </c>
      <c r="AA94" s="327">
        <f>IF(ROUND(AA93-(Output_EB_RIN_SCS!U164*10^6),4)=0,0,1)</f>
        <v>0</v>
      </c>
      <c r="AB94" s="158"/>
      <c r="AC94" s="327">
        <f>IF(ROUND(AC93-(Output_EB_RIN_ACS!J164*10^6),4)=0,0,1)</f>
        <v>0</v>
      </c>
      <c r="AD94" s="327">
        <f>IF(ROUND(AD93-(Output_EB_RIN_ACS!K164*10^6),4)=0,0,1)</f>
        <v>0</v>
      </c>
      <c r="AE94" s="327">
        <f>IF(ROUND(AE93-(Output_EB_RIN_ACS!L164*10^6),4)=0,0,1)</f>
        <v>0</v>
      </c>
      <c r="AF94" s="327">
        <f>IF(ROUND(AF93-(Output_EB_RIN_ACS!M164*10^6),4)=0,0,1)</f>
        <v>0</v>
      </c>
      <c r="AG94" s="327">
        <f>IF(ROUND(AG93-(Output_EB_RIN_ACS!N164*10^6),4)=0,0,1)</f>
        <v>0</v>
      </c>
      <c r="AH94" s="327">
        <f>IF(ROUND(AH93-(Output_EB_RIN_ACS!O164*10^6),4)=0,0,1)</f>
        <v>0</v>
      </c>
      <c r="AI94" s="327">
        <f>IF(ROUND(AI93-(Output_EB_RIN_ACS!P164*10^6),4)=0,0,1)</f>
        <v>0</v>
      </c>
      <c r="AJ94" s="327">
        <f>IF(ROUND(AJ93-(Output_EB_RIN_ACS!Q164*10^6),4)=0,0,1)</f>
        <v>0</v>
      </c>
      <c r="AK94" s="327">
        <f>IF(ROUND(AK93-(Output_EB_RIN_ACS!R164*10^6),4)=0,0,1)</f>
        <v>0</v>
      </c>
      <c r="AL94" s="327">
        <f>IF(ROUND(AL93-(Output_EB_RIN_ACS!S164*10^6),4)=0,0,1)</f>
        <v>0</v>
      </c>
      <c r="AM94" s="327">
        <f>IF(ROUND(AM93-(Output_EB_RIN_ACS!T164*10^6),4)=0,0,1)</f>
        <v>0</v>
      </c>
      <c r="AN94" s="327">
        <f>IF(ROUND(AN93-(Output_EB_RIN_ACS!U164*10^6),4)=0,0,1)</f>
        <v>0</v>
      </c>
      <c r="AO94" s="158"/>
    </row>
    <row r="95" spans="1:56" s="176" customFormat="1" outlineLevel="1" x14ac:dyDescent="0.55000000000000004">
      <c r="A95" s="215"/>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row>
    <row r="96" spans="1:56" s="176" customFormat="1" x14ac:dyDescent="0.55000000000000004">
      <c r="A96" s="215"/>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row>
    <row r="97" spans="1:56" s="176" customFormat="1" x14ac:dyDescent="0.55000000000000004">
      <c r="A97" s="215"/>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row>
    <row r="98" spans="1:56" ht="18.600000000000001" thickBot="1" x14ac:dyDescent="0.6">
      <c r="A98" s="179"/>
      <c r="B98" s="164" t="s">
        <v>359</v>
      </c>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P98" s="157"/>
      <c r="AQ98" s="157"/>
      <c r="AR98" s="157"/>
      <c r="AS98" s="157"/>
      <c r="AT98" s="157"/>
      <c r="AU98" s="157"/>
      <c r="AV98" s="157"/>
      <c r="AW98" s="157"/>
      <c r="AX98" s="157"/>
      <c r="AY98" s="157"/>
      <c r="AZ98" s="157"/>
      <c r="BA98" s="157"/>
      <c r="BB98" s="157"/>
      <c r="BC98" s="157"/>
      <c r="BD98" s="157"/>
    </row>
    <row r="99" spans="1:56" ht="28.5" customHeight="1" outlineLevel="2" x14ac:dyDescent="0.75">
      <c r="A99" s="163"/>
      <c r="B99" s="165"/>
      <c r="C99" s="394" t="s">
        <v>275</v>
      </c>
      <c r="D99" s="395"/>
      <c r="E99" s="395"/>
      <c r="F99" s="395"/>
      <c r="G99" s="395"/>
      <c r="H99" s="395"/>
      <c r="I99" s="395"/>
      <c r="J99" s="395"/>
      <c r="K99" s="395"/>
      <c r="L99" s="395"/>
      <c r="M99" s="395"/>
      <c r="N99" s="396"/>
      <c r="O99" s="166"/>
      <c r="P99" s="397" t="s">
        <v>93</v>
      </c>
      <c r="Q99" s="398"/>
      <c r="R99" s="398"/>
      <c r="S99" s="398"/>
      <c r="T99" s="398"/>
      <c r="U99" s="398"/>
      <c r="V99" s="398"/>
      <c r="W99" s="398"/>
      <c r="X99" s="398"/>
      <c r="Y99" s="398"/>
      <c r="Z99" s="398"/>
      <c r="AA99" s="399"/>
      <c r="AB99" s="167"/>
      <c r="AC99" s="394" t="s">
        <v>94</v>
      </c>
      <c r="AD99" s="395"/>
      <c r="AE99" s="395"/>
      <c r="AF99" s="395"/>
      <c r="AG99" s="395"/>
      <c r="AH99" s="395"/>
      <c r="AI99" s="395"/>
      <c r="AJ99" s="395"/>
      <c r="AK99" s="395"/>
      <c r="AL99" s="395"/>
      <c r="AM99" s="395"/>
      <c r="AN99" s="396"/>
      <c r="AO99" s="157"/>
      <c r="AP99" s="157"/>
      <c r="AQ99" s="157"/>
      <c r="AR99" s="157"/>
      <c r="AS99" s="157"/>
      <c r="AT99" s="157"/>
      <c r="AU99" s="157"/>
      <c r="AV99" s="157"/>
      <c r="AW99" s="157"/>
      <c r="AX99" s="157"/>
      <c r="AY99" s="157"/>
      <c r="AZ99" s="157"/>
      <c r="BA99" s="157"/>
      <c r="BB99" s="157"/>
      <c r="BC99" s="157"/>
      <c r="BD99" s="157"/>
    </row>
    <row r="100" spans="1:56" s="169" customFormat="1" ht="41.25" customHeight="1" outlineLevel="2" thickBot="1" x14ac:dyDescent="0.6">
      <c r="A100" s="163"/>
      <c r="B100" s="168"/>
      <c r="C100" s="400" t="s">
        <v>276</v>
      </c>
      <c r="D100" s="401"/>
      <c r="E100" s="401"/>
      <c r="F100" s="401"/>
      <c r="G100" s="401"/>
      <c r="H100" s="401"/>
      <c r="I100" s="401"/>
      <c r="J100" s="401"/>
      <c r="K100" s="401"/>
      <c r="L100" s="401"/>
      <c r="M100" s="401"/>
      <c r="N100" s="402"/>
      <c r="O100" s="158"/>
      <c r="P100" s="403" t="s">
        <v>276</v>
      </c>
      <c r="Q100" s="404"/>
      <c r="R100" s="404"/>
      <c r="S100" s="404"/>
      <c r="T100" s="404"/>
      <c r="U100" s="404"/>
      <c r="V100" s="404"/>
      <c r="W100" s="404"/>
      <c r="X100" s="404"/>
      <c r="Y100" s="404"/>
      <c r="Z100" s="404"/>
      <c r="AA100" s="405"/>
      <c r="AB100" s="168"/>
      <c r="AC100" s="406" t="s">
        <v>276</v>
      </c>
      <c r="AD100" s="407"/>
      <c r="AE100" s="407"/>
      <c r="AF100" s="407"/>
      <c r="AG100" s="407"/>
      <c r="AH100" s="407"/>
      <c r="AI100" s="407"/>
      <c r="AJ100" s="407"/>
      <c r="AK100" s="407"/>
      <c r="AL100" s="407"/>
      <c r="AM100" s="407"/>
      <c r="AN100" s="408"/>
      <c r="AO100" s="168"/>
      <c r="AP100" s="168"/>
      <c r="AQ100" s="168"/>
      <c r="AR100" s="168"/>
      <c r="AS100" s="168"/>
      <c r="AT100" s="168"/>
      <c r="AU100" s="168"/>
      <c r="AV100" s="168"/>
      <c r="AW100" s="168"/>
      <c r="AX100" s="168"/>
      <c r="AY100" s="168"/>
      <c r="AZ100" s="168"/>
      <c r="BA100" s="168"/>
      <c r="BB100" s="168"/>
      <c r="BC100" s="168"/>
      <c r="BD100" s="168"/>
    </row>
    <row r="101" spans="1:56" s="176" customFormat="1" ht="14.7" outlineLevel="2" thickBot="1" x14ac:dyDescent="0.6">
      <c r="A101" s="170"/>
      <c r="B101" s="157"/>
      <c r="C101" s="174" t="s">
        <v>433</v>
      </c>
      <c r="D101" s="175" t="s">
        <v>434</v>
      </c>
      <c r="E101" s="175" t="s">
        <v>435</v>
      </c>
      <c r="F101" s="175" t="s">
        <v>436</v>
      </c>
      <c r="G101" s="175" t="s">
        <v>437</v>
      </c>
      <c r="H101" s="175" t="s">
        <v>438</v>
      </c>
      <c r="I101" s="175" t="s">
        <v>439</v>
      </c>
      <c r="J101" s="175" t="s">
        <v>440</v>
      </c>
      <c r="K101" s="175" t="s">
        <v>441</v>
      </c>
      <c r="L101" s="175" t="s">
        <v>442</v>
      </c>
      <c r="M101" s="175" t="s">
        <v>443</v>
      </c>
      <c r="N101" s="216" t="s">
        <v>444</v>
      </c>
      <c r="O101" s="158"/>
      <c r="P101" s="174" t="s">
        <v>433</v>
      </c>
      <c r="Q101" s="175" t="s">
        <v>434</v>
      </c>
      <c r="R101" s="175" t="s">
        <v>435</v>
      </c>
      <c r="S101" s="175" t="s">
        <v>436</v>
      </c>
      <c r="T101" s="175" t="s">
        <v>437</v>
      </c>
      <c r="U101" s="175" t="s">
        <v>438</v>
      </c>
      <c r="V101" s="175" t="s">
        <v>439</v>
      </c>
      <c r="W101" s="175" t="s">
        <v>440</v>
      </c>
      <c r="X101" s="175" t="s">
        <v>441</v>
      </c>
      <c r="Y101" s="217" t="s">
        <v>442</v>
      </c>
      <c r="Z101" s="217" t="s">
        <v>443</v>
      </c>
      <c r="AA101" s="218" t="s">
        <v>444</v>
      </c>
      <c r="AB101" s="158"/>
      <c r="AC101" s="174" t="s">
        <v>433</v>
      </c>
      <c r="AD101" s="175" t="s">
        <v>434</v>
      </c>
      <c r="AE101" s="175" t="s">
        <v>435</v>
      </c>
      <c r="AF101" s="175" t="s">
        <v>436</v>
      </c>
      <c r="AG101" s="175" t="s">
        <v>437</v>
      </c>
      <c r="AH101" s="175" t="s">
        <v>438</v>
      </c>
      <c r="AI101" s="175" t="s">
        <v>439</v>
      </c>
      <c r="AJ101" s="175" t="s">
        <v>440</v>
      </c>
      <c r="AK101" s="175" t="s">
        <v>441</v>
      </c>
      <c r="AL101" s="217" t="s">
        <v>442</v>
      </c>
      <c r="AM101" s="217" t="s">
        <v>443</v>
      </c>
      <c r="AN101" s="218" t="s">
        <v>444</v>
      </c>
      <c r="AO101" s="157"/>
      <c r="AP101" s="157"/>
      <c r="AQ101" s="157"/>
      <c r="AR101" s="157"/>
      <c r="AS101" s="157"/>
      <c r="AT101" s="157"/>
      <c r="AU101" s="157"/>
      <c r="AV101" s="157"/>
      <c r="AW101" s="157"/>
      <c r="AX101" s="157"/>
      <c r="AY101" s="157"/>
      <c r="AZ101" s="157"/>
      <c r="BA101" s="157"/>
      <c r="BB101" s="157"/>
      <c r="BC101" s="157"/>
      <c r="BD101" s="157"/>
    </row>
    <row r="102" spans="1:56" outlineLevel="2" x14ac:dyDescent="0.55000000000000004">
      <c r="A102" s="179" t="s">
        <v>360</v>
      </c>
      <c r="B102" s="180" t="s">
        <v>361</v>
      </c>
      <c r="C102" s="219">
        <f>AVERAGE(C31,C26)</f>
        <v>39185653.616095752</v>
      </c>
      <c r="D102" s="220">
        <f t="shared" ref="D102:N102" si="289">AVERAGE(D31,D26)</f>
        <v>42289584.000308461</v>
      </c>
      <c r="E102" s="220">
        <f t="shared" si="289"/>
        <v>46288699.825177595</v>
      </c>
      <c r="F102" s="220">
        <f t="shared" si="289"/>
        <v>50298021.495741472</v>
      </c>
      <c r="G102" s="221">
        <f t="shared" si="289"/>
        <v>53845654.805196002</v>
      </c>
      <c r="H102" s="219">
        <f t="shared" si="289"/>
        <v>57619840.714000076</v>
      </c>
      <c r="I102" s="220">
        <f t="shared" si="289"/>
        <v>61367672.674385086</v>
      </c>
      <c r="J102" s="220">
        <f t="shared" si="289"/>
        <v>66976228.157654181</v>
      </c>
      <c r="K102" s="220">
        <f t="shared" si="289"/>
        <v>73296421.034819618</v>
      </c>
      <c r="L102" s="221">
        <f t="shared" si="289"/>
        <v>77497313.126885206</v>
      </c>
      <c r="M102" s="220">
        <f t="shared" si="289"/>
        <v>80040872.960728973</v>
      </c>
      <c r="N102" s="221">
        <f t="shared" si="289"/>
        <v>81927660.800017565</v>
      </c>
      <c r="P102" s="181">
        <f t="shared" ref="P102:AA102" si="290">AVERAGE(P31,P26)</f>
        <v>38171306.636571169</v>
      </c>
      <c r="Q102" s="182">
        <f t="shared" si="290"/>
        <v>41194889.696716592</v>
      </c>
      <c r="R102" s="182">
        <f t="shared" si="290"/>
        <v>45090485.720755897</v>
      </c>
      <c r="S102" s="182">
        <f t="shared" si="290"/>
        <v>48996023.405315042</v>
      </c>
      <c r="T102" s="183">
        <f t="shared" si="290"/>
        <v>52451823.842281073</v>
      </c>
      <c r="U102" s="181">
        <f t="shared" si="290"/>
        <v>56128312.412302293</v>
      </c>
      <c r="V102" s="182">
        <f t="shared" si="290"/>
        <v>59779129.223571062</v>
      </c>
      <c r="W102" s="182">
        <f t="shared" si="290"/>
        <v>65242503.478789568</v>
      </c>
      <c r="X102" s="182">
        <f t="shared" si="290"/>
        <v>71399093.915690169</v>
      </c>
      <c r="Y102" s="183">
        <f t="shared" si="290"/>
        <v>75491243.092640921</v>
      </c>
      <c r="Z102" s="185">
        <f t="shared" si="290"/>
        <v>77968961.170724362</v>
      </c>
      <c r="AA102" s="183">
        <f t="shared" si="290"/>
        <v>79806908.238731295</v>
      </c>
      <c r="AB102" s="157"/>
      <c r="AC102" s="181">
        <f t="shared" ref="AC102:AN102" si="291">AVERAGE(AC31,AC26)</f>
        <v>0</v>
      </c>
      <c r="AD102" s="182">
        <f t="shared" si="291"/>
        <v>0</v>
      </c>
      <c r="AE102" s="182">
        <f t="shared" si="291"/>
        <v>0</v>
      </c>
      <c r="AF102" s="182">
        <f t="shared" si="291"/>
        <v>0</v>
      </c>
      <c r="AG102" s="183">
        <f t="shared" si="291"/>
        <v>0</v>
      </c>
      <c r="AH102" s="181">
        <f t="shared" si="291"/>
        <v>0</v>
      </c>
      <c r="AI102" s="182">
        <f t="shared" si="291"/>
        <v>0</v>
      </c>
      <c r="AJ102" s="182">
        <f t="shared" si="291"/>
        <v>0</v>
      </c>
      <c r="AK102" s="182">
        <f t="shared" si="291"/>
        <v>0</v>
      </c>
      <c r="AL102" s="183">
        <f t="shared" si="291"/>
        <v>0</v>
      </c>
      <c r="AM102" s="185">
        <f t="shared" si="291"/>
        <v>0</v>
      </c>
      <c r="AN102" s="183">
        <f t="shared" si="291"/>
        <v>0</v>
      </c>
      <c r="AO102" s="157"/>
      <c r="AP102" s="157"/>
      <c r="AQ102" s="157"/>
      <c r="AR102" s="157"/>
      <c r="AS102" s="157"/>
      <c r="AT102" s="157"/>
      <c r="AU102" s="157"/>
      <c r="AV102" s="157"/>
      <c r="AW102" s="157"/>
      <c r="AX102" s="157"/>
      <c r="AY102" s="157"/>
      <c r="AZ102" s="157"/>
      <c r="BA102" s="157"/>
      <c r="BB102" s="157"/>
      <c r="BC102" s="157"/>
      <c r="BD102" s="157"/>
    </row>
    <row r="103" spans="1:56" outlineLevel="2" x14ac:dyDescent="0.55000000000000004">
      <c r="A103" s="179" t="s">
        <v>362</v>
      </c>
      <c r="B103" s="222" t="s">
        <v>363</v>
      </c>
      <c r="C103" s="223">
        <f>AVERAGE(C38,C33)</f>
        <v>81171642.733185932</v>
      </c>
      <c r="D103" s="188">
        <f t="shared" ref="D103:N103" si="292">AVERAGE(D38,D33)</f>
        <v>87601321.18448396</v>
      </c>
      <c r="E103" s="188">
        <f t="shared" si="292"/>
        <v>95885343.588369772</v>
      </c>
      <c r="F103" s="188">
        <f t="shared" si="292"/>
        <v>104190507.02283667</v>
      </c>
      <c r="G103" s="189">
        <f t="shared" si="292"/>
        <v>111539299.89946713</v>
      </c>
      <c r="H103" s="223">
        <f t="shared" si="292"/>
        <v>119357388.17212316</v>
      </c>
      <c r="I103" s="188">
        <f t="shared" si="292"/>
        <v>127120885.27908781</v>
      </c>
      <c r="J103" s="188">
        <f t="shared" si="292"/>
        <v>138738803.45613274</v>
      </c>
      <c r="K103" s="188">
        <f t="shared" si="292"/>
        <v>151830852.37273479</v>
      </c>
      <c r="L103" s="189">
        <f t="shared" si="292"/>
        <v>160532776.20772454</v>
      </c>
      <c r="M103" s="188">
        <f t="shared" si="292"/>
        <v>165801523.85403287</v>
      </c>
      <c r="N103" s="189">
        <f t="shared" si="292"/>
        <v>169709793.91381496</v>
      </c>
      <c r="P103" s="187">
        <f t="shared" ref="P103:AA103" si="293">AVERAGE(P38,P33)</f>
        <v>79070460.20765996</v>
      </c>
      <c r="Q103" s="188">
        <f t="shared" si="293"/>
        <v>85333702.111024261</v>
      </c>
      <c r="R103" s="188">
        <f t="shared" si="293"/>
        <v>93403287.027506709</v>
      </c>
      <c r="S103" s="188">
        <f t="shared" si="293"/>
        <v>101493465.72478527</v>
      </c>
      <c r="T103" s="189">
        <f t="shared" si="293"/>
        <v>108652030.15886912</v>
      </c>
      <c r="U103" s="187">
        <f t="shared" si="293"/>
        <v>116267741.96225101</v>
      </c>
      <c r="V103" s="188">
        <f t="shared" si="293"/>
        <v>123830275.72895476</v>
      </c>
      <c r="W103" s="188">
        <f t="shared" si="293"/>
        <v>135147456.28588226</v>
      </c>
      <c r="X103" s="188">
        <f t="shared" si="293"/>
        <v>147900608.71744809</v>
      </c>
      <c r="Y103" s="189">
        <f t="shared" si="293"/>
        <v>156377277.40562946</v>
      </c>
      <c r="Z103" s="191">
        <f t="shared" si="293"/>
        <v>161509639.9781231</v>
      </c>
      <c r="AA103" s="189">
        <f t="shared" si="293"/>
        <v>165316741.84075975</v>
      </c>
      <c r="AB103" s="157"/>
      <c r="AC103" s="187">
        <f t="shared" ref="AC103:AN103" si="294">AVERAGE(AC38,AC33)</f>
        <v>0</v>
      </c>
      <c r="AD103" s="188">
        <f t="shared" si="294"/>
        <v>0</v>
      </c>
      <c r="AE103" s="188">
        <f t="shared" si="294"/>
        <v>0</v>
      </c>
      <c r="AF103" s="188">
        <f t="shared" si="294"/>
        <v>0</v>
      </c>
      <c r="AG103" s="189">
        <f t="shared" si="294"/>
        <v>0</v>
      </c>
      <c r="AH103" s="187">
        <f t="shared" si="294"/>
        <v>0</v>
      </c>
      <c r="AI103" s="188">
        <f t="shared" si="294"/>
        <v>0</v>
      </c>
      <c r="AJ103" s="188">
        <f t="shared" si="294"/>
        <v>0</v>
      </c>
      <c r="AK103" s="188">
        <f t="shared" si="294"/>
        <v>0</v>
      </c>
      <c r="AL103" s="189">
        <f t="shared" si="294"/>
        <v>0</v>
      </c>
      <c r="AM103" s="191">
        <f t="shared" si="294"/>
        <v>0</v>
      </c>
      <c r="AN103" s="189">
        <f t="shared" si="294"/>
        <v>0</v>
      </c>
      <c r="AO103" s="157"/>
      <c r="AP103" s="157"/>
      <c r="AQ103" s="157"/>
      <c r="AR103" s="157"/>
      <c r="AS103" s="157"/>
      <c r="AT103" s="157"/>
      <c r="AU103" s="157"/>
      <c r="AV103" s="157"/>
      <c r="AW103" s="157"/>
      <c r="AX103" s="157"/>
      <c r="AY103" s="157"/>
      <c r="AZ103" s="157"/>
      <c r="BA103" s="157"/>
      <c r="BB103" s="157"/>
      <c r="BC103" s="157"/>
      <c r="BD103" s="157"/>
    </row>
    <row r="104" spans="1:56" outlineLevel="2" x14ac:dyDescent="0.55000000000000004">
      <c r="A104" s="179" t="s">
        <v>364</v>
      </c>
      <c r="B104" s="222" t="s">
        <v>365</v>
      </c>
      <c r="C104" s="223">
        <f>AVERAGE(C45,C40)</f>
        <v>55786994.355259627</v>
      </c>
      <c r="D104" s="188">
        <f t="shared" ref="D104:N104" si="295">AVERAGE(D45,D40)</f>
        <v>54289358.462419465</v>
      </c>
      <c r="E104" s="188">
        <f t="shared" si="295"/>
        <v>56654459.904002711</v>
      </c>
      <c r="F104" s="188">
        <f t="shared" si="295"/>
        <v>64039287.583637603</v>
      </c>
      <c r="G104" s="189">
        <f t="shared" si="295"/>
        <v>74332898.615734726</v>
      </c>
      <c r="H104" s="223">
        <f t="shared" si="295"/>
        <v>86155973.824306309</v>
      </c>
      <c r="I104" s="188">
        <f t="shared" si="295"/>
        <v>93147983.611046046</v>
      </c>
      <c r="J104" s="188">
        <f t="shared" si="295"/>
        <v>95819045.268136352</v>
      </c>
      <c r="K104" s="188">
        <f t="shared" si="295"/>
        <v>98872152.293107703</v>
      </c>
      <c r="L104" s="189">
        <f t="shared" si="295"/>
        <v>105885220.09559584</v>
      </c>
      <c r="M104" s="188">
        <f t="shared" si="295"/>
        <v>115772261.01944055</v>
      </c>
      <c r="N104" s="189">
        <f t="shared" si="295"/>
        <v>123658710.77418301</v>
      </c>
      <c r="P104" s="187">
        <f t="shared" ref="P104:AA104" si="296">AVERAGE(P45,P40)</f>
        <v>54342910.513366811</v>
      </c>
      <c r="Q104" s="188">
        <f t="shared" si="296"/>
        <v>52884041.932135463</v>
      </c>
      <c r="R104" s="188">
        <f t="shared" si="296"/>
        <v>55187921.133379355</v>
      </c>
      <c r="S104" s="188">
        <f t="shared" si="296"/>
        <v>62381587.585373774</v>
      </c>
      <c r="T104" s="189">
        <f t="shared" si="296"/>
        <v>72408741.577833325</v>
      </c>
      <c r="U104" s="187">
        <f t="shared" si="296"/>
        <v>83925768.538645655</v>
      </c>
      <c r="V104" s="188">
        <f t="shared" si="296"/>
        <v>90736785.452905357</v>
      </c>
      <c r="W104" s="188">
        <f t="shared" si="296"/>
        <v>93338704.883849919</v>
      </c>
      <c r="X104" s="188">
        <f t="shared" si="296"/>
        <v>96312780.181565017</v>
      </c>
      <c r="Y104" s="189">
        <f t="shared" si="296"/>
        <v>103144310.01068288</v>
      </c>
      <c r="Z104" s="191">
        <f t="shared" si="296"/>
        <v>112775418.23538744</v>
      </c>
      <c r="AA104" s="189">
        <f t="shared" si="296"/>
        <v>120457721.93794796</v>
      </c>
      <c r="AB104" s="157"/>
      <c r="AC104" s="187">
        <f t="shared" ref="AC104:AN104" si="297">AVERAGE(AC45,AC40)</f>
        <v>0</v>
      </c>
      <c r="AD104" s="188">
        <f t="shared" si="297"/>
        <v>0</v>
      </c>
      <c r="AE104" s="188">
        <f t="shared" si="297"/>
        <v>0</v>
      </c>
      <c r="AF104" s="188">
        <f t="shared" si="297"/>
        <v>0</v>
      </c>
      <c r="AG104" s="189">
        <f t="shared" si="297"/>
        <v>0</v>
      </c>
      <c r="AH104" s="187">
        <f t="shared" si="297"/>
        <v>0</v>
      </c>
      <c r="AI104" s="188">
        <f t="shared" si="297"/>
        <v>0</v>
      </c>
      <c r="AJ104" s="188">
        <f t="shared" si="297"/>
        <v>0</v>
      </c>
      <c r="AK104" s="188">
        <f t="shared" si="297"/>
        <v>0</v>
      </c>
      <c r="AL104" s="189">
        <f t="shared" si="297"/>
        <v>0</v>
      </c>
      <c r="AM104" s="191">
        <f t="shared" si="297"/>
        <v>0</v>
      </c>
      <c r="AN104" s="189">
        <f t="shared" si="297"/>
        <v>0</v>
      </c>
      <c r="AO104" s="157"/>
      <c r="AP104" s="157"/>
      <c r="AQ104" s="157"/>
      <c r="AR104" s="157"/>
      <c r="AS104" s="157"/>
      <c r="AT104" s="157"/>
      <c r="AU104" s="157"/>
      <c r="AV104" s="157"/>
      <c r="AW104" s="157"/>
      <c r="AX104" s="157"/>
      <c r="AY104" s="157"/>
      <c r="AZ104" s="157"/>
      <c r="BA104" s="157"/>
      <c r="BB104" s="157"/>
      <c r="BC104" s="157"/>
      <c r="BD104" s="157"/>
    </row>
    <row r="105" spans="1:56" outlineLevel="2" x14ac:dyDescent="0.55000000000000004">
      <c r="A105" s="179" t="s">
        <v>366</v>
      </c>
      <c r="B105" s="222" t="s">
        <v>367</v>
      </c>
      <c r="C105" s="223">
        <f>AVERAGE(C52,C47)</f>
        <v>68770631.29701899</v>
      </c>
      <c r="D105" s="188">
        <f t="shared" ref="D105:AN105" si="298">AVERAGE(D52,D47)</f>
        <v>73176422.337911785</v>
      </c>
      <c r="E105" s="188">
        <f t="shared" si="298"/>
        <v>76255130.983021885</v>
      </c>
      <c r="F105" s="188">
        <f t="shared" si="298"/>
        <v>76569826.126996487</v>
      </c>
      <c r="G105" s="189">
        <f t="shared" si="298"/>
        <v>81615569.624996781</v>
      </c>
      <c r="H105" s="223">
        <f t="shared" si="298"/>
        <v>92271686.558356851</v>
      </c>
      <c r="I105" s="188">
        <f t="shared" si="298"/>
        <v>99751912.38599509</v>
      </c>
      <c r="J105" s="188">
        <f t="shared" si="298"/>
        <v>106635756.12403388</v>
      </c>
      <c r="K105" s="188">
        <f t="shared" si="298"/>
        <v>112006550.98644915</v>
      </c>
      <c r="L105" s="189">
        <f t="shared" si="298"/>
        <v>112667542.79400031</v>
      </c>
      <c r="M105" s="188">
        <f t="shared" si="298"/>
        <v>113390003.72095861</v>
      </c>
      <c r="N105" s="189">
        <f t="shared" si="298"/>
        <v>115265789.3955787</v>
      </c>
      <c r="P105" s="187">
        <f t="shared" si="298"/>
        <v>68770631.29701899</v>
      </c>
      <c r="Q105" s="188">
        <f t="shared" si="298"/>
        <v>73176422.337911785</v>
      </c>
      <c r="R105" s="188">
        <f t="shared" si="298"/>
        <v>76255130.983021885</v>
      </c>
      <c r="S105" s="188">
        <f t="shared" si="298"/>
        <v>76569826.126996487</v>
      </c>
      <c r="T105" s="189">
        <f t="shared" si="298"/>
        <v>81615569.624996781</v>
      </c>
      <c r="U105" s="187">
        <f t="shared" si="298"/>
        <v>92271686.558356851</v>
      </c>
      <c r="V105" s="188">
        <f t="shared" si="298"/>
        <v>99751912.38599509</v>
      </c>
      <c r="W105" s="188">
        <f t="shared" si="298"/>
        <v>106635756.12403388</v>
      </c>
      <c r="X105" s="188">
        <f t="shared" si="298"/>
        <v>112006550.98644915</v>
      </c>
      <c r="Y105" s="189">
        <f t="shared" si="298"/>
        <v>112667542.79400031</v>
      </c>
      <c r="Z105" s="191">
        <f t="shared" si="298"/>
        <v>113390003.72095861</v>
      </c>
      <c r="AA105" s="189">
        <f t="shared" si="298"/>
        <v>115265789.3955787</v>
      </c>
      <c r="AB105" s="157"/>
      <c r="AC105" s="187">
        <f t="shared" si="298"/>
        <v>0</v>
      </c>
      <c r="AD105" s="188">
        <f t="shared" si="298"/>
        <v>0</v>
      </c>
      <c r="AE105" s="188">
        <f t="shared" si="298"/>
        <v>0</v>
      </c>
      <c r="AF105" s="188">
        <f t="shared" si="298"/>
        <v>0</v>
      </c>
      <c r="AG105" s="189">
        <f t="shared" si="298"/>
        <v>0</v>
      </c>
      <c r="AH105" s="187">
        <f t="shared" si="298"/>
        <v>0</v>
      </c>
      <c r="AI105" s="188">
        <f t="shared" si="298"/>
        <v>0</v>
      </c>
      <c r="AJ105" s="188">
        <f t="shared" si="298"/>
        <v>0</v>
      </c>
      <c r="AK105" s="188">
        <f t="shared" si="298"/>
        <v>0</v>
      </c>
      <c r="AL105" s="189">
        <f t="shared" si="298"/>
        <v>0</v>
      </c>
      <c r="AM105" s="191">
        <f t="shared" si="298"/>
        <v>0</v>
      </c>
      <c r="AN105" s="189">
        <f t="shared" si="298"/>
        <v>0</v>
      </c>
      <c r="AO105" s="157"/>
      <c r="AP105" s="157"/>
      <c r="AQ105" s="157"/>
      <c r="AR105" s="157"/>
      <c r="AS105" s="157"/>
      <c r="AT105" s="157"/>
      <c r="AU105" s="157"/>
      <c r="AV105" s="157"/>
      <c r="AW105" s="157"/>
      <c r="AX105" s="157"/>
      <c r="AY105" s="157"/>
      <c r="AZ105" s="157"/>
      <c r="BA105" s="157"/>
      <c r="BB105" s="157"/>
      <c r="BC105" s="157"/>
      <c r="BD105" s="157"/>
    </row>
    <row r="106" spans="1:56" outlineLevel="2" x14ac:dyDescent="0.55000000000000004">
      <c r="A106" s="179" t="s">
        <v>368</v>
      </c>
      <c r="B106" s="222" t="s">
        <v>369</v>
      </c>
      <c r="C106" s="223">
        <f>AVERAGE(C59,C54)</f>
        <v>34411857.436742261</v>
      </c>
      <c r="D106" s="188">
        <f t="shared" ref="D106:N106" si="299">AVERAGE(D59,D54)</f>
        <v>36616453.357062846</v>
      </c>
      <c r="E106" s="188">
        <f t="shared" si="299"/>
        <v>38156995.896613263</v>
      </c>
      <c r="F106" s="188">
        <f t="shared" si="299"/>
        <v>38314464.924107254</v>
      </c>
      <c r="G106" s="189">
        <f t="shared" si="299"/>
        <v>40839284.060427748</v>
      </c>
      <c r="H106" s="223">
        <f t="shared" si="299"/>
        <v>46171455.218727648</v>
      </c>
      <c r="I106" s="188">
        <f t="shared" si="299"/>
        <v>49914455.099935412</v>
      </c>
      <c r="J106" s="188">
        <f t="shared" si="299"/>
        <v>53359033.764730521</v>
      </c>
      <c r="K106" s="188">
        <f t="shared" si="299"/>
        <v>56046504.035712793</v>
      </c>
      <c r="L106" s="189">
        <f t="shared" si="299"/>
        <v>56377255.046999365</v>
      </c>
      <c r="M106" s="188">
        <f t="shared" si="299"/>
        <v>56738764.341784373</v>
      </c>
      <c r="N106" s="189">
        <f t="shared" si="299"/>
        <v>57677381.132113412</v>
      </c>
      <c r="P106" s="187">
        <f t="shared" ref="P106:AA106" si="300">AVERAGE(P59,P54)</f>
        <v>34411857.436742261</v>
      </c>
      <c r="Q106" s="188">
        <f t="shared" si="300"/>
        <v>36616453.357062846</v>
      </c>
      <c r="R106" s="188">
        <f t="shared" si="300"/>
        <v>38156995.896613263</v>
      </c>
      <c r="S106" s="188">
        <f t="shared" si="300"/>
        <v>38314464.924107254</v>
      </c>
      <c r="T106" s="189">
        <f t="shared" si="300"/>
        <v>40839284.060427748</v>
      </c>
      <c r="U106" s="187">
        <f t="shared" si="300"/>
        <v>46171455.218727648</v>
      </c>
      <c r="V106" s="188">
        <f t="shared" si="300"/>
        <v>49914455.099935412</v>
      </c>
      <c r="W106" s="188">
        <f t="shared" si="300"/>
        <v>53359033.764730521</v>
      </c>
      <c r="X106" s="188">
        <f t="shared" si="300"/>
        <v>56046504.035712793</v>
      </c>
      <c r="Y106" s="189">
        <f t="shared" si="300"/>
        <v>56377255.046999365</v>
      </c>
      <c r="Z106" s="191">
        <f t="shared" si="300"/>
        <v>56738764.341784373</v>
      </c>
      <c r="AA106" s="189">
        <f t="shared" si="300"/>
        <v>57677381.132113412</v>
      </c>
      <c r="AB106" s="157"/>
      <c r="AC106" s="187">
        <f t="shared" ref="AC106:AN106" si="301">AVERAGE(AC59,AC54)</f>
        <v>0</v>
      </c>
      <c r="AD106" s="188">
        <f t="shared" si="301"/>
        <v>0</v>
      </c>
      <c r="AE106" s="188">
        <f t="shared" si="301"/>
        <v>0</v>
      </c>
      <c r="AF106" s="188">
        <f t="shared" si="301"/>
        <v>0</v>
      </c>
      <c r="AG106" s="189">
        <f t="shared" si="301"/>
        <v>0</v>
      </c>
      <c r="AH106" s="187">
        <f t="shared" si="301"/>
        <v>0</v>
      </c>
      <c r="AI106" s="188">
        <f t="shared" si="301"/>
        <v>0</v>
      </c>
      <c r="AJ106" s="188">
        <f t="shared" si="301"/>
        <v>0</v>
      </c>
      <c r="AK106" s="188">
        <f t="shared" si="301"/>
        <v>0</v>
      </c>
      <c r="AL106" s="189">
        <f t="shared" si="301"/>
        <v>0</v>
      </c>
      <c r="AM106" s="191">
        <f t="shared" si="301"/>
        <v>0</v>
      </c>
      <c r="AN106" s="189">
        <f t="shared" si="301"/>
        <v>0</v>
      </c>
      <c r="AO106" s="157"/>
      <c r="AP106" s="157"/>
      <c r="AQ106" s="157"/>
      <c r="AR106" s="157"/>
      <c r="AS106" s="157"/>
      <c r="AT106" s="157"/>
      <c r="AU106" s="157"/>
      <c r="AV106" s="157"/>
      <c r="AW106" s="157"/>
      <c r="AX106" s="157"/>
      <c r="AY106" s="157"/>
      <c r="AZ106" s="157"/>
      <c r="BA106" s="157"/>
      <c r="BB106" s="157"/>
      <c r="BC106" s="157"/>
      <c r="BD106" s="157"/>
    </row>
    <row r="107" spans="1:56" outlineLevel="2" x14ac:dyDescent="0.55000000000000004">
      <c r="A107" s="179" t="s">
        <v>370</v>
      </c>
      <c r="B107" s="224" t="s">
        <v>232</v>
      </c>
      <c r="C107" s="223">
        <f>AVERAGE(C66,C61)</f>
        <v>48164637.133230075</v>
      </c>
      <c r="D107" s="188">
        <f t="shared" ref="D107:N107" si="302">AVERAGE(D66,D61)</f>
        <v>50595311.875447161</v>
      </c>
      <c r="E107" s="188">
        <f t="shared" si="302"/>
        <v>62749797.419959441</v>
      </c>
      <c r="F107" s="188">
        <f t="shared" si="302"/>
        <v>89526875.853052557</v>
      </c>
      <c r="G107" s="189">
        <f t="shared" si="302"/>
        <v>119872341.34207994</v>
      </c>
      <c r="H107" s="223">
        <f t="shared" si="302"/>
        <v>155102584.154414</v>
      </c>
      <c r="I107" s="188">
        <f t="shared" si="302"/>
        <v>193723754.60346478</v>
      </c>
      <c r="J107" s="188">
        <f t="shared" si="302"/>
        <v>238205097.50921154</v>
      </c>
      <c r="K107" s="188">
        <f t="shared" si="302"/>
        <v>289949006.17459273</v>
      </c>
      <c r="L107" s="189">
        <f t="shared" si="302"/>
        <v>324647712.23883593</v>
      </c>
      <c r="M107" s="188">
        <f t="shared" si="302"/>
        <v>339255578.21033436</v>
      </c>
      <c r="N107" s="189">
        <f t="shared" si="302"/>
        <v>344571267.9336133</v>
      </c>
      <c r="P107" s="187">
        <f t="shared" ref="P107:AA107" si="303">AVERAGE(P66,P61)</f>
        <v>48164637.133230075</v>
      </c>
      <c r="Q107" s="188">
        <f t="shared" si="303"/>
        <v>50595311.875447161</v>
      </c>
      <c r="R107" s="188">
        <f t="shared" si="303"/>
        <v>62749797.419959441</v>
      </c>
      <c r="S107" s="188">
        <f t="shared" si="303"/>
        <v>89526875.853052557</v>
      </c>
      <c r="T107" s="189">
        <f t="shared" si="303"/>
        <v>119872341.34207994</v>
      </c>
      <c r="U107" s="187">
        <f t="shared" si="303"/>
        <v>155102584.154414</v>
      </c>
      <c r="V107" s="188">
        <f t="shared" si="303"/>
        <v>193723754.60346478</v>
      </c>
      <c r="W107" s="188">
        <f t="shared" si="303"/>
        <v>238205097.50921154</v>
      </c>
      <c r="X107" s="188">
        <f t="shared" si="303"/>
        <v>289949006.17459273</v>
      </c>
      <c r="Y107" s="189">
        <f t="shared" si="303"/>
        <v>324647712.23883593</v>
      </c>
      <c r="Z107" s="191">
        <f t="shared" si="303"/>
        <v>339255578.21033436</v>
      </c>
      <c r="AA107" s="189">
        <f t="shared" si="303"/>
        <v>344571267.9336133</v>
      </c>
      <c r="AB107" s="157"/>
      <c r="AC107" s="187">
        <f t="shared" ref="AC107:AN107" si="304">AVERAGE(AC66,AC61)</f>
        <v>0</v>
      </c>
      <c r="AD107" s="188">
        <f t="shared" si="304"/>
        <v>0</v>
      </c>
      <c r="AE107" s="188">
        <f t="shared" si="304"/>
        <v>0</v>
      </c>
      <c r="AF107" s="188">
        <f t="shared" si="304"/>
        <v>0</v>
      </c>
      <c r="AG107" s="189">
        <f t="shared" si="304"/>
        <v>0</v>
      </c>
      <c r="AH107" s="187">
        <f t="shared" si="304"/>
        <v>0</v>
      </c>
      <c r="AI107" s="188">
        <f t="shared" si="304"/>
        <v>0</v>
      </c>
      <c r="AJ107" s="188">
        <f t="shared" si="304"/>
        <v>0</v>
      </c>
      <c r="AK107" s="188">
        <f t="shared" si="304"/>
        <v>0</v>
      </c>
      <c r="AL107" s="189">
        <f t="shared" si="304"/>
        <v>0</v>
      </c>
      <c r="AM107" s="191">
        <f t="shared" si="304"/>
        <v>0</v>
      </c>
      <c r="AN107" s="189">
        <f t="shared" si="304"/>
        <v>0</v>
      </c>
      <c r="AO107" s="157"/>
      <c r="AP107" s="157"/>
      <c r="AQ107" s="157"/>
      <c r="AR107" s="157"/>
      <c r="AS107" s="157"/>
      <c r="AT107" s="157"/>
      <c r="AU107" s="157"/>
      <c r="AV107" s="157"/>
      <c r="AW107" s="157"/>
      <c r="AX107" s="157"/>
      <c r="AY107" s="157"/>
      <c r="AZ107" s="157"/>
      <c r="BA107" s="157"/>
      <c r="BB107" s="157"/>
      <c r="BC107" s="157"/>
      <c r="BD107" s="157"/>
    </row>
    <row r="108" spans="1:56" outlineLevel="2" x14ac:dyDescent="0.55000000000000004">
      <c r="A108" s="179" t="s">
        <v>371</v>
      </c>
      <c r="B108" s="222" t="s">
        <v>372</v>
      </c>
      <c r="C108" s="225">
        <f>AVERAGE(C72,C68)</f>
        <v>28739395.450231686</v>
      </c>
      <c r="D108" s="211">
        <f t="shared" ref="D108:N108" si="305">AVERAGE(D72,D68)</f>
        <v>30183653.526244611</v>
      </c>
      <c r="E108" s="211">
        <f t="shared" si="305"/>
        <v>31583046.952308461</v>
      </c>
      <c r="F108" s="211">
        <f t="shared" si="305"/>
        <v>32636410.304590091</v>
      </c>
      <c r="G108" s="212">
        <f t="shared" si="305"/>
        <v>33511237.495468054</v>
      </c>
      <c r="H108" s="225">
        <f t="shared" si="305"/>
        <v>34546747.231609315</v>
      </c>
      <c r="I108" s="211">
        <f t="shared" si="305"/>
        <v>35385867.190206543</v>
      </c>
      <c r="J108" s="211">
        <f t="shared" si="305"/>
        <v>34348262.524226196</v>
      </c>
      <c r="K108" s="211">
        <f t="shared" si="305"/>
        <v>33748126.454513326</v>
      </c>
      <c r="L108" s="212">
        <f t="shared" si="305"/>
        <v>34700189.123792492</v>
      </c>
      <c r="M108" s="211">
        <f t="shared" si="305"/>
        <v>35158061.553324163</v>
      </c>
      <c r="N108" s="212">
        <f t="shared" si="305"/>
        <v>35757940.241520584</v>
      </c>
      <c r="P108" s="210">
        <f t="shared" ref="P108:AA108" si="306">AVERAGE(P72,P68)</f>
        <v>28739395.450231686</v>
      </c>
      <c r="Q108" s="211">
        <f t="shared" si="306"/>
        <v>30183653.526244611</v>
      </c>
      <c r="R108" s="211">
        <f t="shared" si="306"/>
        <v>31583046.952308461</v>
      </c>
      <c r="S108" s="211">
        <f t="shared" si="306"/>
        <v>32636410.304590091</v>
      </c>
      <c r="T108" s="212">
        <f t="shared" si="306"/>
        <v>33511237.495468054</v>
      </c>
      <c r="U108" s="210">
        <f t="shared" si="306"/>
        <v>34546747.231609315</v>
      </c>
      <c r="V108" s="211">
        <f t="shared" si="306"/>
        <v>35385867.190206543</v>
      </c>
      <c r="W108" s="211">
        <f t="shared" si="306"/>
        <v>34348262.524226196</v>
      </c>
      <c r="X108" s="211">
        <f t="shared" si="306"/>
        <v>33748126.454513326</v>
      </c>
      <c r="Y108" s="212">
        <f t="shared" si="306"/>
        <v>34700189.123792492</v>
      </c>
      <c r="Z108" s="214">
        <f t="shared" si="306"/>
        <v>35158061.553324163</v>
      </c>
      <c r="AA108" s="212">
        <f t="shared" si="306"/>
        <v>35757940.241520584</v>
      </c>
      <c r="AB108" s="157"/>
      <c r="AC108" s="210">
        <f t="shared" ref="AC108:AN108" si="307">AVERAGE(AC72,AC68)</f>
        <v>0</v>
      </c>
      <c r="AD108" s="211">
        <f t="shared" si="307"/>
        <v>0</v>
      </c>
      <c r="AE108" s="211">
        <f t="shared" si="307"/>
        <v>0</v>
      </c>
      <c r="AF108" s="211">
        <f t="shared" si="307"/>
        <v>0</v>
      </c>
      <c r="AG108" s="212">
        <f t="shared" si="307"/>
        <v>0</v>
      </c>
      <c r="AH108" s="210">
        <f t="shared" si="307"/>
        <v>0</v>
      </c>
      <c r="AI108" s="211">
        <f t="shared" si="307"/>
        <v>0</v>
      </c>
      <c r="AJ108" s="211">
        <f t="shared" si="307"/>
        <v>0</v>
      </c>
      <c r="AK108" s="211">
        <f t="shared" si="307"/>
        <v>0</v>
      </c>
      <c r="AL108" s="212">
        <f t="shared" si="307"/>
        <v>0</v>
      </c>
      <c r="AM108" s="214">
        <f t="shared" si="307"/>
        <v>0</v>
      </c>
      <c r="AN108" s="212">
        <f t="shared" si="307"/>
        <v>0</v>
      </c>
      <c r="AO108" s="157"/>
      <c r="AP108" s="157"/>
      <c r="AQ108" s="157"/>
      <c r="AR108" s="157"/>
      <c r="AS108" s="157"/>
      <c r="AT108" s="157"/>
      <c r="AU108" s="157"/>
      <c r="AV108" s="157"/>
      <c r="AW108" s="157"/>
      <c r="AX108" s="157"/>
      <c r="AY108" s="157"/>
      <c r="AZ108" s="157"/>
      <c r="BA108" s="157"/>
      <c r="BB108" s="157"/>
      <c r="BC108" s="157"/>
      <c r="BD108" s="157"/>
    </row>
    <row r="109" spans="1:56" outlineLevel="2" x14ac:dyDescent="0.55000000000000004">
      <c r="A109" s="179" t="s">
        <v>373</v>
      </c>
      <c r="B109" s="222" t="s">
        <v>143</v>
      </c>
      <c r="C109" s="223">
        <f>AVERAGE(C79,C74)</f>
        <v>0</v>
      </c>
      <c r="D109" s="188">
        <f t="shared" ref="D109:N109" si="308">AVERAGE(D79,D74)</f>
        <v>0</v>
      </c>
      <c r="E109" s="188">
        <f t="shared" si="308"/>
        <v>0</v>
      </c>
      <c r="F109" s="188">
        <f t="shared" si="308"/>
        <v>0</v>
      </c>
      <c r="G109" s="189">
        <f t="shared" si="308"/>
        <v>0</v>
      </c>
      <c r="H109" s="223">
        <f t="shared" si="308"/>
        <v>0</v>
      </c>
      <c r="I109" s="188">
        <f t="shared" si="308"/>
        <v>0</v>
      </c>
      <c r="J109" s="188">
        <f t="shared" si="308"/>
        <v>0</v>
      </c>
      <c r="K109" s="188">
        <f t="shared" si="308"/>
        <v>0</v>
      </c>
      <c r="L109" s="189">
        <f t="shared" si="308"/>
        <v>0</v>
      </c>
      <c r="M109" s="188">
        <f t="shared" si="308"/>
        <v>0</v>
      </c>
      <c r="N109" s="189">
        <f t="shared" si="308"/>
        <v>0</v>
      </c>
      <c r="P109" s="187">
        <f t="shared" ref="P109:AA109" si="309">AVERAGE(P79,P74)</f>
        <v>0</v>
      </c>
      <c r="Q109" s="188">
        <f t="shared" si="309"/>
        <v>0</v>
      </c>
      <c r="R109" s="188">
        <f t="shared" si="309"/>
        <v>0</v>
      </c>
      <c r="S109" s="188">
        <f t="shared" si="309"/>
        <v>0</v>
      </c>
      <c r="T109" s="189">
        <f t="shared" si="309"/>
        <v>0</v>
      </c>
      <c r="U109" s="187">
        <f t="shared" si="309"/>
        <v>0</v>
      </c>
      <c r="V109" s="188">
        <f t="shared" si="309"/>
        <v>0</v>
      </c>
      <c r="W109" s="188">
        <f t="shared" si="309"/>
        <v>0</v>
      </c>
      <c r="X109" s="188">
        <f t="shared" si="309"/>
        <v>0</v>
      </c>
      <c r="Y109" s="189">
        <f t="shared" si="309"/>
        <v>0</v>
      </c>
      <c r="Z109" s="191">
        <f t="shared" si="309"/>
        <v>0</v>
      </c>
      <c r="AA109" s="189">
        <f t="shared" si="309"/>
        <v>0</v>
      </c>
      <c r="AB109" s="157"/>
      <c r="AC109" s="187">
        <f t="shared" ref="AC109:AN109" si="310">AVERAGE(AC79,AC74)</f>
        <v>3674453.0343046859</v>
      </c>
      <c r="AD109" s="188">
        <f t="shared" si="310"/>
        <v>3807996.5226806263</v>
      </c>
      <c r="AE109" s="188">
        <f t="shared" si="310"/>
        <v>4183922.0616333289</v>
      </c>
      <c r="AF109" s="188">
        <f t="shared" si="310"/>
        <v>4807313.0336954873</v>
      </c>
      <c r="AG109" s="189">
        <f t="shared" si="310"/>
        <v>5454215.7852950282</v>
      </c>
      <c r="AH109" s="187">
        <f t="shared" si="310"/>
        <v>6019986.1354305092</v>
      </c>
      <c r="AI109" s="188">
        <f t="shared" si="310"/>
        <v>6480182.2411401197</v>
      </c>
      <c r="AJ109" s="188">
        <f t="shared" si="310"/>
        <v>7073683.7592887422</v>
      </c>
      <c r="AK109" s="188">
        <f t="shared" si="310"/>
        <v>7388324.1705280496</v>
      </c>
      <c r="AL109" s="189">
        <f t="shared" si="310"/>
        <v>7800567.1727673989</v>
      </c>
      <c r="AM109" s="191">
        <f t="shared" si="310"/>
        <v>9227643.369911762</v>
      </c>
      <c r="AN109" s="189">
        <f t="shared" si="310"/>
        <v>11124114.216371883</v>
      </c>
      <c r="AO109" s="157"/>
      <c r="AP109" s="157"/>
      <c r="AQ109" s="157"/>
      <c r="AR109" s="157"/>
      <c r="AS109" s="157"/>
      <c r="AT109" s="157"/>
      <c r="AU109" s="157"/>
      <c r="AV109" s="157"/>
      <c r="AW109" s="157"/>
      <c r="AX109" s="157"/>
      <c r="AY109" s="157"/>
      <c r="AZ109" s="157"/>
      <c r="BA109" s="157"/>
      <c r="BB109" s="157"/>
      <c r="BC109" s="157"/>
      <c r="BD109" s="157"/>
    </row>
    <row r="110" spans="1:56" outlineLevel="2" x14ac:dyDescent="0.55000000000000004">
      <c r="A110" s="179" t="s">
        <v>374</v>
      </c>
      <c r="B110" s="222" t="s">
        <v>375</v>
      </c>
      <c r="C110" s="223">
        <f>AVERAGE(C86,C81)</f>
        <v>572518.35296420893</v>
      </c>
      <c r="D110" s="188">
        <f t="shared" ref="D110:N110" si="311">AVERAGE(D86,D81)</f>
        <v>587982.53416672361</v>
      </c>
      <c r="E110" s="188">
        <f t="shared" si="311"/>
        <v>876428.57513105217</v>
      </c>
      <c r="F110" s="188">
        <f t="shared" si="311"/>
        <v>1304603.8571102549</v>
      </c>
      <c r="G110" s="189">
        <f t="shared" si="311"/>
        <v>1472734.4956588412</v>
      </c>
      <c r="H110" s="223">
        <f t="shared" si="311"/>
        <v>1518242.5408097268</v>
      </c>
      <c r="I110" s="188">
        <f t="shared" si="311"/>
        <v>1555119.7498113068</v>
      </c>
      <c r="J110" s="188">
        <f t="shared" si="311"/>
        <v>1587289.2300041746</v>
      </c>
      <c r="K110" s="188">
        <f t="shared" si="311"/>
        <v>1671790.0748756528</v>
      </c>
      <c r="L110" s="189">
        <f t="shared" si="311"/>
        <v>1820870.8065847792</v>
      </c>
      <c r="M110" s="188">
        <f t="shared" si="311"/>
        <v>2178772.0195290432</v>
      </c>
      <c r="N110" s="189">
        <f t="shared" si="311"/>
        <v>3663792.8939635349</v>
      </c>
      <c r="P110" s="187">
        <f t="shared" ref="P110:AA110" si="312">AVERAGE(P86,P81)</f>
        <v>572518.35296420893</v>
      </c>
      <c r="Q110" s="188">
        <f t="shared" si="312"/>
        <v>587982.53416672361</v>
      </c>
      <c r="R110" s="188">
        <f t="shared" si="312"/>
        <v>876428.57513105217</v>
      </c>
      <c r="S110" s="188">
        <f t="shared" si="312"/>
        <v>1304603.8571102549</v>
      </c>
      <c r="T110" s="189">
        <f t="shared" si="312"/>
        <v>1472734.4956588412</v>
      </c>
      <c r="U110" s="187">
        <f t="shared" si="312"/>
        <v>1518242.5408097268</v>
      </c>
      <c r="V110" s="188">
        <f t="shared" si="312"/>
        <v>1555119.7498113068</v>
      </c>
      <c r="W110" s="188">
        <f t="shared" si="312"/>
        <v>1587289.2300041746</v>
      </c>
      <c r="X110" s="188">
        <f t="shared" si="312"/>
        <v>1671790.0748756528</v>
      </c>
      <c r="Y110" s="189">
        <f t="shared" si="312"/>
        <v>1820870.8065847792</v>
      </c>
      <c r="Z110" s="191">
        <f t="shared" si="312"/>
        <v>2178772.0195290432</v>
      </c>
      <c r="AA110" s="189">
        <f t="shared" si="312"/>
        <v>3663792.8939635349</v>
      </c>
      <c r="AB110" s="157"/>
      <c r="AC110" s="187">
        <f t="shared" ref="AC110:AN110" si="313">AVERAGE(AC86,AC81)</f>
        <v>84568.630096400157</v>
      </c>
      <c r="AD110" s="188">
        <f t="shared" si="313"/>
        <v>87642.173223720281</v>
      </c>
      <c r="AE110" s="188">
        <f t="shared" si="313"/>
        <v>96294.211377610278</v>
      </c>
      <c r="AF110" s="188">
        <f t="shared" si="313"/>
        <v>110641.74011986726</v>
      </c>
      <c r="AG110" s="189">
        <f t="shared" si="313"/>
        <v>125530.39946524859</v>
      </c>
      <c r="AH110" s="187">
        <f t="shared" si="313"/>
        <v>138551.77244604987</v>
      </c>
      <c r="AI110" s="188">
        <f t="shared" si="313"/>
        <v>149143.32277264819</v>
      </c>
      <c r="AJ110" s="188">
        <f t="shared" si="313"/>
        <v>162802.93683802712</v>
      </c>
      <c r="AK110" s="188">
        <f t="shared" si="313"/>
        <v>170044.47953922843</v>
      </c>
      <c r="AL110" s="189">
        <f t="shared" si="313"/>
        <v>179532.3749186848</v>
      </c>
      <c r="AM110" s="191">
        <f t="shared" si="313"/>
        <v>212376.95829176265</v>
      </c>
      <c r="AN110" s="189">
        <f t="shared" si="313"/>
        <v>256024.79921000745</v>
      </c>
      <c r="AO110" s="157"/>
      <c r="AP110" s="157"/>
      <c r="AQ110" s="157"/>
      <c r="AR110" s="157"/>
      <c r="AS110" s="157"/>
      <c r="AT110" s="157"/>
      <c r="AU110" s="157"/>
      <c r="AV110" s="157"/>
      <c r="AW110" s="157"/>
      <c r="AX110" s="157"/>
      <c r="AY110" s="157"/>
      <c r="AZ110" s="157"/>
      <c r="BA110" s="157"/>
      <c r="BB110" s="157"/>
      <c r="BC110" s="157"/>
      <c r="BD110" s="157"/>
    </row>
    <row r="111" spans="1:56" outlineLevel="2" x14ac:dyDescent="0.55000000000000004">
      <c r="A111" s="179" t="s">
        <v>376</v>
      </c>
      <c r="B111" s="222" t="s">
        <v>377</v>
      </c>
      <c r="C111" s="226">
        <f>AVERAGE(C93,C88)</f>
        <v>1454715.8790914945</v>
      </c>
      <c r="D111" s="227">
        <f t="shared" ref="D111:N111" si="314">AVERAGE(D93,D88)</f>
        <v>710680.93428387726</v>
      </c>
      <c r="E111" s="227">
        <f t="shared" si="314"/>
        <v>446453.30242090602</v>
      </c>
      <c r="F111" s="227">
        <f t="shared" si="314"/>
        <v>165965.99618727012</v>
      </c>
      <c r="G111" s="228">
        <f t="shared" si="314"/>
        <v>40046.216591796387</v>
      </c>
      <c r="H111" s="226">
        <f t="shared" si="314"/>
        <v>178274.55383748707</v>
      </c>
      <c r="I111" s="227">
        <f t="shared" si="314"/>
        <v>1567018.768020655</v>
      </c>
      <c r="J111" s="227">
        <f t="shared" si="314"/>
        <v>5033600.3179689711</v>
      </c>
      <c r="K111" s="227">
        <f t="shared" si="314"/>
        <v>7709891.1995202918</v>
      </c>
      <c r="L111" s="228">
        <f t="shared" si="314"/>
        <v>7855643.734976327</v>
      </c>
      <c r="M111" s="227">
        <f t="shared" si="314"/>
        <v>6799880.052950101</v>
      </c>
      <c r="N111" s="228">
        <f t="shared" si="314"/>
        <v>5271144.3545472659</v>
      </c>
      <c r="P111" s="229">
        <f t="shared" ref="P111:AA111" si="315">AVERAGE(P93,P88)</f>
        <v>1454715.8790914945</v>
      </c>
      <c r="Q111" s="227">
        <f t="shared" si="315"/>
        <v>710680.93428387726</v>
      </c>
      <c r="R111" s="227">
        <f t="shared" si="315"/>
        <v>446453.30242090602</v>
      </c>
      <c r="S111" s="227">
        <f t="shared" si="315"/>
        <v>165965.99618727012</v>
      </c>
      <c r="T111" s="228">
        <f t="shared" si="315"/>
        <v>40046.216591796387</v>
      </c>
      <c r="U111" s="229">
        <f t="shared" si="315"/>
        <v>178274.55383748707</v>
      </c>
      <c r="V111" s="227">
        <f t="shared" si="315"/>
        <v>1567018.768020655</v>
      </c>
      <c r="W111" s="227">
        <f t="shared" si="315"/>
        <v>5033600.3179689711</v>
      </c>
      <c r="X111" s="227">
        <f t="shared" si="315"/>
        <v>7709891.1995202918</v>
      </c>
      <c r="Y111" s="228">
        <f t="shared" si="315"/>
        <v>7855643.734976327</v>
      </c>
      <c r="Z111" s="230">
        <f t="shared" si="315"/>
        <v>6799880.052950101</v>
      </c>
      <c r="AA111" s="228">
        <f t="shared" si="315"/>
        <v>5271144.3545472659</v>
      </c>
      <c r="AB111" s="157"/>
      <c r="AC111" s="229">
        <f t="shared" ref="AC111:AN111" si="316">AVERAGE(AC93,AC88)</f>
        <v>0</v>
      </c>
      <c r="AD111" s="227">
        <f t="shared" si="316"/>
        <v>0</v>
      </c>
      <c r="AE111" s="227">
        <f t="shared" si="316"/>
        <v>0</v>
      </c>
      <c r="AF111" s="227">
        <f t="shared" si="316"/>
        <v>0</v>
      </c>
      <c r="AG111" s="228">
        <f t="shared" si="316"/>
        <v>0</v>
      </c>
      <c r="AH111" s="229">
        <f t="shared" si="316"/>
        <v>0</v>
      </c>
      <c r="AI111" s="227">
        <f t="shared" si="316"/>
        <v>0</v>
      </c>
      <c r="AJ111" s="227">
        <f t="shared" si="316"/>
        <v>0</v>
      </c>
      <c r="AK111" s="227">
        <f t="shared" si="316"/>
        <v>0</v>
      </c>
      <c r="AL111" s="228">
        <f t="shared" si="316"/>
        <v>0</v>
      </c>
      <c r="AM111" s="230">
        <f t="shared" si="316"/>
        <v>0</v>
      </c>
      <c r="AN111" s="228">
        <f t="shared" si="316"/>
        <v>0</v>
      </c>
      <c r="AO111" s="157"/>
      <c r="AP111" s="157"/>
      <c r="AQ111" s="157"/>
      <c r="AR111" s="157"/>
      <c r="AS111" s="157"/>
      <c r="AT111" s="157"/>
      <c r="AU111" s="157"/>
      <c r="AV111" s="157"/>
      <c r="AW111" s="157"/>
      <c r="AX111" s="157"/>
      <c r="AY111" s="157"/>
      <c r="AZ111" s="157"/>
      <c r="BA111" s="157"/>
      <c r="BB111" s="157"/>
      <c r="BC111" s="157"/>
      <c r="BD111" s="157"/>
    </row>
    <row r="112" spans="1:56" ht="14.7" outlineLevel="2" thickBot="1" x14ac:dyDescent="0.6">
      <c r="A112" s="179" t="s">
        <v>378</v>
      </c>
      <c r="B112" s="231" t="s">
        <v>379</v>
      </c>
      <c r="C112" s="232"/>
      <c r="D112" s="233"/>
      <c r="E112" s="233"/>
      <c r="F112" s="233"/>
      <c r="G112" s="234"/>
      <c r="H112" s="232"/>
      <c r="I112" s="233"/>
      <c r="J112" s="233"/>
      <c r="K112" s="233"/>
      <c r="L112" s="234"/>
      <c r="M112" s="233"/>
      <c r="N112" s="234"/>
      <c r="O112" s="235"/>
      <c r="P112" s="236"/>
      <c r="Q112" s="233"/>
      <c r="R112" s="233"/>
      <c r="S112" s="233"/>
      <c r="T112" s="234"/>
      <c r="U112" s="236"/>
      <c r="V112" s="233"/>
      <c r="W112" s="233"/>
      <c r="X112" s="233"/>
      <c r="Y112" s="234"/>
      <c r="Z112" s="237"/>
      <c r="AA112" s="234"/>
      <c r="AB112" s="238"/>
      <c r="AC112" s="236"/>
      <c r="AD112" s="233"/>
      <c r="AE112" s="233"/>
      <c r="AF112" s="233"/>
      <c r="AG112" s="234"/>
      <c r="AH112" s="236"/>
      <c r="AI112" s="233"/>
      <c r="AJ112" s="233"/>
      <c r="AK112" s="233"/>
      <c r="AL112" s="234"/>
      <c r="AM112" s="237"/>
      <c r="AN112" s="234"/>
      <c r="AO112" s="157"/>
      <c r="AP112" s="157"/>
      <c r="AQ112" s="157"/>
      <c r="AR112" s="157"/>
      <c r="AS112" s="157"/>
      <c r="AT112" s="157"/>
      <c r="AU112" s="157"/>
      <c r="AV112" s="157"/>
      <c r="AW112" s="157"/>
      <c r="AX112" s="157"/>
      <c r="AY112" s="157"/>
      <c r="AZ112" s="157"/>
      <c r="BA112" s="157"/>
      <c r="BB112" s="157"/>
      <c r="BC112" s="157"/>
      <c r="BD112" s="157"/>
    </row>
    <row r="113" spans="1:56" x14ac:dyDescent="0.55000000000000004">
      <c r="A113" s="179"/>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239"/>
      <c r="AE113" s="239"/>
      <c r="AF113" s="239"/>
      <c r="AG113" s="239"/>
      <c r="AH113" s="239"/>
      <c r="AI113" s="239"/>
      <c r="AJ113" s="239"/>
      <c r="AK113" s="239"/>
      <c r="AL113" s="239"/>
      <c r="AM113" s="239"/>
      <c r="AN113" s="239"/>
      <c r="AO113" s="157"/>
      <c r="AP113" s="157"/>
      <c r="AQ113" s="157"/>
      <c r="AR113" s="157"/>
      <c r="AS113" s="157"/>
      <c r="AT113" s="157"/>
      <c r="AU113" s="157"/>
      <c r="AV113" s="157"/>
      <c r="AW113" s="157"/>
      <c r="AX113" s="157"/>
      <c r="AY113" s="157"/>
      <c r="AZ113" s="157"/>
      <c r="BA113" s="157"/>
      <c r="BB113" s="157"/>
      <c r="BC113" s="157"/>
      <c r="BD113" s="157"/>
    </row>
    <row r="114" spans="1:56" x14ac:dyDescent="0.55000000000000004">
      <c r="A114" s="179"/>
      <c r="B114" s="198"/>
      <c r="C114" s="239"/>
      <c r="D114" s="239"/>
      <c r="E114" s="239"/>
      <c r="F114" s="239"/>
      <c r="G114" s="239"/>
      <c r="H114" s="239"/>
      <c r="I114" s="239"/>
      <c r="J114" s="239"/>
      <c r="K114" s="239"/>
      <c r="L114" s="239"/>
      <c r="M114" s="239"/>
      <c r="N114" s="239"/>
      <c r="P114" s="239"/>
      <c r="Q114" s="239"/>
      <c r="R114" s="239"/>
      <c r="S114" s="239"/>
      <c r="T114" s="239"/>
      <c r="U114" s="239"/>
      <c r="V114" s="239"/>
      <c r="W114" s="239"/>
      <c r="X114" s="239"/>
      <c r="Y114" s="239"/>
      <c r="Z114" s="239"/>
      <c r="AA114" s="239"/>
      <c r="AB114" s="157"/>
      <c r="AC114" s="239"/>
      <c r="AD114" s="239"/>
      <c r="AE114" s="239"/>
      <c r="AF114" s="239"/>
      <c r="AG114" s="239"/>
      <c r="AH114" s="239"/>
      <c r="AI114" s="239"/>
      <c r="AJ114" s="239"/>
      <c r="AK114" s="239"/>
      <c r="AL114" s="239"/>
      <c r="AM114" s="239"/>
      <c r="AN114" s="239"/>
      <c r="AO114" s="157"/>
      <c r="AP114" s="157"/>
      <c r="AQ114" s="157"/>
      <c r="AR114" s="157"/>
      <c r="AS114" s="157"/>
      <c r="AT114" s="157"/>
      <c r="AU114" s="157"/>
      <c r="AV114" s="157"/>
      <c r="AW114" s="157"/>
      <c r="AX114" s="157"/>
      <c r="AY114" s="157"/>
      <c r="AZ114" s="157"/>
      <c r="BA114" s="157"/>
      <c r="BB114" s="157"/>
      <c r="BC114" s="157"/>
      <c r="BD114" s="157"/>
    </row>
    <row r="115" spans="1:56" ht="18.600000000000001" thickBot="1" x14ac:dyDescent="0.6">
      <c r="A115" s="179"/>
      <c r="B115" s="164" t="s">
        <v>380</v>
      </c>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P115" s="157"/>
      <c r="AQ115" s="157"/>
      <c r="AR115" s="157"/>
      <c r="AS115" s="157"/>
      <c r="AT115" s="157"/>
      <c r="AU115" s="157"/>
      <c r="AV115" s="157"/>
      <c r="AW115" s="157"/>
      <c r="AX115" s="157"/>
      <c r="AY115" s="157"/>
      <c r="AZ115" s="157"/>
      <c r="BA115" s="157"/>
      <c r="BB115" s="157"/>
      <c r="BC115" s="157"/>
      <c r="BD115" s="157"/>
    </row>
    <row r="116" spans="1:56" ht="21.75" customHeight="1" outlineLevel="1" x14ac:dyDescent="0.55000000000000004">
      <c r="A116" s="179"/>
      <c r="C116" s="385" t="s">
        <v>275</v>
      </c>
      <c r="D116" s="386"/>
      <c r="E116" s="386"/>
      <c r="F116" s="386"/>
      <c r="G116" s="386"/>
      <c r="H116" s="386"/>
      <c r="I116" s="386"/>
      <c r="J116" s="386"/>
      <c r="K116" s="386"/>
      <c r="L116" s="386"/>
      <c r="M116" s="386"/>
      <c r="N116" s="387"/>
      <c r="P116" s="385" t="s">
        <v>93</v>
      </c>
      <c r="Q116" s="386"/>
      <c r="R116" s="386"/>
      <c r="S116" s="386"/>
      <c r="T116" s="386"/>
      <c r="U116" s="386"/>
      <c r="V116" s="386"/>
      <c r="W116" s="386"/>
      <c r="X116" s="386"/>
      <c r="Y116" s="386"/>
      <c r="Z116" s="386"/>
      <c r="AA116" s="387"/>
      <c r="AC116" s="385" t="s">
        <v>94</v>
      </c>
      <c r="AD116" s="386"/>
      <c r="AE116" s="386"/>
      <c r="AF116" s="386"/>
      <c r="AG116" s="386"/>
      <c r="AH116" s="386"/>
      <c r="AI116" s="386"/>
      <c r="AJ116" s="386"/>
      <c r="AK116" s="386"/>
      <c r="AL116" s="386"/>
      <c r="AM116" s="386"/>
      <c r="AN116" s="387"/>
      <c r="AO116" s="157"/>
      <c r="AP116" s="157"/>
      <c r="AQ116" s="157"/>
      <c r="AR116" s="157"/>
      <c r="AS116" s="157"/>
      <c r="AT116" s="157"/>
      <c r="AU116" s="157"/>
      <c r="AV116" s="157"/>
      <c r="AW116" s="157"/>
      <c r="AX116" s="157"/>
      <c r="AY116" s="157"/>
      <c r="AZ116" s="157"/>
      <c r="BA116" s="157"/>
      <c r="BB116" s="157"/>
      <c r="BC116" s="157"/>
      <c r="BD116" s="157"/>
    </row>
    <row r="117" spans="1:56" ht="21.75" customHeight="1" outlineLevel="1" thickBot="1" x14ac:dyDescent="0.6">
      <c r="A117" s="179"/>
      <c r="C117" s="388" t="s">
        <v>381</v>
      </c>
      <c r="D117" s="389"/>
      <c r="E117" s="389"/>
      <c r="F117" s="389"/>
      <c r="G117" s="389"/>
      <c r="H117" s="389"/>
      <c r="I117" s="389"/>
      <c r="J117" s="389"/>
      <c r="K117" s="389"/>
      <c r="L117" s="389"/>
      <c r="M117" s="389"/>
      <c r="N117" s="390"/>
      <c r="P117" s="391" t="s">
        <v>381</v>
      </c>
      <c r="Q117" s="392"/>
      <c r="R117" s="392"/>
      <c r="S117" s="392"/>
      <c r="T117" s="392"/>
      <c r="U117" s="392"/>
      <c r="V117" s="392"/>
      <c r="W117" s="392"/>
      <c r="X117" s="392"/>
      <c r="Y117" s="392"/>
      <c r="Z117" s="392"/>
      <c r="AA117" s="393"/>
      <c r="AC117" s="391" t="s">
        <v>381</v>
      </c>
      <c r="AD117" s="392"/>
      <c r="AE117" s="392"/>
      <c r="AF117" s="392"/>
      <c r="AG117" s="392"/>
      <c r="AH117" s="392"/>
      <c r="AI117" s="392"/>
      <c r="AJ117" s="392"/>
      <c r="AK117" s="392"/>
      <c r="AL117" s="392"/>
      <c r="AM117" s="392"/>
      <c r="AN117" s="393"/>
      <c r="AO117" s="157"/>
      <c r="AP117" s="157"/>
      <c r="AQ117" s="157"/>
      <c r="AR117" s="157"/>
      <c r="AS117" s="157"/>
      <c r="AT117" s="157"/>
      <c r="AU117" s="157"/>
      <c r="AV117" s="157"/>
      <c r="AW117" s="157"/>
      <c r="AX117" s="157"/>
      <c r="AY117" s="157"/>
      <c r="AZ117" s="157"/>
      <c r="BA117" s="157"/>
      <c r="BB117" s="157"/>
      <c r="BC117" s="157"/>
      <c r="BD117" s="157"/>
    </row>
    <row r="118" spans="1:56" ht="21.75" customHeight="1" outlineLevel="1" thickBot="1" x14ac:dyDescent="0.6">
      <c r="A118" s="179"/>
      <c r="C118" s="240" t="s">
        <v>433</v>
      </c>
      <c r="D118" s="241" t="s">
        <v>434</v>
      </c>
      <c r="E118" s="241" t="s">
        <v>435</v>
      </c>
      <c r="F118" s="241" t="s">
        <v>436</v>
      </c>
      <c r="G118" s="241" t="s">
        <v>437</v>
      </c>
      <c r="H118" s="241" t="s">
        <v>438</v>
      </c>
      <c r="I118" s="241" t="s">
        <v>439</v>
      </c>
      <c r="J118" s="241" t="s">
        <v>440</v>
      </c>
      <c r="K118" s="241" t="s">
        <v>441</v>
      </c>
      <c r="L118" s="241" t="s">
        <v>442</v>
      </c>
      <c r="M118" s="241" t="s">
        <v>443</v>
      </c>
      <c r="N118" s="242" t="s">
        <v>444</v>
      </c>
      <c r="P118" s="243" t="s">
        <v>433</v>
      </c>
      <c r="Q118" s="244" t="s">
        <v>434</v>
      </c>
      <c r="R118" s="244" t="s">
        <v>435</v>
      </c>
      <c r="S118" s="244" t="s">
        <v>436</v>
      </c>
      <c r="T118" s="244" t="s">
        <v>437</v>
      </c>
      <c r="U118" s="244" t="s">
        <v>438</v>
      </c>
      <c r="V118" s="244" t="s">
        <v>439</v>
      </c>
      <c r="W118" s="244" t="s">
        <v>440</v>
      </c>
      <c r="X118" s="244" t="s">
        <v>441</v>
      </c>
      <c r="Y118" s="244" t="s">
        <v>442</v>
      </c>
      <c r="Z118" s="244" t="s">
        <v>443</v>
      </c>
      <c r="AA118" s="245" t="s">
        <v>444</v>
      </c>
      <c r="AC118" s="243" t="s">
        <v>433</v>
      </c>
      <c r="AD118" s="244" t="s">
        <v>434</v>
      </c>
      <c r="AE118" s="244" t="s">
        <v>435</v>
      </c>
      <c r="AF118" s="244" t="s">
        <v>436</v>
      </c>
      <c r="AG118" s="244" t="s">
        <v>437</v>
      </c>
      <c r="AH118" s="244" t="s">
        <v>438</v>
      </c>
      <c r="AI118" s="244" t="s">
        <v>439</v>
      </c>
      <c r="AJ118" s="244" t="s">
        <v>440</v>
      </c>
      <c r="AK118" s="244" t="s">
        <v>441</v>
      </c>
      <c r="AL118" s="244" t="s">
        <v>442</v>
      </c>
      <c r="AM118" s="244" t="s">
        <v>443</v>
      </c>
      <c r="AN118" s="245" t="s">
        <v>444</v>
      </c>
      <c r="AO118" s="157"/>
      <c r="AP118" s="157"/>
      <c r="AQ118" s="157"/>
      <c r="AR118" s="157"/>
      <c r="AS118" s="157"/>
      <c r="AT118" s="157"/>
      <c r="AU118" s="157"/>
      <c r="AV118" s="157"/>
      <c r="AW118" s="157"/>
      <c r="AX118" s="157"/>
      <c r="AY118" s="157"/>
      <c r="AZ118" s="157"/>
      <c r="BA118" s="157"/>
      <c r="BB118" s="157"/>
      <c r="BC118" s="157"/>
      <c r="BD118" s="157"/>
    </row>
    <row r="119" spans="1:56" ht="20.2" customHeight="1" outlineLevel="1" thickBot="1" x14ac:dyDescent="0.6">
      <c r="A119" s="179"/>
      <c r="B119" s="246" t="s">
        <v>382</v>
      </c>
      <c r="C119" s="247"/>
      <c r="D119" s="247"/>
      <c r="E119" s="247"/>
      <c r="F119" s="247"/>
      <c r="G119" s="247"/>
      <c r="H119" s="247"/>
      <c r="I119" s="247"/>
      <c r="J119" s="247"/>
      <c r="K119" s="247"/>
      <c r="L119" s="247"/>
      <c r="M119" s="247"/>
      <c r="N119" s="247"/>
      <c r="P119" s="178"/>
      <c r="Q119" s="178"/>
      <c r="R119" s="178"/>
      <c r="S119" s="178"/>
      <c r="T119" s="178"/>
      <c r="U119" s="178"/>
      <c r="V119" s="178"/>
      <c r="W119" s="178"/>
      <c r="X119" s="178"/>
      <c r="Y119" s="178"/>
      <c r="Z119" s="178"/>
      <c r="AA119" s="178"/>
      <c r="AC119" s="178"/>
      <c r="AD119" s="178"/>
      <c r="AE119" s="178"/>
      <c r="AF119" s="178"/>
      <c r="AG119" s="178"/>
      <c r="AH119" s="178"/>
      <c r="AI119" s="178"/>
      <c r="AJ119" s="178"/>
      <c r="AK119" s="178"/>
      <c r="AL119" s="178"/>
      <c r="AM119" s="178"/>
      <c r="AN119" s="178"/>
      <c r="AO119" s="157"/>
      <c r="AP119" s="157"/>
      <c r="AQ119" s="157"/>
      <c r="AR119" s="157"/>
      <c r="AS119" s="157"/>
      <c r="AT119" s="157"/>
      <c r="AU119" s="157"/>
      <c r="AV119" s="157"/>
      <c r="AW119" s="157"/>
      <c r="AX119" s="157"/>
      <c r="AY119" s="157"/>
      <c r="AZ119" s="157"/>
      <c r="BA119" s="157"/>
      <c r="BB119" s="157"/>
      <c r="BC119" s="157"/>
      <c r="BD119" s="157"/>
    </row>
    <row r="120" spans="1:56" outlineLevel="2" x14ac:dyDescent="0.55000000000000004">
      <c r="A120" s="179" t="s">
        <v>383</v>
      </c>
      <c r="B120" s="180" t="s">
        <v>384</v>
      </c>
      <c r="C120" s="248">
        <f>Input_DRC!$U76</f>
        <v>49.792725031645205</v>
      </c>
      <c r="D120" s="249">
        <f>Input_DRC!$U76</f>
        <v>49.792725031645205</v>
      </c>
      <c r="E120" s="249">
        <f>Input_DRC!$U76</f>
        <v>49.792725031645205</v>
      </c>
      <c r="F120" s="249">
        <f>Input_DRC!$U76</f>
        <v>49.792725031645205</v>
      </c>
      <c r="G120" s="250">
        <f>Input_DRC!$U76</f>
        <v>49.792725031645205</v>
      </c>
      <c r="H120" s="248">
        <f>Input_DRC!$U76</f>
        <v>49.792725031645205</v>
      </c>
      <c r="I120" s="249">
        <f>Input_DRC!$U76</f>
        <v>49.792725031645205</v>
      </c>
      <c r="J120" s="249">
        <f>Input_DRC!$U76</f>
        <v>49.792725031645205</v>
      </c>
      <c r="K120" s="249">
        <f>Input_DRC!$U76</f>
        <v>49.792725031645205</v>
      </c>
      <c r="L120" s="250">
        <f>Input_DRC!$U76</f>
        <v>49.792725031645205</v>
      </c>
      <c r="M120" s="249">
        <f>Input_DRC!$U76</f>
        <v>49.792725031645205</v>
      </c>
      <c r="N120" s="250">
        <f>Input_DRC!$U76</f>
        <v>49.792725031645205</v>
      </c>
      <c r="P120" s="248">
        <f>Input_DRC!$U76</f>
        <v>49.792725031645205</v>
      </c>
      <c r="Q120" s="249">
        <f>Input_DRC!$U76</f>
        <v>49.792725031645205</v>
      </c>
      <c r="R120" s="249">
        <f>Input_DRC!$U76</f>
        <v>49.792725031645205</v>
      </c>
      <c r="S120" s="249">
        <f>Input_DRC!$U76</f>
        <v>49.792725031645205</v>
      </c>
      <c r="T120" s="250">
        <f>Input_DRC!$U76</f>
        <v>49.792725031645205</v>
      </c>
      <c r="U120" s="248">
        <f>Input_DRC!$U76</f>
        <v>49.792725031645205</v>
      </c>
      <c r="V120" s="249">
        <f>Input_DRC!$U76</f>
        <v>49.792725031645205</v>
      </c>
      <c r="W120" s="249">
        <f>Input_DRC!$U76</f>
        <v>49.792725031645205</v>
      </c>
      <c r="X120" s="249">
        <f>Input_DRC!$U76</f>
        <v>49.792725031645205</v>
      </c>
      <c r="Y120" s="250">
        <f>Input_DRC!$U76</f>
        <v>49.792725031645205</v>
      </c>
      <c r="Z120" s="249">
        <f>Input_DRC!$U76</f>
        <v>49.792725031645205</v>
      </c>
      <c r="AA120" s="250">
        <f>Input_DRC!$U76</f>
        <v>49.792725031645205</v>
      </c>
      <c r="AC120" s="248"/>
      <c r="AD120" s="249"/>
      <c r="AE120" s="249"/>
      <c r="AF120" s="249"/>
      <c r="AG120" s="250"/>
      <c r="AH120" s="248"/>
      <c r="AI120" s="249"/>
      <c r="AJ120" s="249"/>
      <c r="AK120" s="249"/>
      <c r="AL120" s="250"/>
      <c r="AM120" s="249"/>
      <c r="AN120" s="250"/>
      <c r="AO120" s="157"/>
      <c r="AP120" s="157"/>
      <c r="AQ120" s="157"/>
      <c r="AR120" s="157"/>
      <c r="AS120" s="157"/>
      <c r="AT120" s="157"/>
      <c r="AU120" s="157"/>
      <c r="AV120" s="157"/>
      <c r="AW120" s="157"/>
      <c r="AX120" s="157"/>
      <c r="AY120" s="157"/>
      <c r="AZ120" s="157"/>
      <c r="BA120" s="157"/>
      <c r="BB120" s="157"/>
      <c r="BC120" s="157"/>
      <c r="BD120" s="157"/>
    </row>
    <row r="121" spans="1:56" outlineLevel="2" x14ac:dyDescent="0.55000000000000004">
      <c r="A121" s="179" t="s">
        <v>385</v>
      </c>
      <c r="B121" s="222" t="s">
        <v>386</v>
      </c>
      <c r="C121" s="251">
        <f>Input_DRC!$U77</f>
        <v>52.300284796833004</v>
      </c>
      <c r="D121" s="252">
        <f>Input_DRC!$U77</f>
        <v>52.300284796833004</v>
      </c>
      <c r="E121" s="252">
        <f>Input_DRC!$U77</f>
        <v>52.300284796833004</v>
      </c>
      <c r="F121" s="252">
        <f>Input_DRC!$U77</f>
        <v>52.300284796833004</v>
      </c>
      <c r="G121" s="253">
        <f>Input_DRC!$U77</f>
        <v>52.300284796833004</v>
      </c>
      <c r="H121" s="251">
        <f>Input_DRC!$U77</f>
        <v>52.300284796833004</v>
      </c>
      <c r="I121" s="252">
        <f>Input_DRC!$U77</f>
        <v>52.300284796833004</v>
      </c>
      <c r="J121" s="252">
        <f>Input_DRC!$U77</f>
        <v>52.300284796833004</v>
      </c>
      <c r="K121" s="252">
        <f>Input_DRC!$U77</f>
        <v>52.300284796833004</v>
      </c>
      <c r="L121" s="253">
        <f>Input_DRC!$U77</f>
        <v>52.300284796833004</v>
      </c>
      <c r="M121" s="252">
        <f>Input_DRC!$U77</f>
        <v>52.300284796833004</v>
      </c>
      <c r="N121" s="253">
        <f>Input_DRC!$U77</f>
        <v>52.300284796833004</v>
      </c>
      <c r="P121" s="251">
        <f>Input_DRC!$U77</f>
        <v>52.300284796833004</v>
      </c>
      <c r="Q121" s="252">
        <f>Input_DRC!$U77</f>
        <v>52.300284796833004</v>
      </c>
      <c r="R121" s="252">
        <f>Input_DRC!$U77</f>
        <v>52.300284796833004</v>
      </c>
      <c r="S121" s="252">
        <f>Input_DRC!$U77</f>
        <v>52.300284796833004</v>
      </c>
      <c r="T121" s="253">
        <f>Input_DRC!$U77</f>
        <v>52.300284796833004</v>
      </c>
      <c r="U121" s="251">
        <f>Input_DRC!$U77</f>
        <v>52.300284796833004</v>
      </c>
      <c r="V121" s="252">
        <f>Input_DRC!$U77</f>
        <v>52.300284796833004</v>
      </c>
      <c r="W121" s="252">
        <f>Input_DRC!$U77</f>
        <v>52.300284796833004</v>
      </c>
      <c r="X121" s="252">
        <f>Input_DRC!$U77</f>
        <v>52.300284796833004</v>
      </c>
      <c r="Y121" s="253">
        <f>Input_DRC!$U77</f>
        <v>52.300284796833004</v>
      </c>
      <c r="Z121" s="252">
        <f>Input_DRC!$U77</f>
        <v>52.300284796833004</v>
      </c>
      <c r="AA121" s="253">
        <f>Input_DRC!$U77</f>
        <v>52.300284796833004</v>
      </c>
      <c r="AC121" s="251"/>
      <c r="AD121" s="252"/>
      <c r="AE121" s="252"/>
      <c r="AF121" s="252"/>
      <c r="AG121" s="253"/>
      <c r="AH121" s="251"/>
      <c r="AI121" s="252"/>
      <c r="AJ121" s="252"/>
      <c r="AK121" s="252"/>
      <c r="AL121" s="253"/>
      <c r="AM121" s="252"/>
      <c r="AN121" s="253"/>
      <c r="AO121" s="157"/>
      <c r="AP121" s="157"/>
      <c r="AQ121" s="157"/>
      <c r="AR121" s="157"/>
      <c r="AS121" s="157"/>
      <c r="AT121" s="157"/>
      <c r="AU121" s="157"/>
      <c r="AV121" s="157"/>
      <c r="AW121" s="157"/>
      <c r="AX121" s="157"/>
      <c r="AY121" s="157"/>
      <c r="AZ121" s="157"/>
      <c r="BA121" s="157"/>
      <c r="BB121" s="157"/>
      <c r="BC121" s="157"/>
      <c r="BD121" s="157"/>
    </row>
    <row r="122" spans="1:56" outlineLevel="2" x14ac:dyDescent="0.55000000000000004">
      <c r="A122" s="179" t="s">
        <v>387</v>
      </c>
      <c r="B122" s="222" t="s">
        <v>365</v>
      </c>
      <c r="C122" s="251">
        <f>Input_DRC!$U78</f>
        <v>44.555321903731347</v>
      </c>
      <c r="D122" s="252">
        <f>Input_DRC!$U78</f>
        <v>44.555321903731347</v>
      </c>
      <c r="E122" s="252">
        <f>Input_DRC!$U78</f>
        <v>44.555321903731347</v>
      </c>
      <c r="F122" s="252">
        <f>Input_DRC!$U78</f>
        <v>44.555321903731347</v>
      </c>
      <c r="G122" s="253">
        <f>Input_DRC!$U78</f>
        <v>44.555321903731347</v>
      </c>
      <c r="H122" s="251">
        <f>Input_DRC!$U78</f>
        <v>44.555321903731347</v>
      </c>
      <c r="I122" s="252">
        <f>Input_DRC!$U78</f>
        <v>44.555321903731347</v>
      </c>
      <c r="J122" s="252">
        <f>Input_DRC!$U78</f>
        <v>44.555321903731347</v>
      </c>
      <c r="K122" s="252">
        <f>Input_DRC!$U78</f>
        <v>44.555321903731347</v>
      </c>
      <c r="L122" s="253">
        <f>Input_DRC!$U78</f>
        <v>44.555321903731347</v>
      </c>
      <c r="M122" s="252">
        <f>Input_DRC!$U78</f>
        <v>44.555321903731347</v>
      </c>
      <c r="N122" s="253">
        <f>Input_DRC!$U78</f>
        <v>44.555321903731347</v>
      </c>
      <c r="P122" s="251">
        <f>Input_DRC!$U78</f>
        <v>44.555321903731347</v>
      </c>
      <c r="Q122" s="252">
        <f>Input_DRC!$U78</f>
        <v>44.555321903731347</v>
      </c>
      <c r="R122" s="252">
        <f>Input_DRC!$U78</f>
        <v>44.555321903731347</v>
      </c>
      <c r="S122" s="252">
        <f>Input_DRC!$U78</f>
        <v>44.555321903731347</v>
      </c>
      <c r="T122" s="253">
        <f>Input_DRC!$U78</f>
        <v>44.555321903731347</v>
      </c>
      <c r="U122" s="251">
        <f>Input_DRC!$U78</f>
        <v>44.555321903731347</v>
      </c>
      <c r="V122" s="252">
        <f>Input_DRC!$U78</f>
        <v>44.555321903731347</v>
      </c>
      <c r="W122" s="252">
        <f>Input_DRC!$U78</f>
        <v>44.555321903731347</v>
      </c>
      <c r="X122" s="252">
        <f>Input_DRC!$U78</f>
        <v>44.555321903731347</v>
      </c>
      <c r="Y122" s="253">
        <f>Input_DRC!$U78</f>
        <v>44.555321903731347</v>
      </c>
      <c r="Z122" s="252">
        <f>Input_DRC!$U78</f>
        <v>44.555321903731347</v>
      </c>
      <c r="AA122" s="253">
        <f>Input_DRC!$U78</f>
        <v>44.555321903731347</v>
      </c>
      <c r="AC122" s="251"/>
      <c r="AD122" s="252"/>
      <c r="AE122" s="252"/>
      <c r="AF122" s="252"/>
      <c r="AG122" s="253"/>
      <c r="AH122" s="251"/>
      <c r="AI122" s="252"/>
      <c r="AJ122" s="252"/>
      <c r="AK122" s="252"/>
      <c r="AL122" s="253"/>
      <c r="AM122" s="252"/>
      <c r="AN122" s="253"/>
      <c r="AO122" s="157"/>
      <c r="AP122" s="157"/>
      <c r="AQ122" s="157"/>
      <c r="AR122" s="157"/>
      <c r="AS122" s="157"/>
      <c r="AT122" s="157"/>
      <c r="AU122" s="157"/>
      <c r="AV122" s="157"/>
      <c r="AW122" s="157"/>
      <c r="AX122" s="157"/>
      <c r="AY122" s="157"/>
      <c r="AZ122" s="157"/>
      <c r="BA122" s="157"/>
      <c r="BB122" s="157"/>
      <c r="BC122" s="157"/>
      <c r="BD122" s="157"/>
    </row>
    <row r="123" spans="1:56" outlineLevel="2" x14ac:dyDescent="0.55000000000000004">
      <c r="A123" s="179" t="s">
        <v>388</v>
      </c>
      <c r="B123" s="222" t="s">
        <v>389</v>
      </c>
      <c r="C123" s="251">
        <f>Input_DRC!$U79</f>
        <v>54.343924174110775</v>
      </c>
      <c r="D123" s="252">
        <f>Input_DRC!$U79</f>
        <v>54.343924174110775</v>
      </c>
      <c r="E123" s="252">
        <f>Input_DRC!$U79</f>
        <v>54.343924174110775</v>
      </c>
      <c r="F123" s="252">
        <f>Input_DRC!$U79</f>
        <v>54.343924174110775</v>
      </c>
      <c r="G123" s="253">
        <f>Input_DRC!$U79</f>
        <v>54.343924174110775</v>
      </c>
      <c r="H123" s="251">
        <f>Input_DRC!$U79</f>
        <v>54.343924174110775</v>
      </c>
      <c r="I123" s="252">
        <f>Input_DRC!$U79</f>
        <v>54.343924174110775</v>
      </c>
      <c r="J123" s="252">
        <f>Input_DRC!$U79</f>
        <v>54.343924174110775</v>
      </c>
      <c r="K123" s="252">
        <f>Input_DRC!$U79</f>
        <v>54.343924174110775</v>
      </c>
      <c r="L123" s="253">
        <f>Input_DRC!$U79</f>
        <v>54.343924174110775</v>
      </c>
      <c r="M123" s="252">
        <f>Input_DRC!$U79</f>
        <v>54.343924174110775</v>
      </c>
      <c r="N123" s="253">
        <f>Input_DRC!$U79</f>
        <v>54.343924174110775</v>
      </c>
      <c r="P123" s="251">
        <f>Input_DRC!$U79</f>
        <v>54.343924174110775</v>
      </c>
      <c r="Q123" s="252">
        <f>Input_DRC!$U79</f>
        <v>54.343924174110775</v>
      </c>
      <c r="R123" s="252">
        <f>Input_DRC!$U79</f>
        <v>54.343924174110775</v>
      </c>
      <c r="S123" s="252">
        <f>Input_DRC!$U79</f>
        <v>54.343924174110775</v>
      </c>
      <c r="T123" s="253">
        <f>Input_DRC!$U79</f>
        <v>54.343924174110775</v>
      </c>
      <c r="U123" s="251">
        <f>Input_DRC!$U79</f>
        <v>54.343924174110775</v>
      </c>
      <c r="V123" s="252">
        <f>Input_DRC!$U79</f>
        <v>54.343924174110775</v>
      </c>
      <c r="W123" s="252">
        <f>Input_DRC!$U79</f>
        <v>54.343924174110775</v>
      </c>
      <c r="X123" s="252">
        <f>Input_DRC!$U79</f>
        <v>54.343924174110775</v>
      </c>
      <c r="Y123" s="253">
        <f>Input_DRC!$U79</f>
        <v>54.343924174110775</v>
      </c>
      <c r="Z123" s="252">
        <f>Input_DRC!$U79</f>
        <v>54.343924174110775</v>
      </c>
      <c r="AA123" s="253">
        <f>Input_DRC!$U79</f>
        <v>54.343924174110775</v>
      </c>
      <c r="AC123" s="251"/>
      <c r="AD123" s="252"/>
      <c r="AE123" s="252"/>
      <c r="AF123" s="252"/>
      <c r="AG123" s="253"/>
      <c r="AH123" s="251"/>
      <c r="AI123" s="252"/>
      <c r="AJ123" s="252"/>
      <c r="AK123" s="252"/>
      <c r="AL123" s="253"/>
      <c r="AM123" s="252"/>
      <c r="AN123" s="253"/>
      <c r="AO123" s="157"/>
      <c r="AP123" s="157"/>
      <c r="AQ123" s="157"/>
      <c r="AR123" s="157"/>
      <c r="AS123" s="157"/>
      <c r="AT123" s="157"/>
      <c r="AU123" s="157"/>
      <c r="AV123" s="157"/>
      <c r="AW123" s="157"/>
      <c r="AX123" s="157"/>
      <c r="AY123" s="157"/>
      <c r="AZ123" s="157"/>
      <c r="BA123" s="157"/>
      <c r="BB123" s="157"/>
      <c r="BC123" s="157"/>
      <c r="BD123" s="157"/>
    </row>
    <row r="124" spans="1:56" outlineLevel="2" x14ac:dyDescent="0.55000000000000004">
      <c r="A124" s="179" t="s">
        <v>390</v>
      </c>
      <c r="B124" s="222" t="s">
        <v>391</v>
      </c>
      <c r="C124" s="251">
        <f>Input_DRC!$U80</f>
        <v>49.613725933874562</v>
      </c>
      <c r="D124" s="252">
        <f>Input_DRC!$U80</f>
        <v>49.613725933874562</v>
      </c>
      <c r="E124" s="252">
        <f>Input_DRC!$U80</f>
        <v>49.613725933874562</v>
      </c>
      <c r="F124" s="252">
        <f>Input_DRC!$U80</f>
        <v>49.613725933874562</v>
      </c>
      <c r="G124" s="253">
        <f>Input_DRC!$U80</f>
        <v>49.613725933874562</v>
      </c>
      <c r="H124" s="251">
        <f>Input_DRC!$U80</f>
        <v>49.613725933874562</v>
      </c>
      <c r="I124" s="252">
        <f>Input_DRC!$U80</f>
        <v>49.613725933874562</v>
      </c>
      <c r="J124" s="252">
        <f>Input_DRC!$U80</f>
        <v>49.613725933874562</v>
      </c>
      <c r="K124" s="252">
        <f>Input_DRC!$U80</f>
        <v>49.613725933874562</v>
      </c>
      <c r="L124" s="253">
        <f>Input_DRC!$U80</f>
        <v>49.613725933874562</v>
      </c>
      <c r="M124" s="252">
        <f>Input_DRC!$U80</f>
        <v>49.613725933874562</v>
      </c>
      <c r="N124" s="253">
        <f>Input_DRC!$U80</f>
        <v>49.613725933874562</v>
      </c>
      <c r="P124" s="251">
        <f>Input_DRC!$U80</f>
        <v>49.613725933874562</v>
      </c>
      <c r="Q124" s="252">
        <f>Input_DRC!$U80</f>
        <v>49.613725933874562</v>
      </c>
      <c r="R124" s="252">
        <f>Input_DRC!$U80</f>
        <v>49.613725933874562</v>
      </c>
      <c r="S124" s="252">
        <f>Input_DRC!$U80</f>
        <v>49.613725933874562</v>
      </c>
      <c r="T124" s="253">
        <f>Input_DRC!$U80</f>
        <v>49.613725933874562</v>
      </c>
      <c r="U124" s="251">
        <f>Input_DRC!$U80</f>
        <v>49.613725933874562</v>
      </c>
      <c r="V124" s="252">
        <f>Input_DRC!$U80</f>
        <v>49.613725933874562</v>
      </c>
      <c r="W124" s="252">
        <f>Input_DRC!$U80</f>
        <v>49.613725933874562</v>
      </c>
      <c r="X124" s="252">
        <f>Input_DRC!$U80</f>
        <v>49.613725933874562</v>
      </c>
      <c r="Y124" s="253">
        <f>Input_DRC!$U80</f>
        <v>49.613725933874562</v>
      </c>
      <c r="Z124" s="252">
        <f>Input_DRC!$U80</f>
        <v>49.613725933874562</v>
      </c>
      <c r="AA124" s="253">
        <f>Input_DRC!$U80</f>
        <v>49.613725933874562</v>
      </c>
      <c r="AC124" s="251"/>
      <c r="AD124" s="252"/>
      <c r="AE124" s="252"/>
      <c r="AF124" s="252"/>
      <c r="AG124" s="253"/>
      <c r="AH124" s="251"/>
      <c r="AI124" s="252"/>
      <c r="AJ124" s="252"/>
      <c r="AK124" s="252"/>
      <c r="AL124" s="253"/>
      <c r="AM124" s="252"/>
      <c r="AN124" s="253"/>
      <c r="AO124" s="157"/>
      <c r="AP124" s="157"/>
      <c r="AQ124" s="157"/>
      <c r="AR124" s="157"/>
      <c r="AS124" s="157"/>
      <c r="AT124" s="157"/>
      <c r="AU124" s="157"/>
      <c r="AV124" s="157"/>
      <c r="AW124" s="157"/>
      <c r="AX124" s="157"/>
      <c r="AY124" s="157"/>
      <c r="AZ124" s="157"/>
      <c r="BA124" s="157"/>
      <c r="BB124" s="157"/>
      <c r="BC124" s="157"/>
      <c r="BD124" s="157"/>
    </row>
    <row r="125" spans="1:56" outlineLevel="2" x14ac:dyDescent="0.55000000000000004">
      <c r="A125" s="179" t="s">
        <v>392</v>
      </c>
      <c r="B125" s="222" t="s">
        <v>136</v>
      </c>
      <c r="C125" s="251">
        <f>Input_DRC!$U81</f>
        <v>45.619061322390586</v>
      </c>
      <c r="D125" s="252">
        <f>Input_DRC!$U81</f>
        <v>45.619061322390586</v>
      </c>
      <c r="E125" s="252">
        <f>Input_DRC!$U81</f>
        <v>45.619061322390586</v>
      </c>
      <c r="F125" s="252">
        <f>Input_DRC!$U81</f>
        <v>45.619061322390586</v>
      </c>
      <c r="G125" s="253">
        <f>Input_DRC!$U81</f>
        <v>45.619061322390586</v>
      </c>
      <c r="H125" s="251">
        <f>Input_DRC!$U81</f>
        <v>45.619061322390586</v>
      </c>
      <c r="I125" s="252">
        <f>Input_DRC!$U81</f>
        <v>45.619061322390586</v>
      </c>
      <c r="J125" s="252">
        <f>Input_DRC!$U81</f>
        <v>45.619061322390586</v>
      </c>
      <c r="K125" s="252">
        <f>Input_DRC!$U81</f>
        <v>45.619061322390586</v>
      </c>
      <c r="L125" s="253">
        <f>Input_DRC!$U81</f>
        <v>45.619061322390586</v>
      </c>
      <c r="M125" s="252">
        <f>Input_DRC!$U81</f>
        <v>45.619061322390586</v>
      </c>
      <c r="N125" s="253">
        <f>Input_DRC!$U81</f>
        <v>45.619061322390586</v>
      </c>
      <c r="P125" s="251">
        <f>Input_DRC!$U81</f>
        <v>45.619061322390586</v>
      </c>
      <c r="Q125" s="252">
        <f>Input_DRC!$U81</f>
        <v>45.619061322390586</v>
      </c>
      <c r="R125" s="252">
        <f>Input_DRC!$U81</f>
        <v>45.619061322390586</v>
      </c>
      <c r="S125" s="252">
        <f>Input_DRC!$U81</f>
        <v>45.619061322390586</v>
      </c>
      <c r="T125" s="253">
        <f>Input_DRC!$U81</f>
        <v>45.619061322390586</v>
      </c>
      <c r="U125" s="251">
        <f>Input_DRC!$U81</f>
        <v>45.619061322390586</v>
      </c>
      <c r="V125" s="252">
        <f>Input_DRC!$U81</f>
        <v>45.619061322390586</v>
      </c>
      <c r="W125" s="252">
        <f>Input_DRC!$U81</f>
        <v>45.619061322390586</v>
      </c>
      <c r="X125" s="252">
        <f>Input_DRC!$U81</f>
        <v>45.619061322390586</v>
      </c>
      <c r="Y125" s="253">
        <f>Input_DRC!$U81</f>
        <v>45.619061322390586</v>
      </c>
      <c r="Z125" s="252">
        <f>Input_DRC!$U81</f>
        <v>45.619061322390586</v>
      </c>
      <c r="AA125" s="253">
        <f>Input_DRC!$U81</f>
        <v>45.619061322390586</v>
      </c>
      <c r="AC125" s="251"/>
      <c r="AD125" s="252"/>
      <c r="AE125" s="252"/>
      <c r="AF125" s="252"/>
      <c r="AG125" s="253"/>
      <c r="AH125" s="251"/>
      <c r="AI125" s="252"/>
      <c r="AJ125" s="252"/>
      <c r="AK125" s="252"/>
      <c r="AL125" s="253"/>
      <c r="AM125" s="252"/>
      <c r="AN125" s="253"/>
      <c r="AO125" s="157"/>
      <c r="AP125" s="157"/>
      <c r="AQ125" s="157"/>
      <c r="AR125" s="157"/>
      <c r="AS125" s="157"/>
      <c r="AT125" s="157"/>
      <c r="AU125" s="157"/>
      <c r="AV125" s="157"/>
      <c r="AW125" s="157"/>
      <c r="AX125" s="157"/>
      <c r="AY125" s="157"/>
      <c r="AZ125" s="157"/>
      <c r="BA125" s="157"/>
      <c r="BB125" s="157"/>
      <c r="BC125" s="157"/>
      <c r="BD125" s="157"/>
    </row>
    <row r="126" spans="1:56" outlineLevel="2" x14ac:dyDescent="0.55000000000000004">
      <c r="A126" s="179" t="s">
        <v>393</v>
      </c>
      <c r="B126" s="222" t="s">
        <v>143</v>
      </c>
      <c r="C126" s="251">
        <f>Input_DRC!$U83</f>
        <v>16</v>
      </c>
      <c r="D126" s="252">
        <f>Input_DRC!$U83</f>
        <v>16</v>
      </c>
      <c r="E126" s="252">
        <f>Input_DRC!$U83</f>
        <v>16</v>
      </c>
      <c r="F126" s="252">
        <f>Input_DRC!$U83</f>
        <v>16</v>
      </c>
      <c r="G126" s="253">
        <f>Input_DRC!$U83</f>
        <v>16</v>
      </c>
      <c r="H126" s="251">
        <f>Input_DRC!$U83</f>
        <v>16</v>
      </c>
      <c r="I126" s="252">
        <f>Input_DRC!$U83</f>
        <v>16</v>
      </c>
      <c r="J126" s="252">
        <f>Input_DRC!$U83</f>
        <v>16</v>
      </c>
      <c r="K126" s="252">
        <f>Input_DRC!$U83</f>
        <v>16</v>
      </c>
      <c r="L126" s="253">
        <f>Input_DRC!$U83</f>
        <v>16</v>
      </c>
      <c r="M126" s="252">
        <f>Input_DRC!$U83</f>
        <v>16</v>
      </c>
      <c r="N126" s="253">
        <f>Input_DRC!$U83</f>
        <v>16</v>
      </c>
      <c r="P126" s="251">
        <f>Input_DRC!$U83</f>
        <v>16</v>
      </c>
      <c r="Q126" s="252">
        <f>Input_DRC!$U83</f>
        <v>16</v>
      </c>
      <c r="R126" s="252">
        <f>Input_DRC!$U83</f>
        <v>16</v>
      </c>
      <c r="S126" s="252">
        <f>Input_DRC!$U83</f>
        <v>16</v>
      </c>
      <c r="T126" s="253">
        <f>Input_DRC!$U83</f>
        <v>16</v>
      </c>
      <c r="U126" s="251">
        <f>Input_DRC!$U83</f>
        <v>16</v>
      </c>
      <c r="V126" s="252">
        <f>Input_DRC!$U83</f>
        <v>16</v>
      </c>
      <c r="W126" s="252">
        <f>Input_DRC!$U83</f>
        <v>16</v>
      </c>
      <c r="X126" s="252">
        <f>Input_DRC!$U83</f>
        <v>16</v>
      </c>
      <c r="Y126" s="253">
        <f>Input_DRC!$U83</f>
        <v>16</v>
      </c>
      <c r="Z126" s="252">
        <f>Input_DRC!$U83</f>
        <v>16</v>
      </c>
      <c r="AA126" s="253">
        <f>Input_DRC!$U83</f>
        <v>16</v>
      </c>
      <c r="AC126" s="251">
        <f>Input_DRC!$U83</f>
        <v>16</v>
      </c>
      <c r="AD126" s="252">
        <f>Input_DRC!$U83</f>
        <v>16</v>
      </c>
      <c r="AE126" s="252">
        <f>Input_DRC!$U83</f>
        <v>16</v>
      </c>
      <c r="AF126" s="252">
        <f>Input_DRC!$U83</f>
        <v>16</v>
      </c>
      <c r="AG126" s="253">
        <f>Input_DRC!$U83</f>
        <v>16</v>
      </c>
      <c r="AH126" s="251">
        <f>Input_DRC!$U83</f>
        <v>16</v>
      </c>
      <c r="AI126" s="252">
        <f>Input_DRC!$U83</f>
        <v>16</v>
      </c>
      <c r="AJ126" s="252">
        <f>Input_DRC!$U83</f>
        <v>16</v>
      </c>
      <c r="AK126" s="252">
        <f>Input_DRC!$U83</f>
        <v>16</v>
      </c>
      <c r="AL126" s="253">
        <f>Input_DRC!$U83</f>
        <v>16</v>
      </c>
      <c r="AM126" s="252">
        <f>Input_DRC!$U83</f>
        <v>16</v>
      </c>
      <c r="AN126" s="253">
        <f>Input_DRC!$U83</f>
        <v>16</v>
      </c>
      <c r="AO126" s="157"/>
      <c r="AP126" s="157"/>
      <c r="AQ126" s="157"/>
      <c r="AR126" s="157"/>
      <c r="AS126" s="157"/>
      <c r="AT126" s="157"/>
      <c r="AU126" s="157"/>
      <c r="AV126" s="157"/>
      <c r="AW126" s="157"/>
      <c r="AX126" s="157"/>
      <c r="AY126" s="157"/>
      <c r="AZ126" s="157"/>
      <c r="BA126" s="157"/>
      <c r="BB126" s="157"/>
      <c r="BC126" s="157"/>
      <c r="BD126" s="157"/>
    </row>
    <row r="127" spans="1:56" outlineLevel="2" x14ac:dyDescent="0.55000000000000004">
      <c r="A127" s="179" t="s">
        <v>394</v>
      </c>
      <c r="B127" s="222" t="s">
        <v>395</v>
      </c>
      <c r="C127" s="251">
        <f>Input_DRC!$U84</f>
        <v>29.023808433625259</v>
      </c>
      <c r="D127" s="252">
        <f>Input_DRC!$U84</f>
        <v>29.023808433625259</v>
      </c>
      <c r="E127" s="252">
        <f>Input_DRC!$U84</f>
        <v>29.023808433625259</v>
      </c>
      <c r="F127" s="252">
        <f>Input_DRC!$U84</f>
        <v>29.023808433625259</v>
      </c>
      <c r="G127" s="253">
        <f>Input_DRC!$U84</f>
        <v>29.023808433625259</v>
      </c>
      <c r="H127" s="251">
        <f>Input_DRC!$U84</f>
        <v>29.023808433625259</v>
      </c>
      <c r="I127" s="252">
        <f>Input_DRC!$U84</f>
        <v>29.023808433625259</v>
      </c>
      <c r="J127" s="252">
        <f>Input_DRC!$U84</f>
        <v>29.023808433625259</v>
      </c>
      <c r="K127" s="252">
        <f>Input_DRC!$U84</f>
        <v>29.023808433625259</v>
      </c>
      <c r="L127" s="253">
        <f>Input_DRC!$U84</f>
        <v>29.023808433625259</v>
      </c>
      <c r="M127" s="252">
        <f>Input_DRC!$U84</f>
        <v>29.023808433625259</v>
      </c>
      <c r="N127" s="253">
        <f>Input_DRC!$U84</f>
        <v>29.023808433625259</v>
      </c>
      <c r="P127" s="251">
        <f>Input_DRC!$U84</f>
        <v>29.023808433625259</v>
      </c>
      <c r="Q127" s="252">
        <f>Input_DRC!$U84</f>
        <v>29.023808433625259</v>
      </c>
      <c r="R127" s="252">
        <f>Input_DRC!$U84</f>
        <v>29.023808433625259</v>
      </c>
      <c r="S127" s="252">
        <f>Input_DRC!$U84</f>
        <v>29.023808433625259</v>
      </c>
      <c r="T127" s="253">
        <f>Input_DRC!$U84</f>
        <v>29.023808433625259</v>
      </c>
      <c r="U127" s="251">
        <f>Input_DRC!$U84</f>
        <v>29.023808433625259</v>
      </c>
      <c r="V127" s="252">
        <f>Input_DRC!$U84</f>
        <v>29.023808433625259</v>
      </c>
      <c r="W127" s="252">
        <f>Input_DRC!$U84</f>
        <v>29.023808433625259</v>
      </c>
      <c r="X127" s="252">
        <f>Input_DRC!$U84</f>
        <v>29.023808433625259</v>
      </c>
      <c r="Y127" s="253">
        <f>Input_DRC!$U84</f>
        <v>29.023808433625259</v>
      </c>
      <c r="Z127" s="252">
        <f>Input_DRC!$U84</f>
        <v>29.023808433625259</v>
      </c>
      <c r="AA127" s="253">
        <f>Input_DRC!$U84</f>
        <v>29.023808433625259</v>
      </c>
      <c r="AC127" s="251">
        <f>Input_DRC!$U84</f>
        <v>29.023808433625259</v>
      </c>
      <c r="AD127" s="252">
        <f>Input_DRC!$U84</f>
        <v>29.023808433625259</v>
      </c>
      <c r="AE127" s="252">
        <f>Input_DRC!$U84</f>
        <v>29.023808433625259</v>
      </c>
      <c r="AF127" s="252">
        <f>Input_DRC!$U84</f>
        <v>29.023808433625259</v>
      </c>
      <c r="AG127" s="253">
        <f>Input_DRC!$U84</f>
        <v>29.023808433625259</v>
      </c>
      <c r="AH127" s="251">
        <f>Input_DRC!$U84</f>
        <v>29.023808433625259</v>
      </c>
      <c r="AI127" s="252">
        <f>Input_DRC!$U84</f>
        <v>29.023808433625259</v>
      </c>
      <c r="AJ127" s="252">
        <f>Input_DRC!$U84</f>
        <v>29.023808433625259</v>
      </c>
      <c r="AK127" s="252">
        <f>Input_DRC!$U84</f>
        <v>29.023808433625259</v>
      </c>
      <c r="AL127" s="253">
        <f>Input_DRC!$U84</f>
        <v>29.023808433625259</v>
      </c>
      <c r="AM127" s="252">
        <f>Input_DRC!$U84</f>
        <v>29.023808433625259</v>
      </c>
      <c r="AN127" s="253">
        <f>Input_DRC!$U84</f>
        <v>29.023808433625259</v>
      </c>
      <c r="AO127" s="157"/>
      <c r="AP127" s="157"/>
      <c r="AQ127" s="157"/>
      <c r="AR127" s="157"/>
      <c r="AS127" s="157"/>
      <c r="AT127" s="157"/>
      <c r="AU127" s="157"/>
      <c r="AV127" s="157"/>
      <c r="AW127" s="157"/>
      <c r="AX127" s="157"/>
      <c r="AY127" s="157"/>
      <c r="AZ127" s="157"/>
      <c r="BA127" s="157"/>
      <c r="BB127" s="157"/>
      <c r="BC127" s="157"/>
      <c r="BD127" s="157"/>
    </row>
    <row r="128" spans="1:56" ht="14.7" outlineLevel="2" thickBot="1" x14ac:dyDescent="0.6">
      <c r="A128" s="179" t="s">
        <v>396</v>
      </c>
      <c r="B128" s="192" t="s">
        <v>397</v>
      </c>
      <c r="C128" s="254">
        <f>Input_DRC!$U85</f>
        <v>6.9300161354856167</v>
      </c>
      <c r="D128" s="255">
        <f>Input_DRC!$U85</f>
        <v>6.9300161354856167</v>
      </c>
      <c r="E128" s="255">
        <f>Input_DRC!$U85</f>
        <v>6.9300161354856167</v>
      </c>
      <c r="F128" s="255">
        <f>Input_DRC!$U85</f>
        <v>6.9300161354856167</v>
      </c>
      <c r="G128" s="256">
        <f>Input_DRC!$U85</f>
        <v>6.9300161354856167</v>
      </c>
      <c r="H128" s="254">
        <f>Input_DRC!$U85</f>
        <v>6.9300161354856167</v>
      </c>
      <c r="I128" s="255">
        <f>Input_DRC!$U85</f>
        <v>6.9300161354856167</v>
      </c>
      <c r="J128" s="255">
        <f>Input_DRC!$U85</f>
        <v>6.9300161354856167</v>
      </c>
      <c r="K128" s="255">
        <f>Input_DRC!$U85</f>
        <v>6.9300161354856167</v>
      </c>
      <c r="L128" s="256">
        <f>Input_DRC!$U85</f>
        <v>6.9300161354856167</v>
      </c>
      <c r="M128" s="255">
        <f>Input_DRC!$U85</f>
        <v>6.9300161354856167</v>
      </c>
      <c r="N128" s="256">
        <f>Input_DRC!$U85</f>
        <v>6.9300161354856167</v>
      </c>
      <c r="P128" s="254">
        <f>Input_DRC!$U85</f>
        <v>6.9300161354856167</v>
      </c>
      <c r="Q128" s="255">
        <f>Input_DRC!$U85</f>
        <v>6.9300161354856167</v>
      </c>
      <c r="R128" s="255">
        <f>Input_DRC!$U85</f>
        <v>6.9300161354856167</v>
      </c>
      <c r="S128" s="255">
        <f>Input_DRC!$U85</f>
        <v>6.9300161354856167</v>
      </c>
      <c r="T128" s="256">
        <f>Input_DRC!$U85</f>
        <v>6.9300161354856167</v>
      </c>
      <c r="U128" s="254">
        <f>Input_DRC!$U85</f>
        <v>6.9300161354856167</v>
      </c>
      <c r="V128" s="255">
        <f>Input_DRC!$U85</f>
        <v>6.9300161354856167</v>
      </c>
      <c r="W128" s="255">
        <f>Input_DRC!$U85</f>
        <v>6.9300161354856167</v>
      </c>
      <c r="X128" s="255">
        <f>Input_DRC!$U85</f>
        <v>6.9300161354856167</v>
      </c>
      <c r="Y128" s="256">
        <f>Input_DRC!$U85</f>
        <v>6.9300161354856167</v>
      </c>
      <c r="Z128" s="255">
        <f>Input_DRC!$U85</f>
        <v>6.9300161354856167</v>
      </c>
      <c r="AA128" s="256">
        <f>Input_DRC!$U85</f>
        <v>6.9300161354856167</v>
      </c>
      <c r="AC128" s="254">
        <f>Input_DRC!$U85</f>
        <v>6.9300161354856167</v>
      </c>
      <c r="AD128" s="255">
        <f>Input_DRC!$U85</f>
        <v>6.9300161354856167</v>
      </c>
      <c r="AE128" s="255">
        <f>Input_DRC!$U85</f>
        <v>6.9300161354856167</v>
      </c>
      <c r="AF128" s="255">
        <f>Input_DRC!$U85</f>
        <v>6.9300161354856167</v>
      </c>
      <c r="AG128" s="256">
        <f>Input_DRC!$U85</f>
        <v>6.9300161354856167</v>
      </c>
      <c r="AH128" s="254">
        <f>Input_DRC!$U85</f>
        <v>6.9300161354856167</v>
      </c>
      <c r="AI128" s="255">
        <f>Input_DRC!$U85</f>
        <v>6.9300161354856167</v>
      </c>
      <c r="AJ128" s="255">
        <f>Input_DRC!$U85</f>
        <v>6.9300161354856167</v>
      </c>
      <c r="AK128" s="255">
        <f>Input_DRC!$U85</f>
        <v>6.9300161354856167</v>
      </c>
      <c r="AL128" s="256">
        <f>Input_DRC!$U85</f>
        <v>6.9300161354856167</v>
      </c>
      <c r="AM128" s="255">
        <f>Input_DRC!$U85</f>
        <v>6.9300161354856167</v>
      </c>
      <c r="AN128" s="256">
        <f>Input_DRC!$U85</f>
        <v>6.9300161354856167</v>
      </c>
      <c r="AO128" s="157"/>
      <c r="AP128" s="157"/>
      <c r="AQ128" s="157"/>
      <c r="AR128" s="157"/>
      <c r="AS128" s="157"/>
      <c r="AT128" s="157"/>
      <c r="AU128" s="157"/>
      <c r="AV128" s="157"/>
      <c r="AW128" s="157"/>
      <c r="AX128" s="157"/>
      <c r="AY128" s="157"/>
      <c r="AZ128" s="157"/>
      <c r="BA128" s="157"/>
      <c r="BB128" s="157"/>
      <c r="BC128" s="157"/>
      <c r="BD128" s="157"/>
    </row>
    <row r="129" spans="1:56" ht="14.7" outlineLevel="1" thickBot="1" x14ac:dyDescent="0.6">
      <c r="A129" s="158"/>
      <c r="D129" s="239"/>
      <c r="E129" s="239"/>
      <c r="F129" s="239"/>
      <c r="G129" s="239"/>
      <c r="I129" s="239"/>
      <c r="J129" s="239"/>
      <c r="K129" s="239"/>
      <c r="L129" s="239"/>
      <c r="M129" s="239"/>
      <c r="N129" s="239"/>
      <c r="P129" s="239"/>
      <c r="Q129" s="239"/>
      <c r="R129" s="239"/>
      <c r="S129" s="239"/>
      <c r="T129" s="239"/>
      <c r="U129" s="239"/>
      <c r="V129" s="239"/>
      <c r="W129" s="239"/>
      <c r="X129" s="239"/>
      <c r="Y129" s="239"/>
      <c r="Z129" s="239"/>
      <c r="AA129" s="239"/>
      <c r="AC129" s="239"/>
      <c r="AD129" s="239"/>
      <c r="AE129" s="239"/>
      <c r="AF129" s="239"/>
      <c r="AG129" s="239"/>
      <c r="AH129" s="239"/>
      <c r="AI129" s="239"/>
      <c r="AJ129" s="239"/>
      <c r="AK129" s="239"/>
      <c r="AL129" s="239"/>
      <c r="AM129" s="239"/>
      <c r="AN129" s="239"/>
      <c r="AO129" s="157"/>
      <c r="AP129" s="157"/>
      <c r="AQ129" s="157"/>
      <c r="AR129" s="157"/>
      <c r="AS129" s="157"/>
      <c r="AT129" s="157"/>
      <c r="AU129" s="157"/>
      <c r="AV129" s="157"/>
      <c r="AW129" s="157"/>
      <c r="AX129" s="157"/>
      <c r="AY129" s="157"/>
      <c r="AZ129" s="157"/>
      <c r="BA129" s="157"/>
      <c r="BB129" s="157"/>
      <c r="BC129" s="157"/>
      <c r="BD129" s="157"/>
    </row>
    <row r="130" spans="1:56" ht="20.2" customHeight="1" outlineLevel="1" thickBot="1" x14ac:dyDescent="0.6">
      <c r="A130" s="179"/>
      <c r="B130" s="246" t="s">
        <v>398</v>
      </c>
      <c r="C130" s="178"/>
      <c r="D130" s="178"/>
      <c r="E130" s="178"/>
      <c r="F130" s="178"/>
      <c r="G130" s="178"/>
      <c r="H130" s="178"/>
      <c r="I130" s="178"/>
      <c r="J130" s="178"/>
      <c r="K130" s="178"/>
      <c r="L130" s="178"/>
      <c r="M130" s="178"/>
      <c r="N130" s="178"/>
      <c r="P130" s="178"/>
      <c r="Q130" s="178"/>
      <c r="R130" s="178"/>
      <c r="S130" s="178"/>
      <c r="T130" s="178"/>
      <c r="U130" s="178"/>
      <c r="V130" s="178"/>
      <c r="W130" s="178"/>
      <c r="X130" s="178"/>
      <c r="Y130" s="178"/>
      <c r="Z130" s="178"/>
      <c r="AA130" s="178"/>
      <c r="AC130" s="178"/>
      <c r="AD130" s="178"/>
      <c r="AE130" s="178"/>
      <c r="AF130" s="178"/>
      <c r="AG130" s="178"/>
      <c r="AH130" s="178"/>
      <c r="AI130" s="178"/>
      <c r="AJ130" s="178"/>
      <c r="AK130" s="178"/>
      <c r="AL130" s="178"/>
      <c r="AM130" s="178"/>
      <c r="AN130" s="178"/>
      <c r="AO130" s="157"/>
      <c r="AP130" s="157"/>
      <c r="AQ130" s="157"/>
      <c r="AR130" s="157"/>
      <c r="AS130" s="157"/>
      <c r="AT130" s="157"/>
      <c r="AU130" s="157"/>
      <c r="AV130" s="157"/>
      <c r="AW130" s="157"/>
      <c r="AX130" s="157"/>
      <c r="AY130" s="157"/>
      <c r="AZ130" s="157"/>
      <c r="BA130" s="157"/>
      <c r="BB130" s="157"/>
      <c r="BC130" s="157"/>
      <c r="BD130" s="157"/>
    </row>
    <row r="131" spans="1:56" outlineLevel="2" x14ac:dyDescent="0.55000000000000004">
      <c r="A131" s="179" t="s">
        <v>399</v>
      </c>
      <c r="B131" s="180" t="s">
        <v>384</v>
      </c>
      <c r="C131" s="257">
        <f>IFERROR(MAX(MIN(-C31/C28,C120),0),"")</f>
        <v>27.758118276988132</v>
      </c>
      <c r="D131" s="258">
        <f t="shared" ref="D131:N131" si="317">IFERROR(MAX(MIN(-D31/D28,D120),0),"")</f>
        <v>28.19055879371226</v>
      </c>
      <c r="E131" s="258">
        <f t="shared" si="317"/>
        <v>28.558980476814185</v>
      </c>
      <c r="F131" s="258">
        <f t="shared" si="317"/>
        <v>28.62777657416839</v>
      </c>
      <c r="G131" s="259">
        <f t="shared" si="317"/>
        <v>27.731217922833448</v>
      </c>
      <c r="H131" s="257">
        <f t="shared" si="317"/>
        <v>27.741905124226097</v>
      </c>
      <c r="I131" s="258">
        <f t="shared" si="317"/>
        <v>27.995990020789151</v>
      </c>
      <c r="J131" s="258">
        <f t="shared" si="317"/>
        <v>29.497068204144529</v>
      </c>
      <c r="K131" s="258">
        <f t="shared" si="317"/>
        <v>34.8857810523278</v>
      </c>
      <c r="L131" s="259">
        <f t="shared" si="317"/>
        <v>24.25650342191031</v>
      </c>
      <c r="M131" s="258">
        <f t="shared" si="317"/>
        <v>24.252682119892214</v>
      </c>
      <c r="N131" s="259">
        <f t="shared" si="317"/>
        <v>24.321539217915245</v>
      </c>
      <c r="P131" s="257">
        <f t="shared" ref="P131:AA131" si="318">IFERROR(MAX(MIN(-P31/P28,P120),0),"")</f>
        <v>27.758118276988132</v>
      </c>
      <c r="Q131" s="258">
        <f t="shared" si="318"/>
        <v>28.190558793712256</v>
      </c>
      <c r="R131" s="258">
        <f t="shared" si="318"/>
        <v>28.558980476814178</v>
      </c>
      <c r="S131" s="258">
        <f t="shared" si="318"/>
        <v>28.627776574168387</v>
      </c>
      <c r="T131" s="259">
        <f t="shared" si="318"/>
        <v>27.731217922833444</v>
      </c>
      <c r="U131" s="257">
        <f t="shared" si="318"/>
        <v>27.741905124226101</v>
      </c>
      <c r="V131" s="258">
        <f t="shared" si="318"/>
        <v>27.995990020789147</v>
      </c>
      <c r="W131" s="258">
        <f t="shared" si="318"/>
        <v>29.497068204144533</v>
      </c>
      <c r="X131" s="258">
        <f t="shared" si="318"/>
        <v>34.885781052327786</v>
      </c>
      <c r="Y131" s="259">
        <f t="shared" si="318"/>
        <v>24.256503421910313</v>
      </c>
      <c r="Z131" s="258">
        <f t="shared" si="318"/>
        <v>24.252682119892217</v>
      </c>
      <c r="AA131" s="259">
        <f t="shared" si="318"/>
        <v>24.321539217915245</v>
      </c>
      <c r="AC131" s="257" t="str">
        <f t="shared" ref="AC131:AN131" si="319">IFERROR(MAX(MIN(-AC31/AC28,AC120),0),"")</f>
        <v/>
      </c>
      <c r="AD131" s="258" t="str">
        <f t="shared" si="319"/>
        <v/>
      </c>
      <c r="AE131" s="258" t="str">
        <f t="shared" si="319"/>
        <v/>
      </c>
      <c r="AF131" s="258" t="str">
        <f t="shared" si="319"/>
        <v/>
      </c>
      <c r="AG131" s="259" t="str">
        <f t="shared" si="319"/>
        <v/>
      </c>
      <c r="AH131" s="257" t="str">
        <f t="shared" si="319"/>
        <v/>
      </c>
      <c r="AI131" s="258" t="str">
        <f t="shared" si="319"/>
        <v/>
      </c>
      <c r="AJ131" s="258" t="str">
        <f t="shared" si="319"/>
        <v/>
      </c>
      <c r="AK131" s="258" t="str">
        <f t="shared" si="319"/>
        <v/>
      </c>
      <c r="AL131" s="259" t="str">
        <f t="shared" si="319"/>
        <v/>
      </c>
      <c r="AM131" s="258" t="str">
        <f t="shared" si="319"/>
        <v/>
      </c>
      <c r="AN131" s="259" t="str">
        <f t="shared" si="319"/>
        <v/>
      </c>
      <c r="AO131" s="157"/>
      <c r="AP131" s="157"/>
      <c r="AQ131" s="157"/>
      <c r="AR131" s="157"/>
      <c r="AS131" s="157"/>
      <c r="AT131" s="157"/>
      <c r="AU131" s="157"/>
      <c r="AV131" s="157"/>
      <c r="AW131" s="157"/>
      <c r="AX131" s="157"/>
      <c r="AY131" s="157"/>
      <c r="AZ131" s="157"/>
      <c r="BA131" s="157"/>
      <c r="BB131" s="157"/>
      <c r="BC131" s="157"/>
      <c r="BD131" s="157"/>
    </row>
    <row r="132" spans="1:56" outlineLevel="2" x14ac:dyDescent="0.55000000000000004">
      <c r="A132" s="179" t="s">
        <v>400</v>
      </c>
      <c r="B132" s="222" t="s">
        <v>386</v>
      </c>
      <c r="C132" s="251">
        <f>IFERROR(MAX(MIN(-C38/C35,C121),0),"")</f>
        <v>27.758114274809916</v>
      </c>
      <c r="D132" s="252">
        <f t="shared" ref="D132:N132" si="320">IFERROR(MAX(MIN(-D38/D35,D121),0),"")</f>
        <v>28.190554951723072</v>
      </c>
      <c r="E132" s="252">
        <f t="shared" si="320"/>
        <v>28.558976801013412</v>
      </c>
      <c r="F132" s="252">
        <f t="shared" si="320"/>
        <v>28.62777304920164</v>
      </c>
      <c r="G132" s="253">
        <f t="shared" si="320"/>
        <v>27.731214639450375</v>
      </c>
      <c r="H132" s="251">
        <f t="shared" si="320"/>
        <v>27.741901954170444</v>
      </c>
      <c r="I132" s="252">
        <f t="shared" si="320"/>
        <v>27.995986955149149</v>
      </c>
      <c r="J132" s="252">
        <f t="shared" si="320"/>
        <v>29.497065249372852</v>
      </c>
      <c r="K132" s="252">
        <f t="shared" si="320"/>
        <v>34.885781138573861</v>
      </c>
      <c r="L132" s="253">
        <f t="shared" si="320"/>
        <v>24.256481786282613</v>
      </c>
      <c r="M132" s="252">
        <f t="shared" si="320"/>
        <v>24.252639823995068</v>
      </c>
      <c r="N132" s="253">
        <f t="shared" si="320"/>
        <v>24.321478316570527</v>
      </c>
      <c r="P132" s="251">
        <f t="shared" ref="P132:AA132" si="321">IFERROR(MAX(MIN(-P38/P35,P121),0),"")</f>
        <v>27.758114274809923</v>
      </c>
      <c r="Q132" s="252">
        <f t="shared" si="321"/>
        <v>28.190554951723072</v>
      </c>
      <c r="R132" s="252">
        <f t="shared" si="321"/>
        <v>28.558976801013419</v>
      </c>
      <c r="S132" s="252">
        <f t="shared" si="321"/>
        <v>28.62777304920165</v>
      </c>
      <c r="T132" s="253">
        <f t="shared" si="321"/>
        <v>27.731214639450393</v>
      </c>
      <c r="U132" s="251">
        <f t="shared" si="321"/>
        <v>27.741901954170459</v>
      </c>
      <c r="V132" s="252">
        <f t="shared" si="321"/>
        <v>27.995986955149164</v>
      </c>
      <c r="W132" s="252">
        <f t="shared" si="321"/>
        <v>29.497065249372863</v>
      </c>
      <c r="X132" s="252">
        <f t="shared" si="321"/>
        <v>34.885781138573876</v>
      </c>
      <c r="Y132" s="253">
        <f t="shared" si="321"/>
        <v>24.25648178628262</v>
      </c>
      <c r="Z132" s="252">
        <f t="shared" si="321"/>
        <v>24.252639823995079</v>
      </c>
      <c r="AA132" s="253">
        <f t="shared" si="321"/>
        <v>24.321478316570534</v>
      </c>
      <c r="AC132" s="251" t="str">
        <f t="shared" ref="AC132:AN132" si="322">IFERROR(MAX(MIN(-AC38/AC35,AC121),0),"")</f>
        <v/>
      </c>
      <c r="AD132" s="252" t="str">
        <f t="shared" si="322"/>
        <v/>
      </c>
      <c r="AE132" s="252" t="str">
        <f t="shared" si="322"/>
        <v/>
      </c>
      <c r="AF132" s="252" t="str">
        <f t="shared" si="322"/>
        <v/>
      </c>
      <c r="AG132" s="253" t="str">
        <f t="shared" si="322"/>
        <v/>
      </c>
      <c r="AH132" s="251" t="str">
        <f t="shared" si="322"/>
        <v/>
      </c>
      <c r="AI132" s="252" t="str">
        <f t="shared" si="322"/>
        <v/>
      </c>
      <c r="AJ132" s="252" t="str">
        <f t="shared" si="322"/>
        <v/>
      </c>
      <c r="AK132" s="252" t="str">
        <f t="shared" si="322"/>
        <v/>
      </c>
      <c r="AL132" s="253" t="str">
        <f t="shared" si="322"/>
        <v/>
      </c>
      <c r="AM132" s="252" t="str">
        <f t="shared" si="322"/>
        <v/>
      </c>
      <c r="AN132" s="253" t="str">
        <f t="shared" si="322"/>
        <v/>
      </c>
      <c r="AO132" s="157"/>
      <c r="AP132" s="157"/>
      <c r="AQ132" s="157"/>
      <c r="AR132" s="157"/>
      <c r="AS132" s="157"/>
      <c r="AT132" s="157"/>
      <c r="AU132" s="157"/>
      <c r="AV132" s="157"/>
      <c r="AW132" s="157"/>
      <c r="AX132" s="157"/>
      <c r="AY132" s="157"/>
      <c r="AZ132" s="157"/>
      <c r="BA132" s="157"/>
      <c r="BB132" s="157"/>
      <c r="BC132" s="157"/>
      <c r="BD132" s="157"/>
    </row>
    <row r="133" spans="1:56" outlineLevel="2" x14ac:dyDescent="0.55000000000000004">
      <c r="A133" s="179" t="s">
        <v>401</v>
      </c>
      <c r="B133" s="222" t="s">
        <v>365</v>
      </c>
      <c r="C133" s="251">
        <f>IFERROR(MAX(MIN(-C45/C42,C122),0),"")</f>
        <v>12.80795529234984</v>
      </c>
      <c r="D133" s="252">
        <f t="shared" ref="D133:N133" si="323">IFERROR(MAX(MIN(-D45/D42,D122),0),"")</f>
        <v>12.036821198343306</v>
      </c>
      <c r="E133" s="252">
        <f t="shared" si="323"/>
        <v>44.555321903731347</v>
      </c>
      <c r="F133" s="252">
        <f t="shared" si="323"/>
        <v>44.555321903731347</v>
      </c>
      <c r="G133" s="253">
        <f t="shared" si="323"/>
        <v>28.141355438587492</v>
      </c>
      <c r="H133" s="251">
        <f t="shared" si="323"/>
        <v>28.112557343939784</v>
      </c>
      <c r="I133" s="252">
        <f t="shared" si="323"/>
        <v>26.172942509422473</v>
      </c>
      <c r="J133" s="252">
        <f t="shared" si="323"/>
        <v>25.493764376278179</v>
      </c>
      <c r="K133" s="252">
        <f t="shared" si="323"/>
        <v>25.000504348811017</v>
      </c>
      <c r="L133" s="253">
        <f t="shared" si="323"/>
        <v>25.327249783693006</v>
      </c>
      <c r="M133" s="252">
        <f t="shared" si="323"/>
        <v>26.714414916947376</v>
      </c>
      <c r="N133" s="253">
        <f t="shared" si="323"/>
        <v>27.625996366173251</v>
      </c>
      <c r="P133" s="251">
        <f t="shared" ref="P133:AA133" si="324">IFERROR(MAX(MIN(-P45/P42,P122),0),"")</f>
        <v>12.80795529234984</v>
      </c>
      <c r="Q133" s="252">
        <f t="shared" si="324"/>
        <v>12.036821198343304</v>
      </c>
      <c r="R133" s="252">
        <f t="shared" si="324"/>
        <v>44.555321903731347</v>
      </c>
      <c r="S133" s="252">
        <f t="shared" si="324"/>
        <v>44.555321903731347</v>
      </c>
      <c r="T133" s="253">
        <f t="shared" si="324"/>
        <v>28.141355438587489</v>
      </c>
      <c r="U133" s="251">
        <f t="shared" si="324"/>
        <v>28.112557343939777</v>
      </c>
      <c r="V133" s="252">
        <f t="shared" si="324"/>
        <v>26.172942509422477</v>
      </c>
      <c r="W133" s="252">
        <f t="shared" si="324"/>
        <v>25.493764376278182</v>
      </c>
      <c r="X133" s="252">
        <f t="shared" si="324"/>
        <v>25.000504348811017</v>
      </c>
      <c r="Y133" s="253">
        <f t="shared" si="324"/>
        <v>25.327249783693009</v>
      </c>
      <c r="Z133" s="252">
        <f t="shared" si="324"/>
        <v>26.714414916947376</v>
      </c>
      <c r="AA133" s="253">
        <f t="shared" si="324"/>
        <v>27.625996366173247</v>
      </c>
      <c r="AC133" s="251" t="str">
        <f t="shared" ref="AC133:AN133" si="325">IFERROR(MAX(MIN(-AC45/AC42,AC122),0),"")</f>
        <v/>
      </c>
      <c r="AD133" s="252" t="str">
        <f t="shared" si="325"/>
        <v/>
      </c>
      <c r="AE133" s="252" t="str">
        <f t="shared" si="325"/>
        <v/>
      </c>
      <c r="AF133" s="252" t="str">
        <f t="shared" si="325"/>
        <v/>
      </c>
      <c r="AG133" s="253" t="str">
        <f t="shared" si="325"/>
        <v/>
      </c>
      <c r="AH133" s="251" t="str">
        <f t="shared" si="325"/>
        <v/>
      </c>
      <c r="AI133" s="252" t="str">
        <f t="shared" si="325"/>
        <v/>
      </c>
      <c r="AJ133" s="252" t="str">
        <f t="shared" si="325"/>
        <v/>
      </c>
      <c r="AK133" s="252" t="str">
        <f t="shared" si="325"/>
        <v/>
      </c>
      <c r="AL133" s="253" t="str">
        <f t="shared" si="325"/>
        <v/>
      </c>
      <c r="AM133" s="252" t="str">
        <f t="shared" si="325"/>
        <v/>
      </c>
      <c r="AN133" s="253" t="str">
        <f t="shared" si="325"/>
        <v/>
      </c>
      <c r="AO133" s="157"/>
      <c r="AP133" s="157"/>
      <c r="AQ133" s="157"/>
      <c r="AR133" s="157"/>
      <c r="AS133" s="157"/>
      <c r="AT133" s="157"/>
      <c r="AU133" s="157"/>
      <c r="AV133" s="157"/>
      <c r="AW133" s="157"/>
      <c r="AX133" s="157"/>
      <c r="AY133" s="157"/>
      <c r="AZ133" s="157"/>
      <c r="BA133" s="157"/>
      <c r="BB133" s="157"/>
      <c r="BC133" s="157"/>
      <c r="BD133" s="157"/>
    </row>
    <row r="134" spans="1:56" outlineLevel="2" x14ac:dyDescent="0.55000000000000004">
      <c r="A134" s="179" t="s">
        <v>402</v>
      </c>
      <c r="B134" s="222" t="s">
        <v>389</v>
      </c>
      <c r="C134" s="251">
        <f>IFERROR(MAX(MIN(-C52/C49,C123),0),"")</f>
        <v>23.044719694168439</v>
      </c>
      <c r="D134" s="252">
        <f t="shared" ref="D134:N134" si="326">IFERROR(MAX(MIN(-D52/D49,D123),0),"")</f>
        <v>23.17822324995975</v>
      </c>
      <c r="E134" s="252">
        <f t="shared" si="326"/>
        <v>22.06930419102558</v>
      </c>
      <c r="F134" s="252">
        <f t="shared" si="326"/>
        <v>21.199480009896561</v>
      </c>
      <c r="G134" s="253">
        <f t="shared" si="326"/>
        <v>40.607739911552827</v>
      </c>
      <c r="H134" s="251">
        <f t="shared" si="326"/>
        <v>40.1815193855183</v>
      </c>
      <c r="I134" s="252">
        <f t="shared" si="326"/>
        <v>38.185896911104329</v>
      </c>
      <c r="J134" s="252">
        <f t="shared" si="326"/>
        <v>39.105352357046293</v>
      </c>
      <c r="K134" s="252">
        <f t="shared" si="326"/>
        <v>31.967627337523947</v>
      </c>
      <c r="L134" s="253">
        <f t="shared" si="326"/>
        <v>29.445081648643168</v>
      </c>
      <c r="M134" s="252">
        <f t="shared" si="326"/>
        <v>28.339776242996688</v>
      </c>
      <c r="N134" s="253">
        <f t="shared" si="326"/>
        <v>28.032955981447742</v>
      </c>
      <c r="P134" s="251">
        <f t="shared" ref="P134:AA134" si="327">IFERROR(MAX(MIN(-P52/P49,P123),0),"")</f>
        <v>23.044719694168439</v>
      </c>
      <c r="Q134" s="252">
        <f t="shared" si="327"/>
        <v>23.17822324995975</v>
      </c>
      <c r="R134" s="252">
        <f t="shared" si="327"/>
        <v>22.06930419102558</v>
      </c>
      <c r="S134" s="252">
        <f t="shared" si="327"/>
        <v>21.199480009896561</v>
      </c>
      <c r="T134" s="253">
        <f t="shared" si="327"/>
        <v>40.607739911552827</v>
      </c>
      <c r="U134" s="251">
        <f t="shared" si="327"/>
        <v>40.1815193855183</v>
      </c>
      <c r="V134" s="252">
        <f t="shared" si="327"/>
        <v>38.185896911104329</v>
      </c>
      <c r="W134" s="252">
        <f t="shared" si="327"/>
        <v>39.105352357046293</v>
      </c>
      <c r="X134" s="252">
        <f t="shared" si="327"/>
        <v>31.967627337523947</v>
      </c>
      <c r="Y134" s="253">
        <f t="shared" si="327"/>
        <v>29.445081648643168</v>
      </c>
      <c r="Z134" s="252">
        <f t="shared" si="327"/>
        <v>28.339776242996688</v>
      </c>
      <c r="AA134" s="253">
        <f t="shared" si="327"/>
        <v>28.032955981447742</v>
      </c>
      <c r="AC134" s="251" t="str">
        <f t="shared" ref="AC134:AN134" si="328">IFERROR(MAX(MIN(-AC52/AC49,AC123),0),"")</f>
        <v/>
      </c>
      <c r="AD134" s="252" t="str">
        <f t="shared" si="328"/>
        <v/>
      </c>
      <c r="AE134" s="252" t="str">
        <f t="shared" si="328"/>
        <v/>
      </c>
      <c r="AF134" s="252" t="str">
        <f t="shared" si="328"/>
        <v/>
      </c>
      <c r="AG134" s="253" t="str">
        <f t="shared" si="328"/>
        <v/>
      </c>
      <c r="AH134" s="251" t="str">
        <f t="shared" si="328"/>
        <v/>
      </c>
      <c r="AI134" s="252" t="str">
        <f t="shared" si="328"/>
        <v/>
      </c>
      <c r="AJ134" s="252" t="str">
        <f t="shared" si="328"/>
        <v/>
      </c>
      <c r="AK134" s="252" t="str">
        <f t="shared" si="328"/>
        <v/>
      </c>
      <c r="AL134" s="253" t="str">
        <f t="shared" si="328"/>
        <v/>
      </c>
      <c r="AM134" s="252" t="str">
        <f t="shared" si="328"/>
        <v/>
      </c>
      <c r="AN134" s="253" t="str">
        <f t="shared" si="328"/>
        <v/>
      </c>
      <c r="AO134" s="157"/>
      <c r="AP134" s="157"/>
      <c r="AQ134" s="157"/>
      <c r="AR134" s="157"/>
      <c r="AS134" s="157"/>
      <c r="AT134" s="157"/>
      <c r="AU134" s="157"/>
      <c r="AV134" s="157"/>
      <c r="AW134" s="157"/>
      <c r="AX134" s="157"/>
      <c r="AY134" s="157"/>
      <c r="AZ134" s="157"/>
      <c r="BA134" s="157"/>
      <c r="BB134" s="157"/>
      <c r="BC134" s="157"/>
      <c r="BD134" s="157"/>
    </row>
    <row r="135" spans="1:56" outlineLevel="2" x14ac:dyDescent="0.55000000000000004">
      <c r="A135" s="179" t="s">
        <v>403</v>
      </c>
      <c r="B135" s="222" t="s">
        <v>404</v>
      </c>
      <c r="C135" s="251">
        <f>IFERROR(MAX(MIN(-C59/C56,C124),0),"")</f>
        <v>23.044719694168432</v>
      </c>
      <c r="D135" s="252">
        <f t="shared" ref="D135:N135" si="329">IFERROR(MAX(MIN(-D59/D56,D124),0),"")</f>
        <v>23.17822324995975</v>
      </c>
      <c r="E135" s="252">
        <f t="shared" si="329"/>
        <v>22.069304191025577</v>
      </c>
      <c r="F135" s="252">
        <f t="shared" si="329"/>
        <v>21.199480009896565</v>
      </c>
      <c r="G135" s="253">
        <f t="shared" si="329"/>
        <v>40.607739911552827</v>
      </c>
      <c r="H135" s="251">
        <f t="shared" si="329"/>
        <v>40.181519385518286</v>
      </c>
      <c r="I135" s="252">
        <f t="shared" si="329"/>
        <v>38.185896911104322</v>
      </c>
      <c r="J135" s="252">
        <f t="shared" si="329"/>
        <v>39.105352357046293</v>
      </c>
      <c r="K135" s="252">
        <f t="shared" si="329"/>
        <v>31.967627337523943</v>
      </c>
      <c r="L135" s="253">
        <f t="shared" si="329"/>
        <v>29.445081648643164</v>
      </c>
      <c r="M135" s="252">
        <f t="shared" si="329"/>
        <v>28.339776242996685</v>
      </c>
      <c r="N135" s="253">
        <f t="shared" si="329"/>
        <v>28.032955981447738</v>
      </c>
      <c r="P135" s="251">
        <f t="shared" ref="P135:AA135" si="330">IFERROR(MAX(MIN(-P59/P56,P124),0),"")</f>
        <v>23.044719694168432</v>
      </c>
      <c r="Q135" s="252">
        <f t="shared" si="330"/>
        <v>23.17822324995975</v>
      </c>
      <c r="R135" s="252">
        <f t="shared" si="330"/>
        <v>22.069304191025577</v>
      </c>
      <c r="S135" s="252">
        <f t="shared" si="330"/>
        <v>21.199480009896565</v>
      </c>
      <c r="T135" s="253">
        <f t="shared" si="330"/>
        <v>40.607739911552827</v>
      </c>
      <c r="U135" s="251">
        <f t="shared" si="330"/>
        <v>40.181519385518286</v>
      </c>
      <c r="V135" s="252">
        <f t="shared" si="330"/>
        <v>38.185896911104322</v>
      </c>
      <c r="W135" s="252">
        <f t="shared" si="330"/>
        <v>39.105352357046293</v>
      </c>
      <c r="X135" s="252">
        <f t="shared" si="330"/>
        <v>31.967627337523943</v>
      </c>
      <c r="Y135" s="253">
        <f t="shared" si="330"/>
        <v>29.445081648643164</v>
      </c>
      <c r="Z135" s="252">
        <f t="shared" si="330"/>
        <v>28.339776242996685</v>
      </c>
      <c r="AA135" s="253">
        <f t="shared" si="330"/>
        <v>28.032955981447738</v>
      </c>
      <c r="AC135" s="251" t="str">
        <f t="shared" ref="AC135:AN135" si="331">IFERROR(MAX(MIN(-AC59/AC56,AC124),0),"")</f>
        <v/>
      </c>
      <c r="AD135" s="252" t="str">
        <f t="shared" si="331"/>
        <v/>
      </c>
      <c r="AE135" s="252" t="str">
        <f t="shared" si="331"/>
        <v/>
      </c>
      <c r="AF135" s="252" t="str">
        <f t="shared" si="331"/>
        <v/>
      </c>
      <c r="AG135" s="253" t="str">
        <f t="shared" si="331"/>
        <v/>
      </c>
      <c r="AH135" s="251" t="str">
        <f t="shared" si="331"/>
        <v/>
      </c>
      <c r="AI135" s="252" t="str">
        <f t="shared" si="331"/>
        <v/>
      </c>
      <c r="AJ135" s="252" t="str">
        <f t="shared" si="331"/>
        <v/>
      </c>
      <c r="AK135" s="252" t="str">
        <f t="shared" si="331"/>
        <v/>
      </c>
      <c r="AL135" s="253" t="str">
        <f t="shared" si="331"/>
        <v/>
      </c>
      <c r="AM135" s="252" t="str">
        <f t="shared" si="331"/>
        <v/>
      </c>
      <c r="AN135" s="253" t="str">
        <f t="shared" si="331"/>
        <v/>
      </c>
      <c r="AO135" s="157"/>
      <c r="AP135" s="157"/>
      <c r="AQ135" s="157"/>
      <c r="AR135" s="157"/>
      <c r="AS135" s="157"/>
      <c r="AT135" s="157"/>
      <c r="AU135" s="157"/>
      <c r="AV135" s="157"/>
      <c r="AW135" s="157"/>
      <c r="AX135" s="157"/>
      <c r="AY135" s="157"/>
      <c r="AZ135" s="157"/>
      <c r="BA135" s="157"/>
      <c r="BB135" s="157"/>
      <c r="BC135" s="157"/>
      <c r="BD135" s="157"/>
    </row>
    <row r="136" spans="1:56" outlineLevel="2" x14ac:dyDescent="0.55000000000000004">
      <c r="A136" s="179" t="s">
        <v>405</v>
      </c>
      <c r="B136" s="222" t="s">
        <v>136</v>
      </c>
      <c r="C136" s="251">
        <f>IFERROR(MAX(MIN(-C66/C63,C125),0),"")</f>
        <v>22.314046062907043</v>
      </c>
      <c r="D136" s="252">
        <f t="shared" ref="D136:N136" si="332">IFERROR(MAX(MIN(-D66/D63,D125),0),"")</f>
        <v>22.06207763357569</v>
      </c>
      <c r="E136" s="252">
        <f t="shared" si="332"/>
        <v>21.174243943743985</v>
      </c>
      <c r="F136" s="252">
        <f t="shared" si="332"/>
        <v>27.948820109938776</v>
      </c>
      <c r="G136" s="253">
        <f t="shared" si="332"/>
        <v>13.914710550581928</v>
      </c>
      <c r="H136" s="251">
        <f t="shared" si="332"/>
        <v>16.017320683923831</v>
      </c>
      <c r="I136" s="252">
        <f t="shared" si="332"/>
        <v>16.997679559852983</v>
      </c>
      <c r="J136" s="252">
        <f t="shared" si="332"/>
        <v>36.222382168624868</v>
      </c>
      <c r="K136" s="252">
        <f t="shared" si="332"/>
        <v>14.374503882623474</v>
      </c>
      <c r="L136" s="253">
        <f t="shared" si="332"/>
        <v>11.529673475446524</v>
      </c>
      <c r="M136" s="252">
        <f t="shared" si="332"/>
        <v>11.237427256923901</v>
      </c>
      <c r="N136" s="253">
        <f t="shared" si="332"/>
        <v>13.56155807084672</v>
      </c>
      <c r="P136" s="251">
        <f t="shared" ref="P136:AA136" si="333">IFERROR(MAX(MIN(-P66/P63,P125),0),"")</f>
        <v>22.314046062907043</v>
      </c>
      <c r="Q136" s="252">
        <f t="shared" si="333"/>
        <v>22.06207763357569</v>
      </c>
      <c r="R136" s="252">
        <f t="shared" si="333"/>
        <v>21.174243943743985</v>
      </c>
      <c r="S136" s="252">
        <f t="shared" si="333"/>
        <v>27.948820109938776</v>
      </c>
      <c r="T136" s="253">
        <f t="shared" si="333"/>
        <v>13.914710550581928</v>
      </c>
      <c r="U136" s="251">
        <f t="shared" si="333"/>
        <v>16.017320683923831</v>
      </c>
      <c r="V136" s="252">
        <f t="shared" si="333"/>
        <v>16.997679559852983</v>
      </c>
      <c r="W136" s="252">
        <f t="shared" si="333"/>
        <v>36.222382168624868</v>
      </c>
      <c r="X136" s="252">
        <f t="shared" si="333"/>
        <v>14.374503882623474</v>
      </c>
      <c r="Y136" s="253">
        <f t="shared" si="333"/>
        <v>11.529673475446524</v>
      </c>
      <c r="Z136" s="252">
        <f t="shared" si="333"/>
        <v>11.237427256923901</v>
      </c>
      <c r="AA136" s="253">
        <f t="shared" si="333"/>
        <v>13.56155807084672</v>
      </c>
      <c r="AC136" s="251" t="str">
        <f t="shared" ref="AC136:AN136" si="334">IFERROR(MAX(MIN(-AC66/AC63,AC125),0),"")</f>
        <v/>
      </c>
      <c r="AD136" s="252" t="str">
        <f t="shared" si="334"/>
        <v/>
      </c>
      <c r="AE136" s="252" t="str">
        <f t="shared" si="334"/>
        <v/>
      </c>
      <c r="AF136" s="252" t="str">
        <f t="shared" si="334"/>
        <v/>
      </c>
      <c r="AG136" s="253" t="str">
        <f t="shared" si="334"/>
        <v/>
      </c>
      <c r="AH136" s="251" t="str">
        <f t="shared" si="334"/>
        <v/>
      </c>
      <c r="AI136" s="252" t="str">
        <f t="shared" si="334"/>
        <v/>
      </c>
      <c r="AJ136" s="252" t="str">
        <f t="shared" si="334"/>
        <v/>
      </c>
      <c r="AK136" s="252" t="str">
        <f t="shared" si="334"/>
        <v/>
      </c>
      <c r="AL136" s="253" t="str">
        <f t="shared" si="334"/>
        <v/>
      </c>
      <c r="AM136" s="252" t="str">
        <f t="shared" si="334"/>
        <v/>
      </c>
      <c r="AN136" s="253" t="str">
        <f t="shared" si="334"/>
        <v/>
      </c>
      <c r="AO136" s="157"/>
      <c r="AP136" s="157"/>
      <c r="AQ136" s="157"/>
      <c r="AR136" s="157"/>
      <c r="AS136" s="157"/>
      <c r="AT136" s="157"/>
      <c r="AU136" s="157"/>
      <c r="AV136" s="157"/>
      <c r="AW136" s="157"/>
      <c r="AX136" s="157"/>
      <c r="AY136" s="157"/>
      <c r="AZ136" s="157"/>
      <c r="BA136" s="157"/>
      <c r="BB136" s="157"/>
      <c r="BC136" s="157"/>
      <c r="BD136" s="157"/>
    </row>
    <row r="137" spans="1:56" outlineLevel="2" x14ac:dyDescent="0.55000000000000004">
      <c r="A137" s="179" t="s">
        <v>406</v>
      </c>
      <c r="B137" s="222" t="s">
        <v>143</v>
      </c>
      <c r="C137" s="251" t="str">
        <f>IFERROR(MAX(MIN(-C79/C76,C126),0),"")</f>
        <v/>
      </c>
      <c r="D137" s="252" t="str">
        <f t="shared" ref="D137:N137" si="335">IFERROR(MAX(MIN(-D79/D76,D126),0),"")</f>
        <v/>
      </c>
      <c r="E137" s="252" t="str">
        <f t="shared" si="335"/>
        <v/>
      </c>
      <c r="F137" s="252" t="str">
        <f t="shared" si="335"/>
        <v/>
      </c>
      <c r="G137" s="253" t="str">
        <f t="shared" si="335"/>
        <v/>
      </c>
      <c r="H137" s="251" t="str">
        <f t="shared" si="335"/>
        <v/>
      </c>
      <c r="I137" s="252" t="str">
        <f t="shared" si="335"/>
        <v/>
      </c>
      <c r="J137" s="252" t="str">
        <f t="shared" si="335"/>
        <v/>
      </c>
      <c r="K137" s="252" t="str">
        <f t="shared" si="335"/>
        <v/>
      </c>
      <c r="L137" s="253" t="str">
        <f t="shared" si="335"/>
        <v/>
      </c>
      <c r="M137" s="252" t="str">
        <f t="shared" si="335"/>
        <v/>
      </c>
      <c r="N137" s="253" t="str">
        <f t="shared" si="335"/>
        <v/>
      </c>
      <c r="P137" s="251" t="str">
        <f t="shared" ref="P137:AA137" si="336">IFERROR(MAX(MIN(-P79/P76,P126),0),"")</f>
        <v/>
      </c>
      <c r="Q137" s="252" t="str">
        <f t="shared" si="336"/>
        <v/>
      </c>
      <c r="R137" s="252" t="str">
        <f t="shared" si="336"/>
        <v/>
      </c>
      <c r="S137" s="252" t="str">
        <f t="shared" si="336"/>
        <v/>
      </c>
      <c r="T137" s="253" t="str">
        <f t="shared" si="336"/>
        <v/>
      </c>
      <c r="U137" s="251" t="str">
        <f t="shared" si="336"/>
        <v/>
      </c>
      <c r="V137" s="252" t="str">
        <f t="shared" si="336"/>
        <v/>
      </c>
      <c r="W137" s="252" t="str">
        <f t="shared" si="336"/>
        <v/>
      </c>
      <c r="X137" s="252" t="str">
        <f t="shared" si="336"/>
        <v/>
      </c>
      <c r="Y137" s="253" t="str">
        <f t="shared" si="336"/>
        <v/>
      </c>
      <c r="Z137" s="252" t="str">
        <f t="shared" si="336"/>
        <v/>
      </c>
      <c r="AA137" s="253" t="str">
        <f t="shared" si="336"/>
        <v/>
      </c>
      <c r="AC137" s="251">
        <f t="shared" ref="AC137:AN137" si="337">IFERROR(MAX(MIN(-AC79/AC76,AC126),0),"")</f>
        <v>16</v>
      </c>
      <c r="AD137" s="252">
        <f t="shared" si="337"/>
        <v>16</v>
      </c>
      <c r="AE137" s="252">
        <f t="shared" si="337"/>
        <v>16</v>
      </c>
      <c r="AF137" s="252">
        <f t="shared" si="337"/>
        <v>16</v>
      </c>
      <c r="AG137" s="253">
        <f t="shared" si="337"/>
        <v>16</v>
      </c>
      <c r="AH137" s="251">
        <f t="shared" si="337"/>
        <v>16</v>
      </c>
      <c r="AI137" s="252">
        <f t="shared" si="337"/>
        <v>16</v>
      </c>
      <c r="AJ137" s="252">
        <f t="shared" si="337"/>
        <v>16</v>
      </c>
      <c r="AK137" s="252">
        <f t="shared" si="337"/>
        <v>7.5863088001710146</v>
      </c>
      <c r="AL137" s="253">
        <f t="shared" si="337"/>
        <v>6.8218907014000001</v>
      </c>
      <c r="AM137" s="252">
        <f t="shared" si="337"/>
        <v>7.7004995785618107</v>
      </c>
      <c r="AN137" s="253">
        <f t="shared" si="337"/>
        <v>8.278485638190066</v>
      </c>
      <c r="AO137" s="157"/>
      <c r="AP137" s="157"/>
      <c r="AQ137" s="157"/>
      <c r="AR137" s="157"/>
      <c r="AS137" s="157"/>
      <c r="AT137" s="157"/>
      <c r="AU137" s="157"/>
      <c r="AV137" s="157"/>
      <c r="AW137" s="157"/>
      <c r="AX137" s="157"/>
      <c r="AY137" s="157"/>
      <c r="AZ137" s="157"/>
      <c r="BA137" s="157"/>
      <c r="BB137" s="157"/>
      <c r="BC137" s="157"/>
      <c r="BD137" s="157"/>
    </row>
    <row r="138" spans="1:56" outlineLevel="2" x14ac:dyDescent="0.55000000000000004">
      <c r="A138" s="179" t="s">
        <v>407</v>
      </c>
      <c r="B138" s="222" t="s">
        <v>395</v>
      </c>
      <c r="C138" s="251">
        <f>IFERROR(MAX(MIN(-C86/C83,C127),0),"")</f>
        <v>6.3422822601588384</v>
      </c>
      <c r="D138" s="252">
        <f t="shared" ref="D138:N138" si="338">IFERROR(MAX(MIN(-D86/D83,D127),0),"")</f>
        <v>5.1537974193059632</v>
      </c>
      <c r="E138" s="252">
        <f t="shared" si="338"/>
        <v>0.92589570424072276</v>
      </c>
      <c r="F138" s="252">
        <f t="shared" si="338"/>
        <v>17.290462857632296</v>
      </c>
      <c r="G138" s="253" t="str">
        <f t="shared" si="338"/>
        <v/>
      </c>
      <c r="H138" s="251" t="str">
        <f t="shared" si="338"/>
        <v/>
      </c>
      <c r="I138" s="252" t="str">
        <f t="shared" si="338"/>
        <v/>
      </c>
      <c r="J138" s="252" t="str">
        <f t="shared" si="338"/>
        <v/>
      </c>
      <c r="K138" s="252">
        <f t="shared" si="338"/>
        <v>10.272057688035629</v>
      </c>
      <c r="L138" s="253">
        <f t="shared" si="338"/>
        <v>6.3305909817673829</v>
      </c>
      <c r="M138" s="252">
        <f t="shared" si="338"/>
        <v>5.6346630021605035</v>
      </c>
      <c r="N138" s="253">
        <f t="shared" si="338"/>
        <v>9.800283268795237</v>
      </c>
      <c r="P138" s="251">
        <f t="shared" ref="P138:AA138" si="339">IFERROR(MAX(MIN(-P86/P83,P127),0),"")</f>
        <v>6.3422822601588384</v>
      </c>
      <c r="Q138" s="252">
        <f t="shared" si="339"/>
        <v>5.1537974193059632</v>
      </c>
      <c r="R138" s="252">
        <f t="shared" si="339"/>
        <v>0.92589570424072276</v>
      </c>
      <c r="S138" s="252">
        <f t="shared" si="339"/>
        <v>17.290462857632296</v>
      </c>
      <c r="T138" s="253" t="str">
        <f t="shared" si="339"/>
        <v/>
      </c>
      <c r="U138" s="251" t="str">
        <f t="shared" si="339"/>
        <v/>
      </c>
      <c r="V138" s="252" t="str">
        <f t="shared" si="339"/>
        <v/>
      </c>
      <c r="W138" s="252" t="str">
        <f t="shared" si="339"/>
        <v/>
      </c>
      <c r="X138" s="252">
        <f t="shared" si="339"/>
        <v>10.272057688035629</v>
      </c>
      <c r="Y138" s="253">
        <f t="shared" si="339"/>
        <v>6.3305909817673829</v>
      </c>
      <c r="Z138" s="252">
        <f t="shared" si="339"/>
        <v>5.6346630021605035</v>
      </c>
      <c r="AA138" s="253">
        <f t="shared" si="339"/>
        <v>9.800283268795237</v>
      </c>
      <c r="AC138" s="251">
        <f t="shared" ref="AC138:AN138" si="340">IFERROR(MAX(MIN(-AC86/AC83,AC127),0),"")</f>
        <v>29.023808433625259</v>
      </c>
      <c r="AD138" s="252">
        <f t="shared" si="340"/>
        <v>29.023808433625259</v>
      </c>
      <c r="AE138" s="252">
        <f t="shared" si="340"/>
        <v>29.023808433625259</v>
      </c>
      <c r="AF138" s="252">
        <f t="shared" si="340"/>
        <v>29.023808433625259</v>
      </c>
      <c r="AG138" s="253">
        <f t="shared" si="340"/>
        <v>29.023808433625259</v>
      </c>
      <c r="AH138" s="251">
        <f t="shared" si="340"/>
        <v>29.023808433625259</v>
      </c>
      <c r="AI138" s="252">
        <f t="shared" si="340"/>
        <v>29.023808433625259</v>
      </c>
      <c r="AJ138" s="252">
        <f t="shared" si="340"/>
        <v>29.023808433625259</v>
      </c>
      <c r="AK138" s="252">
        <f t="shared" si="340"/>
        <v>7.5863088001710128</v>
      </c>
      <c r="AL138" s="253">
        <f t="shared" si="340"/>
        <v>6.8218907013999974</v>
      </c>
      <c r="AM138" s="252">
        <f t="shared" si="340"/>
        <v>7.7004995785618089</v>
      </c>
      <c r="AN138" s="253">
        <f t="shared" si="340"/>
        <v>8.278485638190066</v>
      </c>
      <c r="AO138" s="157"/>
      <c r="AP138" s="157"/>
      <c r="AQ138" s="157"/>
      <c r="AR138" s="157"/>
      <c r="AS138" s="157"/>
      <c r="AT138" s="157"/>
      <c r="AU138" s="157"/>
      <c r="AV138" s="157"/>
      <c r="AW138" s="157"/>
      <c r="AX138" s="157"/>
      <c r="AY138" s="157"/>
      <c r="AZ138" s="157"/>
      <c r="BA138" s="157"/>
      <c r="BB138" s="157"/>
      <c r="BC138" s="157"/>
      <c r="BD138" s="157"/>
    </row>
    <row r="139" spans="1:56" ht="14.7" outlineLevel="2" thickBot="1" x14ac:dyDescent="0.6">
      <c r="A139" s="179" t="s">
        <v>408</v>
      </c>
      <c r="B139" s="192" t="s">
        <v>397</v>
      </c>
      <c r="C139" s="254">
        <f>IFERROR(MAX(MIN(-C93/C90,C128),0),"")</f>
        <v>0.4867245257852138</v>
      </c>
      <c r="D139" s="255">
        <f t="shared" ref="D139:N139" si="341">IFERROR(MAX(MIN(-D93/D90,D128),0),"")</f>
        <v>0.86727544921742594</v>
      </c>
      <c r="E139" s="255">
        <f t="shared" si="341"/>
        <v>0.86315409592393078</v>
      </c>
      <c r="F139" s="255">
        <f t="shared" si="341"/>
        <v>0.14302618761573493</v>
      </c>
      <c r="G139" s="256">
        <f t="shared" si="341"/>
        <v>1.4558208507324383E-2</v>
      </c>
      <c r="H139" s="254">
        <f t="shared" si="341"/>
        <v>0.16334193666729113</v>
      </c>
      <c r="I139" s="255">
        <f t="shared" si="341"/>
        <v>4.2578096702930504</v>
      </c>
      <c r="J139" s="255">
        <f t="shared" si="341"/>
        <v>6.9300161354856167</v>
      </c>
      <c r="K139" s="255">
        <f t="shared" si="341"/>
        <v>6.9300161354856167</v>
      </c>
      <c r="L139" s="256">
        <f t="shared" si="341"/>
        <v>5.2829268275700425</v>
      </c>
      <c r="M139" s="255">
        <f t="shared" si="341"/>
        <v>3.1730266328257968</v>
      </c>
      <c r="N139" s="256">
        <f t="shared" si="341"/>
        <v>2.0669674762453107</v>
      </c>
      <c r="P139" s="254">
        <f t="shared" ref="P139:AA139" si="342">IFERROR(MAX(MIN(-P93/P90,P128),0),"")</f>
        <v>0.4867245257852138</v>
      </c>
      <c r="Q139" s="255">
        <f t="shared" si="342"/>
        <v>0.86727544921742594</v>
      </c>
      <c r="R139" s="255">
        <f t="shared" si="342"/>
        <v>0.86315409592393078</v>
      </c>
      <c r="S139" s="255">
        <f t="shared" si="342"/>
        <v>0.14302618761573493</v>
      </c>
      <c r="T139" s="256">
        <f t="shared" si="342"/>
        <v>1.4558208507324383E-2</v>
      </c>
      <c r="U139" s="254">
        <f t="shared" si="342"/>
        <v>0.16334193666729113</v>
      </c>
      <c r="V139" s="255">
        <f t="shared" si="342"/>
        <v>4.2578096702930504</v>
      </c>
      <c r="W139" s="255">
        <f t="shared" si="342"/>
        <v>6.9300161354856167</v>
      </c>
      <c r="X139" s="255">
        <f t="shared" si="342"/>
        <v>6.9300161354856167</v>
      </c>
      <c r="Y139" s="256">
        <f t="shared" si="342"/>
        <v>5.2829268275700425</v>
      </c>
      <c r="Z139" s="255">
        <f t="shared" si="342"/>
        <v>3.1730266328257968</v>
      </c>
      <c r="AA139" s="256">
        <f t="shared" si="342"/>
        <v>2.0669674762453107</v>
      </c>
      <c r="AC139" s="254" t="str">
        <f t="shared" ref="AC139:AN139" si="343">IFERROR(MAX(MIN(-AC93/AC90,AC128),0),"")</f>
        <v/>
      </c>
      <c r="AD139" s="255" t="str">
        <f t="shared" si="343"/>
        <v/>
      </c>
      <c r="AE139" s="255" t="str">
        <f t="shared" si="343"/>
        <v/>
      </c>
      <c r="AF139" s="255" t="str">
        <f t="shared" si="343"/>
        <v/>
      </c>
      <c r="AG139" s="256" t="str">
        <f t="shared" si="343"/>
        <v/>
      </c>
      <c r="AH139" s="254" t="str">
        <f t="shared" si="343"/>
        <v/>
      </c>
      <c r="AI139" s="255" t="str">
        <f t="shared" si="343"/>
        <v/>
      </c>
      <c r="AJ139" s="255" t="str">
        <f t="shared" si="343"/>
        <v/>
      </c>
      <c r="AK139" s="255" t="str">
        <f t="shared" si="343"/>
        <v/>
      </c>
      <c r="AL139" s="256" t="str">
        <f t="shared" si="343"/>
        <v/>
      </c>
      <c r="AM139" s="255" t="str">
        <f t="shared" si="343"/>
        <v/>
      </c>
      <c r="AN139" s="256" t="str">
        <f t="shared" si="343"/>
        <v/>
      </c>
      <c r="AO139" s="157"/>
      <c r="AP139" s="157"/>
      <c r="AQ139" s="157"/>
      <c r="AR139" s="157"/>
      <c r="AS139" s="157"/>
      <c r="AT139" s="157"/>
      <c r="AU139" s="157"/>
      <c r="AV139" s="157"/>
      <c r="AW139" s="157"/>
      <c r="AX139" s="157"/>
      <c r="AY139" s="157"/>
      <c r="AZ139" s="157"/>
      <c r="BA139" s="157"/>
      <c r="BB139" s="157"/>
      <c r="BC139" s="157"/>
      <c r="BD139" s="157"/>
    </row>
    <row r="140" spans="1:56" outlineLevel="1" x14ac:dyDescent="0.55000000000000004">
      <c r="A140" s="163"/>
      <c r="B140" s="157"/>
      <c r="C140" s="157"/>
      <c r="D140" s="157"/>
      <c r="E140" s="157"/>
      <c r="F140" s="157"/>
      <c r="G140" s="157"/>
      <c r="H140" s="157"/>
      <c r="I140" s="157"/>
      <c r="J140" s="157"/>
      <c r="K140" s="157"/>
      <c r="L140" s="157"/>
      <c r="M140" s="157"/>
      <c r="N140" s="157"/>
      <c r="P140" s="157"/>
      <c r="Q140" s="157"/>
      <c r="R140" s="157"/>
      <c r="S140" s="157"/>
      <c r="T140" s="157"/>
      <c r="U140" s="157"/>
      <c r="V140" s="157"/>
      <c r="W140" s="157"/>
      <c r="X140" s="157"/>
      <c r="Y140" s="157"/>
      <c r="Z140" s="157"/>
      <c r="AA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7"/>
      <c r="AY140" s="157"/>
      <c r="AZ140" s="157"/>
      <c r="BA140" s="157"/>
      <c r="BB140" s="157"/>
      <c r="BC140" s="157"/>
      <c r="BD140" s="157"/>
    </row>
    <row r="141" spans="1:56" outlineLevel="1" x14ac:dyDescent="0.55000000000000004">
      <c r="A141" s="163"/>
      <c r="B141" s="157"/>
      <c r="C141" s="157"/>
      <c r="D141" s="157"/>
      <c r="E141" s="157"/>
      <c r="F141" s="157"/>
      <c r="G141" s="157"/>
      <c r="H141" s="157"/>
      <c r="I141" s="157"/>
      <c r="J141" s="157"/>
      <c r="K141" s="157"/>
      <c r="L141" s="157"/>
      <c r="M141" s="157"/>
      <c r="N141" s="157"/>
      <c r="P141" s="157"/>
      <c r="Q141" s="157"/>
      <c r="R141" s="157"/>
      <c r="S141" s="157"/>
      <c r="T141" s="157"/>
      <c r="U141" s="157"/>
      <c r="V141" s="157"/>
      <c r="W141" s="157"/>
      <c r="X141" s="157"/>
      <c r="Y141" s="157"/>
      <c r="Z141" s="157"/>
      <c r="AA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157"/>
      <c r="AY141" s="157"/>
      <c r="AZ141" s="157"/>
      <c r="BA141" s="157"/>
      <c r="BB141" s="157"/>
      <c r="BC141" s="157"/>
      <c r="BD141" s="157"/>
    </row>
    <row r="142" spans="1:56" x14ac:dyDescent="0.55000000000000004">
      <c r="A142" s="163"/>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row>
    <row r="143" spans="1:56" x14ac:dyDescent="0.55000000000000004">
      <c r="A143" s="163"/>
      <c r="B143" s="157"/>
      <c r="C143" s="157"/>
      <c r="D143" s="157"/>
      <c r="E143" s="157"/>
      <c r="F143" s="157"/>
      <c r="G143" s="157"/>
      <c r="H143" s="157"/>
      <c r="I143" s="157"/>
      <c r="J143" s="157"/>
      <c r="K143" s="157"/>
      <c r="L143" s="157"/>
      <c r="M143" s="157"/>
      <c r="N143" s="157"/>
      <c r="P143" s="157"/>
      <c r="Q143" s="157"/>
      <c r="R143" s="157"/>
      <c r="S143" s="157"/>
      <c r="T143" s="157"/>
      <c r="U143" s="157"/>
      <c r="V143" s="157"/>
      <c r="W143" s="157"/>
      <c r="X143" s="157"/>
      <c r="Y143" s="157"/>
      <c r="Z143" s="157"/>
      <c r="AA143" s="157"/>
      <c r="AC143" s="157"/>
      <c r="AD143" s="157"/>
      <c r="AE143" s="157"/>
      <c r="AF143" s="157"/>
      <c r="AG143" s="157"/>
      <c r="AH143" s="157"/>
      <c r="AI143" s="157"/>
      <c r="AJ143" s="157"/>
      <c r="AK143" s="157"/>
      <c r="AL143" s="157"/>
      <c r="AM143" s="157"/>
      <c r="AN143" s="157"/>
      <c r="AO143" s="157"/>
      <c r="AP143" s="157"/>
      <c r="AQ143" s="157"/>
      <c r="AR143" s="157"/>
      <c r="AS143" s="157"/>
      <c r="AT143" s="157"/>
      <c r="AU143" s="157"/>
      <c r="AV143" s="157"/>
      <c r="AW143" s="157"/>
    </row>
    <row r="144" spans="1:56" x14ac:dyDescent="0.55000000000000004">
      <c r="A144" s="163"/>
      <c r="B144" s="157"/>
      <c r="C144" s="157"/>
      <c r="D144" s="157"/>
      <c r="E144" s="157"/>
      <c r="F144" s="157"/>
      <c r="G144" s="157"/>
      <c r="H144" s="157"/>
      <c r="I144" s="157"/>
      <c r="J144" s="157"/>
      <c r="K144" s="157"/>
      <c r="L144" s="157"/>
      <c r="M144" s="157"/>
      <c r="N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c r="AK144" s="157"/>
      <c r="AL144" s="157"/>
      <c r="AM144" s="157"/>
      <c r="AN144" s="157"/>
      <c r="AO144" s="157"/>
      <c r="AP144" s="157"/>
      <c r="AQ144" s="157"/>
      <c r="AR144" s="157"/>
      <c r="AS144" s="157"/>
      <c r="AT144" s="157"/>
      <c r="AU144" s="157"/>
      <c r="AV144" s="157"/>
      <c r="AW144" s="157"/>
    </row>
    <row r="145" spans="1:49" x14ac:dyDescent="0.55000000000000004">
      <c r="A145" s="163"/>
      <c r="B145" s="157"/>
      <c r="C145" s="157"/>
      <c r="D145" s="157"/>
      <c r="E145" s="157"/>
      <c r="F145" s="157"/>
      <c r="G145" s="157"/>
      <c r="H145" s="157"/>
      <c r="I145" s="157"/>
      <c r="J145" s="157"/>
      <c r="K145" s="157"/>
      <c r="L145" s="157"/>
      <c r="M145" s="157"/>
      <c r="N145" s="157"/>
      <c r="P145" s="157"/>
      <c r="Q145" s="157"/>
      <c r="R145" s="157"/>
      <c r="S145" s="157"/>
      <c r="T145" s="157"/>
      <c r="U145" s="157"/>
      <c r="V145" s="157"/>
      <c r="W145" s="157"/>
      <c r="X145" s="157"/>
      <c r="Y145" s="157"/>
      <c r="Z145" s="157"/>
      <c r="AA145" s="157"/>
      <c r="AB145" s="157"/>
      <c r="AC145" s="157"/>
      <c r="AD145" s="157"/>
      <c r="AE145" s="157"/>
      <c r="AF145" s="157"/>
      <c r="AG145" s="157"/>
      <c r="AH145" s="157"/>
      <c r="AI145" s="157"/>
      <c r="AJ145" s="157"/>
      <c r="AK145" s="157"/>
      <c r="AL145" s="157"/>
      <c r="AM145" s="157"/>
      <c r="AN145" s="157"/>
      <c r="AO145" s="157"/>
      <c r="AP145" s="157"/>
      <c r="AQ145" s="157"/>
      <c r="AR145" s="157"/>
      <c r="AS145" s="157"/>
      <c r="AT145" s="157"/>
      <c r="AU145" s="157"/>
      <c r="AV145" s="157"/>
      <c r="AW145" s="157"/>
    </row>
    <row r="146" spans="1:49" x14ac:dyDescent="0.55000000000000004">
      <c r="A146" s="163"/>
      <c r="B146" s="157"/>
      <c r="C146" s="157"/>
      <c r="D146" s="157"/>
      <c r="E146" s="157"/>
      <c r="F146" s="157"/>
      <c r="G146" s="157"/>
      <c r="H146" s="157"/>
      <c r="I146" s="157"/>
      <c r="J146" s="157"/>
      <c r="K146" s="157"/>
      <c r="L146" s="157"/>
      <c r="M146" s="157"/>
      <c r="N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157"/>
      <c r="AK146" s="157"/>
      <c r="AL146" s="157"/>
      <c r="AM146" s="157"/>
      <c r="AN146" s="157"/>
      <c r="AO146" s="157"/>
      <c r="AP146" s="157"/>
      <c r="AQ146" s="157"/>
      <c r="AR146" s="157"/>
      <c r="AS146" s="157"/>
      <c r="AT146" s="157"/>
      <c r="AU146" s="157"/>
      <c r="AV146" s="157"/>
      <c r="AW146" s="157"/>
    </row>
    <row r="147" spans="1:49" x14ac:dyDescent="0.55000000000000004">
      <c r="B147" s="157"/>
      <c r="C147" s="157"/>
      <c r="D147" s="157"/>
      <c r="E147" s="157"/>
      <c r="F147" s="157"/>
      <c r="G147" s="157"/>
      <c r="H147" s="157"/>
      <c r="I147" s="157"/>
      <c r="J147" s="157"/>
      <c r="K147" s="157"/>
      <c r="L147" s="157"/>
      <c r="M147" s="157"/>
      <c r="N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7"/>
      <c r="AK147" s="157"/>
      <c r="AL147" s="157"/>
      <c r="AM147" s="157"/>
      <c r="AN147" s="157"/>
      <c r="AO147" s="157"/>
      <c r="AP147" s="157"/>
      <c r="AQ147" s="157"/>
      <c r="AR147" s="157"/>
      <c r="AS147" s="157"/>
      <c r="AT147" s="157"/>
      <c r="AU147" s="157"/>
      <c r="AV147" s="157"/>
      <c r="AW147" s="157"/>
    </row>
    <row r="148" spans="1:49" x14ac:dyDescent="0.55000000000000004">
      <c r="B148" s="157"/>
      <c r="C148" s="157"/>
      <c r="D148" s="157"/>
      <c r="E148" s="157"/>
      <c r="F148" s="157"/>
      <c r="G148" s="157"/>
      <c r="H148" s="157"/>
      <c r="I148" s="157"/>
      <c r="J148" s="157"/>
      <c r="K148" s="157"/>
      <c r="L148" s="157"/>
      <c r="M148" s="157"/>
      <c r="N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7"/>
      <c r="AK148" s="157"/>
      <c r="AL148" s="157"/>
      <c r="AM148" s="157"/>
      <c r="AN148" s="157"/>
      <c r="AO148" s="157"/>
      <c r="AP148" s="157"/>
      <c r="AQ148" s="157"/>
      <c r="AR148" s="157"/>
      <c r="AS148" s="157"/>
      <c r="AT148" s="157"/>
      <c r="AU148" s="157"/>
      <c r="AV148" s="157"/>
      <c r="AW148" s="157"/>
    </row>
    <row r="149" spans="1:49" x14ac:dyDescent="0.55000000000000004">
      <c r="B149" s="157"/>
      <c r="C149" s="157"/>
      <c r="D149" s="157"/>
      <c r="E149" s="157"/>
      <c r="F149" s="157"/>
      <c r="G149" s="157"/>
      <c r="H149" s="157"/>
      <c r="I149" s="157"/>
      <c r="J149" s="157"/>
      <c r="K149" s="157"/>
      <c r="L149" s="157"/>
      <c r="M149" s="157"/>
      <c r="N149" s="157"/>
      <c r="P149" s="157"/>
      <c r="Q149" s="157"/>
      <c r="R149" s="157"/>
      <c r="S149" s="157"/>
      <c r="T149" s="157"/>
      <c r="U149" s="157"/>
      <c r="V149" s="157"/>
      <c r="W149" s="157"/>
      <c r="X149" s="157"/>
      <c r="Y149" s="157"/>
      <c r="Z149" s="157"/>
      <c r="AA149" s="157"/>
      <c r="AB149" s="157"/>
      <c r="AC149" s="157"/>
      <c r="AD149" s="157"/>
      <c r="AE149" s="157"/>
      <c r="AF149" s="157"/>
      <c r="AG149" s="157"/>
      <c r="AH149" s="157"/>
      <c r="AI149" s="157"/>
      <c r="AJ149" s="157"/>
      <c r="AK149" s="157"/>
      <c r="AL149" s="157"/>
      <c r="AM149" s="157"/>
      <c r="AN149" s="157"/>
      <c r="AO149" s="157"/>
      <c r="AP149" s="157"/>
      <c r="AQ149" s="157"/>
      <c r="AR149" s="157"/>
      <c r="AS149" s="157"/>
      <c r="AT149" s="157"/>
      <c r="AU149" s="157"/>
      <c r="AV149" s="157"/>
      <c r="AW149" s="157"/>
    </row>
    <row r="150" spans="1:49" x14ac:dyDescent="0.55000000000000004">
      <c r="B150" s="157"/>
      <c r="C150" s="157"/>
      <c r="D150" s="157"/>
      <c r="E150" s="157"/>
      <c r="F150" s="157"/>
      <c r="G150" s="157"/>
      <c r="H150" s="157"/>
      <c r="I150" s="157"/>
      <c r="J150" s="157"/>
      <c r="K150" s="157"/>
      <c r="L150" s="157"/>
      <c r="M150" s="157"/>
      <c r="N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7"/>
      <c r="AK150" s="157"/>
      <c r="AL150" s="157"/>
      <c r="AM150" s="157"/>
      <c r="AN150" s="157"/>
      <c r="AO150" s="157"/>
      <c r="AP150" s="157"/>
      <c r="AQ150" s="157"/>
      <c r="AR150" s="157"/>
      <c r="AS150" s="157"/>
      <c r="AT150" s="157"/>
      <c r="AU150" s="157"/>
      <c r="AV150" s="157"/>
      <c r="AW150" s="157"/>
    </row>
    <row r="151" spans="1:49" x14ac:dyDescent="0.55000000000000004">
      <c r="B151" s="157"/>
      <c r="C151" s="157"/>
      <c r="D151" s="157"/>
      <c r="E151" s="157"/>
      <c r="F151" s="157"/>
      <c r="G151" s="157"/>
      <c r="H151" s="157"/>
      <c r="I151" s="157"/>
      <c r="J151" s="157"/>
      <c r="K151" s="157"/>
      <c r="L151" s="157"/>
      <c r="M151" s="157"/>
      <c r="N151" s="157"/>
      <c r="P151" s="157"/>
      <c r="Q151" s="157"/>
      <c r="R151" s="157"/>
      <c r="S151" s="157"/>
      <c r="T151" s="157"/>
      <c r="U151" s="157"/>
      <c r="V151" s="157"/>
      <c r="W151" s="157"/>
      <c r="X151" s="157"/>
      <c r="Y151" s="157"/>
      <c r="Z151" s="157"/>
      <c r="AA151" s="157"/>
      <c r="AB151" s="157"/>
      <c r="AC151" s="157"/>
      <c r="AD151" s="157"/>
      <c r="AE151" s="157"/>
      <c r="AF151" s="157"/>
      <c r="AG151" s="157"/>
      <c r="AH151" s="157"/>
      <c r="AI151" s="157"/>
      <c r="AJ151" s="157"/>
      <c r="AK151" s="157"/>
      <c r="AL151" s="157"/>
      <c r="AM151" s="157"/>
      <c r="AN151" s="157"/>
      <c r="AO151" s="157"/>
      <c r="AP151" s="157"/>
      <c r="AQ151" s="157"/>
      <c r="AR151" s="157"/>
      <c r="AS151" s="157"/>
      <c r="AT151" s="157"/>
      <c r="AU151" s="157"/>
      <c r="AV151" s="157"/>
      <c r="AW151" s="157"/>
    </row>
    <row r="152" spans="1:49" x14ac:dyDescent="0.55000000000000004">
      <c r="B152" s="157"/>
      <c r="C152" s="157"/>
      <c r="D152" s="157"/>
      <c r="E152" s="157"/>
      <c r="F152" s="157"/>
      <c r="G152" s="157"/>
      <c r="H152" s="157"/>
      <c r="I152" s="157"/>
      <c r="J152" s="157"/>
      <c r="K152" s="157"/>
      <c r="L152" s="157"/>
      <c r="M152" s="157"/>
      <c r="N152" s="157"/>
      <c r="P152" s="157"/>
      <c r="Q152" s="157"/>
      <c r="R152" s="157"/>
      <c r="S152" s="157"/>
      <c r="T152" s="157"/>
      <c r="U152" s="157"/>
      <c r="V152" s="157"/>
      <c r="W152" s="157"/>
      <c r="X152" s="157"/>
      <c r="Y152" s="157"/>
      <c r="Z152" s="157"/>
      <c r="AA152" s="157"/>
      <c r="AB152" s="157"/>
      <c r="AC152" s="157"/>
      <c r="AD152" s="157"/>
      <c r="AE152" s="157"/>
      <c r="AF152" s="157"/>
      <c r="AG152" s="157"/>
      <c r="AH152" s="157"/>
      <c r="AI152" s="157"/>
      <c r="AJ152" s="157"/>
      <c r="AK152" s="157"/>
      <c r="AL152" s="157"/>
      <c r="AM152" s="157"/>
      <c r="AN152" s="157"/>
      <c r="AO152" s="157"/>
      <c r="AP152" s="157"/>
      <c r="AQ152" s="157"/>
      <c r="AR152" s="157"/>
      <c r="AS152" s="157"/>
      <c r="AT152" s="157"/>
      <c r="AU152" s="157"/>
      <c r="AV152" s="157"/>
      <c r="AW152" s="157"/>
    </row>
    <row r="153" spans="1:49" x14ac:dyDescent="0.55000000000000004">
      <c r="B153" s="157"/>
      <c r="C153" s="157"/>
      <c r="D153" s="157"/>
      <c r="E153" s="157"/>
      <c r="F153" s="157"/>
      <c r="G153" s="157"/>
      <c r="H153" s="157"/>
      <c r="I153" s="157"/>
      <c r="J153" s="157"/>
      <c r="K153" s="157"/>
      <c r="L153" s="157"/>
      <c r="M153" s="157"/>
      <c r="N153" s="157"/>
      <c r="P153" s="157"/>
      <c r="Q153" s="157"/>
      <c r="R153" s="157"/>
      <c r="S153" s="157"/>
      <c r="T153" s="157"/>
      <c r="U153" s="157"/>
      <c r="V153" s="157"/>
      <c r="W153" s="157"/>
      <c r="X153" s="157"/>
      <c r="Y153" s="157"/>
      <c r="Z153" s="157"/>
      <c r="AA153" s="157"/>
      <c r="AB153" s="157"/>
      <c r="AC153" s="157"/>
      <c r="AD153" s="157"/>
      <c r="AE153" s="157"/>
      <c r="AF153" s="157"/>
      <c r="AG153" s="157"/>
      <c r="AH153" s="157"/>
      <c r="AI153" s="157"/>
      <c r="AJ153" s="157"/>
      <c r="AK153" s="157"/>
      <c r="AL153" s="157"/>
      <c r="AM153" s="157"/>
      <c r="AN153" s="157"/>
      <c r="AO153" s="157"/>
      <c r="AP153" s="157"/>
      <c r="AQ153" s="157"/>
      <c r="AR153" s="157"/>
      <c r="AS153" s="157"/>
      <c r="AT153" s="157"/>
      <c r="AU153" s="157"/>
      <c r="AV153" s="157"/>
      <c r="AW153" s="157"/>
    </row>
    <row r="154" spans="1:49" x14ac:dyDescent="0.55000000000000004">
      <c r="B154" s="157"/>
      <c r="C154" s="157"/>
      <c r="D154" s="157"/>
      <c r="E154" s="157"/>
      <c r="F154" s="157"/>
      <c r="G154" s="157"/>
      <c r="H154" s="157"/>
      <c r="I154" s="157"/>
      <c r="J154" s="157"/>
      <c r="K154" s="157"/>
      <c r="L154" s="157"/>
      <c r="M154" s="157"/>
      <c r="N154" s="157"/>
      <c r="P154" s="157"/>
      <c r="Q154" s="157"/>
      <c r="R154" s="157"/>
      <c r="S154" s="157"/>
      <c r="T154" s="157"/>
      <c r="U154" s="157"/>
      <c r="V154" s="157"/>
      <c r="W154" s="157"/>
      <c r="X154" s="157"/>
      <c r="Y154" s="157"/>
      <c r="Z154" s="157"/>
      <c r="AA154" s="157"/>
      <c r="AB154" s="157"/>
      <c r="AC154" s="157"/>
      <c r="AD154" s="157"/>
      <c r="AE154" s="157"/>
      <c r="AF154" s="157"/>
      <c r="AG154" s="157"/>
      <c r="AH154" s="157"/>
      <c r="AI154" s="157"/>
      <c r="AJ154" s="157"/>
      <c r="AK154" s="157"/>
      <c r="AL154" s="157"/>
      <c r="AM154" s="157"/>
      <c r="AN154" s="157"/>
      <c r="AO154" s="157"/>
      <c r="AP154" s="157"/>
      <c r="AQ154" s="157"/>
      <c r="AR154" s="157"/>
      <c r="AS154" s="157"/>
      <c r="AT154" s="157"/>
      <c r="AU154" s="157"/>
      <c r="AV154" s="157"/>
      <c r="AW154" s="157"/>
    </row>
    <row r="155" spans="1:49" x14ac:dyDescent="0.55000000000000004">
      <c r="B155" s="157"/>
      <c r="C155" s="157"/>
      <c r="D155" s="157"/>
      <c r="E155" s="157"/>
      <c r="F155" s="157"/>
      <c r="G155" s="157"/>
      <c r="H155" s="157"/>
      <c r="I155" s="157"/>
      <c r="J155" s="157"/>
      <c r="K155" s="157"/>
      <c r="L155" s="157"/>
      <c r="M155" s="157"/>
      <c r="N155" s="157"/>
      <c r="P155" s="157"/>
      <c r="Q155" s="157"/>
      <c r="R155" s="157"/>
      <c r="S155" s="157"/>
      <c r="T155" s="157"/>
      <c r="U155" s="157"/>
      <c r="V155" s="157"/>
      <c r="W155" s="157"/>
      <c r="X155" s="157"/>
      <c r="Y155" s="157"/>
      <c r="Z155" s="157"/>
      <c r="AA155" s="157"/>
      <c r="AB155" s="157"/>
      <c r="AC155" s="157"/>
      <c r="AD155" s="157"/>
      <c r="AE155" s="157"/>
      <c r="AF155" s="157"/>
      <c r="AG155" s="157"/>
      <c r="AH155" s="157"/>
      <c r="AI155" s="157"/>
      <c r="AJ155" s="157"/>
      <c r="AK155" s="157"/>
      <c r="AL155" s="157"/>
      <c r="AM155" s="157"/>
      <c r="AN155" s="157"/>
      <c r="AO155" s="157"/>
      <c r="AP155" s="157"/>
      <c r="AQ155" s="157"/>
      <c r="AR155" s="157"/>
      <c r="AS155" s="157"/>
      <c r="AT155" s="157"/>
      <c r="AU155" s="157"/>
      <c r="AV155" s="157"/>
      <c r="AW155" s="157"/>
    </row>
    <row r="156" spans="1:49" x14ac:dyDescent="0.55000000000000004">
      <c r="B156" s="157"/>
      <c r="C156" s="157"/>
      <c r="D156" s="157"/>
      <c r="E156" s="157"/>
      <c r="F156" s="157"/>
      <c r="G156" s="157"/>
      <c r="H156" s="157"/>
      <c r="I156" s="157"/>
      <c r="J156" s="157"/>
      <c r="K156" s="157"/>
      <c r="L156" s="157"/>
      <c r="M156" s="157"/>
      <c r="N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7"/>
      <c r="AS156" s="157"/>
      <c r="AT156" s="157"/>
      <c r="AU156" s="157"/>
      <c r="AV156" s="157"/>
      <c r="AW156" s="157"/>
    </row>
    <row r="157" spans="1:49" x14ac:dyDescent="0.55000000000000004">
      <c r="B157" s="157"/>
      <c r="C157" s="157"/>
      <c r="D157" s="157"/>
      <c r="E157" s="157"/>
      <c r="F157" s="157"/>
      <c r="G157" s="157"/>
      <c r="H157" s="157"/>
      <c r="I157" s="157"/>
      <c r="J157" s="157"/>
      <c r="K157" s="157"/>
      <c r="L157" s="157"/>
      <c r="M157" s="157"/>
      <c r="N157" s="157"/>
      <c r="P157" s="157"/>
      <c r="Q157" s="157"/>
      <c r="R157" s="157"/>
      <c r="S157" s="157"/>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c r="AR157" s="157"/>
      <c r="AS157" s="157"/>
      <c r="AT157" s="157"/>
      <c r="AU157" s="157"/>
      <c r="AV157" s="157"/>
      <c r="AW157" s="157"/>
    </row>
    <row r="158" spans="1:49" x14ac:dyDescent="0.55000000000000004">
      <c r="B158" s="157"/>
      <c r="C158" s="157"/>
      <c r="D158" s="157"/>
      <c r="E158" s="157"/>
      <c r="F158" s="157"/>
      <c r="G158" s="157"/>
      <c r="H158" s="157"/>
      <c r="I158" s="157"/>
      <c r="J158" s="157"/>
      <c r="K158" s="157"/>
      <c r="L158" s="157"/>
      <c r="M158" s="157"/>
      <c r="N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7"/>
      <c r="AS158" s="157"/>
      <c r="AT158" s="157"/>
      <c r="AU158" s="157"/>
      <c r="AV158" s="157"/>
      <c r="AW158" s="157"/>
    </row>
    <row r="159" spans="1:49" x14ac:dyDescent="0.55000000000000004">
      <c r="B159" s="157"/>
      <c r="C159" s="157"/>
      <c r="D159" s="157"/>
      <c r="E159" s="157"/>
      <c r="F159" s="157"/>
      <c r="G159" s="157"/>
      <c r="H159" s="157"/>
      <c r="I159" s="157"/>
      <c r="J159" s="157"/>
      <c r="K159" s="157"/>
      <c r="L159" s="157"/>
      <c r="M159" s="157"/>
      <c r="N159" s="157"/>
      <c r="P159" s="157"/>
      <c r="Q159" s="157"/>
      <c r="R159" s="157"/>
      <c r="S159" s="157"/>
      <c r="T159" s="157"/>
      <c r="U159" s="157"/>
      <c r="V159" s="157"/>
      <c r="W159" s="157"/>
      <c r="X159" s="157"/>
      <c r="Y159" s="157"/>
      <c r="Z159" s="157"/>
      <c r="AA159" s="157"/>
      <c r="AB159" s="157"/>
      <c r="AC159" s="157"/>
      <c r="AD159" s="157"/>
      <c r="AE159" s="157"/>
      <c r="AF159" s="157"/>
      <c r="AG159" s="157"/>
      <c r="AH159" s="157"/>
      <c r="AI159" s="157"/>
      <c r="AJ159" s="157"/>
      <c r="AK159" s="157"/>
      <c r="AL159" s="157"/>
      <c r="AM159" s="157"/>
      <c r="AN159" s="157"/>
      <c r="AO159" s="157"/>
      <c r="AP159" s="157"/>
      <c r="AQ159" s="157"/>
      <c r="AR159" s="157"/>
      <c r="AS159" s="157"/>
      <c r="AT159" s="157"/>
      <c r="AU159" s="157"/>
      <c r="AV159" s="157"/>
      <c r="AW159" s="157"/>
    </row>
    <row r="160" spans="1:49" x14ac:dyDescent="0.55000000000000004">
      <c r="B160" s="157"/>
      <c r="C160" s="157"/>
      <c r="D160" s="157"/>
      <c r="E160" s="157"/>
      <c r="F160" s="157"/>
      <c r="G160" s="157"/>
      <c r="H160" s="157"/>
      <c r="I160" s="157"/>
      <c r="J160" s="157"/>
      <c r="K160" s="157"/>
      <c r="L160" s="157"/>
      <c r="M160" s="157"/>
      <c r="N160" s="157"/>
      <c r="P160" s="157"/>
      <c r="Q160" s="157"/>
      <c r="R160" s="157"/>
      <c r="S160" s="157"/>
      <c r="T160" s="157"/>
      <c r="U160" s="157"/>
      <c r="V160" s="157"/>
      <c r="W160" s="157"/>
      <c r="X160" s="157"/>
      <c r="Y160" s="157"/>
      <c r="Z160" s="157"/>
      <c r="AA160" s="157"/>
      <c r="AB160" s="157"/>
      <c r="AC160" s="157"/>
      <c r="AD160" s="157"/>
      <c r="AE160" s="157"/>
      <c r="AF160" s="157"/>
      <c r="AG160" s="157"/>
      <c r="AH160" s="157"/>
      <c r="AI160" s="157"/>
      <c r="AJ160" s="157"/>
      <c r="AK160" s="157"/>
      <c r="AL160" s="157"/>
      <c r="AM160" s="157"/>
      <c r="AN160" s="157"/>
      <c r="AO160" s="157"/>
      <c r="AP160" s="157"/>
      <c r="AQ160" s="157"/>
      <c r="AR160" s="157"/>
      <c r="AS160" s="157"/>
      <c r="AT160" s="157"/>
      <c r="AU160" s="157"/>
      <c r="AV160" s="157"/>
      <c r="AW160" s="157"/>
    </row>
    <row r="161" spans="2:49" x14ac:dyDescent="0.55000000000000004">
      <c r="B161" s="157"/>
      <c r="C161" s="157"/>
      <c r="D161" s="157"/>
      <c r="E161" s="157"/>
      <c r="F161" s="157"/>
      <c r="G161" s="157"/>
      <c r="H161" s="157"/>
      <c r="I161" s="157"/>
      <c r="J161" s="157"/>
      <c r="K161" s="157"/>
      <c r="L161" s="157"/>
      <c r="M161" s="157"/>
      <c r="N161" s="157"/>
      <c r="P161" s="157"/>
      <c r="Q161" s="157"/>
      <c r="R161" s="157"/>
      <c r="S161" s="157"/>
      <c r="T161" s="157"/>
      <c r="U161" s="157"/>
      <c r="V161" s="157"/>
      <c r="W161" s="157"/>
      <c r="X161" s="157"/>
      <c r="Y161" s="157"/>
      <c r="Z161" s="157"/>
      <c r="AA161" s="157"/>
      <c r="AB161" s="157"/>
      <c r="AC161" s="157"/>
      <c r="AD161" s="157"/>
      <c r="AE161" s="157"/>
      <c r="AF161" s="157"/>
      <c r="AG161" s="157"/>
      <c r="AH161" s="157"/>
      <c r="AI161" s="157"/>
      <c r="AJ161" s="157"/>
      <c r="AK161" s="157"/>
      <c r="AL161" s="157"/>
      <c r="AM161" s="157"/>
      <c r="AN161" s="157"/>
      <c r="AO161" s="157"/>
      <c r="AP161" s="157"/>
      <c r="AQ161" s="157"/>
      <c r="AR161" s="157"/>
      <c r="AS161" s="157"/>
      <c r="AT161" s="157"/>
      <c r="AU161" s="157"/>
      <c r="AV161" s="157"/>
      <c r="AW161" s="157"/>
    </row>
    <row r="162" spans="2:49" x14ac:dyDescent="0.55000000000000004">
      <c r="B162" s="157"/>
      <c r="C162" s="157"/>
      <c r="D162" s="157"/>
      <c r="E162" s="157"/>
      <c r="F162" s="157"/>
      <c r="G162" s="157"/>
      <c r="H162" s="157"/>
      <c r="I162" s="157"/>
      <c r="J162" s="157"/>
      <c r="K162" s="157"/>
      <c r="L162" s="157"/>
      <c r="M162" s="157"/>
      <c r="N162" s="157"/>
      <c r="P162" s="157"/>
      <c r="Q162" s="157"/>
      <c r="R162" s="157"/>
      <c r="S162" s="157"/>
      <c r="T162" s="157"/>
      <c r="U162" s="157"/>
      <c r="V162" s="157"/>
      <c r="W162" s="157"/>
      <c r="X162" s="157"/>
      <c r="Y162" s="157"/>
      <c r="Z162" s="157"/>
      <c r="AA162" s="157"/>
      <c r="AB162" s="157"/>
      <c r="AC162" s="157"/>
      <c r="AD162" s="157"/>
      <c r="AE162" s="157"/>
      <c r="AF162" s="157"/>
      <c r="AG162" s="157"/>
      <c r="AH162" s="157"/>
      <c r="AI162" s="157"/>
      <c r="AJ162" s="157"/>
      <c r="AK162" s="157"/>
      <c r="AL162" s="157"/>
      <c r="AM162" s="157"/>
      <c r="AN162" s="157"/>
      <c r="AO162" s="157"/>
      <c r="AP162" s="157"/>
      <c r="AQ162" s="157"/>
      <c r="AR162" s="157"/>
      <c r="AS162" s="157"/>
      <c r="AT162" s="157"/>
      <c r="AU162" s="157"/>
      <c r="AV162" s="157"/>
      <c r="AW162" s="157"/>
    </row>
    <row r="163" spans="2:49" x14ac:dyDescent="0.55000000000000004">
      <c r="B163" s="157"/>
      <c r="C163" s="157"/>
      <c r="D163" s="157"/>
      <c r="E163" s="157"/>
      <c r="F163" s="157"/>
      <c r="G163" s="157"/>
      <c r="H163" s="157"/>
      <c r="I163" s="157"/>
      <c r="J163" s="157"/>
      <c r="K163" s="157"/>
      <c r="L163" s="157"/>
      <c r="M163" s="157"/>
      <c r="N163" s="157"/>
      <c r="P163" s="157"/>
      <c r="Q163" s="157"/>
      <c r="R163" s="157"/>
      <c r="S163" s="157"/>
      <c r="T163" s="157"/>
      <c r="U163" s="157"/>
      <c r="V163" s="157"/>
      <c r="W163" s="157"/>
      <c r="X163" s="157"/>
      <c r="Y163" s="157"/>
      <c r="Z163" s="157"/>
      <c r="AA163" s="157"/>
      <c r="AB163" s="157"/>
      <c r="AC163" s="157"/>
      <c r="AD163" s="157"/>
      <c r="AE163" s="157"/>
      <c r="AF163" s="157"/>
      <c r="AG163" s="157"/>
      <c r="AH163" s="157"/>
      <c r="AI163" s="157"/>
      <c r="AJ163" s="157"/>
      <c r="AK163" s="157"/>
      <c r="AL163" s="157"/>
      <c r="AM163" s="157"/>
      <c r="AN163" s="157"/>
      <c r="AO163" s="157"/>
      <c r="AP163" s="157"/>
      <c r="AQ163" s="157"/>
      <c r="AR163" s="157"/>
      <c r="AS163" s="157"/>
      <c r="AT163" s="157"/>
      <c r="AU163" s="157"/>
      <c r="AV163" s="157"/>
      <c r="AW163" s="157"/>
    </row>
    <row r="164" spans="2:49" x14ac:dyDescent="0.55000000000000004">
      <c r="B164" s="157"/>
      <c r="C164" s="157"/>
      <c r="D164" s="157"/>
      <c r="E164" s="157"/>
      <c r="F164" s="157"/>
      <c r="G164" s="157"/>
      <c r="H164" s="157"/>
      <c r="I164" s="157"/>
      <c r="J164" s="157"/>
      <c r="K164" s="157"/>
      <c r="L164" s="157"/>
      <c r="M164" s="157"/>
      <c r="N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7"/>
      <c r="AR164" s="157"/>
      <c r="AS164" s="157"/>
      <c r="AT164" s="157"/>
      <c r="AU164" s="157"/>
      <c r="AV164" s="157"/>
      <c r="AW164" s="157"/>
    </row>
    <row r="165" spans="2:49" x14ac:dyDescent="0.55000000000000004">
      <c r="B165" s="157"/>
      <c r="C165" s="157"/>
      <c r="D165" s="157"/>
      <c r="E165" s="157"/>
      <c r="F165" s="157"/>
      <c r="G165" s="157"/>
      <c r="H165" s="157"/>
      <c r="I165" s="157"/>
      <c r="J165" s="157"/>
      <c r="K165" s="157"/>
      <c r="L165" s="157"/>
      <c r="M165" s="157"/>
      <c r="N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c r="AS165" s="157"/>
      <c r="AT165" s="157"/>
      <c r="AU165" s="157"/>
      <c r="AV165" s="157"/>
      <c r="AW165" s="157"/>
    </row>
    <row r="166" spans="2:49" x14ac:dyDescent="0.55000000000000004">
      <c r="B166" s="157"/>
      <c r="C166" s="157"/>
      <c r="D166" s="157"/>
      <c r="E166" s="157"/>
      <c r="F166" s="157"/>
      <c r="G166" s="157"/>
      <c r="H166" s="157"/>
      <c r="I166" s="157"/>
      <c r="J166" s="157"/>
      <c r="K166" s="157"/>
      <c r="L166" s="157"/>
      <c r="M166" s="157"/>
      <c r="N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c r="AK166" s="157"/>
      <c r="AL166" s="157"/>
      <c r="AM166" s="157"/>
      <c r="AN166" s="157"/>
      <c r="AO166" s="157"/>
      <c r="AP166" s="157"/>
      <c r="AQ166" s="157"/>
      <c r="AR166" s="157"/>
      <c r="AS166" s="157"/>
      <c r="AT166" s="157"/>
      <c r="AU166" s="157"/>
      <c r="AV166" s="157"/>
      <c r="AW166" s="157"/>
    </row>
    <row r="167" spans="2:49" x14ac:dyDescent="0.55000000000000004">
      <c r="B167" s="157"/>
      <c r="C167" s="157"/>
      <c r="D167" s="157"/>
      <c r="E167" s="157"/>
      <c r="F167" s="157"/>
      <c r="G167" s="157"/>
      <c r="H167" s="157"/>
      <c r="I167" s="157"/>
      <c r="J167" s="157"/>
      <c r="K167" s="157"/>
      <c r="L167" s="157"/>
      <c r="M167" s="157"/>
      <c r="N167" s="157"/>
      <c r="P167" s="157"/>
      <c r="Q167" s="157"/>
      <c r="R167" s="157"/>
      <c r="S167" s="157"/>
      <c r="T167" s="157"/>
      <c r="U167" s="157"/>
      <c r="V167" s="157"/>
      <c r="W167" s="157"/>
      <c r="X167" s="157"/>
      <c r="Y167" s="157"/>
      <c r="Z167" s="157"/>
      <c r="AA167" s="157"/>
      <c r="AB167" s="157"/>
      <c r="AC167" s="157"/>
      <c r="AD167" s="157"/>
      <c r="AE167" s="157"/>
      <c r="AF167" s="157"/>
      <c r="AG167" s="157"/>
      <c r="AH167" s="157"/>
      <c r="AI167" s="157"/>
      <c r="AJ167" s="157"/>
      <c r="AK167" s="157"/>
      <c r="AL167" s="157"/>
      <c r="AM167" s="157"/>
      <c r="AN167" s="157"/>
      <c r="AO167" s="157"/>
      <c r="AP167" s="157"/>
      <c r="AQ167" s="157"/>
      <c r="AR167" s="157"/>
      <c r="AS167" s="157"/>
      <c r="AT167" s="157"/>
      <c r="AU167" s="157"/>
      <c r="AV167" s="157"/>
      <c r="AW167" s="157"/>
    </row>
    <row r="168" spans="2:49" x14ac:dyDescent="0.55000000000000004">
      <c r="B168" s="157"/>
      <c r="C168" s="157"/>
      <c r="D168" s="157"/>
      <c r="E168" s="157"/>
      <c r="F168" s="157"/>
      <c r="G168" s="157"/>
      <c r="H168" s="157"/>
      <c r="I168" s="157"/>
      <c r="J168" s="157"/>
      <c r="K168" s="157"/>
      <c r="L168" s="157"/>
      <c r="M168" s="157"/>
      <c r="N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c r="AS168" s="157"/>
      <c r="AT168" s="157"/>
      <c r="AU168" s="157"/>
      <c r="AV168" s="157"/>
      <c r="AW168" s="157"/>
    </row>
    <row r="169" spans="2:49" x14ac:dyDescent="0.55000000000000004">
      <c r="B169" s="157"/>
      <c r="C169" s="157"/>
      <c r="D169" s="157"/>
      <c r="E169" s="157"/>
      <c r="F169" s="157"/>
      <c r="G169" s="157"/>
      <c r="H169" s="157"/>
      <c r="I169" s="157"/>
      <c r="J169" s="157"/>
      <c r="K169" s="157"/>
      <c r="L169" s="157"/>
      <c r="M169" s="157"/>
      <c r="N169" s="157"/>
      <c r="P169" s="157"/>
      <c r="Q169" s="157"/>
      <c r="R169" s="157"/>
      <c r="S169" s="157"/>
      <c r="T169" s="157"/>
      <c r="U169" s="157"/>
      <c r="V169" s="157"/>
      <c r="W169" s="157"/>
      <c r="X169" s="157"/>
      <c r="Y169" s="157"/>
      <c r="Z169" s="157"/>
      <c r="AA169" s="157"/>
      <c r="AB169" s="157"/>
      <c r="AC169" s="157"/>
      <c r="AD169" s="157"/>
      <c r="AE169" s="157"/>
      <c r="AF169" s="157"/>
      <c r="AG169" s="157"/>
      <c r="AH169" s="157"/>
      <c r="AI169" s="157"/>
      <c r="AJ169" s="157"/>
      <c r="AK169" s="157"/>
      <c r="AL169" s="157"/>
      <c r="AM169" s="157"/>
      <c r="AN169" s="157"/>
      <c r="AO169" s="157"/>
      <c r="AP169" s="157"/>
      <c r="AQ169" s="157"/>
      <c r="AR169" s="157"/>
      <c r="AS169" s="157"/>
      <c r="AT169" s="157"/>
      <c r="AU169" s="157"/>
      <c r="AV169" s="157"/>
      <c r="AW169" s="157"/>
    </row>
    <row r="170" spans="2:49" x14ac:dyDescent="0.55000000000000004">
      <c r="B170" s="157"/>
      <c r="C170" s="157"/>
      <c r="D170" s="157"/>
      <c r="E170" s="157"/>
      <c r="F170" s="157"/>
      <c r="G170" s="157"/>
      <c r="H170" s="157"/>
      <c r="I170" s="157"/>
      <c r="J170" s="157"/>
      <c r="K170" s="157"/>
      <c r="L170" s="157"/>
      <c r="M170" s="157"/>
      <c r="N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7"/>
      <c r="AK170" s="157"/>
      <c r="AL170" s="157"/>
      <c r="AM170" s="157"/>
      <c r="AN170" s="157"/>
      <c r="AO170" s="157"/>
      <c r="AP170" s="157"/>
      <c r="AQ170" s="157"/>
      <c r="AR170" s="157"/>
      <c r="AS170" s="157"/>
      <c r="AT170" s="157"/>
      <c r="AU170" s="157"/>
      <c r="AV170" s="157"/>
      <c r="AW170" s="157"/>
    </row>
    <row r="171" spans="2:49" x14ac:dyDescent="0.55000000000000004">
      <c r="B171" s="157"/>
      <c r="C171" s="157"/>
      <c r="D171" s="157"/>
      <c r="E171" s="157"/>
      <c r="F171" s="157"/>
      <c r="G171" s="157"/>
      <c r="H171" s="157"/>
      <c r="I171" s="157"/>
      <c r="J171" s="157"/>
      <c r="K171" s="157"/>
      <c r="L171" s="157"/>
      <c r="M171" s="157"/>
      <c r="N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c r="AK171" s="157"/>
      <c r="AL171" s="157"/>
      <c r="AM171" s="157"/>
      <c r="AN171" s="157"/>
      <c r="AO171" s="157"/>
      <c r="AP171" s="157"/>
      <c r="AQ171" s="157"/>
      <c r="AR171" s="157"/>
      <c r="AS171" s="157"/>
      <c r="AT171" s="157"/>
      <c r="AU171" s="157"/>
      <c r="AV171" s="157"/>
      <c r="AW171" s="157"/>
    </row>
    <row r="172" spans="2:49" x14ac:dyDescent="0.55000000000000004">
      <c r="B172" s="157"/>
      <c r="C172" s="157"/>
      <c r="D172" s="157"/>
      <c r="E172" s="157"/>
      <c r="F172" s="157"/>
      <c r="G172" s="157"/>
      <c r="H172" s="157"/>
      <c r="I172" s="157"/>
      <c r="J172" s="157"/>
      <c r="K172" s="157"/>
      <c r="L172" s="157"/>
      <c r="M172" s="157"/>
      <c r="N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7"/>
      <c r="AR172" s="157"/>
      <c r="AS172" s="157"/>
      <c r="AT172" s="157"/>
      <c r="AU172" s="157"/>
      <c r="AV172" s="157"/>
      <c r="AW172" s="157"/>
    </row>
    <row r="173" spans="2:49" x14ac:dyDescent="0.55000000000000004">
      <c r="B173" s="157"/>
      <c r="C173" s="157"/>
      <c r="D173" s="157"/>
      <c r="E173" s="157"/>
      <c r="F173" s="157"/>
      <c r="G173" s="157"/>
      <c r="H173" s="157"/>
      <c r="I173" s="157"/>
      <c r="J173" s="157"/>
      <c r="K173" s="157"/>
      <c r="L173" s="157"/>
      <c r="M173" s="157"/>
      <c r="N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57"/>
      <c r="AU173" s="157"/>
      <c r="AV173" s="157"/>
      <c r="AW173" s="157"/>
    </row>
    <row r="174" spans="2:49" x14ac:dyDescent="0.55000000000000004">
      <c r="B174" s="157"/>
      <c r="C174" s="157"/>
      <c r="D174" s="157"/>
      <c r="E174" s="157"/>
      <c r="F174" s="157"/>
      <c r="G174" s="157"/>
      <c r="H174" s="157"/>
      <c r="I174" s="157"/>
      <c r="J174" s="157"/>
      <c r="K174" s="157"/>
      <c r="L174" s="157"/>
      <c r="M174" s="157"/>
      <c r="N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row>
    <row r="175" spans="2:49" x14ac:dyDescent="0.55000000000000004">
      <c r="B175" s="157"/>
      <c r="C175" s="157"/>
      <c r="D175" s="157"/>
      <c r="E175" s="157"/>
      <c r="F175" s="157"/>
      <c r="G175" s="157"/>
      <c r="H175" s="157"/>
      <c r="I175" s="157"/>
      <c r="J175" s="157"/>
      <c r="K175" s="157"/>
      <c r="L175" s="157"/>
      <c r="M175" s="157"/>
      <c r="N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c r="AV175" s="157"/>
      <c r="AW175" s="157"/>
    </row>
    <row r="176" spans="2:49" x14ac:dyDescent="0.55000000000000004">
      <c r="B176" s="157"/>
      <c r="C176" s="157"/>
      <c r="D176" s="157"/>
      <c r="E176" s="157"/>
      <c r="F176" s="157"/>
      <c r="G176" s="157"/>
      <c r="H176" s="157"/>
      <c r="I176" s="157"/>
      <c r="J176" s="157"/>
      <c r="K176" s="157"/>
      <c r="L176" s="157"/>
      <c r="M176" s="157"/>
      <c r="N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c r="AV176" s="157"/>
      <c r="AW176" s="157"/>
    </row>
    <row r="177" spans="2:49" x14ac:dyDescent="0.55000000000000004">
      <c r="B177" s="157"/>
      <c r="C177" s="157"/>
      <c r="D177" s="157"/>
      <c r="E177" s="157"/>
      <c r="F177" s="157"/>
      <c r="G177" s="157"/>
      <c r="H177" s="157"/>
      <c r="I177" s="157"/>
      <c r="J177" s="157"/>
      <c r="K177" s="157"/>
      <c r="L177" s="157"/>
      <c r="M177" s="157"/>
      <c r="N177" s="157"/>
      <c r="P177" s="157"/>
      <c r="Q177" s="157"/>
      <c r="R177" s="157"/>
      <c r="S177" s="157"/>
      <c r="T177" s="157"/>
      <c r="U177" s="157"/>
      <c r="V177" s="157"/>
      <c r="W177" s="157"/>
      <c r="X177" s="157"/>
      <c r="Y177" s="157"/>
      <c r="Z177" s="157"/>
      <c r="AA177" s="157"/>
      <c r="AB177" s="157"/>
      <c r="AC177" s="157"/>
      <c r="AD177" s="157"/>
      <c r="AE177" s="157"/>
      <c r="AF177" s="157"/>
      <c r="AG177" s="157"/>
      <c r="AH177" s="157"/>
      <c r="AI177" s="157"/>
      <c r="AJ177" s="157"/>
      <c r="AK177" s="157"/>
      <c r="AL177" s="157"/>
      <c r="AM177" s="157"/>
      <c r="AN177" s="157"/>
      <c r="AO177" s="157"/>
      <c r="AP177" s="157"/>
      <c r="AQ177" s="157"/>
      <c r="AR177" s="157"/>
      <c r="AS177" s="157"/>
      <c r="AT177" s="157"/>
      <c r="AU177" s="157"/>
      <c r="AV177" s="157"/>
      <c r="AW177" s="157"/>
    </row>
    <row r="178" spans="2:49" x14ac:dyDescent="0.55000000000000004">
      <c r="B178" s="157"/>
      <c r="C178" s="157"/>
      <c r="D178" s="157"/>
      <c r="E178" s="157"/>
      <c r="F178" s="157"/>
      <c r="G178" s="157"/>
      <c r="H178" s="157"/>
      <c r="I178" s="157"/>
      <c r="J178" s="157"/>
      <c r="K178" s="157"/>
      <c r="L178" s="157"/>
      <c r="M178" s="157"/>
      <c r="N178" s="157"/>
      <c r="P178" s="157"/>
      <c r="Q178" s="157"/>
      <c r="R178" s="157"/>
      <c r="S178" s="157"/>
      <c r="T178" s="157"/>
      <c r="U178" s="157"/>
      <c r="V178" s="157"/>
      <c r="W178" s="157"/>
      <c r="X178" s="157"/>
      <c r="Y178" s="157"/>
      <c r="Z178" s="157"/>
      <c r="AA178" s="157"/>
      <c r="AB178" s="157"/>
      <c r="AC178" s="157"/>
      <c r="AD178" s="157"/>
      <c r="AE178" s="157"/>
      <c r="AF178" s="157"/>
      <c r="AG178" s="157"/>
      <c r="AH178" s="157"/>
      <c r="AI178" s="157"/>
      <c r="AJ178" s="157"/>
      <c r="AK178" s="157"/>
      <c r="AL178" s="157"/>
      <c r="AM178" s="157"/>
      <c r="AN178" s="157"/>
      <c r="AO178" s="157"/>
      <c r="AP178" s="157"/>
      <c r="AQ178" s="157"/>
      <c r="AR178" s="157"/>
      <c r="AS178" s="157"/>
      <c r="AT178" s="157"/>
      <c r="AU178" s="157"/>
      <c r="AV178" s="157"/>
      <c r="AW178" s="157"/>
    </row>
    <row r="179" spans="2:49" x14ac:dyDescent="0.55000000000000004">
      <c r="B179" s="157"/>
      <c r="C179" s="157"/>
      <c r="D179" s="157"/>
      <c r="E179" s="157"/>
      <c r="F179" s="157"/>
      <c r="G179" s="157"/>
      <c r="H179" s="157"/>
      <c r="I179" s="157"/>
      <c r="J179" s="157"/>
      <c r="K179" s="157"/>
      <c r="L179" s="157"/>
      <c r="M179" s="157"/>
      <c r="N179" s="157"/>
      <c r="P179" s="157"/>
      <c r="Q179" s="157"/>
      <c r="R179" s="157"/>
      <c r="S179" s="157"/>
      <c r="T179" s="157"/>
      <c r="U179" s="157"/>
      <c r="V179" s="157"/>
      <c r="W179" s="157"/>
      <c r="X179" s="157"/>
      <c r="Y179" s="157"/>
      <c r="Z179" s="157"/>
      <c r="AA179" s="157"/>
      <c r="AB179" s="157"/>
      <c r="AC179" s="157"/>
      <c r="AD179" s="157"/>
      <c r="AE179" s="157"/>
      <c r="AF179" s="157"/>
      <c r="AG179" s="157"/>
      <c r="AH179" s="157"/>
      <c r="AI179" s="157"/>
      <c r="AJ179" s="157"/>
      <c r="AK179" s="157"/>
      <c r="AL179" s="157"/>
      <c r="AM179" s="157"/>
      <c r="AN179" s="157"/>
      <c r="AO179" s="157"/>
      <c r="AP179" s="157"/>
      <c r="AQ179" s="157"/>
      <c r="AR179" s="157"/>
      <c r="AS179" s="157"/>
      <c r="AT179" s="157"/>
      <c r="AU179" s="157"/>
      <c r="AV179" s="157"/>
      <c r="AW179" s="157"/>
    </row>
    <row r="180" spans="2:49" x14ac:dyDescent="0.55000000000000004">
      <c r="B180" s="157"/>
      <c r="C180" s="157"/>
      <c r="D180" s="157"/>
      <c r="E180" s="157"/>
      <c r="F180" s="157"/>
      <c r="G180" s="157"/>
      <c r="H180" s="157"/>
      <c r="I180" s="157"/>
      <c r="J180" s="157"/>
      <c r="K180" s="157"/>
      <c r="L180" s="157"/>
      <c r="M180" s="157"/>
      <c r="N180" s="157"/>
      <c r="P180" s="157"/>
      <c r="Q180" s="157"/>
      <c r="R180" s="157"/>
      <c r="S180" s="157"/>
      <c r="T180" s="157"/>
      <c r="U180" s="157"/>
      <c r="V180" s="157"/>
      <c r="W180" s="157"/>
      <c r="X180" s="157"/>
      <c r="Y180" s="157"/>
      <c r="Z180" s="157"/>
      <c r="AA180" s="157"/>
      <c r="AB180" s="157"/>
      <c r="AC180" s="157"/>
      <c r="AD180" s="157"/>
      <c r="AE180" s="157"/>
      <c r="AF180" s="157"/>
      <c r="AG180" s="157"/>
      <c r="AH180" s="157"/>
      <c r="AI180" s="157"/>
      <c r="AJ180" s="157"/>
      <c r="AK180" s="157"/>
      <c r="AL180" s="157"/>
      <c r="AM180" s="157"/>
      <c r="AN180" s="157"/>
      <c r="AO180" s="157"/>
      <c r="AP180" s="157"/>
      <c r="AQ180" s="157"/>
      <c r="AR180" s="157"/>
      <c r="AS180" s="157"/>
      <c r="AT180" s="157"/>
      <c r="AU180" s="157"/>
      <c r="AV180" s="157"/>
      <c r="AW180" s="157"/>
    </row>
    <row r="181" spans="2:49" x14ac:dyDescent="0.55000000000000004">
      <c r="B181" s="157"/>
      <c r="C181" s="157"/>
      <c r="D181" s="157"/>
      <c r="E181" s="157"/>
      <c r="F181" s="157"/>
      <c r="G181" s="157"/>
      <c r="H181" s="157"/>
      <c r="I181" s="157"/>
      <c r="J181" s="157"/>
      <c r="K181" s="157"/>
      <c r="L181" s="157"/>
      <c r="M181" s="157"/>
      <c r="N181" s="157"/>
      <c r="P181" s="157"/>
      <c r="Q181" s="157"/>
      <c r="R181" s="157"/>
      <c r="S181" s="157"/>
      <c r="T181" s="157"/>
      <c r="U181" s="157"/>
      <c r="V181" s="157"/>
      <c r="W181" s="157"/>
      <c r="X181" s="157"/>
      <c r="Y181" s="157"/>
      <c r="Z181" s="157"/>
      <c r="AA181" s="157"/>
      <c r="AB181" s="157"/>
      <c r="AC181" s="157"/>
      <c r="AD181" s="157"/>
      <c r="AE181" s="157"/>
      <c r="AF181" s="157"/>
      <c r="AG181" s="157"/>
      <c r="AH181" s="157"/>
      <c r="AI181" s="157"/>
      <c r="AJ181" s="157"/>
      <c r="AK181" s="157"/>
      <c r="AL181" s="157"/>
      <c r="AM181" s="157"/>
      <c r="AN181" s="157"/>
      <c r="AO181" s="157"/>
      <c r="AP181" s="157"/>
      <c r="AQ181" s="157"/>
      <c r="AR181" s="157"/>
      <c r="AS181" s="157"/>
      <c r="AT181" s="157"/>
      <c r="AU181" s="157"/>
      <c r="AV181" s="157"/>
      <c r="AW181" s="157"/>
    </row>
    <row r="182" spans="2:49" x14ac:dyDescent="0.55000000000000004">
      <c r="B182" s="157"/>
      <c r="C182" s="157"/>
      <c r="D182" s="157"/>
      <c r="E182" s="157"/>
      <c r="F182" s="157"/>
      <c r="G182" s="157"/>
      <c r="H182" s="157"/>
      <c r="I182" s="157"/>
      <c r="J182" s="157"/>
      <c r="K182" s="157"/>
      <c r="L182" s="157"/>
      <c r="M182" s="157"/>
      <c r="N182" s="157"/>
      <c r="P182" s="157"/>
      <c r="Q182" s="157"/>
      <c r="R182" s="157"/>
      <c r="S182" s="157"/>
      <c r="T182" s="157"/>
      <c r="U182" s="157"/>
      <c r="V182" s="157"/>
      <c r="W182" s="157"/>
      <c r="X182" s="157"/>
      <c r="Y182" s="157"/>
      <c r="Z182" s="157"/>
      <c r="AA182" s="157"/>
      <c r="AB182" s="157"/>
      <c r="AC182" s="157"/>
      <c r="AD182" s="157"/>
      <c r="AE182" s="157"/>
      <c r="AF182" s="157"/>
      <c r="AG182" s="157"/>
      <c r="AH182" s="157"/>
      <c r="AI182" s="157"/>
      <c r="AJ182" s="157"/>
      <c r="AK182" s="157"/>
      <c r="AL182" s="157"/>
      <c r="AM182" s="157"/>
      <c r="AN182" s="157"/>
      <c r="AO182" s="157"/>
      <c r="AP182" s="157"/>
      <c r="AQ182" s="157"/>
      <c r="AR182" s="157"/>
      <c r="AS182" s="157"/>
      <c r="AT182" s="157"/>
      <c r="AU182" s="157"/>
      <c r="AV182" s="157"/>
      <c r="AW182" s="157"/>
    </row>
    <row r="183" spans="2:49" x14ac:dyDescent="0.55000000000000004">
      <c r="B183" s="157"/>
      <c r="C183" s="157"/>
      <c r="D183" s="157"/>
      <c r="E183" s="157"/>
      <c r="F183" s="157"/>
      <c r="G183" s="157"/>
      <c r="H183" s="157"/>
      <c r="I183" s="157"/>
      <c r="J183" s="157"/>
      <c r="K183" s="157"/>
      <c r="L183" s="157"/>
      <c r="M183" s="157"/>
      <c r="N183" s="157"/>
      <c r="P183" s="157"/>
      <c r="Q183" s="157"/>
      <c r="R183" s="157"/>
      <c r="S183" s="157"/>
      <c r="T183" s="157"/>
      <c r="U183" s="157"/>
      <c r="V183" s="157"/>
      <c r="W183" s="157"/>
      <c r="X183" s="157"/>
      <c r="Y183" s="157"/>
      <c r="Z183" s="157"/>
      <c r="AA183" s="157"/>
      <c r="AB183" s="157"/>
      <c r="AC183" s="157"/>
      <c r="AD183" s="157"/>
      <c r="AE183" s="157"/>
      <c r="AF183" s="157"/>
      <c r="AG183" s="157"/>
      <c r="AH183" s="157"/>
      <c r="AI183" s="157"/>
      <c r="AJ183" s="157"/>
      <c r="AK183" s="157"/>
      <c r="AL183" s="157"/>
      <c r="AM183" s="157"/>
      <c r="AN183" s="157"/>
      <c r="AO183" s="157"/>
      <c r="AP183" s="157"/>
      <c r="AQ183" s="157"/>
      <c r="AR183" s="157"/>
      <c r="AS183" s="157"/>
      <c r="AT183" s="157"/>
      <c r="AU183" s="157"/>
      <c r="AV183" s="157"/>
      <c r="AW183" s="157"/>
    </row>
    <row r="184" spans="2:49" x14ac:dyDescent="0.55000000000000004">
      <c r="B184" s="157"/>
      <c r="C184" s="157"/>
      <c r="D184" s="157"/>
      <c r="E184" s="157"/>
      <c r="F184" s="157"/>
      <c r="G184" s="157"/>
      <c r="H184" s="157"/>
      <c r="I184" s="157"/>
      <c r="J184" s="157"/>
      <c r="K184" s="157"/>
      <c r="L184" s="157"/>
      <c r="M184" s="157"/>
      <c r="N184" s="157"/>
      <c r="P184" s="157"/>
      <c r="Q184" s="157"/>
      <c r="R184" s="157"/>
      <c r="S184" s="157"/>
      <c r="T184" s="157"/>
      <c r="U184" s="157"/>
      <c r="V184" s="157"/>
      <c r="W184" s="157"/>
      <c r="X184" s="157"/>
      <c r="Y184" s="157"/>
      <c r="Z184" s="157"/>
      <c r="AA184" s="157"/>
      <c r="AB184" s="157"/>
      <c r="AC184" s="157"/>
      <c r="AD184" s="157"/>
      <c r="AE184" s="157"/>
      <c r="AF184" s="157"/>
      <c r="AG184" s="157"/>
      <c r="AH184" s="157"/>
      <c r="AI184" s="157"/>
      <c r="AJ184" s="157"/>
      <c r="AK184" s="157"/>
      <c r="AL184" s="157"/>
      <c r="AM184" s="157"/>
      <c r="AN184" s="157"/>
      <c r="AO184" s="157"/>
      <c r="AP184" s="157"/>
      <c r="AQ184" s="157"/>
      <c r="AR184" s="157"/>
      <c r="AS184" s="157"/>
      <c r="AT184" s="157"/>
      <c r="AU184" s="157"/>
      <c r="AV184" s="157"/>
      <c r="AW184" s="157"/>
    </row>
    <row r="185" spans="2:49" x14ac:dyDescent="0.55000000000000004">
      <c r="B185" s="157"/>
      <c r="C185" s="157"/>
      <c r="D185" s="157"/>
      <c r="E185" s="157"/>
      <c r="F185" s="157"/>
      <c r="G185" s="157"/>
      <c r="H185" s="157"/>
      <c r="I185" s="157"/>
      <c r="J185" s="157"/>
      <c r="K185" s="157"/>
      <c r="L185" s="157"/>
      <c r="M185" s="157"/>
      <c r="N185" s="157"/>
      <c r="P185" s="157"/>
      <c r="Q185" s="157"/>
      <c r="R185" s="157"/>
      <c r="S185" s="157"/>
      <c r="T185" s="157"/>
      <c r="U185" s="157"/>
      <c r="V185" s="157"/>
      <c r="W185" s="157"/>
      <c r="X185" s="157"/>
      <c r="Y185" s="157"/>
      <c r="Z185" s="157"/>
      <c r="AA185" s="157"/>
      <c r="AB185" s="157"/>
      <c r="AC185" s="157"/>
      <c r="AD185" s="157"/>
      <c r="AE185" s="157"/>
      <c r="AF185" s="157"/>
      <c r="AG185" s="157"/>
      <c r="AH185" s="157"/>
      <c r="AI185" s="157"/>
      <c r="AJ185" s="157"/>
      <c r="AK185" s="157"/>
      <c r="AL185" s="157"/>
      <c r="AM185" s="157"/>
      <c r="AN185" s="157"/>
      <c r="AO185" s="157"/>
      <c r="AP185" s="157"/>
      <c r="AQ185" s="157"/>
      <c r="AR185" s="157"/>
      <c r="AS185" s="157"/>
      <c r="AT185" s="157"/>
      <c r="AU185" s="157"/>
      <c r="AV185" s="157"/>
      <c r="AW185" s="157"/>
    </row>
    <row r="186" spans="2:49" x14ac:dyDescent="0.55000000000000004">
      <c r="B186" s="157"/>
      <c r="C186" s="157"/>
      <c r="D186" s="157"/>
      <c r="E186" s="157"/>
      <c r="F186" s="157"/>
      <c r="G186" s="157"/>
      <c r="H186" s="157"/>
      <c r="I186" s="157"/>
      <c r="J186" s="157"/>
      <c r="K186" s="157"/>
      <c r="L186" s="157"/>
      <c r="M186" s="157"/>
      <c r="N186" s="157"/>
      <c r="P186" s="157"/>
      <c r="Q186" s="157"/>
      <c r="R186" s="157"/>
      <c r="S186" s="157"/>
      <c r="T186" s="157"/>
      <c r="U186" s="157"/>
      <c r="V186" s="157"/>
      <c r="W186" s="157"/>
      <c r="X186" s="157"/>
      <c r="Y186" s="157"/>
      <c r="Z186" s="157"/>
      <c r="AA186" s="157"/>
      <c r="AB186" s="157"/>
      <c r="AC186" s="157"/>
      <c r="AD186" s="157"/>
      <c r="AE186" s="157"/>
      <c r="AF186" s="157"/>
      <c r="AG186" s="157"/>
      <c r="AH186" s="157"/>
      <c r="AI186" s="157"/>
      <c r="AJ186" s="157"/>
      <c r="AK186" s="157"/>
      <c r="AL186" s="157"/>
      <c r="AM186" s="157"/>
      <c r="AN186" s="157"/>
      <c r="AO186" s="157"/>
      <c r="AP186" s="157"/>
      <c r="AQ186" s="157"/>
      <c r="AR186" s="157"/>
      <c r="AS186" s="157"/>
      <c r="AT186" s="157"/>
      <c r="AU186" s="157"/>
      <c r="AV186" s="157"/>
      <c r="AW186" s="157"/>
    </row>
    <row r="187" spans="2:49" x14ac:dyDescent="0.55000000000000004">
      <c r="B187" s="157"/>
      <c r="C187" s="157"/>
      <c r="D187" s="157"/>
      <c r="E187" s="157"/>
      <c r="F187" s="157"/>
      <c r="G187" s="157"/>
      <c r="H187" s="157"/>
      <c r="I187" s="157"/>
      <c r="J187" s="157"/>
      <c r="K187" s="157"/>
      <c r="L187" s="157"/>
      <c r="M187" s="157"/>
      <c r="N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row>
    <row r="188" spans="2:49" x14ac:dyDescent="0.55000000000000004">
      <c r="B188" s="157"/>
      <c r="C188" s="157"/>
      <c r="D188" s="157"/>
      <c r="E188" s="157"/>
      <c r="F188" s="157"/>
      <c r="G188" s="157"/>
      <c r="H188" s="157"/>
      <c r="I188" s="157"/>
      <c r="J188" s="157"/>
      <c r="K188" s="157"/>
      <c r="L188" s="157"/>
      <c r="M188" s="157"/>
      <c r="N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row>
    <row r="189" spans="2:49" x14ac:dyDescent="0.55000000000000004">
      <c r="B189" s="157"/>
      <c r="C189" s="157"/>
      <c r="D189" s="157"/>
      <c r="E189" s="157"/>
      <c r="F189" s="157"/>
      <c r="G189" s="157"/>
      <c r="H189" s="157"/>
      <c r="I189" s="157"/>
      <c r="J189" s="157"/>
      <c r="K189" s="157"/>
      <c r="L189" s="157"/>
      <c r="M189" s="157"/>
      <c r="N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7"/>
      <c r="AS189" s="157"/>
      <c r="AT189" s="157"/>
      <c r="AU189" s="157"/>
      <c r="AV189" s="157"/>
      <c r="AW189" s="157"/>
    </row>
    <row r="190" spans="2:49" x14ac:dyDescent="0.55000000000000004">
      <c r="B190" s="157"/>
      <c r="C190" s="157"/>
      <c r="D190" s="157"/>
      <c r="E190" s="157"/>
      <c r="F190" s="157"/>
      <c r="G190" s="157"/>
      <c r="H190" s="157"/>
      <c r="I190" s="157"/>
      <c r="J190" s="157"/>
      <c r="K190" s="157"/>
      <c r="L190" s="157"/>
      <c r="M190" s="157"/>
      <c r="N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row>
    <row r="191" spans="2:49" x14ac:dyDescent="0.55000000000000004">
      <c r="B191" s="157"/>
      <c r="C191" s="157"/>
      <c r="D191" s="157"/>
      <c r="E191" s="157"/>
      <c r="F191" s="157"/>
      <c r="G191" s="157"/>
      <c r="H191" s="157"/>
      <c r="I191" s="157"/>
      <c r="J191" s="157"/>
      <c r="K191" s="157"/>
      <c r="L191" s="157"/>
      <c r="M191" s="157"/>
      <c r="N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c r="AS191" s="157"/>
      <c r="AT191" s="157"/>
      <c r="AU191" s="157"/>
      <c r="AV191" s="157"/>
      <c r="AW191" s="157"/>
    </row>
    <row r="192" spans="2:49" x14ac:dyDescent="0.55000000000000004">
      <c r="B192" s="157"/>
      <c r="C192" s="157"/>
      <c r="D192" s="157"/>
      <c r="E192" s="157"/>
      <c r="F192" s="157"/>
      <c r="G192" s="157"/>
      <c r="H192" s="157"/>
      <c r="I192" s="157"/>
      <c r="J192" s="157"/>
      <c r="K192" s="157"/>
      <c r="L192" s="157"/>
      <c r="M192" s="157"/>
      <c r="N192" s="157"/>
      <c r="P192" s="157"/>
      <c r="Q192" s="157"/>
      <c r="R192" s="157"/>
      <c r="S192" s="157"/>
      <c r="T192" s="157"/>
      <c r="U192" s="157"/>
      <c r="V192" s="157"/>
      <c r="W192" s="157"/>
      <c r="X192" s="157"/>
      <c r="Y192" s="157"/>
      <c r="Z192" s="157"/>
      <c r="AA192" s="157"/>
      <c r="AB192" s="157"/>
      <c r="AC192" s="157"/>
      <c r="AD192" s="157"/>
      <c r="AE192" s="157"/>
      <c r="AF192" s="157"/>
      <c r="AG192" s="157"/>
      <c r="AH192" s="157"/>
      <c r="AI192" s="157"/>
      <c r="AJ192" s="157"/>
      <c r="AK192" s="157"/>
      <c r="AL192" s="157"/>
      <c r="AM192" s="157"/>
      <c r="AN192" s="157"/>
      <c r="AO192" s="157"/>
      <c r="AP192" s="157"/>
      <c r="AQ192" s="157"/>
      <c r="AR192" s="157"/>
      <c r="AS192" s="157"/>
      <c r="AT192" s="157"/>
      <c r="AU192" s="157"/>
      <c r="AV192" s="157"/>
      <c r="AW192" s="157"/>
    </row>
    <row r="193" spans="2:49" x14ac:dyDescent="0.55000000000000004">
      <c r="B193" s="157"/>
      <c r="C193" s="157"/>
      <c r="D193" s="157"/>
      <c r="E193" s="157"/>
      <c r="F193" s="157"/>
      <c r="G193" s="157"/>
      <c r="H193" s="157"/>
      <c r="I193" s="157"/>
      <c r="J193" s="157"/>
      <c r="K193" s="157"/>
      <c r="L193" s="157"/>
      <c r="M193" s="157"/>
      <c r="N193" s="157"/>
      <c r="P193" s="157"/>
      <c r="Q193" s="157"/>
      <c r="R193" s="157"/>
      <c r="S193" s="157"/>
      <c r="T193" s="157"/>
      <c r="U193" s="157"/>
      <c r="V193" s="157"/>
      <c r="W193" s="157"/>
      <c r="X193" s="157"/>
      <c r="Y193" s="157"/>
      <c r="Z193" s="157"/>
      <c r="AA193" s="157"/>
      <c r="AB193" s="157"/>
      <c r="AC193" s="157"/>
      <c r="AD193" s="157"/>
      <c r="AE193" s="157"/>
      <c r="AF193" s="157"/>
      <c r="AG193" s="157"/>
      <c r="AH193" s="157"/>
      <c r="AI193" s="157"/>
      <c r="AJ193" s="157"/>
      <c r="AK193" s="157"/>
      <c r="AL193" s="157"/>
      <c r="AM193" s="157"/>
      <c r="AN193" s="157"/>
      <c r="AO193" s="157"/>
      <c r="AP193" s="157"/>
      <c r="AQ193" s="157"/>
      <c r="AR193" s="157"/>
      <c r="AS193" s="157"/>
      <c r="AT193" s="157"/>
      <c r="AU193" s="157"/>
      <c r="AV193" s="157"/>
      <c r="AW193" s="157"/>
    </row>
    <row r="194" spans="2:49" x14ac:dyDescent="0.55000000000000004">
      <c r="B194" s="157"/>
      <c r="C194" s="157"/>
      <c r="D194" s="157"/>
      <c r="E194" s="157"/>
      <c r="F194" s="157"/>
      <c r="G194" s="157"/>
      <c r="H194" s="157"/>
      <c r="I194" s="157"/>
      <c r="J194" s="157"/>
      <c r="K194" s="157"/>
      <c r="L194" s="157"/>
      <c r="M194" s="157"/>
      <c r="N194" s="157"/>
      <c r="P194" s="157"/>
      <c r="Q194" s="157"/>
      <c r="R194" s="157"/>
      <c r="S194" s="157"/>
      <c r="T194" s="157"/>
      <c r="U194" s="157"/>
      <c r="V194" s="157"/>
      <c r="W194" s="157"/>
      <c r="X194" s="157"/>
      <c r="Y194" s="157"/>
      <c r="Z194" s="157"/>
      <c r="AA194" s="157"/>
      <c r="AB194" s="157"/>
      <c r="AC194" s="157"/>
      <c r="AD194" s="157"/>
      <c r="AE194" s="157"/>
      <c r="AF194" s="157"/>
      <c r="AG194" s="157"/>
      <c r="AH194" s="157"/>
      <c r="AI194" s="157"/>
      <c r="AJ194" s="157"/>
      <c r="AK194" s="157"/>
      <c r="AL194" s="157"/>
      <c r="AM194" s="157"/>
      <c r="AN194" s="157"/>
      <c r="AO194" s="157"/>
      <c r="AP194" s="157"/>
      <c r="AQ194" s="157"/>
      <c r="AR194" s="157"/>
      <c r="AS194" s="157"/>
      <c r="AT194" s="157"/>
      <c r="AU194" s="157"/>
      <c r="AV194" s="157"/>
      <c r="AW194" s="157"/>
    </row>
    <row r="195" spans="2:49" x14ac:dyDescent="0.55000000000000004">
      <c r="B195" s="157"/>
      <c r="C195" s="157"/>
      <c r="D195" s="157"/>
      <c r="E195" s="157"/>
      <c r="F195" s="157"/>
      <c r="G195" s="157"/>
      <c r="H195" s="157"/>
      <c r="I195" s="157"/>
      <c r="J195" s="157"/>
      <c r="K195" s="157"/>
      <c r="L195" s="157"/>
      <c r="M195" s="157"/>
      <c r="N195" s="157"/>
      <c r="P195" s="157"/>
      <c r="Q195" s="157"/>
      <c r="R195" s="157"/>
      <c r="S195" s="157"/>
      <c r="T195" s="157"/>
      <c r="U195" s="157"/>
      <c r="V195" s="157"/>
      <c r="W195" s="157"/>
      <c r="X195" s="157"/>
      <c r="Y195" s="157"/>
      <c r="Z195" s="157"/>
      <c r="AA195" s="157"/>
      <c r="AB195" s="157"/>
      <c r="AC195" s="157"/>
      <c r="AD195" s="157"/>
      <c r="AE195" s="157"/>
      <c r="AF195" s="157"/>
      <c r="AG195" s="157"/>
      <c r="AH195" s="157"/>
      <c r="AI195" s="157"/>
      <c r="AJ195" s="157"/>
      <c r="AK195" s="157"/>
      <c r="AL195" s="157"/>
      <c r="AM195" s="157"/>
      <c r="AN195" s="157"/>
      <c r="AO195" s="157"/>
      <c r="AP195" s="157"/>
      <c r="AQ195" s="157"/>
      <c r="AR195" s="157"/>
      <c r="AS195" s="157"/>
      <c r="AT195" s="157"/>
      <c r="AU195" s="157"/>
      <c r="AV195" s="157"/>
      <c r="AW195" s="157"/>
    </row>
    <row r="196" spans="2:49" x14ac:dyDescent="0.55000000000000004">
      <c r="B196" s="157"/>
      <c r="C196" s="157"/>
      <c r="D196" s="157"/>
      <c r="E196" s="157"/>
      <c r="F196" s="157"/>
      <c r="G196" s="157"/>
      <c r="H196" s="157"/>
      <c r="I196" s="157"/>
      <c r="J196" s="157"/>
      <c r="K196" s="157"/>
      <c r="L196" s="157"/>
      <c r="M196" s="157"/>
      <c r="N196" s="157"/>
      <c r="P196" s="157"/>
      <c r="Q196" s="157"/>
      <c r="R196" s="157"/>
      <c r="S196" s="157"/>
      <c r="T196" s="157"/>
      <c r="U196" s="157"/>
      <c r="V196" s="157"/>
      <c r="W196" s="157"/>
      <c r="X196" s="157"/>
      <c r="Y196" s="157"/>
      <c r="Z196" s="157"/>
      <c r="AA196" s="157"/>
      <c r="AB196" s="157"/>
      <c r="AC196" s="157"/>
      <c r="AD196" s="157"/>
      <c r="AE196" s="157"/>
      <c r="AF196" s="157"/>
      <c r="AG196" s="157"/>
      <c r="AH196" s="157"/>
      <c r="AI196" s="157"/>
      <c r="AJ196" s="157"/>
      <c r="AK196" s="157"/>
      <c r="AL196" s="157"/>
      <c r="AM196" s="157"/>
      <c r="AN196" s="157"/>
      <c r="AO196" s="157"/>
      <c r="AP196" s="157"/>
      <c r="AQ196" s="157"/>
      <c r="AR196" s="157"/>
      <c r="AS196" s="157"/>
      <c r="AT196" s="157"/>
      <c r="AU196" s="157"/>
      <c r="AV196" s="157"/>
      <c r="AW196" s="157"/>
    </row>
    <row r="197" spans="2:49" x14ac:dyDescent="0.55000000000000004">
      <c r="B197" s="157"/>
      <c r="C197" s="157"/>
      <c r="D197" s="157"/>
      <c r="E197" s="157"/>
      <c r="F197" s="157"/>
      <c r="G197" s="157"/>
      <c r="H197" s="157"/>
      <c r="I197" s="157"/>
      <c r="J197" s="157"/>
      <c r="K197" s="157"/>
      <c r="L197" s="157"/>
      <c r="M197" s="157"/>
      <c r="N197" s="157"/>
      <c r="P197" s="157"/>
      <c r="Q197" s="157"/>
      <c r="R197" s="157"/>
      <c r="S197" s="157"/>
      <c r="T197" s="157"/>
      <c r="U197" s="157"/>
      <c r="V197" s="157"/>
      <c r="W197" s="157"/>
      <c r="X197" s="157"/>
      <c r="Y197" s="157"/>
      <c r="Z197" s="157"/>
      <c r="AA197" s="157"/>
      <c r="AB197" s="157"/>
      <c r="AC197" s="157"/>
      <c r="AD197" s="157"/>
      <c r="AE197" s="157"/>
      <c r="AF197" s="157"/>
      <c r="AG197" s="157"/>
      <c r="AH197" s="157"/>
      <c r="AI197" s="157"/>
      <c r="AJ197" s="157"/>
      <c r="AK197" s="157"/>
      <c r="AL197" s="157"/>
      <c r="AM197" s="157"/>
      <c r="AN197" s="157"/>
      <c r="AO197" s="157"/>
      <c r="AP197" s="157"/>
      <c r="AQ197" s="157"/>
      <c r="AR197" s="157"/>
      <c r="AS197" s="157"/>
      <c r="AT197" s="157"/>
      <c r="AU197" s="157"/>
      <c r="AV197" s="157"/>
      <c r="AW197" s="157"/>
    </row>
    <row r="198" spans="2:49" x14ac:dyDescent="0.55000000000000004">
      <c r="B198" s="157"/>
      <c r="C198" s="157"/>
      <c r="D198" s="157"/>
      <c r="E198" s="157"/>
      <c r="F198" s="157"/>
      <c r="G198" s="157"/>
      <c r="H198" s="157"/>
      <c r="I198" s="157"/>
      <c r="J198" s="157"/>
      <c r="K198" s="157"/>
      <c r="L198" s="157"/>
      <c r="M198" s="157"/>
      <c r="N198" s="157"/>
      <c r="P198" s="157"/>
      <c r="Q198" s="157"/>
      <c r="R198" s="157"/>
      <c r="S198" s="157"/>
      <c r="T198" s="157"/>
      <c r="U198" s="157"/>
      <c r="V198" s="157"/>
      <c r="W198" s="157"/>
      <c r="X198" s="157"/>
      <c r="Y198" s="157"/>
      <c r="Z198" s="157"/>
      <c r="AA198" s="157"/>
      <c r="AB198" s="157"/>
      <c r="AC198" s="157"/>
      <c r="AD198" s="157"/>
      <c r="AE198" s="157"/>
      <c r="AF198" s="157"/>
      <c r="AG198" s="157"/>
      <c r="AH198" s="157"/>
      <c r="AI198" s="157"/>
      <c r="AJ198" s="157"/>
      <c r="AK198" s="157"/>
      <c r="AL198" s="157"/>
      <c r="AM198" s="157"/>
      <c r="AN198" s="157"/>
      <c r="AO198" s="157"/>
      <c r="AP198" s="157"/>
      <c r="AQ198" s="157"/>
      <c r="AR198" s="157"/>
      <c r="AS198" s="157"/>
      <c r="AT198" s="157"/>
      <c r="AU198" s="157"/>
      <c r="AV198" s="157"/>
      <c r="AW198" s="157"/>
    </row>
    <row r="199" spans="2:49" x14ac:dyDescent="0.55000000000000004">
      <c r="B199" s="157"/>
      <c r="C199" s="157"/>
      <c r="D199" s="157"/>
      <c r="E199" s="157"/>
      <c r="F199" s="157"/>
      <c r="G199" s="157"/>
      <c r="H199" s="157"/>
      <c r="I199" s="157"/>
      <c r="J199" s="157"/>
      <c r="K199" s="157"/>
      <c r="L199" s="157"/>
      <c r="M199" s="157"/>
      <c r="N199" s="157"/>
      <c r="P199" s="157"/>
      <c r="Q199" s="157"/>
      <c r="R199" s="157"/>
      <c r="S199" s="157"/>
      <c r="T199" s="157"/>
      <c r="U199" s="157"/>
      <c r="V199" s="157"/>
      <c r="W199" s="157"/>
      <c r="X199" s="157"/>
      <c r="Y199" s="157"/>
      <c r="Z199" s="157"/>
      <c r="AA199" s="157"/>
      <c r="AB199" s="157"/>
      <c r="AC199" s="157"/>
      <c r="AD199" s="157"/>
      <c r="AE199" s="157"/>
      <c r="AF199" s="157"/>
      <c r="AG199" s="157"/>
      <c r="AH199" s="157"/>
      <c r="AI199" s="157"/>
      <c r="AJ199" s="157"/>
      <c r="AK199" s="157"/>
      <c r="AL199" s="157"/>
      <c r="AM199" s="157"/>
      <c r="AN199" s="157"/>
      <c r="AO199" s="157"/>
      <c r="AP199" s="157"/>
      <c r="AQ199" s="157"/>
      <c r="AR199" s="157"/>
      <c r="AS199" s="157"/>
      <c r="AT199" s="157"/>
      <c r="AU199" s="157"/>
      <c r="AV199" s="157"/>
      <c r="AW199" s="157"/>
    </row>
    <row r="200" spans="2:49" x14ac:dyDescent="0.55000000000000004">
      <c r="B200" s="157"/>
      <c r="C200" s="157"/>
      <c r="D200" s="157"/>
      <c r="E200" s="157"/>
      <c r="F200" s="157"/>
      <c r="G200" s="157"/>
      <c r="H200" s="157"/>
      <c r="I200" s="157"/>
      <c r="J200" s="157"/>
      <c r="K200" s="157"/>
      <c r="L200" s="157"/>
      <c r="M200" s="157"/>
      <c r="N200" s="157"/>
      <c r="P200" s="157"/>
      <c r="Q200" s="157"/>
      <c r="R200" s="157"/>
      <c r="S200" s="157"/>
      <c r="T200" s="157"/>
      <c r="U200" s="157"/>
      <c r="V200" s="157"/>
      <c r="W200" s="157"/>
      <c r="X200" s="157"/>
      <c r="Y200" s="157"/>
      <c r="Z200" s="157"/>
      <c r="AA200" s="157"/>
      <c r="AB200" s="157"/>
      <c r="AC200" s="157"/>
      <c r="AD200" s="157"/>
      <c r="AE200" s="157"/>
      <c r="AF200" s="157"/>
      <c r="AG200" s="157"/>
      <c r="AH200" s="157"/>
      <c r="AI200" s="157"/>
      <c r="AJ200" s="157"/>
      <c r="AK200" s="157"/>
      <c r="AL200" s="157"/>
      <c r="AM200" s="157"/>
      <c r="AN200" s="157"/>
      <c r="AO200" s="157"/>
      <c r="AP200" s="157"/>
      <c r="AQ200" s="157"/>
      <c r="AR200" s="157"/>
      <c r="AS200" s="157"/>
      <c r="AT200" s="157"/>
      <c r="AU200" s="157"/>
      <c r="AV200" s="157"/>
      <c r="AW200" s="157"/>
    </row>
    <row r="201" spans="2:49" x14ac:dyDescent="0.55000000000000004">
      <c r="B201" s="157"/>
      <c r="C201" s="157"/>
      <c r="D201" s="157"/>
      <c r="E201" s="157"/>
      <c r="F201" s="157"/>
      <c r="G201" s="157"/>
      <c r="H201" s="157"/>
      <c r="I201" s="157"/>
      <c r="J201" s="157"/>
      <c r="K201" s="157"/>
      <c r="L201" s="157"/>
      <c r="M201" s="157"/>
      <c r="N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157"/>
      <c r="AL201" s="157"/>
      <c r="AM201" s="157"/>
      <c r="AN201" s="157"/>
      <c r="AO201" s="157"/>
      <c r="AP201" s="157"/>
      <c r="AQ201" s="157"/>
      <c r="AR201" s="157"/>
      <c r="AS201" s="157"/>
      <c r="AT201" s="157"/>
      <c r="AU201" s="157"/>
      <c r="AV201" s="157"/>
      <c r="AW201" s="157"/>
    </row>
    <row r="202" spans="2:49" x14ac:dyDescent="0.55000000000000004">
      <c r="B202" s="157"/>
      <c r="C202" s="157"/>
      <c r="D202" s="157"/>
      <c r="E202" s="157"/>
      <c r="F202" s="157"/>
      <c r="G202" s="157"/>
      <c r="H202" s="157"/>
      <c r="I202" s="157"/>
      <c r="J202" s="157"/>
      <c r="K202" s="157"/>
      <c r="L202" s="157"/>
      <c r="M202" s="157"/>
      <c r="N202" s="157"/>
      <c r="P202" s="157"/>
      <c r="Q202" s="157"/>
      <c r="R202" s="157"/>
      <c r="S202" s="157"/>
      <c r="T202" s="157"/>
      <c r="U202" s="157"/>
      <c r="V202" s="157"/>
      <c r="W202" s="157"/>
      <c r="X202" s="157"/>
      <c r="Y202" s="157"/>
      <c r="Z202" s="157"/>
      <c r="AA202" s="157"/>
      <c r="AB202" s="157"/>
      <c r="AC202" s="157"/>
      <c r="AD202" s="157"/>
      <c r="AE202" s="157"/>
      <c r="AF202" s="157"/>
      <c r="AG202" s="157"/>
      <c r="AH202" s="157"/>
      <c r="AI202" s="157"/>
      <c r="AJ202" s="157"/>
      <c r="AK202" s="157"/>
      <c r="AL202" s="157"/>
      <c r="AM202" s="157"/>
      <c r="AN202" s="157"/>
      <c r="AO202" s="157"/>
      <c r="AP202" s="157"/>
      <c r="AQ202" s="157"/>
      <c r="AR202" s="157"/>
      <c r="AS202" s="157"/>
      <c r="AT202" s="157"/>
      <c r="AU202" s="157"/>
      <c r="AV202" s="157"/>
      <c r="AW202" s="157"/>
    </row>
    <row r="203" spans="2:49" x14ac:dyDescent="0.55000000000000004">
      <c r="B203" s="157"/>
      <c r="C203" s="157"/>
      <c r="D203" s="157"/>
      <c r="E203" s="157"/>
      <c r="F203" s="157"/>
      <c r="G203" s="157"/>
      <c r="H203" s="157"/>
      <c r="I203" s="157"/>
      <c r="J203" s="157"/>
      <c r="K203" s="157"/>
      <c r="L203" s="157"/>
      <c r="M203" s="157"/>
      <c r="N203" s="157"/>
      <c r="P203" s="157"/>
      <c r="Q203" s="157"/>
      <c r="R203" s="157"/>
      <c r="S203" s="157"/>
      <c r="T203" s="157"/>
      <c r="U203" s="157"/>
      <c r="V203" s="157"/>
      <c r="W203" s="157"/>
      <c r="X203" s="157"/>
      <c r="Y203" s="157"/>
      <c r="Z203" s="157"/>
      <c r="AA203" s="157"/>
      <c r="AB203" s="157"/>
      <c r="AC203" s="157"/>
      <c r="AD203" s="157"/>
      <c r="AE203" s="157"/>
      <c r="AF203" s="157"/>
      <c r="AG203" s="157"/>
      <c r="AH203" s="157"/>
      <c r="AI203" s="157"/>
      <c r="AJ203" s="157"/>
      <c r="AK203" s="157"/>
      <c r="AL203" s="157"/>
      <c r="AM203" s="157"/>
      <c r="AN203" s="157"/>
      <c r="AO203" s="157"/>
      <c r="AP203" s="157"/>
      <c r="AQ203" s="157"/>
      <c r="AR203" s="157"/>
      <c r="AS203" s="157"/>
      <c r="AT203" s="157"/>
      <c r="AU203" s="157"/>
      <c r="AV203" s="157"/>
      <c r="AW203" s="157"/>
    </row>
    <row r="204" spans="2:49" x14ac:dyDescent="0.55000000000000004">
      <c r="B204" s="157"/>
      <c r="C204" s="157"/>
      <c r="D204" s="157"/>
      <c r="E204" s="157"/>
      <c r="F204" s="157"/>
      <c r="G204" s="157"/>
      <c r="H204" s="157"/>
      <c r="I204" s="157"/>
      <c r="J204" s="157"/>
      <c r="K204" s="157"/>
      <c r="L204" s="157"/>
      <c r="M204" s="157"/>
      <c r="N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57"/>
      <c r="AN204" s="157"/>
      <c r="AO204" s="157"/>
      <c r="AP204" s="157"/>
      <c r="AQ204" s="157"/>
      <c r="AR204" s="157"/>
      <c r="AS204" s="157"/>
      <c r="AT204" s="157"/>
      <c r="AU204" s="157"/>
      <c r="AV204" s="157"/>
      <c r="AW204" s="157"/>
    </row>
  </sheetData>
  <mergeCells count="24">
    <mergeCell ref="C9:N9"/>
    <mergeCell ref="P9:AA9"/>
    <mergeCell ref="AC9:AN9"/>
    <mergeCell ref="C10:N10"/>
    <mergeCell ref="P10:AA10"/>
    <mergeCell ref="AC10:AN10"/>
    <mergeCell ref="C22:N22"/>
    <mergeCell ref="P22:AA22"/>
    <mergeCell ref="AC22:AN22"/>
    <mergeCell ref="C23:N23"/>
    <mergeCell ref="P23:AA23"/>
    <mergeCell ref="AC23:AN23"/>
    <mergeCell ref="C99:N99"/>
    <mergeCell ref="P99:AA99"/>
    <mergeCell ref="AC99:AN99"/>
    <mergeCell ref="C100:N100"/>
    <mergeCell ref="P100:AA100"/>
    <mergeCell ref="AC100:AN100"/>
    <mergeCell ref="C116:N116"/>
    <mergeCell ref="P116:AA116"/>
    <mergeCell ref="AC116:AN116"/>
    <mergeCell ref="C117:N117"/>
    <mergeCell ref="P117:AA117"/>
    <mergeCell ref="AC117:AN117"/>
  </mergeCells>
  <dataValidations count="1">
    <dataValidation allowBlank="1" showInputMessage="1" showErrorMessage="1" sqref="AL24:AN24 C13:AN21 C102:AN141 L11:N11 L24:N24 Y11:AA11 Y24:AA24 AL11:AN11 C25:AN98" xr:uid="{19A02A32-3E53-40F8-A1A3-3CCEC5CBEE17}"/>
  </dataValidations>
  <pageMargins left="0.7" right="0.7" top="0.75" bottom="0.75" header="0.3" footer="0.3"/>
  <pageSetup paperSize="8" scale="56" fitToHeight="0" orientation="landscape" r:id="rId1"/>
  <rowBreaks count="2" manualBreakCount="2">
    <brk id="59" max="16383" man="1"/>
    <brk id="128"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dimension ref="B1:AE158"/>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33203125" defaultRowHeight="10.199999999999999" outlineLevelRow="1" x14ac:dyDescent="0.35"/>
  <cols>
    <col min="1" max="3" width="2.796875" style="1" customWidth="1"/>
    <col min="4" max="4" width="34" style="1" customWidth="1"/>
    <col min="5" max="6" width="30.796875" style="1" customWidth="1"/>
    <col min="7" max="9" width="10.796875" style="1" customWidth="1"/>
    <col min="10" max="18" width="12.796875" style="1" customWidth="1"/>
    <col min="19" max="27" width="12.796875" style="7" customWidth="1"/>
    <col min="28" max="28" width="12.796875" style="1" customWidth="1"/>
    <col min="29" max="35" width="10.796875" style="1" customWidth="1"/>
    <col min="36" max="16384" width="9.33203125" style="1"/>
  </cols>
  <sheetData>
    <row r="1" spans="2:28" ht="18.899999999999999" x14ac:dyDescent="0.35">
      <c r="B1" s="5" t="s">
        <v>46</v>
      </c>
    </row>
    <row r="2" spans="2:28" x14ac:dyDescent="0.35">
      <c r="B2" s="18" t="str">
        <f>Title_Msg</f>
        <v>No Errors Found</v>
      </c>
    </row>
    <row r="3" spans="2:28" s="7" customFormat="1" x14ac:dyDescent="0.35">
      <c r="B3" s="37" t="str">
        <f>TOC!B1</f>
        <v>Table of Contents</v>
      </c>
      <c r="C3" s="35"/>
      <c r="D3" s="35"/>
      <c r="E3" s="35"/>
    </row>
    <row r="4" spans="2:28" s="7" customFormat="1" ht="12.3" x14ac:dyDescent="0.35">
      <c r="B4" s="34" t="str">
        <f>Model_Name</f>
        <v>Power and Water Corporation (PWC) - RAB Allocation - EB RIN - DRAFT</v>
      </c>
    </row>
    <row r="5" spans="2:28" s="7" customFormat="1" x14ac:dyDescent="0.35"/>
    <row r="6" spans="2:28" s="4" customFormat="1" ht="15" x14ac:dyDescent="0.35">
      <c r="B6" s="4" t="s">
        <v>31</v>
      </c>
    </row>
    <row r="7" spans="2:28" s="2" customFormat="1" ht="6.75" customHeight="1" x14ac:dyDescent="0.35">
      <c r="S7" s="6"/>
      <c r="T7" s="6"/>
      <c r="U7" s="6"/>
      <c r="V7" s="6"/>
      <c r="W7" s="6"/>
      <c r="X7" s="6"/>
      <c r="Y7" s="6"/>
      <c r="Z7" s="6"/>
      <c r="AA7" s="6"/>
    </row>
    <row r="8" spans="2:28" s="13" customFormat="1" ht="14.1" x14ac:dyDescent="0.35">
      <c r="C8" s="13" t="s">
        <v>59</v>
      </c>
    </row>
    <row r="9" spans="2:28" s="2" customFormat="1" x14ac:dyDescent="0.35">
      <c r="D9" s="3"/>
      <c r="S9" s="6"/>
      <c r="T9" s="6"/>
      <c r="U9" s="6"/>
      <c r="V9" s="6"/>
      <c r="W9" s="6"/>
      <c r="X9" s="6"/>
      <c r="Y9" s="6"/>
      <c r="Z9" s="6"/>
      <c r="AA9" s="6"/>
    </row>
    <row r="10" spans="2:28" s="6" customFormat="1" ht="12.3" x14ac:dyDescent="0.35">
      <c r="D10" s="16" t="s">
        <v>58</v>
      </c>
      <c r="E10" s="38">
        <v>38534</v>
      </c>
    </row>
    <row r="11" spans="2:28" s="7" customFormat="1" ht="12.3" x14ac:dyDescent="0.35">
      <c r="D11" s="16" t="s">
        <v>61</v>
      </c>
      <c r="E11" s="17">
        <v>2019</v>
      </c>
      <c r="L11" s="23"/>
      <c r="M11" s="24"/>
      <c r="N11" s="24"/>
      <c r="O11" s="24"/>
    </row>
    <row r="12" spans="2:28" s="7" customFormat="1" x14ac:dyDescent="0.35">
      <c r="L12" s="23"/>
      <c r="M12" s="24"/>
      <c r="N12" s="24"/>
      <c r="O12" s="24"/>
    </row>
    <row r="13" spans="2:28" s="13" customFormat="1" ht="14.1" x14ac:dyDescent="0.35">
      <c r="C13" s="13" t="s">
        <v>60</v>
      </c>
    </row>
    <row r="14" spans="2:28" s="7" customFormat="1" x14ac:dyDescent="0.35">
      <c r="L14" s="23"/>
      <c r="M14" s="24"/>
      <c r="N14" s="24"/>
      <c r="O14" s="24"/>
    </row>
    <row r="15" spans="2:28" s="7" customFormat="1" ht="12.3" outlineLevel="1" x14ac:dyDescent="0.35">
      <c r="B15" s="16" t="s">
        <v>56</v>
      </c>
      <c r="J15" s="39">
        <f t="shared" ref="J15:R15" si="0">IF(J17=1,Model_Start_Date,I16+1)</f>
        <v>38534</v>
      </c>
      <c r="K15" s="39">
        <f t="shared" si="0"/>
        <v>38899</v>
      </c>
      <c r="L15" s="39">
        <f t="shared" si="0"/>
        <v>39264</v>
      </c>
      <c r="M15" s="39">
        <f t="shared" si="0"/>
        <v>39630</v>
      </c>
      <c r="N15" s="39">
        <f t="shared" si="0"/>
        <v>39995</v>
      </c>
      <c r="O15" s="39">
        <f t="shared" si="0"/>
        <v>40360</v>
      </c>
      <c r="P15" s="39">
        <f t="shared" si="0"/>
        <v>40725</v>
      </c>
      <c r="Q15" s="39">
        <f t="shared" si="0"/>
        <v>41091</v>
      </c>
      <c r="R15" s="39">
        <f t="shared" si="0"/>
        <v>41456</v>
      </c>
      <c r="S15" s="39">
        <f t="shared" ref="S15" si="1">IF(S17=1,Model_Start_Date,R16+1)</f>
        <v>41821</v>
      </c>
      <c r="T15" s="39">
        <f t="shared" ref="T15" si="2">IF(T17=1,Model_Start_Date,S16+1)</f>
        <v>42186</v>
      </c>
      <c r="U15" s="39">
        <f t="shared" ref="U15" si="3">IF(U17=1,Model_Start_Date,T16+1)</f>
        <v>42552</v>
      </c>
      <c r="V15" s="39">
        <f t="shared" ref="V15" si="4">IF(V17=1,Model_Start_Date,U16+1)</f>
        <v>42917</v>
      </c>
      <c r="W15" s="39">
        <f t="shared" ref="W15" si="5">IF(W17=1,Model_Start_Date,V16+1)</f>
        <v>43282</v>
      </c>
      <c r="X15" s="39">
        <f t="shared" ref="X15" si="6">IF(X17=1,Model_Start_Date,W16+1)</f>
        <v>43647</v>
      </c>
      <c r="Y15" s="39">
        <f t="shared" ref="Y15" si="7">IF(Y17=1,Model_Start_Date,X16+1)</f>
        <v>44013</v>
      </c>
      <c r="Z15" s="39">
        <f t="shared" ref="Z15" si="8">IF(Z17=1,Model_Start_Date,Y16+1)</f>
        <v>44378</v>
      </c>
      <c r="AA15" s="39">
        <f t="shared" ref="AA15" si="9">IF(AA17=1,Model_Start_Date,Z16+1)</f>
        <v>44743</v>
      </c>
      <c r="AB15" s="39">
        <f t="shared" ref="AB15" si="10">IF(AB17=1,Model_Start_Date,AA16+1)</f>
        <v>45108</v>
      </c>
    </row>
    <row r="16" spans="2:28" s="7" customFormat="1" ht="12.3" outlineLevel="1" x14ac:dyDescent="0.35">
      <c r="B16" s="16" t="s">
        <v>57</v>
      </c>
      <c r="J16" s="39">
        <f t="shared" ref="J16:R16" si="11">EOMONTH(J15,Mths_In_Yr-1)</f>
        <v>38898</v>
      </c>
      <c r="K16" s="39">
        <f t="shared" si="11"/>
        <v>39263</v>
      </c>
      <c r="L16" s="39">
        <f t="shared" si="11"/>
        <v>39629</v>
      </c>
      <c r="M16" s="39">
        <f t="shared" si="11"/>
        <v>39994</v>
      </c>
      <c r="N16" s="39">
        <f t="shared" si="11"/>
        <v>40359</v>
      </c>
      <c r="O16" s="39">
        <f t="shared" si="11"/>
        <v>40724</v>
      </c>
      <c r="P16" s="39">
        <f t="shared" si="11"/>
        <v>41090</v>
      </c>
      <c r="Q16" s="39">
        <f t="shared" si="11"/>
        <v>41455</v>
      </c>
      <c r="R16" s="39">
        <f t="shared" si="11"/>
        <v>41820</v>
      </c>
      <c r="S16" s="39">
        <f t="shared" ref="S16:AB16" si="12">EOMONTH(S15,Mths_In_Yr-1)</f>
        <v>42185</v>
      </c>
      <c r="T16" s="39">
        <f t="shared" si="12"/>
        <v>42551</v>
      </c>
      <c r="U16" s="39">
        <f t="shared" si="12"/>
        <v>42916</v>
      </c>
      <c r="V16" s="39">
        <f t="shared" si="12"/>
        <v>43281</v>
      </c>
      <c r="W16" s="39">
        <f t="shared" ref="W16:AA16" si="13">EOMONTH(W15,Mths_In_Yr-1)</f>
        <v>43646</v>
      </c>
      <c r="X16" s="39">
        <f t="shared" si="13"/>
        <v>44012</v>
      </c>
      <c r="Y16" s="39">
        <f t="shared" si="13"/>
        <v>44377</v>
      </c>
      <c r="Z16" s="39">
        <f t="shared" si="13"/>
        <v>44742</v>
      </c>
      <c r="AA16" s="39">
        <f t="shared" si="13"/>
        <v>45107</v>
      </c>
      <c r="AB16" s="39">
        <f t="shared" si="12"/>
        <v>45473</v>
      </c>
    </row>
    <row r="17" spans="2:31" s="7" customFormat="1" ht="12.3" outlineLevel="1" x14ac:dyDescent="0.35">
      <c r="B17" s="16" t="s">
        <v>55</v>
      </c>
      <c r="J17" s="29">
        <f>N(I17)+1</f>
        <v>1</v>
      </c>
      <c r="K17" s="29">
        <f t="shared" ref="K17:R17" si="14">N(J17)+1</f>
        <v>2</v>
      </c>
      <c r="L17" s="29">
        <f t="shared" si="14"/>
        <v>3</v>
      </c>
      <c r="M17" s="29">
        <f t="shared" si="14"/>
        <v>4</v>
      </c>
      <c r="N17" s="29">
        <f t="shared" si="14"/>
        <v>5</v>
      </c>
      <c r="O17" s="29">
        <f t="shared" si="14"/>
        <v>6</v>
      </c>
      <c r="P17" s="29">
        <f t="shared" si="14"/>
        <v>7</v>
      </c>
      <c r="Q17" s="29">
        <f t="shared" si="14"/>
        <v>8</v>
      </c>
      <c r="R17" s="29">
        <f t="shared" si="14"/>
        <v>9</v>
      </c>
      <c r="S17" s="29">
        <f t="shared" ref="S17" si="15">N(R17)+1</f>
        <v>10</v>
      </c>
      <c r="T17" s="29">
        <f t="shared" ref="T17" si="16">N(S17)+1</f>
        <v>11</v>
      </c>
      <c r="U17" s="29">
        <f t="shared" ref="U17" si="17">N(T17)+1</f>
        <v>12</v>
      </c>
      <c r="V17" s="29">
        <f t="shared" ref="V17" si="18">N(U17)+1</f>
        <v>13</v>
      </c>
      <c r="W17" s="29">
        <f t="shared" ref="W17" si="19">N(V17)+1</f>
        <v>14</v>
      </c>
      <c r="X17" s="29">
        <f t="shared" ref="X17" si="20">N(W17)+1</f>
        <v>15</v>
      </c>
      <c r="Y17" s="29">
        <f t="shared" ref="Y17" si="21">N(X17)+1</f>
        <v>16</v>
      </c>
      <c r="Z17" s="29">
        <f t="shared" ref="Z17" si="22">N(Y17)+1</f>
        <v>17</v>
      </c>
      <c r="AA17" s="29">
        <f t="shared" ref="AA17" si="23">N(Z17)+1</f>
        <v>18</v>
      </c>
      <c r="AB17" s="29">
        <f t="shared" ref="AB17" si="24">N(AA17)+1</f>
        <v>19</v>
      </c>
    </row>
    <row r="18" spans="2:31" s="7" customFormat="1" ht="12.3" outlineLevel="1" x14ac:dyDescent="0.35">
      <c r="B18" s="16" t="s">
        <v>62</v>
      </c>
      <c r="J18" s="12">
        <f>YEAR(J16)</f>
        <v>2006</v>
      </c>
      <c r="K18" s="12">
        <f t="shared" ref="K18:R18" si="25">YEAR(K16)</f>
        <v>2007</v>
      </c>
      <c r="L18" s="12">
        <f t="shared" si="25"/>
        <v>2008</v>
      </c>
      <c r="M18" s="12">
        <f t="shared" si="25"/>
        <v>2009</v>
      </c>
      <c r="N18" s="12">
        <f t="shared" si="25"/>
        <v>2010</v>
      </c>
      <c r="O18" s="12">
        <f t="shared" si="25"/>
        <v>2011</v>
      </c>
      <c r="P18" s="12">
        <f t="shared" si="25"/>
        <v>2012</v>
      </c>
      <c r="Q18" s="12">
        <f t="shared" si="25"/>
        <v>2013</v>
      </c>
      <c r="R18" s="12">
        <f t="shared" si="25"/>
        <v>2014</v>
      </c>
      <c r="S18" s="12">
        <f t="shared" ref="S18:AB18" si="26">YEAR(S16)</f>
        <v>2015</v>
      </c>
      <c r="T18" s="12">
        <f t="shared" si="26"/>
        <v>2016</v>
      </c>
      <c r="U18" s="12">
        <f t="shared" si="26"/>
        <v>2017</v>
      </c>
      <c r="V18" s="12">
        <f t="shared" si="26"/>
        <v>2018</v>
      </c>
      <c r="W18" s="12">
        <f t="shared" ref="W18:AA18" si="27">YEAR(W16)</f>
        <v>2019</v>
      </c>
      <c r="X18" s="12">
        <f t="shared" si="27"/>
        <v>2020</v>
      </c>
      <c r="Y18" s="12">
        <f t="shared" si="27"/>
        <v>2021</v>
      </c>
      <c r="Z18" s="12">
        <f t="shared" si="27"/>
        <v>2022</v>
      </c>
      <c r="AA18" s="12">
        <f t="shared" si="27"/>
        <v>2023</v>
      </c>
      <c r="AB18" s="12">
        <f t="shared" si="26"/>
        <v>2024</v>
      </c>
    </row>
    <row r="19" spans="2:31" s="7" customFormat="1" ht="12.3" outlineLevel="1" x14ac:dyDescent="0.35">
      <c r="B19" s="16" t="s">
        <v>63</v>
      </c>
      <c r="J19" s="19" t="s">
        <v>64</v>
      </c>
      <c r="K19" s="19" t="s">
        <v>64</v>
      </c>
      <c r="L19" s="19" t="s">
        <v>64</v>
      </c>
      <c r="M19" s="19" t="s">
        <v>61</v>
      </c>
      <c r="N19" s="19" t="s">
        <v>65</v>
      </c>
      <c r="O19" s="19" t="s">
        <v>65</v>
      </c>
      <c r="P19" s="19" t="s">
        <v>65</v>
      </c>
      <c r="Q19" s="19" t="s">
        <v>65</v>
      </c>
      <c r="R19" s="19" t="s">
        <v>65</v>
      </c>
      <c r="S19" s="19" t="s">
        <v>65</v>
      </c>
      <c r="T19" s="19" t="s">
        <v>65</v>
      </c>
      <c r="U19" s="19" t="s">
        <v>65</v>
      </c>
      <c r="V19" s="19" t="s">
        <v>65</v>
      </c>
      <c r="W19" s="19" t="s">
        <v>65</v>
      </c>
      <c r="X19" s="19" t="s">
        <v>65</v>
      </c>
      <c r="Y19" s="19" t="s">
        <v>65</v>
      </c>
      <c r="Z19" s="19" t="s">
        <v>65</v>
      </c>
      <c r="AA19" s="19" t="s">
        <v>65</v>
      </c>
      <c r="AB19" s="19" t="s">
        <v>65</v>
      </c>
    </row>
    <row r="20" spans="2:31" s="7" customFormat="1" ht="12.3" x14ac:dyDescent="0.35">
      <c r="B20" s="14" t="s">
        <v>66</v>
      </c>
      <c r="E20" s="20" t="s">
        <v>67</v>
      </c>
      <c r="F20" s="20" t="s">
        <v>68</v>
      </c>
      <c r="G20" s="20" t="s">
        <v>69</v>
      </c>
      <c r="H20" s="20" t="s">
        <v>70</v>
      </c>
      <c r="J20" s="40" t="str">
        <f>"RY"&amp;RIGHT(J18,2)</f>
        <v>RY06</v>
      </c>
      <c r="K20" s="40" t="str">
        <f t="shared" ref="K20:R20" si="28">"RY"&amp;RIGHT(K18,2)</f>
        <v>RY07</v>
      </c>
      <c r="L20" s="40" t="str">
        <f t="shared" si="28"/>
        <v>RY08</v>
      </c>
      <c r="M20" s="40" t="str">
        <f t="shared" si="28"/>
        <v>RY09</v>
      </c>
      <c r="N20" s="40" t="str">
        <f t="shared" si="28"/>
        <v>RY10</v>
      </c>
      <c r="O20" s="40" t="str">
        <f t="shared" si="28"/>
        <v>RY11</v>
      </c>
      <c r="P20" s="40" t="str">
        <f t="shared" si="28"/>
        <v>RY12</v>
      </c>
      <c r="Q20" s="40" t="str">
        <f t="shared" si="28"/>
        <v>RY13</v>
      </c>
      <c r="R20" s="40" t="str">
        <f t="shared" si="28"/>
        <v>RY14</v>
      </c>
      <c r="S20" s="40" t="str">
        <f t="shared" ref="S20:AB20" si="29">"RY"&amp;RIGHT(S18,2)</f>
        <v>RY15</v>
      </c>
      <c r="T20" s="40" t="str">
        <f t="shared" si="29"/>
        <v>RY16</v>
      </c>
      <c r="U20" s="40" t="str">
        <f t="shared" si="29"/>
        <v>RY17</v>
      </c>
      <c r="V20" s="40" t="str">
        <f t="shared" si="29"/>
        <v>RY18</v>
      </c>
      <c r="W20" s="40" t="str">
        <f t="shared" ref="W20:AA20" si="30">"RY"&amp;RIGHT(W18,2)</f>
        <v>RY19</v>
      </c>
      <c r="X20" s="40" t="str">
        <f t="shared" si="30"/>
        <v>RY20</v>
      </c>
      <c r="Y20" s="40" t="str">
        <f t="shared" si="30"/>
        <v>RY21</v>
      </c>
      <c r="Z20" s="40" t="str">
        <f t="shared" si="30"/>
        <v>RY22</v>
      </c>
      <c r="AA20" s="40" t="str">
        <f t="shared" si="30"/>
        <v>RY23</v>
      </c>
      <c r="AB20" s="40" t="str">
        <f t="shared" si="29"/>
        <v>RY24</v>
      </c>
      <c r="AD20" s="40" t="str">
        <f>J20&amp;"-"&amp;N20</f>
        <v>RY06-RY10</v>
      </c>
      <c r="AE20" s="40" t="str">
        <f>O20&amp;"-"&amp;AB20</f>
        <v>RY11-RY24</v>
      </c>
    </row>
    <row r="21" spans="2:31" s="7" customFormat="1" x14ac:dyDescent="0.35">
      <c r="L21" s="23"/>
      <c r="M21" s="24"/>
      <c r="N21" s="24"/>
      <c r="O21" s="24"/>
    </row>
    <row r="22" spans="2:31" s="4" customFormat="1" ht="15" x14ac:dyDescent="0.35">
      <c r="B22" s="4" t="s">
        <v>46</v>
      </c>
    </row>
    <row r="23" spans="2:31" s="7" customFormat="1" x14ac:dyDescent="0.35">
      <c r="L23" s="23"/>
      <c r="M23" s="24"/>
      <c r="N23" s="24"/>
      <c r="O23" s="24"/>
    </row>
    <row r="24" spans="2:31" ht="12.3" x14ac:dyDescent="0.35">
      <c r="C24" s="8" t="s">
        <v>0</v>
      </c>
      <c r="E24" s="20" t="s">
        <v>1</v>
      </c>
    </row>
    <row r="25" spans="2:31" x14ac:dyDescent="0.35">
      <c r="E25" s="21"/>
    </row>
    <row r="26" spans="2:31" ht="12.3" x14ac:dyDescent="0.35">
      <c r="D26" s="17">
        <v>1</v>
      </c>
      <c r="E26" s="22" t="s">
        <v>2</v>
      </c>
    </row>
    <row r="27" spans="2:31" ht="12.3" x14ac:dyDescent="0.35">
      <c r="D27" s="17">
        <v>3</v>
      </c>
      <c r="E27" s="22" t="s">
        <v>3</v>
      </c>
    </row>
    <row r="28" spans="2:31" s="7" customFormat="1" ht="12.3" x14ac:dyDescent="0.35">
      <c r="D28" s="17">
        <v>4</v>
      </c>
      <c r="E28" s="22" t="s">
        <v>34</v>
      </c>
    </row>
    <row r="29" spans="2:31" ht="12.3" x14ac:dyDescent="0.35">
      <c r="D29" s="17">
        <v>12</v>
      </c>
      <c r="E29" s="22" t="s">
        <v>4</v>
      </c>
    </row>
    <row r="30" spans="2:31" s="7" customFormat="1" ht="12.3" x14ac:dyDescent="0.35">
      <c r="D30" s="17">
        <v>7</v>
      </c>
      <c r="E30" s="22" t="s">
        <v>13</v>
      </c>
    </row>
    <row r="31" spans="2:31" s="7" customFormat="1" ht="12.3" x14ac:dyDescent="0.35">
      <c r="D31" s="17">
        <v>365</v>
      </c>
      <c r="E31" s="22" t="s">
        <v>47</v>
      </c>
    </row>
    <row r="32" spans="2:31" s="7" customFormat="1" ht="12.3" x14ac:dyDescent="0.35">
      <c r="D32" s="17">
        <v>0.5</v>
      </c>
      <c r="E32" s="22" t="s">
        <v>8</v>
      </c>
    </row>
    <row r="33" spans="3:5" ht="12.3" x14ac:dyDescent="0.35">
      <c r="D33" s="17" t="s">
        <v>6</v>
      </c>
      <c r="E33" s="22" t="s">
        <v>6</v>
      </c>
    </row>
    <row r="34" spans="3:5" s="7" customFormat="1" ht="12.3" x14ac:dyDescent="0.35">
      <c r="D34" s="17" t="s">
        <v>35</v>
      </c>
      <c r="E34" s="22" t="s">
        <v>36</v>
      </c>
    </row>
    <row r="35" spans="3:5" ht="12.3" x14ac:dyDescent="0.35">
      <c r="D35" s="17" t="s">
        <v>7</v>
      </c>
      <c r="E35" s="22" t="s">
        <v>7</v>
      </c>
    </row>
    <row r="36" spans="3:5" x14ac:dyDescent="0.35">
      <c r="E36" s="21"/>
    </row>
    <row r="37" spans="3:5" s="7" customFormat="1" ht="12.3" x14ac:dyDescent="0.35">
      <c r="C37" s="8" t="s">
        <v>0</v>
      </c>
      <c r="E37" s="20" t="s">
        <v>1</v>
      </c>
    </row>
    <row r="38" spans="3:5" s="7" customFormat="1" ht="12.3" x14ac:dyDescent="0.35">
      <c r="E38" s="22" t="s">
        <v>11</v>
      </c>
    </row>
    <row r="39" spans="3:5" s="7" customFormat="1" ht="12.3" x14ac:dyDescent="0.35">
      <c r="D39" s="17" t="s">
        <v>9</v>
      </c>
      <c r="E39" s="22" t="s">
        <v>9</v>
      </c>
    </row>
    <row r="40" spans="3:5" s="7" customFormat="1" ht="12.3" x14ac:dyDescent="0.35">
      <c r="D40" s="17" t="s">
        <v>10</v>
      </c>
      <c r="E40" s="22" t="s">
        <v>10</v>
      </c>
    </row>
    <row r="41" spans="3:5" s="7" customFormat="1" x14ac:dyDescent="0.35">
      <c r="E41" s="21"/>
    </row>
    <row r="42" spans="3:5" s="7" customFormat="1" ht="12.3" x14ac:dyDescent="0.35">
      <c r="C42" s="8" t="s">
        <v>75</v>
      </c>
      <c r="E42" s="20" t="s">
        <v>1</v>
      </c>
    </row>
    <row r="43" spans="3:5" s="7" customFormat="1" ht="12.3" x14ac:dyDescent="0.35">
      <c r="E43" s="22" t="s">
        <v>83</v>
      </c>
    </row>
    <row r="44" spans="3:5" s="7" customFormat="1" ht="12.3" x14ac:dyDescent="0.35">
      <c r="D44" s="17" t="s">
        <v>76</v>
      </c>
      <c r="E44" s="22" t="s">
        <v>76</v>
      </c>
    </row>
    <row r="45" spans="3:5" s="7" customFormat="1" ht="12.3" x14ac:dyDescent="0.35">
      <c r="D45" s="17" t="s">
        <v>77</v>
      </c>
      <c r="E45" s="22" t="s">
        <v>77</v>
      </c>
    </row>
    <row r="46" spans="3:5" s="7" customFormat="1" ht="12.3" x14ac:dyDescent="0.35">
      <c r="D46" s="17" t="s">
        <v>79</v>
      </c>
      <c r="E46" s="22" t="s">
        <v>81</v>
      </c>
    </row>
    <row r="47" spans="3:5" s="7" customFormat="1" ht="12.3" x14ac:dyDescent="0.35">
      <c r="D47" s="17" t="s">
        <v>80</v>
      </c>
      <c r="E47" s="22" t="s">
        <v>82</v>
      </c>
    </row>
    <row r="48" spans="3:5" s="7" customFormat="1" ht="12.3" x14ac:dyDescent="0.35">
      <c r="D48" s="17" t="s">
        <v>78</v>
      </c>
      <c r="E48" s="22" t="s">
        <v>78</v>
      </c>
    </row>
    <row r="49" spans="3:6" s="7" customFormat="1" ht="12.3" x14ac:dyDescent="0.35">
      <c r="D49" s="17" t="s">
        <v>113</v>
      </c>
      <c r="E49" s="22" t="s">
        <v>113</v>
      </c>
    </row>
    <row r="50" spans="3:6" s="7" customFormat="1" ht="12.3" x14ac:dyDescent="0.35">
      <c r="D50" s="17" t="s">
        <v>116</v>
      </c>
      <c r="E50" s="48" t="s">
        <v>117</v>
      </c>
    </row>
    <row r="51" spans="3:6" s="7" customFormat="1" ht="12.3" x14ac:dyDescent="0.35">
      <c r="D51" s="17" t="str">
        <f>NA</f>
        <v>N/A</v>
      </c>
      <c r="E51" s="22" t="s">
        <v>112</v>
      </c>
    </row>
    <row r="52" spans="3:6" s="7" customFormat="1" x14ac:dyDescent="0.35">
      <c r="E52" s="21"/>
    </row>
    <row r="53" spans="3:6" s="7" customFormat="1" ht="12.3" x14ac:dyDescent="0.35">
      <c r="C53" s="8" t="s">
        <v>69</v>
      </c>
      <c r="E53" s="20" t="s">
        <v>1</v>
      </c>
    </row>
    <row r="54" spans="3:6" s="7" customFormat="1" ht="12.3" x14ac:dyDescent="0.35">
      <c r="E54" s="22" t="s">
        <v>74</v>
      </c>
    </row>
    <row r="55" spans="3:6" s="7" customFormat="1" ht="12.3" x14ac:dyDescent="0.35">
      <c r="D55" s="17" t="s">
        <v>71</v>
      </c>
      <c r="E55" s="22" t="s">
        <v>73</v>
      </c>
    </row>
    <row r="56" spans="3:6" s="7" customFormat="1" ht="12.3" x14ac:dyDescent="0.35">
      <c r="D56" s="17" t="str">
        <f>NA</f>
        <v>N/A</v>
      </c>
      <c r="E56" s="22" t="s">
        <v>112</v>
      </c>
    </row>
    <row r="57" spans="3:6" s="7" customFormat="1" ht="12.3" x14ac:dyDescent="0.35">
      <c r="D57" s="17" t="s">
        <v>72</v>
      </c>
      <c r="E57" s="22" t="s">
        <v>72</v>
      </c>
    </row>
    <row r="58" spans="3:6" s="7" customFormat="1" x14ac:dyDescent="0.35">
      <c r="E58" s="21"/>
    </row>
    <row r="59" spans="3:6" s="7" customFormat="1" ht="12.3" x14ac:dyDescent="0.35">
      <c r="C59" s="8" t="s">
        <v>70</v>
      </c>
      <c r="E59" s="20"/>
      <c r="F59" s="20" t="s">
        <v>1</v>
      </c>
    </row>
    <row r="60" spans="3:6" s="7" customFormat="1" ht="12.3" x14ac:dyDescent="0.35">
      <c r="D60" s="22" t="s">
        <v>87</v>
      </c>
      <c r="E60" s="22" t="s">
        <v>88</v>
      </c>
    </row>
    <row r="61" spans="3:6" s="7" customFormat="1" ht="12.3" x14ac:dyDescent="0.35">
      <c r="D61" s="17" t="s">
        <v>84</v>
      </c>
      <c r="E61" s="17">
        <v>0</v>
      </c>
      <c r="F61" s="22" t="s">
        <v>91</v>
      </c>
    </row>
    <row r="62" spans="3:6" s="7" customFormat="1" ht="12.3" x14ac:dyDescent="0.35">
      <c r="D62" s="17" t="s">
        <v>85</v>
      </c>
      <c r="E62" s="17">
        <v>0.5</v>
      </c>
      <c r="F62" s="22" t="s">
        <v>90</v>
      </c>
    </row>
    <row r="63" spans="3:6" s="7" customFormat="1" ht="12.3" x14ac:dyDescent="0.35">
      <c r="D63" s="17" t="s">
        <v>86</v>
      </c>
      <c r="E63" s="17">
        <v>1</v>
      </c>
      <c r="F63" s="22" t="s">
        <v>89</v>
      </c>
    </row>
    <row r="64" spans="3:6" s="7" customFormat="1" ht="12.3" x14ac:dyDescent="0.35">
      <c r="D64" s="17" t="str">
        <f>NA</f>
        <v>N/A</v>
      </c>
      <c r="E64" s="17" t="str">
        <f>NA</f>
        <v>N/A</v>
      </c>
      <c r="F64" s="22"/>
    </row>
    <row r="65" spans="3:5" s="7" customFormat="1" x14ac:dyDescent="0.35">
      <c r="E65" s="21"/>
    </row>
    <row r="66" spans="3:5" x14ac:dyDescent="0.35">
      <c r="E66" s="7"/>
    </row>
    <row r="67" spans="3:5" s="13" customFormat="1" ht="14.1" x14ac:dyDescent="0.35">
      <c r="C67" s="13" t="s">
        <v>48</v>
      </c>
    </row>
    <row r="69" spans="3:5" ht="12.3" x14ac:dyDescent="0.35">
      <c r="C69" s="8" t="s">
        <v>153</v>
      </c>
      <c r="D69" s="7"/>
      <c r="E69" s="20" t="s">
        <v>1</v>
      </c>
    </row>
    <row r="70" spans="3:5" ht="12.3" x14ac:dyDescent="0.35">
      <c r="C70" s="7"/>
      <c r="D70" s="7"/>
      <c r="E70" s="22" t="s">
        <v>154</v>
      </c>
    </row>
    <row r="71" spans="3:5" ht="12.3" x14ac:dyDescent="0.35">
      <c r="C71" s="7"/>
      <c r="D71" s="17" t="s">
        <v>122</v>
      </c>
      <c r="E71" s="7"/>
    </row>
    <row r="72" spans="3:5" ht="12.3" x14ac:dyDescent="0.35">
      <c r="C72" s="7"/>
      <c r="D72" s="17" t="s">
        <v>123</v>
      </c>
      <c r="E72" s="7"/>
    </row>
    <row r="73" spans="3:5" ht="12.3" x14ac:dyDescent="0.35">
      <c r="C73" s="7"/>
      <c r="D73" s="17" t="s">
        <v>124</v>
      </c>
      <c r="E73" s="7"/>
    </row>
    <row r="74" spans="3:5" s="7" customFormat="1" ht="12.3" x14ac:dyDescent="0.35">
      <c r="D74" s="17" t="s">
        <v>125</v>
      </c>
    </row>
    <row r="75" spans="3:5" s="7" customFormat="1" ht="12.3" x14ac:dyDescent="0.35">
      <c r="D75" s="17" t="s">
        <v>106</v>
      </c>
    </row>
    <row r="76" spans="3:5" s="7" customFormat="1" ht="12.3" x14ac:dyDescent="0.35">
      <c r="D76" s="17" t="s">
        <v>126</v>
      </c>
    </row>
    <row r="77" spans="3:5" s="7" customFormat="1" ht="12.3" x14ac:dyDescent="0.35">
      <c r="D77" s="17" t="s">
        <v>127</v>
      </c>
    </row>
    <row r="78" spans="3:5" s="7" customFormat="1" ht="12.3" x14ac:dyDescent="0.35">
      <c r="D78" s="17" t="s">
        <v>128</v>
      </c>
    </row>
    <row r="79" spans="3:5" s="7" customFormat="1" ht="12.3" x14ac:dyDescent="0.35">
      <c r="D79" s="17" t="s">
        <v>129</v>
      </c>
    </row>
    <row r="80" spans="3:5" s="7" customFormat="1" ht="12.3" x14ac:dyDescent="0.35">
      <c r="D80" s="17" t="s">
        <v>131</v>
      </c>
    </row>
    <row r="81" spans="3:5" s="7" customFormat="1" ht="12.3" x14ac:dyDescent="0.35">
      <c r="D81" s="17" t="s">
        <v>132</v>
      </c>
    </row>
    <row r="82" spans="3:5" s="7" customFormat="1" ht="12.3" x14ac:dyDescent="0.35">
      <c r="D82" s="17" t="s">
        <v>107</v>
      </c>
    </row>
    <row r="83" spans="3:5" s="7" customFormat="1" ht="12.3" x14ac:dyDescent="0.35">
      <c r="D83" s="17" t="s">
        <v>108</v>
      </c>
    </row>
    <row r="84" spans="3:5" s="7" customFormat="1" ht="12.3" x14ac:dyDescent="0.35">
      <c r="D84" s="17" t="s">
        <v>133</v>
      </c>
    </row>
    <row r="85" spans="3:5" s="7" customFormat="1" ht="12.3" x14ac:dyDescent="0.35">
      <c r="D85" s="17" t="s">
        <v>482</v>
      </c>
    </row>
    <row r="86" spans="3:5" s="7" customFormat="1" ht="12.3" x14ac:dyDescent="0.35">
      <c r="D86" s="17" t="s">
        <v>483</v>
      </c>
    </row>
    <row r="87" spans="3:5" s="7" customFormat="1" ht="12.3" x14ac:dyDescent="0.35">
      <c r="D87" s="17" t="s">
        <v>208</v>
      </c>
    </row>
    <row r="88" spans="3:5" s="7" customFormat="1" ht="12.3" x14ac:dyDescent="0.35">
      <c r="D88" s="17" t="s">
        <v>134</v>
      </c>
    </row>
    <row r="89" spans="3:5" s="7" customFormat="1" ht="12.3" x14ac:dyDescent="0.35">
      <c r="D89" s="17" t="s">
        <v>135</v>
      </c>
    </row>
    <row r="91" spans="3:5" s="13" customFormat="1" ht="14.1" x14ac:dyDescent="0.35">
      <c r="C91" s="13" t="s">
        <v>115</v>
      </c>
    </row>
    <row r="93" spans="3:5" ht="12.3" x14ac:dyDescent="0.35">
      <c r="C93" s="8" t="s">
        <v>92</v>
      </c>
      <c r="D93" s="7"/>
      <c r="E93" s="20" t="s">
        <v>1</v>
      </c>
    </row>
    <row r="94" spans="3:5" ht="12.3" x14ac:dyDescent="0.35">
      <c r="C94" s="7"/>
      <c r="D94" s="22" t="s">
        <v>98</v>
      </c>
      <c r="E94" s="22" t="s">
        <v>99</v>
      </c>
    </row>
    <row r="95" spans="3:5" s="7" customFormat="1" ht="12.3" x14ac:dyDescent="0.35">
      <c r="D95" s="17" t="s">
        <v>93</v>
      </c>
      <c r="E95" s="17" t="s">
        <v>100</v>
      </c>
    </row>
    <row r="96" spans="3:5" s="7" customFormat="1" ht="12.3" x14ac:dyDescent="0.35">
      <c r="D96" s="17" t="s">
        <v>94</v>
      </c>
      <c r="E96" s="17" t="s">
        <v>101</v>
      </c>
    </row>
    <row r="97" spans="3:5" s="7" customFormat="1" ht="12.3" x14ac:dyDescent="0.35">
      <c r="D97" s="17" t="s">
        <v>95</v>
      </c>
      <c r="E97" s="17" t="s">
        <v>102</v>
      </c>
    </row>
    <row r="98" spans="3:5" s="7" customFormat="1" ht="12.3" x14ac:dyDescent="0.35">
      <c r="D98" s="17" t="s">
        <v>96</v>
      </c>
      <c r="E98" s="17" t="s">
        <v>103</v>
      </c>
    </row>
    <row r="99" spans="3:5" s="7" customFormat="1" ht="12.3" x14ac:dyDescent="0.35">
      <c r="D99" s="17" t="s">
        <v>97</v>
      </c>
      <c r="E99" s="17" t="s">
        <v>104</v>
      </c>
    </row>
    <row r="101" spans="3:5" s="7" customFormat="1" ht="12.3" x14ac:dyDescent="0.35">
      <c r="C101" s="8" t="s">
        <v>156</v>
      </c>
      <c r="E101" s="20" t="s">
        <v>1</v>
      </c>
    </row>
    <row r="102" spans="3:5" s="7" customFormat="1" ht="12.3" x14ac:dyDescent="0.35">
      <c r="E102" s="22" t="s">
        <v>157</v>
      </c>
    </row>
    <row r="103" spans="3:5" s="7" customFormat="1" ht="12.3" x14ac:dyDescent="0.35">
      <c r="D103" s="17" t="s">
        <v>137</v>
      </c>
    </row>
    <row r="104" spans="3:5" s="7" customFormat="1" ht="12.3" x14ac:dyDescent="0.35">
      <c r="D104" s="17" t="s">
        <v>138</v>
      </c>
    </row>
    <row r="105" spans="3:5" s="7" customFormat="1" ht="12.3" x14ac:dyDescent="0.35">
      <c r="D105" s="17" t="s">
        <v>139</v>
      </c>
    </row>
    <row r="106" spans="3:5" s="7" customFormat="1" ht="12.3" x14ac:dyDescent="0.35">
      <c r="D106" s="17" t="s">
        <v>140</v>
      </c>
    </row>
    <row r="107" spans="3:5" s="7" customFormat="1" ht="12.3" x14ac:dyDescent="0.35">
      <c r="D107" s="17" t="s">
        <v>141</v>
      </c>
    </row>
    <row r="108" spans="3:5" s="7" customFormat="1" ht="12.3" x14ac:dyDescent="0.35">
      <c r="D108" s="17" t="s">
        <v>136</v>
      </c>
    </row>
    <row r="109" spans="3:5" s="7" customFormat="1" ht="12.3" x14ac:dyDescent="0.35">
      <c r="D109" s="17" t="s">
        <v>142</v>
      </c>
    </row>
    <row r="110" spans="3:5" s="7" customFormat="1" ht="12.3" x14ac:dyDescent="0.35">
      <c r="D110" s="17" t="s">
        <v>143</v>
      </c>
    </row>
    <row r="111" spans="3:5" s="7" customFormat="1" ht="12.3" x14ac:dyDescent="0.35">
      <c r="D111" s="17" t="s">
        <v>145</v>
      </c>
    </row>
    <row r="112" spans="3:5" s="7" customFormat="1" ht="12.3" x14ac:dyDescent="0.35">
      <c r="D112" s="17" t="s">
        <v>144</v>
      </c>
    </row>
    <row r="113" spans="3:7" s="7" customFormat="1" x14ac:dyDescent="0.35"/>
    <row r="114" spans="3:7" s="13" customFormat="1" ht="14.1" x14ac:dyDescent="0.35">
      <c r="C114" s="13" t="s">
        <v>212</v>
      </c>
    </row>
    <row r="115" spans="3:7" s="7" customFormat="1" x14ac:dyDescent="0.35"/>
    <row r="116" spans="3:7" s="7" customFormat="1" ht="12.3" x14ac:dyDescent="0.35">
      <c r="C116" s="8" t="s">
        <v>193</v>
      </c>
      <c r="E116" s="20" t="s">
        <v>1</v>
      </c>
    </row>
    <row r="117" spans="3:7" s="7" customFormat="1" ht="12.3" x14ac:dyDescent="0.4">
      <c r="D117" s="22" t="s">
        <v>213</v>
      </c>
      <c r="E117" s="22" t="s">
        <v>214</v>
      </c>
      <c r="G117" s="152"/>
    </row>
    <row r="118" spans="3:7" s="7" customFormat="1" ht="12.3" x14ac:dyDescent="0.35">
      <c r="D118" s="17" t="s">
        <v>215</v>
      </c>
      <c r="E118" s="139" t="s">
        <v>132</v>
      </c>
      <c r="F118" s="151"/>
    </row>
    <row r="119" spans="3:7" s="7" customFormat="1" ht="12.3" x14ac:dyDescent="0.35">
      <c r="D119" s="17" t="s">
        <v>216</v>
      </c>
      <c r="E119" s="139" t="s">
        <v>122</v>
      </c>
      <c r="F119" s="151"/>
    </row>
    <row r="120" spans="3:7" s="7" customFormat="1" ht="12.3" x14ac:dyDescent="0.35">
      <c r="D120" s="17" t="s">
        <v>217</v>
      </c>
      <c r="E120" s="139" t="s">
        <v>131</v>
      </c>
      <c r="F120" s="151"/>
    </row>
    <row r="121" spans="3:7" s="7" customFormat="1" ht="12.3" x14ac:dyDescent="0.35">
      <c r="D121" s="17" t="s">
        <v>218</v>
      </c>
      <c r="E121" s="139" t="s">
        <v>133</v>
      </c>
      <c r="F121" s="151"/>
    </row>
    <row r="122" spans="3:7" s="7" customFormat="1" ht="12.3" x14ac:dyDescent="0.35">
      <c r="D122" s="17" t="s">
        <v>219</v>
      </c>
      <c r="E122" s="139" t="s">
        <v>133</v>
      </c>
      <c r="F122" s="151"/>
    </row>
    <row r="123" spans="3:7" s="7" customFormat="1" ht="12.3" x14ac:dyDescent="0.35">
      <c r="D123" s="17" t="s">
        <v>129</v>
      </c>
      <c r="E123" s="139" t="s">
        <v>129</v>
      </c>
      <c r="F123" s="151"/>
    </row>
    <row r="124" spans="3:7" s="7" customFormat="1" ht="12.3" x14ac:dyDescent="0.35">
      <c r="D124" s="17" t="s">
        <v>143</v>
      </c>
      <c r="E124" s="139" t="s">
        <v>134</v>
      </c>
      <c r="F124" s="151"/>
    </row>
    <row r="125" spans="3:7" s="7" customFormat="1" ht="12.3" x14ac:dyDescent="0.35">
      <c r="D125" s="17" t="s">
        <v>220</v>
      </c>
      <c r="E125" s="139" t="s">
        <v>129</v>
      </c>
      <c r="F125" s="151"/>
    </row>
    <row r="126" spans="3:7" s="7" customFormat="1" ht="12.3" x14ac:dyDescent="0.35">
      <c r="D126" s="17" t="s">
        <v>221</v>
      </c>
      <c r="E126" s="139" t="s">
        <v>124</v>
      </c>
      <c r="F126" s="151"/>
    </row>
    <row r="127" spans="3:7" s="7" customFormat="1" ht="12.3" x14ac:dyDescent="0.35">
      <c r="D127" s="17" t="s">
        <v>124</v>
      </c>
      <c r="E127" s="139" t="s">
        <v>124</v>
      </c>
      <c r="F127" s="151"/>
    </row>
    <row r="128" spans="3:7" s="7" customFormat="1" ht="12.3" x14ac:dyDescent="0.35">
      <c r="D128" s="17" t="s">
        <v>222</v>
      </c>
      <c r="E128" s="139" t="s">
        <v>126</v>
      </c>
      <c r="F128" s="151"/>
    </row>
    <row r="129" spans="3:6" s="7" customFormat="1" ht="12.3" x14ac:dyDescent="0.35">
      <c r="D129" s="17" t="s">
        <v>223</v>
      </c>
      <c r="E129" s="139" t="s">
        <v>122</v>
      </c>
      <c r="F129" s="151"/>
    </row>
    <row r="130" spans="3:6" s="7" customFormat="1" ht="12.3" x14ac:dyDescent="0.35">
      <c r="D130" s="17" t="s">
        <v>128</v>
      </c>
      <c r="E130" s="139" t="s">
        <v>128</v>
      </c>
      <c r="F130" s="151"/>
    </row>
    <row r="131" spans="3:6" s="7" customFormat="1" ht="12.3" x14ac:dyDescent="0.35">
      <c r="D131" s="17" t="s">
        <v>224</v>
      </c>
      <c r="E131" s="139" t="s">
        <v>106</v>
      </c>
      <c r="F131" s="151"/>
    </row>
    <row r="132" spans="3:6" s="7" customFormat="1" ht="12.3" x14ac:dyDescent="0.35">
      <c r="D132" s="17" t="s">
        <v>225</v>
      </c>
      <c r="E132" s="139" t="s">
        <v>123</v>
      </c>
      <c r="F132" s="151"/>
    </row>
    <row r="133" spans="3:6" s="7" customFormat="1" ht="12.3" x14ac:dyDescent="0.35">
      <c r="D133" s="17" t="s">
        <v>226</v>
      </c>
      <c r="E133" s="139" t="s">
        <v>123</v>
      </c>
      <c r="F133" s="151"/>
    </row>
    <row r="134" spans="3:6" s="7" customFormat="1" ht="12.3" x14ac:dyDescent="0.35">
      <c r="D134" s="17" t="s">
        <v>227</v>
      </c>
      <c r="E134" s="139" t="s">
        <v>123</v>
      </c>
      <c r="F134" s="151"/>
    </row>
    <row r="135" spans="3:6" s="7" customFormat="1" ht="12.3" x14ac:dyDescent="0.35">
      <c r="D135" s="17" t="s">
        <v>228</v>
      </c>
      <c r="E135" s="139" t="s">
        <v>123</v>
      </c>
      <c r="F135" s="151"/>
    </row>
    <row r="136" spans="3:6" s="7" customFormat="1" ht="12.3" x14ac:dyDescent="0.35">
      <c r="D136" s="17" t="s">
        <v>229</v>
      </c>
      <c r="E136" s="139" t="s">
        <v>135</v>
      </c>
      <c r="F136" s="151"/>
    </row>
    <row r="137" spans="3:6" s="7" customFormat="1" ht="12.3" x14ac:dyDescent="0.35">
      <c r="D137" s="17" t="s">
        <v>230</v>
      </c>
      <c r="E137" s="139" t="s">
        <v>129</v>
      </c>
      <c r="F137" s="151"/>
    </row>
    <row r="138" spans="3:6" s="7" customFormat="1" x14ac:dyDescent="0.35"/>
    <row r="139" spans="3:6" s="7" customFormat="1" ht="12.3" x14ac:dyDescent="0.35">
      <c r="C139" s="8" t="s">
        <v>193</v>
      </c>
      <c r="E139" s="20" t="s">
        <v>1</v>
      </c>
    </row>
    <row r="140" spans="3:6" s="7" customFormat="1" ht="12.3" x14ac:dyDescent="0.35">
      <c r="D140" s="22" t="s">
        <v>213</v>
      </c>
      <c r="E140" s="22" t="s">
        <v>214</v>
      </c>
    </row>
    <row r="141" spans="3:6" s="7" customFormat="1" ht="12.3" x14ac:dyDescent="0.35">
      <c r="D141" s="17" t="s">
        <v>121</v>
      </c>
      <c r="E141" s="17" t="str">
        <f>NA</f>
        <v>N/A</v>
      </c>
    </row>
    <row r="142" spans="3:6" s="7" customFormat="1" ht="12.3" x14ac:dyDescent="0.35">
      <c r="D142" s="17" t="s">
        <v>231</v>
      </c>
      <c r="E142" s="139" t="s">
        <v>106</v>
      </c>
    </row>
    <row r="143" spans="3:6" s="7" customFormat="1" ht="12.3" x14ac:dyDescent="0.35">
      <c r="D143" s="17" t="s">
        <v>232</v>
      </c>
      <c r="E143" s="139" t="s">
        <v>122</v>
      </c>
    </row>
    <row r="144" spans="3:6" s="7" customFormat="1" ht="12.3" x14ac:dyDescent="0.35">
      <c r="D144" s="17" t="s">
        <v>233</v>
      </c>
      <c r="E144" s="139" t="s">
        <v>124</v>
      </c>
    </row>
    <row r="145" spans="2:5" s="7" customFormat="1" ht="12.3" x14ac:dyDescent="0.35">
      <c r="D145" s="17" t="s">
        <v>234</v>
      </c>
      <c r="E145" s="139" t="s">
        <v>123</v>
      </c>
    </row>
    <row r="146" spans="2:5" s="7" customFormat="1" ht="12.3" x14ac:dyDescent="0.35">
      <c r="D146" s="17" t="s">
        <v>235</v>
      </c>
      <c r="E146" s="139" t="s">
        <v>106</v>
      </c>
    </row>
    <row r="147" spans="2:5" s="7" customFormat="1" ht="12.3" x14ac:dyDescent="0.35">
      <c r="D147" s="17" t="s">
        <v>105</v>
      </c>
      <c r="E147" s="17" t="str">
        <f>Input_RAB_ACS!$D$18</f>
        <v>Mechanical meters - General</v>
      </c>
    </row>
    <row r="148" spans="2:5" s="7" customFormat="1" ht="12.3" x14ac:dyDescent="0.35">
      <c r="D148" s="17" t="s">
        <v>236</v>
      </c>
      <c r="E148" s="139" t="s">
        <v>131</v>
      </c>
    </row>
    <row r="149" spans="2:5" s="7" customFormat="1" ht="12.3" x14ac:dyDescent="0.35">
      <c r="D149" s="17" t="s">
        <v>237</v>
      </c>
      <c r="E149" s="139" t="s">
        <v>127</v>
      </c>
    </row>
    <row r="150" spans="2:5" s="7" customFormat="1" ht="12.3" x14ac:dyDescent="0.35">
      <c r="D150" s="17" t="s">
        <v>230</v>
      </c>
      <c r="E150" s="139" t="s">
        <v>129</v>
      </c>
    </row>
    <row r="151" spans="2:5" s="7" customFormat="1" ht="12.3" x14ac:dyDescent="0.35">
      <c r="D151" s="17" t="s">
        <v>238</v>
      </c>
      <c r="E151" s="17" t="str">
        <f>NA</f>
        <v>N/A</v>
      </c>
    </row>
    <row r="152" spans="2:5" s="7" customFormat="1" ht="12.3" x14ac:dyDescent="0.35">
      <c r="D152" s="17" t="s">
        <v>239</v>
      </c>
      <c r="E152" s="139" t="s">
        <v>107</v>
      </c>
    </row>
    <row r="153" spans="2:5" s="7" customFormat="1" ht="12.3" x14ac:dyDescent="0.35">
      <c r="D153" s="17" t="s">
        <v>240</v>
      </c>
      <c r="E153" s="139" t="s">
        <v>108</v>
      </c>
    </row>
    <row r="154" spans="2:5" s="7" customFormat="1" ht="12.3" x14ac:dyDescent="0.35">
      <c r="D154" s="17" t="s">
        <v>241</v>
      </c>
      <c r="E154" s="139" t="s">
        <v>132</v>
      </c>
    </row>
    <row r="155" spans="2:5" s="7" customFormat="1" ht="12.3" x14ac:dyDescent="0.35">
      <c r="D155" s="17" t="s">
        <v>242</v>
      </c>
      <c r="E155" s="139" t="s">
        <v>133</v>
      </c>
    </row>
    <row r="156" spans="2:5" s="7" customFormat="1" ht="12.3" x14ac:dyDescent="0.35">
      <c r="D156" s="17" t="s">
        <v>243</v>
      </c>
      <c r="E156" s="139" t="s">
        <v>133</v>
      </c>
    </row>
    <row r="157" spans="2:5" s="7" customFormat="1" x14ac:dyDescent="0.35"/>
    <row r="158" spans="2:5" s="4" customFormat="1" ht="15" x14ac:dyDescent="0.35">
      <c r="B158" s="4" t="s">
        <v>33</v>
      </c>
    </row>
  </sheetData>
  <conditionalFormatting sqref="B2">
    <cfRule type="cellIs" dxfId="5" priority="1" operator="notEqual">
      <formula>"No Errors Found"</formula>
    </cfRule>
  </conditionalFormatting>
  <dataValidations count="1">
    <dataValidation type="list" allowBlank="1" showInputMessage="1" showErrorMessage="1" sqref="E118:E137 E152:E156 E142:E146 E148:E150" xr:uid="{C488FEA4-5431-40C6-A70A-FED18EE5C04E}">
      <formula1>LU_RAB_Assets</formula1>
    </dataValidation>
  </dataValidations>
  <hyperlinks>
    <hyperlink ref="B3:E3" location="TOC!A1" display="TOC!A1"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FD35"/>
  <sheetViews>
    <sheetView showGridLines="0" workbookViewId="0">
      <pane xSplit="1" ySplit="4" topLeftCell="B5" activePane="bottomRight" state="frozen"/>
      <selection pane="topRight" activeCell="B1" sqref="B1"/>
      <selection pane="bottomLeft" activeCell="A4" sqref="A4"/>
      <selection pane="bottomRight" activeCell="B5" sqref="B5"/>
    </sheetView>
  </sheetViews>
  <sheetFormatPr defaultRowHeight="10.199999999999999" x14ac:dyDescent="0.35"/>
  <cols>
    <col min="1" max="3" width="2.796875" customWidth="1"/>
    <col min="4" max="4" width="65.6640625" customWidth="1"/>
    <col min="5" max="7" width="3.796875" customWidth="1"/>
  </cols>
  <sheetData>
    <row r="1" spans="1:16384" ht="18.899999999999999" x14ac:dyDescent="0.35">
      <c r="A1" s="7"/>
      <c r="B1" s="5" t="s">
        <v>16</v>
      </c>
      <c r="C1" s="7"/>
      <c r="D1" s="7"/>
      <c r="E1" s="7"/>
      <c r="F1" s="7"/>
      <c r="G1" s="7"/>
      <c r="H1" s="7"/>
      <c r="I1" s="7"/>
    </row>
    <row r="2" spans="1:16384" s="9" customFormat="1" x14ac:dyDescent="0.35">
      <c r="A2" s="7"/>
      <c r="B2" s="18" t="str">
        <f>Title_Msg</f>
        <v>No Errors Found</v>
      </c>
      <c r="C2" s="7"/>
      <c r="D2" s="7"/>
      <c r="E2" s="7"/>
      <c r="F2" s="7"/>
      <c r="G2" s="7"/>
      <c r="H2" s="7"/>
      <c r="I2" s="7"/>
    </row>
    <row r="3" spans="1:16384" s="7" customFormat="1" x14ac:dyDescent="0.35">
      <c r="B3" s="37" t="str">
        <f>TOC!B1</f>
        <v>Table of Contents</v>
      </c>
      <c r="C3" s="35"/>
      <c r="D3" s="35"/>
      <c r="E3" s="35"/>
    </row>
    <row r="4" spans="1:16384" s="7" customFormat="1" ht="12.3" x14ac:dyDescent="0.35">
      <c r="B4" s="34" t="str">
        <f>Model_Name</f>
        <v>Power and Water Corporation (PWC) - RAB Allocation - EB RIN - DRAFT</v>
      </c>
    </row>
    <row r="5" spans="1:16384" s="9" customFormat="1" x14ac:dyDescent="0.35">
      <c r="A5" s="7"/>
      <c r="B5" s="18"/>
      <c r="C5" s="7"/>
      <c r="D5" s="7"/>
      <c r="E5" s="7"/>
      <c r="F5" s="7"/>
      <c r="G5" s="7"/>
      <c r="H5" s="7"/>
      <c r="I5" s="7"/>
    </row>
    <row r="6" spans="1:16384" s="25" customFormat="1" ht="15" x14ac:dyDescent="0.35">
      <c r="B6" s="4" t="s">
        <v>18</v>
      </c>
    </row>
    <row r="7" spans="1:16384" s="9" customFormat="1" x14ac:dyDescent="0.35">
      <c r="A7" s="7"/>
      <c r="B7" s="27"/>
      <c r="C7" s="7"/>
      <c r="D7" s="7"/>
      <c r="E7" s="7"/>
      <c r="F7" s="7"/>
      <c r="G7" s="7"/>
      <c r="H7" s="7"/>
      <c r="I7" s="7"/>
    </row>
    <row r="8" spans="1:16384" s="9" customFormat="1" ht="12.3" x14ac:dyDescent="0.35">
      <c r="A8" s="7"/>
      <c r="D8" s="11" t="s">
        <v>17</v>
      </c>
      <c r="E8" s="7"/>
      <c r="F8" s="7"/>
      <c r="G8" s="7"/>
      <c r="H8" s="12" t="str">
        <f>IF(H33=0,"No Errors Found","Errors Found")</f>
        <v>No Errors Found</v>
      </c>
      <c r="I8" s="7"/>
    </row>
    <row r="9" spans="1:16384" s="9" customFormat="1" ht="12.3" x14ac:dyDescent="0.35">
      <c r="A9" s="7"/>
      <c r="D9" s="11" t="s">
        <v>19</v>
      </c>
      <c r="E9" s="7"/>
      <c r="F9" s="7"/>
      <c r="G9" s="7"/>
      <c r="H9" s="11"/>
      <c r="I9" s="7"/>
    </row>
    <row r="10" spans="1:16384" s="9" customFormat="1" ht="12.3" x14ac:dyDescent="0.35">
      <c r="A10" s="7"/>
      <c r="D10" s="11" t="s">
        <v>20</v>
      </c>
      <c r="E10" s="7"/>
      <c r="F10" s="7"/>
      <c r="G10" s="7"/>
      <c r="H10" s="32" t="str">
        <f>H8&amp;IF(H9="","",", " &amp;H9)</f>
        <v>No Errors Found</v>
      </c>
      <c r="I10" s="7"/>
    </row>
    <row r="11" spans="1:16384" s="9" customFormat="1" x14ac:dyDescent="0.35">
      <c r="A11" s="7"/>
      <c r="B11" s="27"/>
      <c r="C11" s="7"/>
      <c r="D11" s="7"/>
      <c r="E11" s="7"/>
      <c r="F11" s="7"/>
      <c r="G11" s="7"/>
      <c r="H11" s="7"/>
      <c r="I11" s="7"/>
    </row>
    <row r="12" spans="1:16384" s="25" customFormat="1" ht="15" x14ac:dyDescent="0.35">
      <c r="B12" s="4" t="s">
        <v>32</v>
      </c>
    </row>
    <row r="13" spans="1:16384" s="9" customFormat="1" x14ac:dyDescent="0.35">
      <c r="A13" s="7"/>
      <c r="B13" s="27"/>
      <c r="C13" s="7"/>
      <c r="D13" s="7"/>
      <c r="E13" s="7"/>
      <c r="F13" s="7"/>
      <c r="G13" s="7"/>
      <c r="H13" s="7"/>
      <c r="I13" s="7"/>
    </row>
    <row r="14" spans="1:16384" s="13" customFormat="1" ht="14.1" x14ac:dyDescent="0.35">
      <c r="C14" s="13" t="s">
        <v>12</v>
      </c>
    </row>
    <row r="15" spans="1:16384" s="25" customFormat="1" ht="15" x14ac:dyDescent="0.3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c r="NN15" s="7"/>
      <c r="NO15" s="7"/>
      <c r="NP15" s="7"/>
      <c r="NQ15" s="7"/>
      <c r="NR15" s="7"/>
      <c r="NS15" s="7"/>
      <c r="NT15" s="7"/>
      <c r="NU15" s="7"/>
      <c r="NV15" s="7"/>
      <c r="NW15" s="7"/>
      <c r="NX15" s="7"/>
      <c r="NY15" s="7"/>
      <c r="NZ15" s="7"/>
      <c r="OA15" s="7"/>
      <c r="OB15" s="7"/>
      <c r="OC15" s="7"/>
      <c r="OD15" s="7"/>
      <c r="OE15" s="7"/>
      <c r="OF15" s="7"/>
      <c r="OG15" s="7"/>
      <c r="OH15" s="7"/>
      <c r="OI15" s="7"/>
      <c r="OJ15" s="7"/>
      <c r="OK15" s="7"/>
      <c r="OL15" s="7"/>
      <c r="OM15" s="7"/>
      <c r="ON15" s="7"/>
      <c r="OO15" s="7"/>
      <c r="OP15" s="7"/>
      <c r="OQ15" s="7"/>
      <c r="OR15" s="7"/>
      <c r="OS15" s="7"/>
      <c r="OT15" s="7"/>
      <c r="OU15" s="7"/>
      <c r="OV15" s="7"/>
      <c r="OW15" s="7"/>
      <c r="OX15" s="7"/>
      <c r="OY15" s="7"/>
      <c r="OZ15" s="7"/>
      <c r="PA15" s="7"/>
      <c r="PB15" s="7"/>
      <c r="PC15" s="7"/>
      <c r="PD15" s="7"/>
      <c r="PE15" s="7"/>
      <c r="PF15" s="7"/>
      <c r="PG15" s="7"/>
      <c r="PH15" s="7"/>
      <c r="PI15" s="7"/>
      <c r="PJ15" s="7"/>
      <c r="PK15" s="7"/>
      <c r="PL15" s="7"/>
      <c r="PM15" s="7"/>
      <c r="PN15" s="7"/>
      <c r="PO15" s="7"/>
      <c r="PP15" s="7"/>
      <c r="PQ15" s="7"/>
      <c r="PR15" s="7"/>
      <c r="PS15" s="7"/>
      <c r="PT15" s="7"/>
      <c r="PU15" s="7"/>
      <c r="PV15" s="7"/>
      <c r="PW15" s="7"/>
      <c r="PX15" s="7"/>
      <c r="PY15" s="7"/>
      <c r="PZ15" s="7"/>
      <c r="QA15" s="7"/>
      <c r="QB15" s="7"/>
      <c r="QC15" s="7"/>
      <c r="QD15" s="7"/>
      <c r="QE15" s="7"/>
      <c r="QF15" s="7"/>
      <c r="QG15" s="7"/>
      <c r="QH15" s="7"/>
      <c r="QI15" s="7"/>
      <c r="QJ15" s="7"/>
      <c r="QK15" s="7"/>
      <c r="QL15" s="7"/>
      <c r="QM15" s="7"/>
      <c r="QN15" s="7"/>
      <c r="QO15" s="7"/>
      <c r="QP15" s="7"/>
      <c r="QQ15" s="7"/>
      <c r="QR15" s="7"/>
      <c r="QS15" s="7"/>
      <c r="QT15" s="7"/>
      <c r="QU15" s="7"/>
      <c r="QV15" s="7"/>
      <c r="QW15" s="7"/>
      <c r="QX15" s="7"/>
      <c r="QY15" s="7"/>
      <c r="QZ15" s="7"/>
      <c r="RA15" s="7"/>
      <c r="RB15" s="7"/>
      <c r="RC15" s="7"/>
      <c r="RD15" s="7"/>
      <c r="RE15" s="7"/>
      <c r="RF15" s="7"/>
      <c r="RG15" s="7"/>
      <c r="RH15" s="7"/>
      <c r="RI15" s="7"/>
      <c r="RJ15" s="7"/>
      <c r="RK15" s="7"/>
      <c r="RL15" s="7"/>
      <c r="RM15" s="7"/>
      <c r="RN15" s="7"/>
      <c r="RO15" s="7"/>
      <c r="RP15" s="7"/>
      <c r="RQ15" s="7"/>
      <c r="RR15" s="7"/>
      <c r="RS15" s="7"/>
      <c r="RT15" s="7"/>
      <c r="RU15" s="7"/>
      <c r="RV15" s="7"/>
      <c r="RW15" s="7"/>
      <c r="RX15" s="7"/>
      <c r="RY15" s="7"/>
      <c r="RZ15" s="7"/>
      <c r="SA15" s="7"/>
      <c r="SB15" s="7"/>
      <c r="SC15" s="7"/>
      <c r="SD15" s="7"/>
      <c r="SE15" s="7"/>
      <c r="SF15" s="7"/>
      <c r="SG15" s="7"/>
      <c r="SH15" s="7"/>
      <c r="SI15" s="7"/>
      <c r="SJ15" s="7"/>
      <c r="SK15" s="7"/>
      <c r="SL15" s="7"/>
      <c r="SM15" s="7"/>
      <c r="SN15" s="7"/>
      <c r="SO15" s="7"/>
      <c r="SP15" s="7"/>
      <c r="SQ15" s="7"/>
      <c r="SR15" s="7"/>
      <c r="SS15" s="7"/>
      <c r="ST15" s="7"/>
      <c r="SU15" s="7"/>
      <c r="SV15" s="7"/>
      <c r="SW15" s="7"/>
      <c r="SX15" s="7"/>
      <c r="SY15" s="7"/>
      <c r="SZ15" s="7"/>
      <c r="TA15" s="7"/>
      <c r="TB15" s="7"/>
      <c r="TC15" s="7"/>
      <c r="TD15" s="7"/>
      <c r="TE15" s="7"/>
      <c r="TF15" s="7"/>
      <c r="TG15" s="7"/>
      <c r="TH15" s="7"/>
      <c r="TI15" s="7"/>
      <c r="TJ15" s="7"/>
      <c r="TK15" s="7"/>
      <c r="TL15" s="7"/>
      <c r="TM15" s="7"/>
      <c r="TN15" s="7"/>
      <c r="TO15" s="7"/>
      <c r="TP15" s="7"/>
      <c r="TQ15" s="7"/>
      <c r="TR15" s="7"/>
      <c r="TS15" s="7"/>
      <c r="TT15" s="7"/>
      <c r="TU15" s="7"/>
      <c r="TV15" s="7"/>
      <c r="TW15" s="7"/>
      <c r="TX15" s="7"/>
      <c r="TY15" s="7"/>
      <c r="TZ15" s="7"/>
      <c r="UA15" s="7"/>
      <c r="UB15" s="7"/>
      <c r="UC15" s="7"/>
      <c r="UD15" s="7"/>
      <c r="UE15" s="7"/>
      <c r="UF15" s="7"/>
      <c r="UG15" s="7"/>
      <c r="UH15" s="7"/>
      <c r="UI15" s="7"/>
      <c r="UJ15" s="7"/>
      <c r="UK15" s="7"/>
      <c r="UL15" s="7"/>
      <c r="UM15" s="7"/>
      <c r="UN15" s="7"/>
      <c r="UO15" s="7"/>
      <c r="UP15" s="7"/>
      <c r="UQ15" s="7"/>
      <c r="UR15" s="7"/>
      <c r="US15" s="7"/>
      <c r="UT15" s="7"/>
      <c r="UU15" s="7"/>
      <c r="UV15" s="7"/>
      <c r="UW15" s="7"/>
      <c r="UX15" s="7"/>
      <c r="UY15" s="7"/>
      <c r="UZ15" s="7"/>
      <c r="VA15" s="7"/>
      <c r="VB15" s="7"/>
      <c r="VC15" s="7"/>
      <c r="VD15" s="7"/>
      <c r="VE15" s="7"/>
      <c r="VF15" s="7"/>
      <c r="VG15" s="7"/>
      <c r="VH15" s="7"/>
      <c r="VI15" s="7"/>
      <c r="VJ15" s="7"/>
      <c r="VK15" s="7"/>
      <c r="VL15" s="7"/>
      <c r="VM15" s="7"/>
      <c r="VN15" s="7"/>
      <c r="VO15" s="7"/>
      <c r="VP15" s="7"/>
      <c r="VQ15" s="7"/>
      <c r="VR15" s="7"/>
      <c r="VS15" s="7"/>
      <c r="VT15" s="7"/>
      <c r="VU15" s="7"/>
      <c r="VV15" s="7"/>
      <c r="VW15" s="7"/>
      <c r="VX15" s="7"/>
      <c r="VY15" s="7"/>
      <c r="VZ15" s="7"/>
      <c r="WA15" s="7"/>
      <c r="WB15" s="7"/>
      <c r="WC15" s="7"/>
      <c r="WD15" s="7"/>
      <c r="WE15" s="7"/>
      <c r="WF15" s="7"/>
      <c r="WG15" s="7"/>
      <c r="WH15" s="7"/>
      <c r="WI15" s="7"/>
      <c r="WJ15" s="7"/>
      <c r="WK15" s="7"/>
      <c r="WL15" s="7"/>
      <c r="WM15" s="7"/>
      <c r="WN15" s="7"/>
      <c r="WO15" s="7"/>
      <c r="WP15" s="7"/>
      <c r="WQ15" s="7"/>
      <c r="WR15" s="7"/>
      <c r="WS15" s="7"/>
      <c r="WT15" s="7"/>
      <c r="WU15" s="7"/>
      <c r="WV15" s="7"/>
      <c r="WW15" s="7"/>
      <c r="WX15" s="7"/>
      <c r="WY15" s="7"/>
      <c r="WZ15" s="7"/>
      <c r="XA15" s="7"/>
      <c r="XB15" s="7"/>
      <c r="XC15" s="7"/>
      <c r="XD15" s="7"/>
      <c r="XE15" s="7"/>
      <c r="XF15" s="7"/>
      <c r="XG15" s="7"/>
      <c r="XH15" s="7"/>
      <c r="XI15" s="7"/>
      <c r="XJ15" s="7"/>
      <c r="XK15" s="7"/>
      <c r="XL15" s="7"/>
      <c r="XM15" s="7"/>
      <c r="XN15" s="7"/>
      <c r="XO15" s="7"/>
      <c r="XP15" s="7"/>
      <c r="XQ15" s="7"/>
      <c r="XR15" s="7"/>
      <c r="XS15" s="7"/>
      <c r="XT15" s="7"/>
      <c r="XU15" s="7"/>
      <c r="XV15" s="7"/>
      <c r="XW15" s="7"/>
      <c r="XX15" s="7"/>
      <c r="XY15" s="7"/>
      <c r="XZ15" s="7"/>
      <c r="YA15" s="7"/>
      <c r="YB15" s="7"/>
      <c r="YC15" s="7"/>
      <c r="YD15" s="7"/>
      <c r="YE15" s="7"/>
      <c r="YF15" s="7"/>
      <c r="YG15" s="7"/>
      <c r="YH15" s="7"/>
      <c r="YI15" s="7"/>
      <c r="YJ15" s="7"/>
      <c r="YK15" s="7"/>
      <c r="YL15" s="7"/>
      <c r="YM15" s="7"/>
      <c r="YN15" s="7"/>
      <c r="YO15" s="7"/>
      <c r="YP15" s="7"/>
      <c r="YQ15" s="7"/>
      <c r="YR15" s="7"/>
      <c r="YS15" s="7"/>
      <c r="YT15" s="7"/>
      <c r="YU15" s="7"/>
      <c r="YV15" s="7"/>
      <c r="YW15" s="7"/>
      <c r="YX15" s="7"/>
      <c r="YY15" s="7"/>
      <c r="YZ15" s="7"/>
      <c r="ZA15" s="7"/>
      <c r="ZB15" s="7"/>
      <c r="ZC15" s="7"/>
      <c r="ZD15" s="7"/>
      <c r="ZE15" s="7"/>
      <c r="ZF15" s="7"/>
      <c r="ZG15" s="7"/>
      <c r="ZH15" s="7"/>
      <c r="ZI15" s="7"/>
      <c r="ZJ15" s="7"/>
      <c r="ZK15" s="7"/>
      <c r="ZL15" s="7"/>
      <c r="ZM15" s="7"/>
      <c r="ZN15" s="7"/>
      <c r="ZO15" s="7"/>
      <c r="ZP15" s="7"/>
      <c r="ZQ15" s="7"/>
      <c r="ZR15" s="7"/>
      <c r="ZS15" s="7"/>
      <c r="ZT15" s="7"/>
      <c r="ZU15" s="7"/>
      <c r="ZV15" s="7"/>
      <c r="ZW15" s="7"/>
      <c r="ZX15" s="7"/>
      <c r="ZY15" s="7"/>
      <c r="ZZ15" s="7"/>
      <c r="AAA15" s="7"/>
      <c r="AAB15" s="7"/>
      <c r="AAC15" s="7"/>
      <c r="AAD15" s="7"/>
      <c r="AAE15" s="7"/>
      <c r="AAF15" s="7"/>
      <c r="AAG15" s="7"/>
      <c r="AAH15" s="7"/>
      <c r="AAI15" s="7"/>
      <c r="AAJ15" s="7"/>
      <c r="AAK15" s="7"/>
      <c r="AAL15" s="7"/>
      <c r="AAM15" s="7"/>
      <c r="AAN15" s="7"/>
      <c r="AAO15" s="7"/>
      <c r="AAP15" s="7"/>
      <c r="AAQ15" s="7"/>
      <c r="AAR15" s="7"/>
      <c r="AAS15" s="7"/>
      <c r="AAT15" s="7"/>
      <c r="AAU15" s="7"/>
      <c r="AAV15" s="7"/>
      <c r="AAW15" s="7"/>
      <c r="AAX15" s="7"/>
      <c r="AAY15" s="7"/>
      <c r="AAZ15" s="7"/>
      <c r="ABA15" s="7"/>
      <c r="ABB15" s="7"/>
      <c r="ABC15" s="7"/>
      <c r="ABD15" s="7"/>
      <c r="ABE15" s="7"/>
      <c r="ABF15" s="7"/>
      <c r="ABG15" s="7"/>
      <c r="ABH15" s="7"/>
      <c r="ABI15" s="7"/>
      <c r="ABJ15" s="7"/>
      <c r="ABK15" s="7"/>
      <c r="ABL15" s="7"/>
      <c r="ABM15" s="7"/>
      <c r="ABN15" s="7"/>
      <c r="ABO15" s="7"/>
      <c r="ABP15" s="7"/>
      <c r="ABQ15" s="7"/>
      <c r="ABR15" s="7"/>
      <c r="ABS15" s="7"/>
      <c r="ABT15" s="7"/>
      <c r="ABU15" s="7"/>
      <c r="ABV15" s="7"/>
      <c r="ABW15" s="7"/>
      <c r="ABX15" s="7"/>
      <c r="ABY15" s="7"/>
      <c r="ABZ15" s="7"/>
      <c r="ACA15" s="7"/>
      <c r="ACB15" s="7"/>
      <c r="ACC15" s="7"/>
      <c r="ACD15" s="7"/>
      <c r="ACE15" s="7"/>
      <c r="ACF15" s="7"/>
      <c r="ACG15" s="7"/>
      <c r="ACH15" s="7"/>
      <c r="ACI15" s="7"/>
      <c r="ACJ15" s="7"/>
      <c r="ACK15" s="7"/>
      <c r="ACL15" s="7"/>
      <c r="ACM15" s="7"/>
      <c r="ACN15" s="7"/>
      <c r="ACO15" s="7"/>
      <c r="ACP15" s="7"/>
      <c r="ACQ15" s="7"/>
      <c r="ACR15" s="7"/>
      <c r="ACS15" s="7"/>
      <c r="ACT15" s="7"/>
      <c r="ACU15" s="7"/>
      <c r="ACV15" s="7"/>
      <c r="ACW15" s="7"/>
      <c r="ACX15" s="7"/>
      <c r="ACY15" s="7"/>
      <c r="ACZ15" s="7"/>
      <c r="ADA15" s="7"/>
      <c r="ADB15" s="7"/>
      <c r="ADC15" s="7"/>
      <c r="ADD15" s="7"/>
      <c r="ADE15" s="7"/>
      <c r="ADF15" s="7"/>
      <c r="ADG15" s="7"/>
      <c r="ADH15" s="7"/>
      <c r="ADI15" s="7"/>
      <c r="ADJ15" s="7"/>
      <c r="ADK15" s="7"/>
      <c r="ADL15" s="7"/>
      <c r="ADM15" s="7"/>
      <c r="ADN15" s="7"/>
      <c r="ADO15" s="7"/>
      <c r="ADP15" s="7"/>
      <c r="ADQ15" s="7"/>
      <c r="ADR15" s="7"/>
      <c r="ADS15" s="7"/>
      <c r="ADT15" s="7"/>
      <c r="ADU15" s="7"/>
      <c r="ADV15" s="7"/>
      <c r="ADW15" s="7"/>
      <c r="ADX15" s="7"/>
      <c r="ADY15" s="7"/>
      <c r="ADZ15" s="7"/>
      <c r="AEA15" s="7"/>
      <c r="AEB15" s="7"/>
      <c r="AEC15" s="7"/>
      <c r="AED15" s="7"/>
      <c r="AEE15" s="7"/>
      <c r="AEF15" s="7"/>
      <c r="AEG15" s="7"/>
      <c r="AEH15" s="7"/>
      <c r="AEI15" s="7"/>
      <c r="AEJ15" s="7"/>
      <c r="AEK15" s="7"/>
      <c r="AEL15" s="7"/>
      <c r="AEM15" s="7"/>
      <c r="AEN15" s="7"/>
      <c r="AEO15" s="7"/>
      <c r="AEP15" s="7"/>
      <c r="AEQ15" s="7"/>
      <c r="AER15" s="7"/>
      <c r="AES15" s="7"/>
      <c r="AET15" s="7"/>
      <c r="AEU15" s="7"/>
      <c r="AEV15" s="7"/>
      <c r="AEW15" s="7"/>
      <c r="AEX15" s="7"/>
      <c r="AEY15" s="7"/>
      <c r="AEZ15" s="7"/>
      <c r="AFA15" s="7"/>
      <c r="AFB15" s="7"/>
      <c r="AFC15" s="7"/>
      <c r="AFD15" s="7"/>
      <c r="AFE15" s="7"/>
      <c r="AFF15" s="7"/>
      <c r="AFG15" s="7"/>
      <c r="AFH15" s="7"/>
      <c r="AFI15" s="7"/>
      <c r="AFJ15" s="7"/>
      <c r="AFK15" s="7"/>
      <c r="AFL15" s="7"/>
      <c r="AFM15" s="7"/>
      <c r="AFN15" s="7"/>
      <c r="AFO15" s="7"/>
      <c r="AFP15" s="7"/>
      <c r="AFQ15" s="7"/>
      <c r="AFR15" s="7"/>
      <c r="AFS15" s="7"/>
      <c r="AFT15" s="7"/>
      <c r="AFU15" s="7"/>
      <c r="AFV15" s="7"/>
      <c r="AFW15" s="7"/>
      <c r="AFX15" s="7"/>
      <c r="AFY15" s="7"/>
      <c r="AFZ15" s="7"/>
      <c r="AGA15" s="7"/>
      <c r="AGB15" s="7"/>
      <c r="AGC15" s="7"/>
      <c r="AGD15" s="7"/>
      <c r="AGE15" s="7"/>
      <c r="AGF15" s="7"/>
      <c r="AGG15" s="7"/>
      <c r="AGH15" s="7"/>
      <c r="AGI15" s="7"/>
      <c r="AGJ15" s="7"/>
      <c r="AGK15" s="7"/>
      <c r="AGL15" s="7"/>
      <c r="AGM15" s="7"/>
      <c r="AGN15" s="7"/>
      <c r="AGO15" s="7"/>
      <c r="AGP15" s="7"/>
      <c r="AGQ15" s="7"/>
      <c r="AGR15" s="7"/>
      <c r="AGS15" s="7"/>
      <c r="AGT15" s="7"/>
      <c r="AGU15" s="7"/>
      <c r="AGV15" s="7"/>
      <c r="AGW15" s="7"/>
      <c r="AGX15" s="7"/>
      <c r="AGY15" s="7"/>
      <c r="AGZ15" s="7"/>
      <c r="AHA15" s="7"/>
      <c r="AHB15" s="7"/>
      <c r="AHC15" s="7"/>
      <c r="AHD15" s="7"/>
      <c r="AHE15" s="7"/>
      <c r="AHF15" s="7"/>
      <c r="AHG15" s="7"/>
      <c r="AHH15" s="7"/>
      <c r="AHI15" s="7"/>
      <c r="AHJ15" s="7"/>
      <c r="AHK15" s="7"/>
      <c r="AHL15" s="7"/>
      <c r="AHM15" s="7"/>
      <c r="AHN15" s="7"/>
      <c r="AHO15" s="7"/>
      <c r="AHP15" s="7"/>
      <c r="AHQ15" s="7"/>
      <c r="AHR15" s="7"/>
      <c r="AHS15" s="7"/>
      <c r="AHT15" s="7"/>
      <c r="AHU15" s="7"/>
      <c r="AHV15" s="7"/>
      <c r="AHW15" s="7"/>
      <c r="AHX15" s="7"/>
      <c r="AHY15" s="7"/>
      <c r="AHZ15" s="7"/>
      <c r="AIA15" s="7"/>
      <c r="AIB15" s="7"/>
      <c r="AIC15" s="7"/>
      <c r="AID15" s="7"/>
      <c r="AIE15" s="7"/>
      <c r="AIF15" s="7"/>
      <c r="AIG15" s="7"/>
      <c r="AIH15" s="7"/>
      <c r="AII15" s="7"/>
      <c r="AIJ15" s="7"/>
      <c r="AIK15" s="7"/>
      <c r="AIL15" s="7"/>
      <c r="AIM15" s="7"/>
      <c r="AIN15" s="7"/>
      <c r="AIO15" s="7"/>
      <c r="AIP15" s="7"/>
      <c r="AIQ15" s="7"/>
      <c r="AIR15" s="7"/>
      <c r="AIS15" s="7"/>
      <c r="AIT15" s="7"/>
      <c r="AIU15" s="7"/>
      <c r="AIV15" s="7"/>
      <c r="AIW15" s="7"/>
      <c r="AIX15" s="7"/>
      <c r="AIY15" s="7"/>
      <c r="AIZ15" s="7"/>
      <c r="AJA15" s="7"/>
      <c r="AJB15" s="7"/>
      <c r="AJC15" s="7"/>
      <c r="AJD15" s="7"/>
      <c r="AJE15" s="7"/>
      <c r="AJF15" s="7"/>
      <c r="AJG15" s="7"/>
      <c r="AJH15" s="7"/>
      <c r="AJI15" s="7"/>
      <c r="AJJ15" s="7"/>
      <c r="AJK15" s="7"/>
      <c r="AJL15" s="7"/>
      <c r="AJM15" s="7"/>
      <c r="AJN15" s="7"/>
      <c r="AJO15" s="7"/>
      <c r="AJP15" s="7"/>
      <c r="AJQ15" s="7"/>
      <c r="AJR15" s="7"/>
      <c r="AJS15" s="7"/>
      <c r="AJT15" s="7"/>
      <c r="AJU15" s="7"/>
      <c r="AJV15" s="7"/>
      <c r="AJW15" s="7"/>
      <c r="AJX15" s="7"/>
      <c r="AJY15" s="7"/>
      <c r="AJZ15" s="7"/>
      <c r="AKA15" s="7"/>
      <c r="AKB15" s="7"/>
      <c r="AKC15" s="7"/>
      <c r="AKD15" s="7"/>
      <c r="AKE15" s="7"/>
      <c r="AKF15" s="7"/>
      <c r="AKG15" s="7"/>
      <c r="AKH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c r="BDU15" s="7"/>
      <c r="BDV15" s="7"/>
      <c r="BDW15" s="7"/>
      <c r="BDX15" s="7"/>
      <c r="BDY15" s="7"/>
      <c r="BDZ15" s="7"/>
      <c r="BEA15" s="7"/>
      <c r="BEB15" s="7"/>
      <c r="BEC15" s="7"/>
      <c r="BED15" s="7"/>
      <c r="BEE15" s="7"/>
      <c r="BEF15" s="7"/>
      <c r="BEG15" s="7"/>
      <c r="BEH15" s="7"/>
      <c r="BEI15" s="7"/>
      <c r="BEJ15" s="7"/>
      <c r="BEK15" s="7"/>
      <c r="BEL15" s="7"/>
      <c r="BEM15" s="7"/>
      <c r="BEN15" s="7"/>
      <c r="BEO15" s="7"/>
      <c r="BEP15" s="7"/>
      <c r="BEQ15" s="7"/>
      <c r="BER15" s="7"/>
      <c r="BES15" s="7"/>
      <c r="BET15" s="7"/>
      <c r="BEU15" s="7"/>
      <c r="BEV15" s="7"/>
      <c r="BEW15" s="7"/>
      <c r="BEX15" s="7"/>
      <c r="BEY15" s="7"/>
      <c r="BEZ15" s="7"/>
      <c r="BFA15" s="7"/>
      <c r="BFB15" s="7"/>
      <c r="BFC15" s="7"/>
      <c r="BFD15" s="7"/>
      <c r="BFE15" s="7"/>
      <c r="BFF15" s="7"/>
      <c r="BFG15" s="7"/>
      <c r="BFH15" s="7"/>
      <c r="BFI15" s="7"/>
      <c r="BFJ15" s="7"/>
      <c r="BFK15" s="7"/>
      <c r="BFL15" s="7"/>
      <c r="BFM15" s="7"/>
      <c r="BFN15" s="7"/>
      <c r="BFO15" s="7"/>
      <c r="BFP15" s="7"/>
      <c r="BFQ15" s="7"/>
      <c r="BFR15" s="7"/>
      <c r="BFS15" s="7"/>
      <c r="BFT15" s="7"/>
      <c r="BFU15" s="7"/>
      <c r="BFV15" s="7"/>
      <c r="BFW15" s="7"/>
      <c r="BFX15" s="7"/>
      <c r="BFY15" s="7"/>
      <c r="BFZ15" s="7"/>
      <c r="BGA15" s="7"/>
      <c r="BGB15" s="7"/>
      <c r="BGC15" s="7"/>
      <c r="BGD15" s="7"/>
      <c r="BGE15" s="7"/>
      <c r="BGF15" s="7"/>
      <c r="BGG15" s="7"/>
      <c r="BGH15" s="7"/>
      <c r="BGI15" s="7"/>
      <c r="BGJ15" s="7"/>
      <c r="BGK15" s="7"/>
      <c r="BGL15" s="7"/>
      <c r="BGM15" s="7"/>
      <c r="BGN15" s="7"/>
      <c r="BGO15" s="7"/>
      <c r="BGP15" s="7"/>
      <c r="BGQ15" s="7"/>
      <c r="BGR15" s="7"/>
      <c r="BGS15" s="7"/>
      <c r="BGT15" s="7"/>
      <c r="BGU15" s="7"/>
      <c r="BGV15" s="7"/>
      <c r="BGW15" s="7"/>
      <c r="BGX15" s="7"/>
      <c r="BGY15" s="7"/>
      <c r="BGZ15" s="7"/>
      <c r="BHA15" s="7"/>
      <c r="BHB15" s="7"/>
      <c r="BHC15" s="7"/>
      <c r="BHD15" s="7"/>
      <c r="BHE15" s="7"/>
      <c r="BHF15" s="7"/>
      <c r="BHG15" s="7"/>
      <c r="BHH15" s="7"/>
      <c r="BHI15" s="7"/>
      <c r="BHJ15" s="7"/>
      <c r="BHK15" s="7"/>
      <c r="BHL15" s="7"/>
      <c r="BHM15" s="7"/>
      <c r="BHN15" s="7"/>
      <c r="BHO15" s="7"/>
      <c r="BHP15" s="7"/>
      <c r="BHQ15" s="7"/>
      <c r="BHR15" s="7"/>
      <c r="BHS15" s="7"/>
      <c r="BHT15" s="7"/>
      <c r="BHU15" s="7"/>
      <c r="BHV15" s="7"/>
      <c r="BHW15" s="7"/>
      <c r="BHX15" s="7"/>
      <c r="BHY15" s="7"/>
      <c r="BHZ15" s="7"/>
      <c r="BIA15" s="7"/>
      <c r="BIB15" s="7"/>
      <c r="BIC15" s="7"/>
      <c r="BID15" s="7"/>
      <c r="BIE15" s="7"/>
      <c r="BIF15" s="7"/>
      <c r="BIG15" s="7"/>
      <c r="BIH15" s="7"/>
      <c r="BII15" s="7"/>
      <c r="BIJ15" s="7"/>
      <c r="BIK15" s="7"/>
      <c r="BIL15" s="7"/>
      <c r="BIM15" s="7"/>
      <c r="BIN15" s="7"/>
      <c r="BIO15" s="7"/>
      <c r="BIP15" s="7"/>
      <c r="BIQ15" s="7"/>
      <c r="BIR15" s="7"/>
      <c r="BIS15" s="7"/>
      <c r="BIT15" s="7"/>
      <c r="BIU15" s="7"/>
      <c r="BIV15" s="7"/>
      <c r="BIW15" s="7"/>
      <c r="BIX15" s="7"/>
      <c r="BIY15" s="7"/>
      <c r="BIZ15" s="7"/>
      <c r="BJA15" s="7"/>
      <c r="BJB15" s="7"/>
      <c r="BJC15" s="7"/>
      <c r="BJD15" s="7"/>
      <c r="BJE15" s="7"/>
      <c r="BJF15" s="7"/>
      <c r="BJG15" s="7"/>
      <c r="BJH15" s="7"/>
      <c r="BJI15" s="7"/>
      <c r="BJJ15" s="7"/>
      <c r="BJK15" s="7"/>
      <c r="BJL15" s="7"/>
      <c r="BJM15" s="7"/>
      <c r="BJN15" s="7"/>
      <c r="BJO15" s="7"/>
      <c r="BJP15" s="7"/>
      <c r="BJQ15" s="7"/>
      <c r="BJR15" s="7"/>
      <c r="BJS15" s="7"/>
      <c r="BJT15" s="7"/>
      <c r="BJU15" s="7"/>
      <c r="BJV15" s="7"/>
      <c r="BJW15" s="7"/>
      <c r="BJX15" s="7"/>
      <c r="BJY15" s="7"/>
      <c r="BJZ15" s="7"/>
      <c r="BKA15" s="7"/>
      <c r="BKB15" s="7"/>
      <c r="BKC15" s="7"/>
      <c r="BKD15" s="7"/>
      <c r="BKE15" s="7"/>
      <c r="BKF15" s="7"/>
      <c r="BKG15" s="7"/>
      <c r="BKH15" s="7"/>
      <c r="BKI15" s="7"/>
      <c r="BKJ15" s="7"/>
      <c r="BKK15" s="7"/>
      <c r="BKL15" s="7"/>
      <c r="BKM15" s="7"/>
      <c r="BKN15" s="7"/>
      <c r="BKO15" s="7"/>
      <c r="BKP15" s="7"/>
      <c r="BKQ15" s="7"/>
      <c r="BKR15" s="7"/>
      <c r="BKS15" s="7"/>
      <c r="BKT15" s="7"/>
      <c r="BKU15" s="7"/>
      <c r="BKV15" s="7"/>
      <c r="BKW15" s="7"/>
      <c r="BKX15" s="7"/>
      <c r="BKY15" s="7"/>
      <c r="BKZ15" s="7"/>
      <c r="BLA15" s="7"/>
      <c r="BLB15" s="7"/>
      <c r="BLC15" s="7"/>
      <c r="BLD15" s="7"/>
      <c r="BLE15" s="7"/>
      <c r="BLF15" s="7"/>
      <c r="BLG15" s="7"/>
      <c r="BLH15" s="7"/>
      <c r="BLI15" s="7"/>
      <c r="BLJ15" s="7"/>
      <c r="BLK15" s="7"/>
      <c r="BLL15" s="7"/>
      <c r="BLM15" s="7"/>
      <c r="BLN15" s="7"/>
      <c r="BLO15" s="7"/>
      <c r="BLP15" s="7"/>
      <c r="BLQ15" s="7"/>
      <c r="BLR15" s="7"/>
      <c r="BLS15" s="7"/>
      <c r="BLT15" s="7"/>
      <c r="BLU15" s="7"/>
      <c r="BLV15" s="7"/>
      <c r="BLW15" s="7"/>
      <c r="BLX15" s="7"/>
      <c r="BLY15" s="7"/>
      <c r="BLZ15" s="7"/>
      <c r="BMA15" s="7"/>
      <c r="BMB15" s="7"/>
      <c r="BMC15" s="7"/>
      <c r="BMD15" s="7"/>
      <c r="BME15" s="7"/>
      <c r="BMF15" s="7"/>
      <c r="BMG15" s="7"/>
      <c r="BMH15" s="7"/>
      <c r="BMI15" s="7"/>
      <c r="BMJ15" s="7"/>
      <c r="BMK15" s="7"/>
      <c r="BML15" s="7"/>
      <c r="BMM15" s="7"/>
      <c r="BMN15" s="7"/>
      <c r="BMO15" s="7"/>
      <c r="BMP15" s="7"/>
      <c r="BMQ15" s="7"/>
      <c r="BMR15" s="7"/>
      <c r="BMS15" s="7"/>
      <c r="BMT15" s="7"/>
      <c r="BMU15" s="7"/>
      <c r="BMV15" s="7"/>
      <c r="BMW15" s="7"/>
      <c r="BMX15" s="7"/>
      <c r="BMY15" s="7"/>
      <c r="BMZ15" s="7"/>
      <c r="BNA15" s="7"/>
      <c r="BNB15" s="7"/>
      <c r="BNC15" s="7"/>
      <c r="BND15" s="7"/>
      <c r="BNE15" s="7"/>
      <c r="BNF15" s="7"/>
      <c r="BNG15" s="7"/>
      <c r="BNH15" s="7"/>
      <c r="BNI15" s="7"/>
      <c r="BNJ15" s="7"/>
      <c r="BNK15" s="7"/>
      <c r="BNL15" s="7"/>
      <c r="BNM15" s="7"/>
      <c r="BNN15" s="7"/>
      <c r="BNO15" s="7"/>
      <c r="BNP15" s="7"/>
      <c r="BNQ15" s="7"/>
      <c r="BNR15" s="7"/>
      <c r="BNS15" s="7"/>
      <c r="BNT15" s="7"/>
      <c r="BNU15" s="7"/>
      <c r="BNV15" s="7"/>
      <c r="BNW15" s="7"/>
      <c r="BNX15" s="7"/>
      <c r="BNY15" s="7"/>
      <c r="BNZ15" s="7"/>
      <c r="BOA15" s="7"/>
      <c r="BOB15" s="7"/>
      <c r="BOC15" s="7"/>
      <c r="BOD15" s="7"/>
      <c r="BOE15" s="7"/>
      <c r="BOF15" s="7"/>
      <c r="BOG15" s="7"/>
      <c r="BOH15" s="7"/>
      <c r="BOI15" s="7"/>
      <c r="BOJ15" s="7"/>
      <c r="BOK15" s="7"/>
      <c r="BOL15" s="7"/>
      <c r="BOM15" s="7"/>
      <c r="BON15" s="7"/>
      <c r="BOO15" s="7"/>
      <c r="BOP15" s="7"/>
      <c r="BOQ15" s="7"/>
      <c r="BOR15" s="7"/>
      <c r="BOS15" s="7"/>
      <c r="BOT15" s="7"/>
      <c r="BOU15" s="7"/>
      <c r="BOV15" s="7"/>
      <c r="BOW15" s="7"/>
      <c r="BOX15" s="7"/>
      <c r="BOY15" s="7"/>
      <c r="BOZ15" s="7"/>
      <c r="BPA15" s="7"/>
      <c r="BPB15" s="7"/>
      <c r="BPC15" s="7"/>
      <c r="BPD15" s="7"/>
      <c r="BPE15" s="7"/>
      <c r="BPF15" s="7"/>
      <c r="BPG15" s="7"/>
      <c r="BPH15" s="7"/>
      <c r="BPI15" s="7"/>
      <c r="BPJ15" s="7"/>
      <c r="BPK15" s="7"/>
      <c r="BPL15" s="7"/>
      <c r="BPM15" s="7"/>
      <c r="BPN15" s="7"/>
      <c r="BPO15" s="7"/>
      <c r="BPP15" s="7"/>
      <c r="BPQ15" s="7"/>
      <c r="BPR15" s="7"/>
      <c r="BPS15" s="7"/>
      <c r="BPT15" s="7"/>
      <c r="BPU15" s="7"/>
      <c r="BPV15" s="7"/>
      <c r="BPW15" s="7"/>
      <c r="BPX15" s="7"/>
      <c r="BPY15" s="7"/>
      <c r="BPZ15" s="7"/>
      <c r="BQA15" s="7"/>
      <c r="BQB15" s="7"/>
      <c r="BQC15" s="7"/>
      <c r="BQD15" s="7"/>
      <c r="BQE15" s="7"/>
      <c r="BQF15" s="7"/>
      <c r="BQG15" s="7"/>
      <c r="BQH15" s="7"/>
      <c r="BQI15" s="7"/>
      <c r="BQJ15" s="7"/>
      <c r="BQK15" s="7"/>
      <c r="BQL15" s="7"/>
      <c r="BQM15" s="7"/>
      <c r="BQN15" s="7"/>
      <c r="BQO15" s="7"/>
      <c r="BQP15" s="7"/>
      <c r="BQQ15" s="7"/>
      <c r="BQR15" s="7"/>
      <c r="BQS15" s="7"/>
      <c r="BQT15" s="7"/>
      <c r="BQU15" s="7"/>
      <c r="BQV15" s="7"/>
      <c r="BQW15" s="7"/>
      <c r="BQX15" s="7"/>
      <c r="BQY15" s="7"/>
      <c r="BQZ15" s="7"/>
      <c r="BRA15" s="7"/>
      <c r="BRB15" s="7"/>
      <c r="BRC15" s="7"/>
      <c r="BRD15" s="7"/>
      <c r="BRE15" s="7"/>
      <c r="BRF15" s="7"/>
      <c r="BRG15" s="7"/>
      <c r="BRH15" s="7"/>
      <c r="BRI15" s="7"/>
      <c r="BRJ15" s="7"/>
      <c r="BRK15" s="7"/>
      <c r="BRL15" s="7"/>
      <c r="BRM15" s="7"/>
      <c r="BRN15" s="7"/>
      <c r="BRO15" s="7"/>
      <c r="BRP15" s="7"/>
      <c r="BRQ15" s="7"/>
      <c r="BRR15" s="7"/>
      <c r="BRS15" s="7"/>
      <c r="BRT15" s="7"/>
      <c r="BRU15" s="7"/>
      <c r="BRV15" s="7"/>
      <c r="BRW15" s="7"/>
      <c r="BRX15" s="7"/>
      <c r="BRY15" s="7"/>
      <c r="BRZ15" s="7"/>
      <c r="BSA15" s="7"/>
      <c r="BSB15" s="7"/>
      <c r="BSC15" s="7"/>
      <c r="BSD15" s="7"/>
      <c r="BSE15" s="7"/>
      <c r="BSF15" s="7"/>
      <c r="BSG15" s="7"/>
      <c r="BSH15" s="7"/>
      <c r="BSI15" s="7"/>
      <c r="BSJ15" s="7"/>
      <c r="BSK15" s="7"/>
      <c r="BSL15" s="7"/>
      <c r="BSM15" s="7"/>
      <c r="BSN15" s="7"/>
      <c r="BSO15" s="7"/>
      <c r="BSP15" s="7"/>
      <c r="BSQ15" s="7"/>
      <c r="BSR15" s="7"/>
      <c r="BSS15" s="7"/>
      <c r="BST15" s="7"/>
      <c r="BSU15" s="7"/>
      <c r="BSV15" s="7"/>
      <c r="BSW15" s="7"/>
      <c r="BSX15" s="7"/>
      <c r="BSY15" s="7"/>
      <c r="BSZ15" s="7"/>
      <c r="BTA15" s="7"/>
      <c r="BTB15" s="7"/>
      <c r="BTC15" s="7"/>
      <c r="BTD15" s="7"/>
      <c r="BTE15" s="7"/>
      <c r="BTF15" s="7"/>
      <c r="BTG15" s="7"/>
      <c r="BTH15" s="7"/>
      <c r="BTI15" s="7"/>
      <c r="BTJ15" s="7"/>
      <c r="BTK15" s="7"/>
      <c r="BTL15" s="7"/>
      <c r="BTM15" s="7"/>
      <c r="BTN15" s="7"/>
      <c r="BTO15" s="7"/>
      <c r="BTP15" s="7"/>
      <c r="BTQ15" s="7"/>
      <c r="BTR15" s="7"/>
      <c r="BTS15" s="7"/>
      <c r="BTT15" s="7"/>
      <c r="BTU15" s="7"/>
      <c r="BTV15" s="7"/>
      <c r="BTW15" s="7"/>
      <c r="BTX15" s="7"/>
      <c r="BTY15" s="7"/>
      <c r="BTZ15" s="7"/>
      <c r="BUA15" s="7"/>
      <c r="BUB15" s="7"/>
      <c r="BUC15" s="7"/>
      <c r="BUD15" s="7"/>
      <c r="BUE15" s="7"/>
      <c r="BUF15" s="7"/>
      <c r="BUG15" s="7"/>
      <c r="BUH15" s="7"/>
      <c r="BUI15" s="7"/>
      <c r="BUJ15" s="7"/>
      <c r="BUK15" s="7"/>
      <c r="BUL15" s="7"/>
      <c r="BUM15" s="7"/>
      <c r="BUN15" s="7"/>
      <c r="BUO15" s="7"/>
      <c r="BUP15" s="7"/>
      <c r="BUQ15" s="7"/>
      <c r="BUR15" s="7"/>
      <c r="BUS15" s="7"/>
      <c r="BUT15" s="7"/>
      <c r="BUU15" s="7"/>
      <c r="BUV15" s="7"/>
      <c r="BUW15" s="7"/>
      <c r="BUX15" s="7"/>
      <c r="BUY15" s="7"/>
      <c r="BUZ15" s="7"/>
      <c r="BVA15" s="7"/>
      <c r="BVB15" s="7"/>
      <c r="BVC15" s="7"/>
      <c r="BVD15" s="7"/>
      <c r="BVE15" s="7"/>
      <c r="BVF15" s="7"/>
      <c r="BVG15" s="7"/>
      <c r="BVH15" s="7"/>
      <c r="BVI15" s="7"/>
      <c r="BVJ15" s="7"/>
      <c r="BVK15" s="7"/>
      <c r="BVL15" s="7"/>
      <c r="BVM15" s="7"/>
      <c r="BVN15" s="7"/>
      <c r="BVO15" s="7"/>
      <c r="BVP15" s="7"/>
      <c r="BVQ15" s="7"/>
      <c r="BVR15" s="7"/>
      <c r="BVS15" s="7"/>
      <c r="BVT15" s="7"/>
      <c r="BVU15" s="7"/>
      <c r="BVV15" s="7"/>
      <c r="BVW15" s="7"/>
      <c r="BVX15" s="7"/>
      <c r="BVY15" s="7"/>
      <c r="BVZ15" s="7"/>
      <c r="BWA15" s="7"/>
      <c r="BWB15" s="7"/>
      <c r="BWC15" s="7"/>
      <c r="BWD15" s="7"/>
      <c r="BWE15" s="7"/>
      <c r="BWF15" s="7"/>
      <c r="BWG15" s="7"/>
      <c r="BWH15" s="7"/>
      <c r="BWI15" s="7"/>
      <c r="BWJ15" s="7"/>
      <c r="BWK15" s="7"/>
      <c r="BWL15" s="7"/>
      <c r="BWM15" s="7"/>
      <c r="BWN15" s="7"/>
      <c r="BWO15" s="7"/>
      <c r="BWP15" s="7"/>
      <c r="BWQ15" s="7"/>
      <c r="BWR15" s="7"/>
      <c r="BWS15" s="7"/>
      <c r="BWT15" s="7"/>
      <c r="BWU15" s="7"/>
      <c r="BWV15" s="7"/>
      <c r="BWW15" s="7"/>
      <c r="BWX15" s="7"/>
      <c r="BWY15" s="7"/>
      <c r="BWZ15" s="7"/>
      <c r="BXA15" s="7"/>
      <c r="BXB15" s="7"/>
      <c r="BXC15" s="7"/>
      <c r="BXD15" s="7"/>
      <c r="BXE15" s="7"/>
      <c r="BXF15" s="7"/>
      <c r="BXG15" s="7"/>
      <c r="BXH15" s="7"/>
      <c r="BXI15" s="7"/>
      <c r="BXJ15" s="7"/>
      <c r="BXK15" s="7"/>
      <c r="BXL15" s="7"/>
      <c r="BXM15" s="7"/>
      <c r="BXN15" s="7"/>
      <c r="BXO15" s="7"/>
      <c r="BXP15" s="7"/>
      <c r="BXQ15" s="7"/>
      <c r="BXR15" s="7"/>
      <c r="BXS15" s="7"/>
      <c r="BXT15" s="7"/>
      <c r="BXU15" s="7"/>
      <c r="BXV15" s="7"/>
      <c r="BXW15" s="7"/>
      <c r="BXX15" s="7"/>
      <c r="BXY15" s="7"/>
      <c r="BXZ15" s="7"/>
      <c r="BYA15" s="7"/>
      <c r="BYB15" s="7"/>
      <c r="BYC15" s="7"/>
      <c r="BYD15" s="7"/>
      <c r="BYE15" s="7"/>
      <c r="BYF15" s="7"/>
      <c r="BYG15" s="7"/>
      <c r="BYH15" s="7"/>
      <c r="BYI15" s="7"/>
      <c r="BYJ15" s="7"/>
      <c r="BYK15" s="7"/>
      <c r="BYL15" s="7"/>
      <c r="BYM15" s="7"/>
      <c r="BYN15" s="7"/>
      <c r="BYO15" s="7"/>
      <c r="BYP15" s="7"/>
      <c r="BYQ15" s="7"/>
      <c r="BYR15" s="7"/>
      <c r="BYS15" s="7"/>
      <c r="BYT15" s="7"/>
      <c r="BYU15" s="7"/>
      <c r="BYV15" s="7"/>
      <c r="BYW15" s="7"/>
      <c r="BYX15" s="7"/>
      <c r="BYY15" s="7"/>
      <c r="BYZ15" s="7"/>
      <c r="BZA15" s="7"/>
      <c r="BZB15" s="7"/>
      <c r="BZC15" s="7"/>
      <c r="BZD15" s="7"/>
      <c r="BZE15" s="7"/>
      <c r="BZF15" s="7"/>
      <c r="BZG15" s="7"/>
      <c r="BZH15" s="7"/>
      <c r="BZI15" s="7"/>
      <c r="BZJ15" s="7"/>
      <c r="BZK15" s="7"/>
      <c r="BZL15" s="7"/>
      <c r="BZM15" s="7"/>
      <c r="BZN15" s="7"/>
      <c r="BZO15" s="7"/>
      <c r="BZP15" s="7"/>
      <c r="BZQ15" s="7"/>
      <c r="BZR15" s="7"/>
      <c r="BZS15" s="7"/>
      <c r="BZT15" s="7"/>
      <c r="BZU15" s="7"/>
      <c r="BZV15" s="7"/>
      <c r="BZW15" s="7"/>
      <c r="BZX15" s="7"/>
      <c r="BZY15" s="7"/>
      <c r="BZZ15" s="7"/>
      <c r="CAA15" s="7"/>
      <c r="CAB15" s="7"/>
      <c r="CAC15" s="7"/>
      <c r="CAD15" s="7"/>
      <c r="CAE15" s="7"/>
      <c r="CAF15" s="7"/>
      <c r="CAG15" s="7"/>
      <c r="CAH15" s="7"/>
      <c r="CAI15" s="7"/>
      <c r="CAJ15" s="7"/>
      <c r="CAK15" s="7"/>
      <c r="CAL15" s="7"/>
      <c r="CAM15" s="7"/>
      <c r="CAN15" s="7"/>
      <c r="CAO15" s="7"/>
      <c r="CAP15" s="7"/>
      <c r="CAQ15" s="7"/>
      <c r="CAR15" s="7"/>
      <c r="CAS15" s="7"/>
      <c r="CAT15" s="7"/>
      <c r="CAU15" s="7"/>
      <c r="CAV15" s="7"/>
      <c r="CAW15" s="7"/>
      <c r="CAX15" s="7"/>
      <c r="CAY15" s="7"/>
      <c r="CAZ15" s="7"/>
      <c r="CBA15" s="7"/>
      <c r="CBB15" s="7"/>
      <c r="CBC15" s="7"/>
      <c r="CBD15" s="7"/>
      <c r="CBE15" s="7"/>
      <c r="CBF15" s="7"/>
      <c r="CBG15" s="7"/>
      <c r="CBH15" s="7"/>
      <c r="CBI15" s="7"/>
      <c r="CBJ15" s="7"/>
      <c r="CBK15" s="7"/>
      <c r="CBL15" s="7"/>
      <c r="CBM15" s="7"/>
      <c r="CBN15" s="7"/>
      <c r="CBO15" s="7"/>
      <c r="CBP15" s="7"/>
      <c r="CBQ15" s="7"/>
      <c r="CBR15" s="7"/>
      <c r="CBS15" s="7"/>
      <c r="CBT15" s="7"/>
      <c r="CBU15" s="7"/>
      <c r="CBV15" s="7"/>
      <c r="CBW15" s="7"/>
      <c r="CBX15" s="7"/>
      <c r="CBY15" s="7"/>
      <c r="CBZ15" s="7"/>
      <c r="CCA15" s="7"/>
      <c r="CCB15" s="7"/>
      <c r="CCC15" s="7"/>
      <c r="CCD15" s="7"/>
      <c r="CCE15" s="7"/>
      <c r="CCF15" s="7"/>
      <c r="CCG15" s="7"/>
      <c r="CCH15" s="7"/>
      <c r="CCI15" s="7"/>
      <c r="CCJ15" s="7"/>
      <c r="CCK15" s="7"/>
      <c r="CCL15" s="7"/>
      <c r="CCM15" s="7"/>
      <c r="CCN15" s="7"/>
      <c r="CCO15" s="7"/>
      <c r="CCP15" s="7"/>
      <c r="CCQ15" s="7"/>
      <c r="CCR15" s="7"/>
      <c r="CCS15" s="7"/>
      <c r="CCT15" s="7"/>
      <c r="CCU15" s="7"/>
      <c r="CCV15" s="7"/>
      <c r="CCW15" s="7"/>
      <c r="CCX15" s="7"/>
      <c r="CCY15" s="7"/>
      <c r="CCZ15" s="7"/>
      <c r="CDA15" s="7"/>
      <c r="CDB15" s="7"/>
      <c r="CDC15" s="7"/>
      <c r="CDD15" s="7"/>
      <c r="CDE15" s="7"/>
      <c r="CDF15" s="7"/>
      <c r="CDG15" s="7"/>
      <c r="CDH15" s="7"/>
      <c r="CDI15" s="7"/>
      <c r="CDJ15" s="7"/>
      <c r="CDK15" s="7"/>
      <c r="CDL15" s="7"/>
      <c r="CDM15" s="7"/>
      <c r="CDN15" s="7"/>
      <c r="CDO15" s="7"/>
      <c r="CDP15" s="7"/>
      <c r="CDQ15" s="7"/>
      <c r="CDR15" s="7"/>
      <c r="CDS15" s="7"/>
      <c r="CDT15" s="7"/>
      <c r="CDU15" s="7"/>
      <c r="CDV15" s="7"/>
      <c r="CDW15" s="7"/>
      <c r="CDX15" s="7"/>
      <c r="CDY15" s="7"/>
      <c r="CDZ15" s="7"/>
      <c r="CEA15" s="7"/>
      <c r="CEB15" s="7"/>
      <c r="CEC15" s="7"/>
      <c r="CED15" s="7"/>
      <c r="CEE15" s="7"/>
      <c r="CEF15" s="7"/>
      <c r="CEG15" s="7"/>
      <c r="CEH15" s="7"/>
      <c r="CEI15" s="7"/>
      <c r="CEJ15" s="7"/>
      <c r="CEK15" s="7"/>
      <c r="CEL15" s="7"/>
      <c r="CEM15" s="7"/>
      <c r="CEN15" s="7"/>
      <c r="CEO15" s="7"/>
      <c r="CEP15" s="7"/>
      <c r="CEQ15" s="7"/>
      <c r="CER15" s="7"/>
      <c r="CES15" s="7"/>
      <c r="CET15" s="7"/>
      <c r="CEU15" s="7"/>
      <c r="CEV15" s="7"/>
      <c r="CEW15" s="7"/>
      <c r="CEX15" s="7"/>
      <c r="CEY15" s="7"/>
      <c r="CEZ15" s="7"/>
      <c r="CFA15" s="7"/>
      <c r="CFB15" s="7"/>
      <c r="CFC15" s="7"/>
      <c r="CFD15" s="7"/>
      <c r="CFE15" s="7"/>
      <c r="CFF15" s="7"/>
      <c r="CFG15" s="7"/>
      <c r="CFH15" s="7"/>
      <c r="CFI15" s="7"/>
      <c r="CFJ15" s="7"/>
      <c r="CFK15" s="7"/>
      <c r="CFL15" s="7"/>
      <c r="CFM15" s="7"/>
      <c r="CFN15" s="7"/>
      <c r="CFO15" s="7"/>
      <c r="CFP15" s="7"/>
      <c r="CFQ15" s="7"/>
      <c r="CFR15" s="7"/>
      <c r="CFS15" s="7"/>
      <c r="CFT15" s="7"/>
      <c r="CFU15" s="7"/>
      <c r="CFV15" s="7"/>
      <c r="CFW15" s="7"/>
      <c r="CFX15" s="7"/>
      <c r="CFY15" s="7"/>
      <c r="CFZ15" s="7"/>
      <c r="CGA15" s="7"/>
      <c r="CGB15" s="7"/>
      <c r="CGC15" s="7"/>
      <c r="CGD15" s="7"/>
      <c r="CGE15" s="7"/>
      <c r="CGF15" s="7"/>
      <c r="CGG15" s="7"/>
      <c r="CGH15" s="7"/>
      <c r="CGI15" s="7"/>
      <c r="CGJ15" s="7"/>
      <c r="CGK15" s="7"/>
      <c r="CGL15" s="7"/>
      <c r="CGM15" s="7"/>
      <c r="CGN15" s="7"/>
      <c r="CGO15" s="7"/>
      <c r="CGP15" s="7"/>
      <c r="CGQ15" s="7"/>
      <c r="CGR15" s="7"/>
      <c r="CGS15" s="7"/>
      <c r="CGT15" s="7"/>
      <c r="CGU15" s="7"/>
      <c r="CGV15" s="7"/>
      <c r="CGW15" s="7"/>
      <c r="CGX15" s="7"/>
      <c r="CGY15" s="7"/>
      <c r="CGZ15" s="7"/>
      <c r="CHA15" s="7"/>
      <c r="CHB15" s="7"/>
      <c r="CHC15" s="7"/>
      <c r="CHD15" s="7"/>
      <c r="CHE15" s="7"/>
      <c r="CHF15" s="7"/>
      <c r="CHG15" s="7"/>
      <c r="CHH15" s="7"/>
      <c r="CHI15" s="7"/>
      <c r="CHJ15" s="7"/>
      <c r="CHK15" s="7"/>
      <c r="CHL15" s="7"/>
      <c r="CHM15" s="7"/>
      <c r="CHN15" s="7"/>
      <c r="CHO15" s="7"/>
      <c r="CHP15" s="7"/>
      <c r="CHQ15" s="7"/>
      <c r="CHR15" s="7"/>
      <c r="CHS15" s="7"/>
      <c r="CHT15" s="7"/>
      <c r="CHU15" s="7"/>
      <c r="CHV15" s="7"/>
      <c r="CHW15" s="7"/>
      <c r="CHX15" s="7"/>
      <c r="CHY15" s="7"/>
      <c r="CHZ15" s="7"/>
      <c r="CIA15" s="7"/>
      <c r="CIB15" s="7"/>
      <c r="CIC15" s="7"/>
      <c r="CID15" s="7"/>
      <c r="CIE15" s="7"/>
      <c r="CIF15" s="7"/>
      <c r="CIG15" s="7"/>
      <c r="CIH15" s="7"/>
      <c r="CII15" s="7"/>
      <c r="CIJ15" s="7"/>
      <c r="CIK15" s="7"/>
      <c r="CIL15" s="7"/>
      <c r="CIM15" s="7"/>
      <c r="CIN15" s="7"/>
      <c r="CIO15" s="7"/>
      <c r="CIP15" s="7"/>
      <c r="CIQ15" s="7"/>
      <c r="CIR15" s="7"/>
      <c r="CIS15" s="7"/>
      <c r="CIT15" s="7"/>
      <c r="CIU15" s="7"/>
      <c r="CIV15" s="7"/>
      <c r="CIW15" s="7"/>
      <c r="CIX15" s="7"/>
      <c r="CIY15" s="7"/>
      <c r="CIZ15" s="7"/>
      <c r="CJA15" s="7"/>
      <c r="CJB15" s="7"/>
      <c r="CJC15" s="7"/>
      <c r="CJD15" s="7"/>
      <c r="CJE15" s="7"/>
      <c r="CJF15" s="7"/>
      <c r="CJG15" s="7"/>
      <c r="CJH15" s="7"/>
      <c r="CJI15" s="7"/>
      <c r="CJJ15" s="7"/>
      <c r="CJK15" s="7"/>
      <c r="CJL15" s="7"/>
      <c r="CJM15" s="7"/>
      <c r="CJN15" s="7"/>
      <c r="CJO15" s="7"/>
      <c r="CJP15" s="7"/>
      <c r="CJQ15" s="7"/>
      <c r="CJR15" s="7"/>
      <c r="CJS15" s="7"/>
      <c r="CJT15" s="7"/>
      <c r="CJU15" s="7"/>
      <c r="CJV15" s="7"/>
      <c r="CJW15" s="7"/>
      <c r="CJX15" s="7"/>
      <c r="CJY15" s="7"/>
      <c r="CJZ15" s="7"/>
      <c r="CKA15" s="7"/>
      <c r="CKB15" s="7"/>
      <c r="CKC15" s="7"/>
      <c r="CKD15" s="7"/>
      <c r="CKE15" s="7"/>
      <c r="CKF15" s="7"/>
      <c r="CKG15" s="7"/>
      <c r="CKH15" s="7"/>
      <c r="CKI15" s="7"/>
      <c r="CKJ15" s="7"/>
      <c r="CKK15" s="7"/>
      <c r="CKL15" s="7"/>
      <c r="CKM15" s="7"/>
      <c r="CKN15" s="7"/>
      <c r="CKO15" s="7"/>
      <c r="CKP15" s="7"/>
      <c r="CKQ15" s="7"/>
      <c r="CKR15" s="7"/>
      <c r="CKS15" s="7"/>
      <c r="CKT15" s="7"/>
      <c r="CKU15" s="7"/>
      <c r="CKV15" s="7"/>
      <c r="CKW15" s="7"/>
      <c r="CKX15" s="7"/>
      <c r="CKY15" s="7"/>
      <c r="CKZ15" s="7"/>
      <c r="CLA15" s="7"/>
      <c r="CLB15" s="7"/>
      <c r="CLC15" s="7"/>
      <c r="CLD15" s="7"/>
      <c r="CLE15" s="7"/>
      <c r="CLF15" s="7"/>
      <c r="CLG15" s="7"/>
      <c r="CLH15" s="7"/>
      <c r="CLI15" s="7"/>
      <c r="CLJ15" s="7"/>
      <c r="CLK15" s="7"/>
      <c r="CLL15" s="7"/>
      <c r="CLM15" s="7"/>
      <c r="CLN15" s="7"/>
      <c r="CLO15" s="7"/>
      <c r="CLP15" s="7"/>
      <c r="CLQ15" s="7"/>
      <c r="CLR15" s="7"/>
      <c r="CLS15" s="7"/>
      <c r="CLT15" s="7"/>
      <c r="CLU15" s="7"/>
      <c r="CLV15" s="7"/>
      <c r="CLW15" s="7"/>
      <c r="CLX15" s="7"/>
      <c r="CLY15" s="7"/>
      <c r="CLZ15" s="7"/>
      <c r="CMA15" s="7"/>
      <c r="CMB15" s="7"/>
      <c r="CMC15" s="7"/>
      <c r="CMD15" s="7"/>
      <c r="CME15" s="7"/>
      <c r="CMF15" s="7"/>
      <c r="CMG15" s="7"/>
      <c r="CMH15" s="7"/>
      <c r="CMI15" s="7"/>
      <c r="CMJ15" s="7"/>
      <c r="CMK15" s="7"/>
      <c r="CML15" s="7"/>
      <c r="CMM15" s="7"/>
      <c r="CMN15" s="7"/>
      <c r="CMO15" s="7"/>
      <c r="CMP15" s="7"/>
      <c r="CMQ15" s="7"/>
      <c r="CMR15" s="7"/>
      <c r="CMS15" s="7"/>
      <c r="CMT15" s="7"/>
      <c r="CMU15" s="7"/>
      <c r="CMV15" s="7"/>
      <c r="CMW15" s="7"/>
      <c r="CMX15" s="7"/>
      <c r="CMY15" s="7"/>
      <c r="CMZ15" s="7"/>
      <c r="CNA15" s="7"/>
      <c r="CNB15" s="7"/>
      <c r="CNC15" s="7"/>
      <c r="CND15" s="7"/>
      <c r="CNE15" s="7"/>
      <c r="CNF15" s="7"/>
      <c r="CNG15" s="7"/>
      <c r="CNH15" s="7"/>
      <c r="CNI15" s="7"/>
      <c r="CNJ15" s="7"/>
      <c r="CNK15" s="7"/>
      <c r="CNL15" s="7"/>
      <c r="CNM15" s="7"/>
      <c r="CNN15" s="7"/>
      <c r="CNO15" s="7"/>
      <c r="CNP15" s="7"/>
      <c r="CNQ15" s="7"/>
      <c r="CNR15" s="7"/>
      <c r="CNS15" s="7"/>
      <c r="CNT15" s="7"/>
      <c r="CNU15" s="7"/>
      <c r="CNV15" s="7"/>
      <c r="CNW15" s="7"/>
      <c r="CNX15" s="7"/>
      <c r="CNY15" s="7"/>
      <c r="CNZ15" s="7"/>
      <c r="COA15" s="7"/>
      <c r="COB15" s="7"/>
      <c r="COC15" s="7"/>
      <c r="COD15" s="7"/>
      <c r="COE15" s="7"/>
      <c r="COF15" s="7"/>
      <c r="COG15" s="7"/>
      <c r="COH15" s="7"/>
      <c r="COI15" s="7"/>
      <c r="COJ15" s="7"/>
      <c r="COK15" s="7"/>
      <c r="COL15" s="7"/>
      <c r="COM15" s="7"/>
      <c r="CON15" s="7"/>
      <c r="COO15" s="7"/>
      <c r="COP15" s="7"/>
      <c r="COQ15" s="7"/>
      <c r="COR15" s="7"/>
      <c r="COS15" s="7"/>
      <c r="COT15" s="7"/>
      <c r="COU15" s="7"/>
      <c r="COV15" s="7"/>
      <c r="COW15" s="7"/>
      <c r="COX15" s="7"/>
      <c r="COY15" s="7"/>
      <c r="COZ15" s="7"/>
      <c r="CPA15" s="7"/>
      <c r="CPB15" s="7"/>
      <c r="CPC15" s="7"/>
      <c r="CPD15" s="7"/>
      <c r="CPE15" s="7"/>
      <c r="CPF15" s="7"/>
      <c r="CPG15" s="7"/>
      <c r="CPH15" s="7"/>
      <c r="CPI15" s="7"/>
      <c r="CPJ15" s="7"/>
      <c r="CPK15" s="7"/>
      <c r="CPL15" s="7"/>
      <c r="CPM15" s="7"/>
      <c r="CPN15" s="7"/>
      <c r="CPO15" s="7"/>
      <c r="CPP15" s="7"/>
      <c r="CPQ15" s="7"/>
      <c r="CPR15" s="7"/>
      <c r="CPS15" s="7"/>
      <c r="CPT15" s="7"/>
      <c r="CPU15" s="7"/>
      <c r="CPV15" s="7"/>
      <c r="CPW15" s="7"/>
      <c r="CPX15" s="7"/>
      <c r="CPY15" s="7"/>
      <c r="CPZ15" s="7"/>
      <c r="CQA15" s="7"/>
      <c r="CQB15" s="7"/>
      <c r="CQC15" s="7"/>
      <c r="CQD15" s="7"/>
      <c r="CQE15" s="7"/>
      <c r="CQF15" s="7"/>
      <c r="CQG15" s="7"/>
      <c r="CQH15" s="7"/>
      <c r="CQI15" s="7"/>
      <c r="CQJ15" s="7"/>
      <c r="CQK15" s="7"/>
      <c r="CQL15" s="7"/>
      <c r="CQM15" s="7"/>
      <c r="CQN15" s="7"/>
      <c r="CQO15" s="7"/>
      <c r="CQP15" s="7"/>
      <c r="CQQ15" s="7"/>
      <c r="CQR15" s="7"/>
      <c r="CQS15" s="7"/>
      <c r="CQT15" s="7"/>
      <c r="CQU15" s="7"/>
      <c r="CQV15" s="7"/>
      <c r="CQW15" s="7"/>
      <c r="CQX15" s="7"/>
      <c r="CQY15" s="7"/>
      <c r="CQZ15" s="7"/>
      <c r="CRA15" s="7"/>
      <c r="CRB15" s="7"/>
      <c r="CRC15" s="7"/>
      <c r="CRD15" s="7"/>
      <c r="CRE15" s="7"/>
      <c r="CRF15" s="7"/>
      <c r="CRG15" s="7"/>
      <c r="CRH15" s="7"/>
      <c r="CRI15" s="7"/>
      <c r="CRJ15" s="7"/>
      <c r="CRK15" s="7"/>
      <c r="CRL15" s="7"/>
      <c r="CRM15" s="7"/>
      <c r="CRN15" s="7"/>
      <c r="CRO15" s="7"/>
      <c r="CRP15" s="7"/>
      <c r="CRQ15" s="7"/>
      <c r="CRR15" s="7"/>
      <c r="CRS15" s="7"/>
      <c r="CRT15" s="7"/>
      <c r="CRU15" s="7"/>
      <c r="CRV15" s="7"/>
      <c r="CRW15" s="7"/>
      <c r="CRX15" s="7"/>
      <c r="CRY15" s="7"/>
      <c r="CRZ15" s="7"/>
      <c r="CSA15" s="7"/>
      <c r="CSB15" s="7"/>
      <c r="CSC15" s="7"/>
      <c r="CSD15" s="7"/>
      <c r="CSE15" s="7"/>
      <c r="CSF15" s="7"/>
      <c r="CSG15" s="7"/>
      <c r="CSH15" s="7"/>
      <c r="CSI15" s="7"/>
      <c r="CSJ15" s="7"/>
      <c r="CSK15" s="7"/>
      <c r="CSL15" s="7"/>
      <c r="CSM15" s="7"/>
      <c r="CSN15" s="7"/>
      <c r="CSO15" s="7"/>
      <c r="CSP15" s="7"/>
      <c r="CSQ15" s="7"/>
      <c r="CSR15" s="7"/>
      <c r="CSS15" s="7"/>
      <c r="CST15" s="7"/>
      <c r="CSU15" s="7"/>
      <c r="CSV15" s="7"/>
      <c r="CSW15" s="7"/>
      <c r="CSX15" s="7"/>
      <c r="CSY15" s="7"/>
      <c r="CSZ15" s="7"/>
      <c r="CTA15" s="7"/>
      <c r="CTB15" s="7"/>
      <c r="CTC15" s="7"/>
      <c r="CTD15" s="7"/>
      <c r="CTE15" s="7"/>
      <c r="CTF15" s="7"/>
      <c r="CTG15" s="7"/>
      <c r="CTH15" s="7"/>
      <c r="CTI15" s="7"/>
      <c r="CTJ15" s="7"/>
      <c r="CTK15" s="7"/>
      <c r="CTL15" s="7"/>
      <c r="CTM15" s="7"/>
      <c r="CTN15" s="7"/>
      <c r="CTO15" s="7"/>
      <c r="CTP15" s="7"/>
      <c r="CTQ15" s="7"/>
      <c r="CTR15" s="7"/>
      <c r="CTS15" s="7"/>
      <c r="CTT15" s="7"/>
      <c r="CTU15" s="7"/>
      <c r="CTV15" s="7"/>
      <c r="CTW15" s="7"/>
      <c r="CTX15" s="7"/>
      <c r="CTY15" s="7"/>
      <c r="CTZ15" s="7"/>
      <c r="CUA15" s="7"/>
      <c r="CUB15" s="7"/>
      <c r="CUC15" s="7"/>
      <c r="CUD15" s="7"/>
      <c r="CUE15" s="7"/>
      <c r="CUF15" s="7"/>
      <c r="CUG15" s="7"/>
      <c r="CUH15" s="7"/>
      <c r="CUI15" s="7"/>
      <c r="CUJ15" s="7"/>
      <c r="CUK15" s="7"/>
      <c r="CUL15" s="7"/>
      <c r="CUM15" s="7"/>
      <c r="CUN15" s="7"/>
      <c r="CUO15" s="7"/>
      <c r="CUP15" s="7"/>
      <c r="CUQ15" s="7"/>
      <c r="CUR15" s="7"/>
      <c r="CUS15" s="7"/>
      <c r="CUT15" s="7"/>
      <c r="CUU15" s="7"/>
      <c r="CUV15" s="7"/>
      <c r="CUW15" s="7"/>
      <c r="CUX15" s="7"/>
      <c r="CUY15" s="7"/>
      <c r="CUZ15" s="7"/>
      <c r="CVA15" s="7"/>
      <c r="CVB15" s="7"/>
      <c r="CVC15" s="7"/>
      <c r="CVD15" s="7"/>
      <c r="CVE15" s="7"/>
      <c r="CVF15" s="7"/>
      <c r="CVG15" s="7"/>
      <c r="CVH15" s="7"/>
      <c r="CVI15" s="7"/>
      <c r="CVJ15" s="7"/>
      <c r="CVK15" s="7"/>
      <c r="CVL15" s="7"/>
      <c r="CVM15" s="7"/>
      <c r="CVN15" s="7"/>
      <c r="CVO15" s="7"/>
      <c r="CVP15" s="7"/>
      <c r="CVQ15" s="7"/>
      <c r="CVR15" s="7"/>
      <c r="CVS15" s="7"/>
      <c r="CVT15" s="7"/>
      <c r="CVU15" s="7"/>
      <c r="CVV15" s="7"/>
      <c r="CVW15" s="7"/>
      <c r="CVX15" s="7"/>
      <c r="CVY15" s="7"/>
      <c r="CVZ15" s="7"/>
      <c r="CWA15" s="7"/>
      <c r="CWB15" s="7"/>
      <c r="CWC15" s="7"/>
      <c r="CWD15" s="7"/>
      <c r="CWE15" s="7"/>
      <c r="CWF15" s="7"/>
      <c r="CWG15" s="7"/>
      <c r="CWH15" s="7"/>
      <c r="CWI15" s="7"/>
      <c r="CWJ15" s="7"/>
      <c r="CWK15" s="7"/>
      <c r="CWL15" s="7"/>
      <c r="CWM15" s="7"/>
      <c r="CWN15" s="7"/>
      <c r="CWO15" s="7"/>
      <c r="CWP15" s="7"/>
      <c r="CWQ15" s="7"/>
      <c r="CWR15" s="7"/>
      <c r="CWS15" s="7"/>
      <c r="CWT15" s="7"/>
      <c r="CWU15" s="7"/>
      <c r="CWV15" s="7"/>
      <c r="CWW15" s="7"/>
      <c r="CWX15" s="7"/>
      <c r="CWY15" s="7"/>
      <c r="CWZ15" s="7"/>
      <c r="CXA15" s="7"/>
      <c r="CXB15" s="7"/>
      <c r="CXC15" s="7"/>
      <c r="CXD15" s="7"/>
      <c r="CXE15" s="7"/>
      <c r="CXF15" s="7"/>
      <c r="CXG15" s="7"/>
      <c r="CXH15" s="7"/>
      <c r="CXI15" s="7"/>
      <c r="CXJ15" s="7"/>
      <c r="CXK15" s="7"/>
      <c r="CXL15" s="7"/>
      <c r="CXM15" s="7"/>
      <c r="CXN15" s="7"/>
      <c r="CXO15" s="7"/>
      <c r="CXP15" s="7"/>
      <c r="CXQ15" s="7"/>
      <c r="CXR15" s="7"/>
      <c r="CXS15" s="7"/>
      <c r="CXT15" s="7"/>
      <c r="CXU15" s="7"/>
      <c r="CXV15" s="7"/>
      <c r="CXW15" s="7"/>
      <c r="CXX15" s="7"/>
      <c r="CXY15" s="7"/>
      <c r="CXZ15" s="7"/>
      <c r="CYA15" s="7"/>
      <c r="CYB15" s="7"/>
      <c r="CYC15" s="7"/>
      <c r="CYD15" s="7"/>
      <c r="CYE15" s="7"/>
      <c r="CYF15" s="7"/>
      <c r="CYG15" s="7"/>
      <c r="CYH15" s="7"/>
      <c r="CYI15" s="7"/>
      <c r="CYJ15" s="7"/>
      <c r="CYK15" s="7"/>
      <c r="CYL15" s="7"/>
      <c r="CYM15" s="7"/>
      <c r="CYN15" s="7"/>
      <c r="CYO15" s="7"/>
      <c r="CYP15" s="7"/>
      <c r="CYQ15" s="7"/>
      <c r="CYR15" s="7"/>
      <c r="CYS15" s="7"/>
      <c r="CYT15" s="7"/>
      <c r="CYU15" s="7"/>
      <c r="CYV15" s="7"/>
      <c r="CYW15" s="7"/>
      <c r="CYX15" s="7"/>
      <c r="CYY15" s="7"/>
      <c r="CYZ15" s="7"/>
      <c r="CZA15" s="7"/>
      <c r="CZB15" s="7"/>
      <c r="CZC15" s="7"/>
      <c r="CZD15" s="7"/>
      <c r="CZE15" s="7"/>
      <c r="CZF15" s="7"/>
      <c r="CZG15" s="7"/>
      <c r="CZH15" s="7"/>
      <c r="CZI15" s="7"/>
      <c r="CZJ15" s="7"/>
      <c r="CZK15" s="7"/>
      <c r="CZL15" s="7"/>
      <c r="CZM15" s="7"/>
      <c r="CZN15" s="7"/>
      <c r="CZO15" s="7"/>
      <c r="CZP15" s="7"/>
      <c r="CZQ15" s="7"/>
      <c r="CZR15" s="7"/>
      <c r="CZS15" s="7"/>
      <c r="CZT15" s="7"/>
      <c r="CZU15" s="7"/>
      <c r="CZV15" s="7"/>
      <c r="CZW15" s="7"/>
      <c r="CZX15" s="7"/>
      <c r="CZY15" s="7"/>
      <c r="CZZ15" s="7"/>
      <c r="DAA15" s="7"/>
      <c r="DAB15" s="7"/>
      <c r="DAC15" s="7"/>
      <c r="DAD15" s="7"/>
      <c r="DAE15" s="7"/>
      <c r="DAF15" s="7"/>
      <c r="DAG15" s="7"/>
      <c r="DAH15" s="7"/>
      <c r="DAI15" s="7"/>
      <c r="DAJ15" s="7"/>
      <c r="DAK15" s="7"/>
      <c r="DAL15" s="7"/>
      <c r="DAM15" s="7"/>
      <c r="DAN15" s="7"/>
      <c r="DAO15" s="7"/>
      <c r="DAP15" s="7"/>
      <c r="DAQ15" s="7"/>
      <c r="DAR15" s="7"/>
      <c r="DAS15" s="7"/>
      <c r="DAT15" s="7"/>
      <c r="DAU15" s="7"/>
      <c r="DAV15" s="7"/>
      <c r="DAW15" s="7"/>
      <c r="DAX15" s="7"/>
      <c r="DAY15" s="7"/>
      <c r="DAZ15" s="7"/>
      <c r="DBA15" s="7"/>
      <c r="DBB15" s="7"/>
      <c r="DBC15" s="7"/>
      <c r="DBD15" s="7"/>
      <c r="DBE15" s="7"/>
      <c r="DBF15" s="7"/>
      <c r="DBG15" s="7"/>
      <c r="DBH15" s="7"/>
      <c r="DBI15" s="7"/>
      <c r="DBJ15" s="7"/>
      <c r="DBK15" s="7"/>
      <c r="DBL15" s="7"/>
      <c r="DBM15" s="7"/>
      <c r="DBN15" s="7"/>
      <c r="DBO15" s="7"/>
      <c r="DBP15" s="7"/>
      <c r="DBQ15" s="7"/>
      <c r="DBR15" s="7"/>
      <c r="DBS15" s="7"/>
      <c r="DBT15" s="7"/>
      <c r="DBU15" s="7"/>
      <c r="DBV15" s="7"/>
      <c r="DBW15" s="7"/>
      <c r="DBX15" s="7"/>
      <c r="DBY15" s="7"/>
      <c r="DBZ15" s="7"/>
      <c r="DCA15" s="7"/>
      <c r="DCB15" s="7"/>
      <c r="DCC15" s="7"/>
      <c r="DCD15" s="7"/>
      <c r="DCE15" s="7"/>
      <c r="DCF15" s="7"/>
      <c r="DCG15" s="7"/>
      <c r="DCH15" s="7"/>
      <c r="DCI15" s="7"/>
      <c r="DCJ15" s="7"/>
      <c r="DCK15" s="7"/>
      <c r="DCL15" s="7"/>
      <c r="DCM15" s="7"/>
      <c r="DCN15" s="7"/>
      <c r="DCO15" s="7"/>
      <c r="DCP15" s="7"/>
      <c r="DCQ15" s="7"/>
      <c r="DCR15" s="7"/>
      <c r="DCS15" s="7"/>
      <c r="DCT15" s="7"/>
      <c r="DCU15" s="7"/>
      <c r="DCV15" s="7"/>
      <c r="DCW15" s="7"/>
      <c r="DCX15" s="7"/>
      <c r="DCY15" s="7"/>
      <c r="DCZ15" s="7"/>
      <c r="DDA15" s="7"/>
      <c r="DDB15" s="7"/>
      <c r="DDC15" s="7"/>
      <c r="DDD15" s="7"/>
      <c r="DDE15" s="7"/>
      <c r="DDF15" s="7"/>
      <c r="DDG15" s="7"/>
      <c r="DDH15" s="7"/>
      <c r="DDI15" s="7"/>
      <c r="DDJ15" s="7"/>
      <c r="DDK15" s="7"/>
      <c r="DDL15" s="7"/>
      <c r="DDM15" s="7"/>
      <c r="DDN15" s="7"/>
      <c r="DDO15" s="7"/>
      <c r="DDP15" s="7"/>
      <c r="DDQ15" s="7"/>
      <c r="DDR15" s="7"/>
      <c r="DDS15" s="7"/>
      <c r="DDT15" s="7"/>
      <c r="DDU15" s="7"/>
      <c r="DDV15" s="7"/>
      <c r="DDW15" s="7"/>
      <c r="DDX15" s="7"/>
      <c r="DDY15" s="7"/>
      <c r="DDZ15" s="7"/>
      <c r="DEA15" s="7"/>
      <c r="DEB15" s="7"/>
      <c r="DEC15" s="7"/>
      <c r="DED15" s="7"/>
      <c r="DEE15" s="7"/>
      <c r="DEF15" s="7"/>
      <c r="DEG15" s="7"/>
      <c r="DEH15" s="7"/>
      <c r="DEI15" s="7"/>
      <c r="DEJ15" s="7"/>
      <c r="DEK15" s="7"/>
      <c r="DEL15" s="7"/>
      <c r="DEM15" s="7"/>
      <c r="DEN15" s="7"/>
      <c r="DEO15" s="7"/>
      <c r="DEP15" s="7"/>
      <c r="DEQ15" s="7"/>
      <c r="DER15" s="7"/>
      <c r="DES15" s="7"/>
      <c r="DET15" s="7"/>
      <c r="DEU15" s="7"/>
      <c r="DEV15" s="7"/>
      <c r="DEW15" s="7"/>
      <c r="DEX15" s="7"/>
      <c r="DEY15" s="7"/>
      <c r="DEZ15" s="7"/>
      <c r="DFA15" s="7"/>
      <c r="DFB15" s="7"/>
      <c r="DFC15" s="7"/>
      <c r="DFD15" s="7"/>
      <c r="DFE15" s="7"/>
      <c r="DFF15" s="7"/>
      <c r="DFG15" s="7"/>
      <c r="DFH15" s="7"/>
      <c r="DFI15" s="7"/>
      <c r="DFJ15" s="7"/>
      <c r="DFK15" s="7"/>
      <c r="DFL15" s="7"/>
      <c r="DFM15" s="7"/>
      <c r="DFN15" s="7"/>
      <c r="DFO15" s="7"/>
      <c r="DFP15" s="7"/>
      <c r="DFQ15" s="7"/>
      <c r="DFR15" s="7"/>
      <c r="DFS15" s="7"/>
      <c r="DFT15" s="7"/>
      <c r="DFU15" s="7"/>
      <c r="DFV15" s="7"/>
      <c r="DFW15" s="7"/>
      <c r="DFX15" s="7"/>
      <c r="DFY15" s="7"/>
      <c r="DFZ15" s="7"/>
      <c r="DGA15" s="7"/>
      <c r="DGB15" s="7"/>
      <c r="DGC15" s="7"/>
      <c r="DGD15" s="7"/>
      <c r="DGE15" s="7"/>
      <c r="DGF15" s="7"/>
      <c r="DGG15" s="7"/>
      <c r="DGH15" s="7"/>
      <c r="DGI15" s="7"/>
      <c r="DGJ15" s="7"/>
      <c r="DGK15" s="7"/>
      <c r="DGL15" s="7"/>
      <c r="DGM15" s="7"/>
      <c r="DGN15" s="7"/>
      <c r="DGO15" s="7"/>
      <c r="DGP15" s="7"/>
      <c r="DGQ15" s="7"/>
      <c r="DGR15" s="7"/>
      <c r="DGS15" s="7"/>
      <c r="DGT15" s="7"/>
      <c r="DGU15" s="7"/>
      <c r="DGV15" s="7"/>
      <c r="DGW15" s="7"/>
      <c r="DGX15" s="7"/>
      <c r="DGY15" s="7"/>
      <c r="DGZ15" s="7"/>
      <c r="DHA15" s="7"/>
      <c r="DHB15" s="7"/>
      <c r="DHC15" s="7"/>
      <c r="DHD15" s="7"/>
      <c r="DHE15" s="7"/>
      <c r="DHF15" s="7"/>
      <c r="DHG15" s="7"/>
      <c r="DHH15" s="7"/>
      <c r="DHI15" s="7"/>
      <c r="DHJ15" s="7"/>
      <c r="DHK15" s="7"/>
      <c r="DHL15" s="7"/>
      <c r="DHM15" s="7"/>
      <c r="DHN15" s="7"/>
      <c r="DHO15" s="7"/>
      <c r="DHP15" s="7"/>
      <c r="DHQ15" s="7"/>
      <c r="DHR15" s="7"/>
      <c r="DHS15" s="7"/>
      <c r="DHT15" s="7"/>
      <c r="DHU15" s="7"/>
      <c r="DHV15" s="7"/>
      <c r="DHW15" s="7"/>
      <c r="DHX15" s="7"/>
      <c r="DHY15" s="7"/>
      <c r="DHZ15" s="7"/>
      <c r="DIA15" s="7"/>
      <c r="DIB15" s="7"/>
      <c r="DIC15" s="7"/>
      <c r="DID15" s="7"/>
      <c r="DIE15" s="7"/>
      <c r="DIF15" s="7"/>
      <c r="DIG15" s="7"/>
      <c r="DIH15" s="7"/>
      <c r="DII15" s="7"/>
      <c r="DIJ15" s="7"/>
      <c r="DIK15" s="7"/>
      <c r="DIL15" s="7"/>
      <c r="DIM15" s="7"/>
      <c r="DIN15" s="7"/>
      <c r="DIO15" s="7"/>
      <c r="DIP15" s="7"/>
      <c r="DIQ15" s="7"/>
      <c r="DIR15" s="7"/>
      <c r="DIS15" s="7"/>
      <c r="DIT15" s="7"/>
      <c r="DIU15" s="7"/>
      <c r="DIV15" s="7"/>
      <c r="DIW15" s="7"/>
      <c r="DIX15" s="7"/>
      <c r="DIY15" s="7"/>
      <c r="DIZ15" s="7"/>
      <c r="DJA15" s="7"/>
      <c r="DJB15" s="7"/>
      <c r="DJC15" s="7"/>
      <c r="DJD15" s="7"/>
      <c r="DJE15" s="7"/>
      <c r="DJF15" s="7"/>
      <c r="DJG15" s="7"/>
      <c r="DJH15" s="7"/>
      <c r="DJI15" s="7"/>
      <c r="DJJ15" s="7"/>
      <c r="DJK15" s="7"/>
      <c r="DJL15" s="7"/>
      <c r="DJM15" s="7"/>
      <c r="DJN15" s="7"/>
      <c r="DJO15" s="7"/>
      <c r="DJP15" s="7"/>
      <c r="DJQ15" s="7"/>
      <c r="DJR15" s="7"/>
      <c r="DJS15" s="7"/>
      <c r="DJT15" s="7"/>
      <c r="DJU15" s="7"/>
      <c r="DJV15" s="7"/>
      <c r="DJW15" s="7"/>
      <c r="DJX15" s="7"/>
      <c r="DJY15" s="7"/>
      <c r="DJZ15" s="7"/>
      <c r="DKA15" s="7"/>
      <c r="DKB15" s="7"/>
      <c r="DKC15" s="7"/>
      <c r="DKD15" s="7"/>
      <c r="DKE15" s="7"/>
      <c r="DKF15" s="7"/>
      <c r="DKG15" s="7"/>
      <c r="DKH15" s="7"/>
      <c r="DKI15" s="7"/>
      <c r="DKJ15" s="7"/>
      <c r="DKK15" s="7"/>
      <c r="DKL15" s="7"/>
      <c r="DKM15" s="7"/>
      <c r="DKN15" s="7"/>
      <c r="DKO15" s="7"/>
      <c r="DKP15" s="7"/>
      <c r="DKQ15" s="7"/>
      <c r="DKR15" s="7"/>
      <c r="DKS15" s="7"/>
      <c r="DKT15" s="7"/>
      <c r="DKU15" s="7"/>
      <c r="DKV15" s="7"/>
      <c r="DKW15" s="7"/>
      <c r="DKX15" s="7"/>
      <c r="DKY15" s="7"/>
      <c r="DKZ15" s="7"/>
      <c r="DLA15" s="7"/>
      <c r="DLB15" s="7"/>
      <c r="DLC15" s="7"/>
      <c r="DLD15" s="7"/>
      <c r="DLE15" s="7"/>
      <c r="DLF15" s="7"/>
      <c r="DLG15" s="7"/>
      <c r="DLH15" s="7"/>
      <c r="DLI15" s="7"/>
      <c r="DLJ15" s="7"/>
      <c r="DLK15" s="7"/>
      <c r="DLL15" s="7"/>
      <c r="DLM15" s="7"/>
      <c r="DLN15" s="7"/>
      <c r="DLO15" s="7"/>
      <c r="DLP15" s="7"/>
      <c r="DLQ15" s="7"/>
      <c r="DLR15" s="7"/>
      <c r="DLS15" s="7"/>
      <c r="DLT15" s="7"/>
      <c r="DLU15" s="7"/>
      <c r="DLV15" s="7"/>
      <c r="DLW15" s="7"/>
      <c r="DLX15" s="7"/>
      <c r="DLY15" s="7"/>
      <c r="DLZ15" s="7"/>
      <c r="DMA15" s="7"/>
      <c r="DMB15" s="7"/>
      <c r="DMC15" s="7"/>
      <c r="DMD15" s="7"/>
      <c r="DME15" s="7"/>
      <c r="DMF15" s="7"/>
      <c r="DMG15" s="7"/>
      <c r="DMH15" s="7"/>
      <c r="DMI15" s="7"/>
      <c r="DMJ15" s="7"/>
      <c r="DMK15" s="7"/>
      <c r="DML15" s="7"/>
      <c r="DMM15" s="7"/>
      <c r="DMN15" s="7"/>
      <c r="DMO15" s="7"/>
      <c r="DMP15" s="7"/>
      <c r="DMQ15" s="7"/>
      <c r="DMR15" s="7"/>
      <c r="DMS15" s="7"/>
      <c r="DMT15" s="7"/>
      <c r="DMU15" s="7"/>
      <c r="DMV15" s="7"/>
      <c r="DMW15" s="7"/>
      <c r="DMX15" s="7"/>
      <c r="DMY15" s="7"/>
      <c r="DMZ15" s="7"/>
      <c r="DNA15" s="7"/>
      <c r="DNB15" s="7"/>
      <c r="DNC15" s="7"/>
      <c r="DND15" s="7"/>
      <c r="DNE15" s="7"/>
      <c r="DNF15" s="7"/>
      <c r="DNG15" s="7"/>
      <c r="DNH15" s="7"/>
      <c r="DNI15" s="7"/>
      <c r="DNJ15" s="7"/>
      <c r="DNK15" s="7"/>
      <c r="DNL15" s="7"/>
      <c r="DNM15" s="7"/>
      <c r="DNN15" s="7"/>
      <c r="DNO15" s="7"/>
      <c r="DNP15" s="7"/>
      <c r="DNQ15" s="7"/>
      <c r="DNR15" s="7"/>
      <c r="DNS15" s="7"/>
      <c r="DNT15" s="7"/>
      <c r="DNU15" s="7"/>
      <c r="DNV15" s="7"/>
      <c r="DNW15" s="7"/>
      <c r="DNX15" s="7"/>
      <c r="DNY15" s="7"/>
      <c r="DNZ15" s="7"/>
      <c r="DOA15" s="7"/>
      <c r="DOB15" s="7"/>
      <c r="DOC15" s="7"/>
      <c r="DOD15" s="7"/>
      <c r="DOE15" s="7"/>
      <c r="DOF15" s="7"/>
      <c r="DOG15" s="7"/>
      <c r="DOH15" s="7"/>
      <c r="DOI15" s="7"/>
      <c r="DOJ15" s="7"/>
      <c r="DOK15" s="7"/>
      <c r="DOL15" s="7"/>
      <c r="DOM15" s="7"/>
      <c r="DON15" s="7"/>
      <c r="DOO15" s="7"/>
      <c r="DOP15" s="7"/>
      <c r="DOQ15" s="7"/>
      <c r="DOR15" s="7"/>
      <c r="DOS15" s="7"/>
      <c r="DOT15" s="7"/>
      <c r="DOU15" s="7"/>
      <c r="DOV15" s="7"/>
      <c r="DOW15" s="7"/>
      <c r="DOX15" s="7"/>
      <c r="DOY15" s="7"/>
      <c r="DOZ15" s="7"/>
      <c r="DPA15" s="7"/>
      <c r="DPB15" s="7"/>
      <c r="DPC15" s="7"/>
      <c r="DPD15" s="7"/>
      <c r="DPE15" s="7"/>
      <c r="DPF15" s="7"/>
      <c r="DPG15" s="7"/>
      <c r="DPH15" s="7"/>
      <c r="DPI15" s="7"/>
      <c r="DPJ15" s="7"/>
      <c r="DPK15" s="7"/>
      <c r="DPL15" s="7"/>
      <c r="DPM15" s="7"/>
      <c r="DPN15" s="7"/>
      <c r="DPO15" s="7"/>
      <c r="DPP15" s="7"/>
      <c r="DPQ15" s="7"/>
      <c r="DPR15" s="7"/>
      <c r="DPS15" s="7"/>
      <c r="DPT15" s="7"/>
      <c r="DPU15" s="7"/>
      <c r="DPV15" s="7"/>
      <c r="DPW15" s="7"/>
      <c r="DPX15" s="7"/>
      <c r="DPY15" s="7"/>
      <c r="DPZ15" s="7"/>
      <c r="DQA15" s="7"/>
      <c r="DQB15" s="7"/>
      <c r="DQC15" s="7"/>
      <c r="DQD15" s="7"/>
      <c r="DQE15" s="7"/>
      <c r="DQF15" s="7"/>
      <c r="DQG15" s="7"/>
      <c r="DQH15" s="7"/>
      <c r="DQI15" s="7"/>
      <c r="DQJ15" s="7"/>
      <c r="DQK15" s="7"/>
      <c r="DQL15" s="7"/>
      <c r="DQM15" s="7"/>
      <c r="DQN15" s="7"/>
      <c r="DQO15" s="7"/>
      <c r="DQP15" s="7"/>
      <c r="DQQ15" s="7"/>
      <c r="DQR15" s="7"/>
      <c r="DQS15" s="7"/>
      <c r="DQT15" s="7"/>
      <c r="DQU15" s="7"/>
      <c r="DQV15" s="7"/>
      <c r="DQW15" s="7"/>
      <c r="DQX15" s="7"/>
      <c r="DQY15" s="7"/>
      <c r="DQZ15" s="7"/>
      <c r="DRA15" s="7"/>
      <c r="DRB15" s="7"/>
      <c r="DRC15" s="7"/>
      <c r="DRD15" s="7"/>
      <c r="DRE15" s="7"/>
      <c r="DRF15" s="7"/>
      <c r="DRG15" s="7"/>
      <c r="DRH15" s="7"/>
      <c r="DRI15" s="7"/>
      <c r="DRJ15" s="7"/>
      <c r="DRK15" s="7"/>
      <c r="DRL15" s="7"/>
      <c r="DRM15" s="7"/>
      <c r="DRN15" s="7"/>
      <c r="DRO15" s="7"/>
      <c r="DRP15" s="7"/>
      <c r="DRQ15" s="7"/>
      <c r="DRR15" s="7"/>
      <c r="DRS15" s="7"/>
      <c r="DRT15" s="7"/>
      <c r="DRU15" s="7"/>
      <c r="DRV15" s="7"/>
      <c r="DRW15" s="7"/>
      <c r="DRX15" s="7"/>
      <c r="DRY15" s="7"/>
      <c r="DRZ15" s="7"/>
      <c r="DSA15" s="7"/>
      <c r="DSB15" s="7"/>
      <c r="DSC15" s="7"/>
      <c r="DSD15" s="7"/>
      <c r="DSE15" s="7"/>
      <c r="DSF15" s="7"/>
      <c r="DSG15" s="7"/>
      <c r="DSH15" s="7"/>
      <c r="DSI15" s="7"/>
      <c r="DSJ15" s="7"/>
      <c r="DSK15" s="7"/>
      <c r="DSL15" s="7"/>
      <c r="DSM15" s="7"/>
      <c r="DSN15" s="7"/>
      <c r="DSO15" s="7"/>
      <c r="DSP15" s="7"/>
      <c r="DSQ15" s="7"/>
      <c r="DSR15" s="7"/>
      <c r="DSS15" s="7"/>
      <c r="DST15" s="7"/>
      <c r="DSU15" s="7"/>
      <c r="DSV15" s="7"/>
      <c r="DSW15" s="7"/>
      <c r="DSX15" s="7"/>
      <c r="DSY15" s="7"/>
      <c r="DSZ15" s="7"/>
      <c r="DTA15" s="7"/>
      <c r="DTB15" s="7"/>
      <c r="DTC15" s="7"/>
      <c r="DTD15" s="7"/>
      <c r="DTE15" s="7"/>
      <c r="DTF15" s="7"/>
      <c r="DTG15" s="7"/>
      <c r="DTH15" s="7"/>
      <c r="DTI15" s="7"/>
      <c r="DTJ15" s="7"/>
      <c r="DTK15" s="7"/>
      <c r="DTL15" s="7"/>
      <c r="DTM15" s="7"/>
      <c r="DTN15" s="7"/>
      <c r="DTO15" s="7"/>
      <c r="DTP15" s="7"/>
      <c r="DTQ15" s="7"/>
      <c r="DTR15" s="7"/>
      <c r="DTS15" s="7"/>
      <c r="DTT15" s="7"/>
      <c r="DTU15" s="7"/>
      <c r="DTV15" s="7"/>
      <c r="DTW15" s="7"/>
      <c r="DTX15" s="7"/>
      <c r="DTY15" s="7"/>
      <c r="DTZ15" s="7"/>
      <c r="DUA15" s="7"/>
      <c r="DUB15" s="7"/>
      <c r="DUC15" s="7"/>
      <c r="DUD15" s="7"/>
      <c r="DUE15" s="7"/>
      <c r="DUF15" s="7"/>
      <c r="DUG15" s="7"/>
      <c r="DUH15" s="7"/>
      <c r="DUI15" s="7"/>
      <c r="DUJ15" s="7"/>
      <c r="DUK15" s="7"/>
      <c r="DUL15" s="7"/>
      <c r="DUM15" s="7"/>
      <c r="DUN15" s="7"/>
      <c r="DUO15" s="7"/>
      <c r="DUP15" s="7"/>
      <c r="DUQ15" s="7"/>
      <c r="DUR15" s="7"/>
      <c r="DUS15" s="7"/>
      <c r="DUT15" s="7"/>
      <c r="DUU15" s="7"/>
      <c r="DUV15" s="7"/>
      <c r="DUW15" s="7"/>
      <c r="DUX15" s="7"/>
      <c r="DUY15" s="7"/>
      <c r="DUZ15" s="7"/>
      <c r="DVA15" s="7"/>
      <c r="DVB15" s="7"/>
      <c r="DVC15" s="7"/>
      <c r="DVD15" s="7"/>
      <c r="DVE15" s="7"/>
      <c r="DVF15" s="7"/>
      <c r="DVG15" s="7"/>
      <c r="DVH15" s="7"/>
      <c r="DVI15" s="7"/>
      <c r="DVJ15" s="7"/>
      <c r="DVK15" s="7"/>
      <c r="DVL15" s="7"/>
      <c r="DVM15" s="7"/>
      <c r="DVN15" s="7"/>
      <c r="DVO15" s="7"/>
      <c r="DVP15" s="7"/>
      <c r="DVQ15" s="7"/>
      <c r="DVR15" s="7"/>
      <c r="DVS15" s="7"/>
      <c r="DVT15" s="7"/>
      <c r="DVU15" s="7"/>
      <c r="DVV15" s="7"/>
      <c r="DVW15" s="7"/>
      <c r="DVX15" s="7"/>
      <c r="DVY15" s="7"/>
      <c r="DVZ15" s="7"/>
      <c r="DWA15" s="7"/>
      <c r="DWB15" s="7"/>
      <c r="DWC15" s="7"/>
      <c r="DWD15" s="7"/>
      <c r="DWE15" s="7"/>
      <c r="DWF15" s="7"/>
      <c r="DWG15" s="7"/>
      <c r="DWH15" s="7"/>
      <c r="DWI15" s="7"/>
      <c r="DWJ15" s="7"/>
      <c r="DWK15" s="7"/>
      <c r="DWL15" s="7"/>
      <c r="DWM15" s="7"/>
      <c r="DWN15" s="7"/>
      <c r="DWO15" s="7"/>
      <c r="DWP15" s="7"/>
      <c r="DWQ15" s="7"/>
      <c r="DWR15" s="7"/>
      <c r="DWS15" s="7"/>
      <c r="DWT15" s="7"/>
      <c r="DWU15" s="7"/>
      <c r="DWV15" s="7"/>
      <c r="DWW15" s="7"/>
      <c r="DWX15" s="7"/>
      <c r="DWY15" s="7"/>
      <c r="DWZ15" s="7"/>
      <c r="DXA15" s="7"/>
      <c r="DXB15" s="7"/>
      <c r="DXC15" s="7"/>
      <c r="DXD15" s="7"/>
      <c r="DXE15" s="7"/>
      <c r="DXF15" s="7"/>
      <c r="DXG15" s="7"/>
      <c r="DXH15" s="7"/>
      <c r="DXI15" s="7"/>
      <c r="DXJ15" s="7"/>
      <c r="DXK15" s="7"/>
      <c r="DXL15" s="7"/>
      <c r="DXM15" s="7"/>
      <c r="DXN15" s="7"/>
      <c r="DXO15" s="7"/>
      <c r="DXP15" s="7"/>
      <c r="DXQ15" s="7"/>
      <c r="DXR15" s="7"/>
      <c r="DXS15" s="7"/>
      <c r="DXT15" s="7"/>
      <c r="DXU15" s="7"/>
      <c r="DXV15" s="7"/>
      <c r="DXW15" s="7"/>
      <c r="DXX15" s="7"/>
      <c r="DXY15" s="7"/>
      <c r="DXZ15" s="7"/>
      <c r="DYA15" s="7"/>
      <c r="DYB15" s="7"/>
      <c r="DYC15" s="7"/>
      <c r="DYD15" s="7"/>
      <c r="DYE15" s="7"/>
      <c r="DYF15" s="7"/>
      <c r="DYG15" s="7"/>
      <c r="DYH15" s="7"/>
      <c r="DYI15" s="7"/>
      <c r="DYJ15" s="7"/>
      <c r="DYK15" s="7"/>
      <c r="DYL15" s="7"/>
      <c r="DYM15" s="7"/>
      <c r="DYN15" s="7"/>
      <c r="DYO15" s="7"/>
      <c r="DYP15" s="7"/>
      <c r="DYQ15" s="7"/>
      <c r="DYR15" s="7"/>
      <c r="DYS15" s="7"/>
      <c r="DYT15" s="7"/>
      <c r="DYU15" s="7"/>
      <c r="DYV15" s="7"/>
      <c r="DYW15" s="7"/>
      <c r="DYX15" s="7"/>
      <c r="DYY15" s="7"/>
      <c r="DYZ15" s="7"/>
      <c r="DZA15" s="7"/>
      <c r="DZB15" s="7"/>
      <c r="DZC15" s="7"/>
      <c r="DZD15" s="7"/>
      <c r="DZE15" s="7"/>
      <c r="DZF15" s="7"/>
      <c r="DZG15" s="7"/>
      <c r="DZH15" s="7"/>
      <c r="DZI15" s="7"/>
      <c r="DZJ15" s="7"/>
      <c r="DZK15" s="7"/>
      <c r="DZL15" s="7"/>
      <c r="DZM15" s="7"/>
      <c r="DZN15" s="7"/>
      <c r="DZO15" s="7"/>
      <c r="DZP15" s="7"/>
      <c r="DZQ15" s="7"/>
      <c r="DZR15" s="7"/>
      <c r="DZS15" s="7"/>
      <c r="DZT15" s="7"/>
      <c r="DZU15" s="7"/>
      <c r="DZV15" s="7"/>
      <c r="DZW15" s="7"/>
      <c r="DZX15" s="7"/>
      <c r="DZY15" s="7"/>
      <c r="DZZ15" s="7"/>
      <c r="EAA15" s="7"/>
      <c r="EAB15" s="7"/>
      <c r="EAC15" s="7"/>
      <c r="EAD15" s="7"/>
      <c r="EAE15" s="7"/>
      <c r="EAF15" s="7"/>
      <c r="EAG15" s="7"/>
      <c r="EAH15" s="7"/>
      <c r="EAI15" s="7"/>
      <c r="EAJ15" s="7"/>
      <c r="EAK15" s="7"/>
      <c r="EAL15" s="7"/>
      <c r="EAM15" s="7"/>
      <c r="EAN15" s="7"/>
      <c r="EAO15" s="7"/>
      <c r="EAP15" s="7"/>
      <c r="EAQ15" s="7"/>
      <c r="EAR15" s="7"/>
      <c r="EAS15" s="7"/>
      <c r="EAT15" s="7"/>
      <c r="EAU15" s="7"/>
      <c r="EAV15" s="7"/>
      <c r="EAW15" s="7"/>
      <c r="EAX15" s="7"/>
      <c r="EAY15" s="7"/>
      <c r="EAZ15" s="7"/>
      <c r="EBA15" s="7"/>
      <c r="EBB15" s="7"/>
      <c r="EBC15" s="7"/>
      <c r="EBD15" s="7"/>
      <c r="EBE15" s="7"/>
      <c r="EBF15" s="7"/>
      <c r="EBG15" s="7"/>
      <c r="EBH15" s="7"/>
      <c r="EBI15" s="7"/>
      <c r="EBJ15" s="7"/>
      <c r="EBK15" s="7"/>
      <c r="EBL15" s="7"/>
      <c r="EBM15" s="7"/>
      <c r="EBN15" s="7"/>
      <c r="EBO15" s="7"/>
      <c r="EBP15" s="7"/>
      <c r="EBQ15" s="7"/>
      <c r="EBR15" s="7"/>
      <c r="EBS15" s="7"/>
      <c r="EBT15" s="7"/>
      <c r="EBU15" s="7"/>
      <c r="EBV15" s="7"/>
      <c r="EBW15" s="7"/>
      <c r="EBX15" s="7"/>
      <c r="EBY15" s="7"/>
      <c r="EBZ15" s="7"/>
      <c r="ECA15" s="7"/>
      <c r="ECB15" s="7"/>
      <c r="ECC15" s="7"/>
      <c r="ECD15" s="7"/>
      <c r="ECE15" s="7"/>
      <c r="ECF15" s="7"/>
      <c r="ECG15" s="7"/>
      <c r="ECH15" s="7"/>
      <c r="ECI15" s="7"/>
      <c r="ECJ15" s="7"/>
      <c r="ECK15" s="7"/>
      <c r="ECL15" s="7"/>
      <c r="ECM15" s="7"/>
      <c r="ECN15" s="7"/>
      <c r="ECO15" s="7"/>
      <c r="ECP15" s="7"/>
      <c r="ECQ15" s="7"/>
      <c r="ECR15" s="7"/>
      <c r="ECS15" s="7"/>
      <c r="ECT15" s="7"/>
      <c r="ECU15" s="7"/>
      <c r="ECV15" s="7"/>
      <c r="ECW15" s="7"/>
      <c r="ECX15" s="7"/>
      <c r="ECY15" s="7"/>
      <c r="ECZ15" s="7"/>
      <c r="EDA15" s="7"/>
      <c r="EDB15" s="7"/>
      <c r="EDC15" s="7"/>
      <c r="EDD15" s="7"/>
      <c r="EDE15" s="7"/>
      <c r="EDF15" s="7"/>
      <c r="EDG15" s="7"/>
      <c r="EDH15" s="7"/>
      <c r="EDI15" s="7"/>
      <c r="EDJ15" s="7"/>
      <c r="EDK15" s="7"/>
      <c r="EDL15" s="7"/>
      <c r="EDM15" s="7"/>
      <c r="EDN15" s="7"/>
      <c r="EDO15" s="7"/>
      <c r="EDP15" s="7"/>
      <c r="EDQ15" s="7"/>
      <c r="EDR15" s="7"/>
      <c r="EDS15" s="7"/>
      <c r="EDT15" s="7"/>
      <c r="EDU15" s="7"/>
      <c r="EDV15" s="7"/>
      <c r="EDW15" s="7"/>
      <c r="EDX15" s="7"/>
      <c r="EDY15" s="7"/>
      <c r="EDZ15" s="7"/>
      <c r="EEA15" s="7"/>
      <c r="EEB15" s="7"/>
      <c r="EEC15" s="7"/>
      <c r="EED15" s="7"/>
      <c r="EEE15" s="7"/>
      <c r="EEF15" s="7"/>
      <c r="EEG15" s="7"/>
      <c r="EEH15" s="7"/>
      <c r="EEI15" s="7"/>
      <c r="EEJ15" s="7"/>
      <c r="EEK15" s="7"/>
      <c r="EEL15" s="7"/>
      <c r="EEM15" s="7"/>
      <c r="EEN15" s="7"/>
      <c r="EEO15" s="7"/>
      <c r="EEP15" s="7"/>
      <c r="EEQ15" s="7"/>
      <c r="EER15" s="7"/>
      <c r="EES15" s="7"/>
      <c r="EET15" s="7"/>
      <c r="EEU15" s="7"/>
      <c r="EEV15" s="7"/>
      <c r="EEW15" s="7"/>
      <c r="EEX15" s="7"/>
      <c r="EEY15" s="7"/>
      <c r="EEZ15" s="7"/>
      <c r="EFA15" s="7"/>
      <c r="EFB15" s="7"/>
      <c r="EFC15" s="7"/>
      <c r="EFD15" s="7"/>
      <c r="EFE15" s="7"/>
      <c r="EFF15" s="7"/>
      <c r="EFG15" s="7"/>
      <c r="EFH15" s="7"/>
      <c r="EFI15" s="7"/>
      <c r="EFJ15" s="7"/>
      <c r="EFK15" s="7"/>
      <c r="EFL15" s="7"/>
      <c r="EFM15" s="7"/>
      <c r="EFN15" s="7"/>
      <c r="EFO15" s="7"/>
      <c r="EFP15" s="7"/>
      <c r="EFQ15" s="7"/>
      <c r="EFR15" s="7"/>
      <c r="EFS15" s="7"/>
      <c r="EFT15" s="7"/>
      <c r="EFU15" s="7"/>
      <c r="EFV15" s="7"/>
      <c r="EFW15" s="7"/>
      <c r="EFX15" s="7"/>
      <c r="EFY15" s="7"/>
      <c r="EFZ15" s="7"/>
      <c r="EGA15" s="7"/>
      <c r="EGB15" s="7"/>
      <c r="EGC15" s="7"/>
      <c r="EGD15" s="7"/>
      <c r="EGE15" s="7"/>
      <c r="EGF15" s="7"/>
      <c r="EGG15" s="7"/>
      <c r="EGH15" s="7"/>
      <c r="EGI15" s="7"/>
      <c r="EGJ15" s="7"/>
      <c r="EGK15" s="7"/>
      <c r="EGL15" s="7"/>
      <c r="EGM15" s="7"/>
      <c r="EGN15" s="7"/>
      <c r="EGO15" s="7"/>
      <c r="EGP15" s="7"/>
      <c r="EGQ15" s="7"/>
      <c r="EGR15" s="7"/>
      <c r="EGS15" s="7"/>
      <c r="EGT15" s="7"/>
      <c r="EGU15" s="7"/>
      <c r="EGV15" s="7"/>
      <c r="EGW15" s="7"/>
      <c r="EGX15" s="7"/>
      <c r="EGY15" s="7"/>
      <c r="EGZ15" s="7"/>
      <c r="EHA15" s="7"/>
      <c r="EHB15" s="7"/>
      <c r="EHC15" s="7"/>
      <c r="EHD15" s="7"/>
      <c r="EHE15" s="7"/>
      <c r="EHF15" s="7"/>
      <c r="EHG15" s="7"/>
      <c r="EHH15" s="7"/>
      <c r="EHI15" s="7"/>
      <c r="EHJ15" s="7"/>
      <c r="EHK15" s="7"/>
      <c r="EHL15" s="7"/>
      <c r="EHM15" s="7"/>
      <c r="EHN15" s="7"/>
      <c r="EHO15" s="7"/>
      <c r="EHP15" s="7"/>
      <c r="EHQ15" s="7"/>
      <c r="EHR15" s="7"/>
      <c r="EHS15" s="7"/>
      <c r="EHT15" s="7"/>
      <c r="EHU15" s="7"/>
      <c r="EHV15" s="7"/>
      <c r="EHW15" s="7"/>
      <c r="EHX15" s="7"/>
      <c r="EHY15" s="7"/>
      <c r="EHZ15" s="7"/>
      <c r="EIA15" s="7"/>
      <c r="EIB15" s="7"/>
      <c r="EIC15" s="7"/>
      <c r="EID15" s="7"/>
      <c r="EIE15" s="7"/>
      <c r="EIF15" s="7"/>
      <c r="EIG15" s="7"/>
      <c r="EIH15" s="7"/>
      <c r="EII15" s="7"/>
      <c r="EIJ15" s="7"/>
      <c r="EIK15" s="7"/>
      <c r="EIL15" s="7"/>
      <c r="EIM15" s="7"/>
      <c r="EIN15" s="7"/>
      <c r="EIO15" s="7"/>
      <c r="EIP15" s="7"/>
      <c r="EIQ15" s="7"/>
      <c r="EIR15" s="7"/>
      <c r="EIS15" s="7"/>
      <c r="EIT15" s="7"/>
      <c r="EIU15" s="7"/>
      <c r="EIV15" s="7"/>
      <c r="EIW15" s="7"/>
      <c r="EIX15" s="7"/>
      <c r="EIY15" s="7"/>
      <c r="EIZ15" s="7"/>
      <c r="EJA15" s="7"/>
      <c r="EJB15" s="7"/>
      <c r="EJC15" s="7"/>
      <c r="EJD15" s="7"/>
      <c r="EJE15" s="7"/>
      <c r="EJF15" s="7"/>
      <c r="EJG15" s="7"/>
      <c r="EJH15" s="7"/>
      <c r="EJI15" s="7"/>
      <c r="EJJ15" s="7"/>
      <c r="EJK15" s="7"/>
      <c r="EJL15" s="7"/>
      <c r="EJM15" s="7"/>
      <c r="EJN15" s="7"/>
      <c r="EJO15" s="7"/>
      <c r="EJP15" s="7"/>
      <c r="EJQ15" s="7"/>
      <c r="EJR15" s="7"/>
      <c r="EJS15" s="7"/>
      <c r="EJT15" s="7"/>
      <c r="EJU15" s="7"/>
      <c r="EJV15" s="7"/>
      <c r="EJW15" s="7"/>
      <c r="EJX15" s="7"/>
      <c r="EJY15" s="7"/>
      <c r="EJZ15" s="7"/>
      <c r="EKA15" s="7"/>
      <c r="EKB15" s="7"/>
      <c r="EKC15" s="7"/>
      <c r="EKD15" s="7"/>
      <c r="EKE15" s="7"/>
      <c r="EKF15" s="7"/>
      <c r="EKG15" s="7"/>
      <c r="EKH15" s="7"/>
      <c r="EKI15" s="7"/>
      <c r="EKJ15" s="7"/>
      <c r="EKK15" s="7"/>
      <c r="EKL15" s="7"/>
      <c r="EKM15" s="7"/>
      <c r="EKN15" s="7"/>
      <c r="EKO15" s="7"/>
      <c r="EKP15" s="7"/>
      <c r="EKQ15" s="7"/>
      <c r="EKR15" s="7"/>
      <c r="EKS15" s="7"/>
      <c r="EKT15" s="7"/>
      <c r="EKU15" s="7"/>
      <c r="EKV15" s="7"/>
      <c r="EKW15" s="7"/>
      <c r="EKX15" s="7"/>
      <c r="EKY15" s="7"/>
      <c r="EKZ15" s="7"/>
      <c r="ELA15" s="7"/>
      <c r="ELB15" s="7"/>
      <c r="ELC15" s="7"/>
      <c r="ELD15" s="7"/>
      <c r="ELE15" s="7"/>
      <c r="ELF15" s="7"/>
      <c r="ELG15" s="7"/>
      <c r="ELH15" s="7"/>
      <c r="ELI15" s="7"/>
      <c r="ELJ15" s="7"/>
      <c r="ELK15" s="7"/>
      <c r="ELL15" s="7"/>
      <c r="ELM15" s="7"/>
      <c r="ELN15" s="7"/>
      <c r="ELO15" s="7"/>
      <c r="ELP15" s="7"/>
      <c r="ELQ15" s="7"/>
      <c r="ELR15" s="7"/>
      <c r="ELS15" s="7"/>
      <c r="ELT15" s="7"/>
      <c r="ELU15" s="7"/>
      <c r="ELV15" s="7"/>
      <c r="ELW15" s="7"/>
      <c r="ELX15" s="7"/>
      <c r="ELY15" s="7"/>
      <c r="ELZ15" s="7"/>
      <c r="EMA15" s="7"/>
      <c r="EMB15" s="7"/>
      <c r="EMC15" s="7"/>
      <c r="EMD15" s="7"/>
      <c r="EME15" s="7"/>
      <c r="EMF15" s="7"/>
      <c r="EMG15" s="7"/>
      <c r="EMH15" s="7"/>
      <c r="EMI15" s="7"/>
      <c r="EMJ15" s="7"/>
      <c r="EMK15" s="7"/>
      <c r="EML15" s="7"/>
      <c r="EMM15" s="7"/>
      <c r="EMN15" s="7"/>
      <c r="EMO15" s="7"/>
      <c r="EMP15" s="7"/>
      <c r="EMQ15" s="7"/>
      <c r="EMR15" s="7"/>
      <c r="EMS15" s="7"/>
      <c r="EMT15" s="7"/>
      <c r="EMU15" s="7"/>
      <c r="EMV15" s="7"/>
      <c r="EMW15" s="7"/>
      <c r="EMX15" s="7"/>
      <c r="EMY15" s="7"/>
      <c r="EMZ15" s="7"/>
      <c r="ENA15" s="7"/>
      <c r="ENB15" s="7"/>
      <c r="ENC15" s="7"/>
      <c r="END15" s="7"/>
      <c r="ENE15" s="7"/>
      <c r="ENF15" s="7"/>
      <c r="ENG15" s="7"/>
      <c r="ENH15" s="7"/>
      <c r="ENI15" s="7"/>
      <c r="ENJ15" s="7"/>
      <c r="ENK15" s="7"/>
      <c r="ENL15" s="7"/>
      <c r="ENM15" s="7"/>
      <c r="ENN15" s="7"/>
      <c r="ENO15" s="7"/>
      <c r="ENP15" s="7"/>
      <c r="ENQ15" s="7"/>
      <c r="ENR15" s="7"/>
      <c r="ENS15" s="7"/>
      <c r="ENT15" s="7"/>
      <c r="ENU15" s="7"/>
      <c r="ENV15" s="7"/>
      <c r="ENW15" s="7"/>
      <c r="ENX15" s="7"/>
      <c r="ENY15" s="7"/>
      <c r="ENZ15" s="7"/>
      <c r="EOA15" s="7"/>
      <c r="EOB15" s="7"/>
      <c r="EOC15" s="7"/>
      <c r="EOD15" s="7"/>
      <c r="EOE15" s="7"/>
      <c r="EOF15" s="7"/>
      <c r="EOG15" s="7"/>
      <c r="EOH15" s="7"/>
      <c r="EOI15" s="7"/>
      <c r="EOJ15" s="7"/>
      <c r="EOK15" s="7"/>
      <c r="EOL15" s="7"/>
      <c r="EOM15" s="7"/>
      <c r="EON15" s="7"/>
      <c r="EOO15" s="7"/>
      <c r="EOP15" s="7"/>
      <c r="EOQ15" s="7"/>
      <c r="EOR15" s="7"/>
      <c r="EOS15" s="7"/>
      <c r="EOT15" s="7"/>
      <c r="EOU15" s="7"/>
      <c r="EOV15" s="7"/>
      <c r="EOW15" s="7"/>
      <c r="EOX15" s="7"/>
      <c r="EOY15" s="7"/>
      <c r="EOZ15" s="7"/>
      <c r="EPA15" s="7"/>
      <c r="EPB15" s="7"/>
      <c r="EPC15" s="7"/>
      <c r="EPD15" s="7"/>
      <c r="EPE15" s="7"/>
      <c r="EPF15" s="7"/>
      <c r="EPG15" s="7"/>
      <c r="EPH15" s="7"/>
      <c r="EPI15" s="7"/>
      <c r="EPJ15" s="7"/>
      <c r="EPK15" s="7"/>
      <c r="EPL15" s="7"/>
      <c r="EPM15" s="7"/>
      <c r="EPN15" s="7"/>
      <c r="EPO15" s="7"/>
      <c r="EPP15" s="7"/>
      <c r="EPQ15" s="7"/>
      <c r="EPR15" s="7"/>
      <c r="EPS15" s="7"/>
      <c r="EPT15" s="7"/>
      <c r="EPU15" s="7"/>
      <c r="EPV15" s="7"/>
      <c r="EPW15" s="7"/>
      <c r="EPX15" s="7"/>
      <c r="EPY15" s="7"/>
      <c r="EPZ15" s="7"/>
      <c r="EQA15" s="7"/>
      <c r="EQB15" s="7"/>
      <c r="EQC15" s="7"/>
      <c r="EQD15" s="7"/>
      <c r="EQE15" s="7"/>
      <c r="EQF15" s="7"/>
      <c r="EQG15" s="7"/>
      <c r="EQH15" s="7"/>
      <c r="EQI15" s="7"/>
      <c r="EQJ15" s="7"/>
      <c r="EQK15" s="7"/>
      <c r="EQL15" s="7"/>
      <c r="EQM15" s="7"/>
      <c r="EQN15" s="7"/>
      <c r="EQO15" s="7"/>
      <c r="EQP15" s="7"/>
      <c r="EQQ15" s="7"/>
      <c r="EQR15" s="7"/>
      <c r="EQS15" s="7"/>
      <c r="EQT15" s="7"/>
      <c r="EQU15" s="7"/>
      <c r="EQV15" s="7"/>
      <c r="EQW15" s="7"/>
      <c r="EQX15" s="7"/>
      <c r="EQY15" s="7"/>
      <c r="EQZ15" s="7"/>
      <c r="ERA15" s="7"/>
      <c r="ERB15" s="7"/>
      <c r="ERC15" s="7"/>
      <c r="ERD15" s="7"/>
      <c r="ERE15" s="7"/>
      <c r="ERF15" s="7"/>
      <c r="ERG15" s="7"/>
      <c r="ERH15" s="7"/>
      <c r="ERI15" s="7"/>
      <c r="ERJ15" s="7"/>
      <c r="ERK15" s="7"/>
      <c r="ERL15" s="7"/>
      <c r="ERM15" s="7"/>
      <c r="ERN15" s="7"/>
      <c r="ERO15" s="7"/>
      <c r="ERP15" s="7"/>
      <c r="ERQ15" s="7"/>
      <c r="ERR15" s="7"/>
      <c r="ERS15" s="7"/>
      <c r="ERT15" s="7"/>
      <c r="ERU15" s="7"/>
      <c r="ERV15" s="7"/>
      <c r="ERW15" s="7"/>
      <c r="ERX15" s="7"/>
      <c r="ERY15" s="7"/>
      <c r="ERZ15" s="7"/>
      <c r="ESA15" s="7"/>
      <c r="ESB15" s="7"/>
      <c r="ESC15" s="7"/>
      <c r="ESD15" s="7"/>
      <c r="ESE15" s="7"/>
      <c r="ESF15" s="7"/>
      <c r="ESG15" s="7"/>
      <c r="ESH15" s="7"/>
      <c r="ESI15" s="7"/>
      <c r="ESJ15" s="7"/>
      <c r="ESK15" s="7"/>
      <c r="ESL15" s="7"/>
      <c r="ESM15" s="7"/>
      <c r="ESN15" s="7"/>
      <c r="ESO15" s="7"/>
      <c r="ESP15" s="7"/>
      <c r="ESQ15" s="7"/>
      <c r="ESR15" s="7"/>
      <c r="ESS15" s="7"/>
      <c r="EST15" s="7"/>
      <c r="ESU15" s="7"/>
      <c r="ESV15" s="7"/>
      <c r="ESW15" s="7"/>
      <c r="ESX15" s="7"/>
      <c r="ESY15" s="7"/>
      <c r="ESZ15" s="7"/>
      <c r="ETA15" s="7"/>
      <c r="ETB15" s="7"/>
      <c r="ETC15" s="7"/>
      <c r="ETD15" s="7"/>
      <c r="ETE15" s="7"/>
      <c r="ETF15" s="7"/>
      <c r="ETG15" s="7"/>
      <c r="ETH15" s="7"/>
      <c r="ETI15" s="7"/>
      <c r="ETJ15" s="7"/>
      <c r="ETK15" s="7"/>
      <c r="ETL15" s="7"/>
      <c r="ETM15" s="7"/>
      <c r="ETN15" s="7"/>
      <c r="ETO15" s="7"/>
      <c r="ETP15" s="7"/>
      <c r="ETQ15" s="7"/>
      <c r="ETR15" s="7"/>
      <c r="ETS15" s="7"/>
      <c r="ETT15" s="7"/>
      <c r="ETU15" s="7"/>
      <c r="ETV15" s="7"/>
      <c r="ETW15" s="7"/>
      <c r="ETX15" s="7"/>
      <c r="ETY15" s="7"/>
      <c r="ETZ15" s="7"/>
      <c r="EUA15" s="7"/>
      <c r="EUB15" s="7"/>
      <c r="EUC15" s="7"/>
      <c r="EUD15" s="7"/>
      <c r="EUE15" s="7"/>
      <c r="EUF15" s="7"/>
      <c r="EUG15" s="7"/>
      <c r="EUH15" s="7"/>
      <c r="EUI15" s="7"/>
      <c r="EUJ15" s="7"/>
      <c r="EUK15" s="7"/>
      <c r="EUL15" s="7"/>
      <c r="EUM15" s="7"/>
      <c r="EUN15" s="7"/>
      <c r="EUO15" s="7"/>
      <c r="EUP15" s="7"/>
      <c r="EUQ15" s="7"/>
      <c r="EUR15" s="7"/>
      <c r="EUS15" s="7"/>
      <c r="EUT15" s="7"/>
      <c r="EUU15" s="7"/>
      <c r="EUV15" s="7"/>
      <c r="EUW15" s="7"/>
      <c r="EUX15" s="7"/>
      <c r="EUY15" s="7"/>
      <c r="EUZ15" s="7"/>
      <c r="EVA15" s="7"/>
      <c r="EVB15" s="7"/>
      <c r="EVC15" s="7"/>
      <c r="EVD15" s="7"/>
      <c r="EVE15" s="7"/>
      <c r="EVF15" s="7"/>
      <c r="EVG15" s="7"/>
      <c r="EVH15" s="7"/>
      <c r="EVI15" s="7"/>
      <c r="EVJ15" s="7"/>
      <c r="EVK15" s="7"/>
      <c r="EVL15" s="7"/>
      <c r="EVM15" s="7"/>
      <c r="EVN15" s="7"/>
      <c r="EVO15" s="7"/>
      <c r="EVP15" s="7"/>
      <c r="EVQ15" s="7"/>
      <c r="EVR15" s="7"/>
      <c r="EVS15" s="7"/>
      <c r="EVT15" s="7"/>
      <c r="EVU15" s="7"/>
      <c r="EVV15" s="7"/>
      <c r="EVW15" s="7"/>
      <c r="EVX15" s="7"/>
      <c r="EVY15" s="7"/>
      <c r="EVZ15" s="7"/>
      <c r="EWA15" s="7"/>
      <c r="EWB15" s="7"/>
      <c r="EWC15" s="7"/>
      <c r="EWD15" s="7"/>
      <c r="EWE15" s="7"/>
      <c r="EWF15" s="7"/>
      <c r="EWG15" s="7"/>
      <c r="EWH15" s="7"/>
      <c r="EWI15" s="7"/>
      <c r="EWJ15" s="7"/>
      <c r="EWK15" s="7"/>
      <c r="EWL15" s="7"/>
      <c r="EWM15" s="7"/>
      <c r="EWN15" s="7"/>
      <c r="EWO15" s="7"/>
      <c r="EWP15" s="7"/>
      <c r="EWQ15" s="7"/>
      <c r="EWR15" s="7"/>
      <c r="EWS15" s="7"/>
      <c r="EWT15" s="7"/>
      <c r="EWU15" s="7"/>
      <c r="EWV15" s="7"/>
      <c r="EWW15" s="7"/>
      <c r="EWX15" s="7"/>
      <c r="EWY15" s="7"/>
      <c r="EWZ15" s="7"/>
      <c r="EXA15" s="7"/>
      <c r="EXB15" s="7"/>
      <c r="EXC15" s="7"/>
      <c r="EXD15" s="7"/>
      <c r="EXE15" s="7"/>
      <c r="EXF15" s="7"/>
      <c r="EXG15" s="7"/>
      <c r="EXH15" s="7"/>
      <c r="EXI15" s="7"/>
      <c r="EXJ15" s="7"/>
      <c r="EXK15" s="7"/>
      <c r="EXL15" s="7"/>
      <c r="EXM15" s="7"/>
      <c r="EXN15" s="7"/>
      <c r="EXO15" s="7"/>
      <c r="EXP15" s="7"/>
      <c r="EXQ15" s="7"/>
      <c r="EXR15" s="7"/>
      <c r="EXS15" s="7"/>
      <c r="EXT15" s="7"/>
      <c r="EXU15" s="7"/>
      <c r="EXV15" s="7"/>
      <c r="EXW15" s="7"/>
      <c r="EXX15" s="7"/>
      <c r="EXY15" s="7"/>
      <c r="EXZ15" s="7"/>
      <c r="EYA15" s="7"/>
      <c r="EYB15" s="7"/>
      <c r="EYC15" s="7"/>
      <c r="EYD15" s="7"/>
      <c r="EYE15" s="7"/>
      <c r="EYF15" s="7"/>
      <c r="EYG15" s="7"/>
      <c r="EYH15" s="7"/>
      <c r="EYI15" s="7"/>
      <c r="EYJ15" s="7"/>
      <c r="EYK15" s="7"/>
      <c r="EYL15" s="7"/>
      <c r="EYM15" s="7"/>
      <c r="EYN15" s="7"/>
      <c r="EYO15" s="7"/>
      <c r="EYP15" s="7"/>
      <c r="EYQ15" s="7"/>
      <c r="EYR15" s="7"/>
      <c r="EYS15" s="7"/>
      <c r="EYT15" s="7"/>
      <c r="EYU15" s="7"/>
      <c r="EYV15" s="7"/>
      <c r="EYW15" s="7"/>
      <c r="EYX15" s="7"/>
      <c r="EYY15" s="7"/>
      <c r="EYZ15" s="7"/>
      <c r="EZA15" s="7"/>
      <c r="EZB15" s="7"/>
      <c r="EZC15" s="7"/>
      <c r="EZD15" s="7"/>
      <c r="EZE15" s="7"/>
      <c r="EZF15" s="7"/>
      <c r="EZG15" s="7"/>
      <c r="EZH15" s="7"/>
      <c r="EZI15" s="7"/>
      <c r="EZJ15" s="7"/>
      <c r="EZK15" s="7"/>
      <c r="EZL15" s="7"/>
      <c r="EZM15" s="7"/>
      <c r="EZN15" s="7"/>
      <c r="EZO15" s="7"/>
      <c r="EZP15" s="7"/>
      <c r="EZQ15" s="7"/>
      <c r="EZR15" s="7"/>
      <c r="EZS15" s="7"/>
      <c r="EZT15" s="7"/>
      <c r="EZU15" s="7"/>
      <c r="EZV15" s="7"/>
      <c r="EZW15" s="7"/>
      <c r="EZX15" s="7"/>
      <c r="EZY15" s="7"/>
      <c r="EZZ15" s="7"/>
      <c r="FAA15" s="7"/>
      <c r="FAB15" s="7"/>
      <c r="FAC15" s="7"/>
      <c r="FAD15" s="7"/>
      <c r="FAE15" s="7"/>
      <c r="FAF15" s="7"/>
      <c r="FAG15" s="7"/>
      <c r="FAH15" s="7"/>
      <c r="FAI15" s="7"/>
      <c r="FAJ15" s="7"/>
      <c r="FAK15" s="7"/>
      <c r="FAL15" s="7"/>
      <c r="FAM15" s="7"/>
      <c r="FAN15" s="7"/>
      <c r="FAO15" s="7"/>
      <c r="FAP15" s="7"/>
      <c r="FAQ15" s="7"/>
      <c r="FAR15" s="7"/>
      <c r="FAS15" s="7"/>
      <c r="FAT15" s="7"/>
      <c r="FAU15" s="7"/>
      <c r="FAV15" s="7"/>
      <c r="FAW15" s="7"/>
      <c r="FAX15" s="7"/>
      <c r="FAY15" s="7"/>
      <c r="FAZ15" s="7"/>
      <c r="FBA15" s="7"/>
      <c r="FBB15" s="7"/>
      <c r="FBC15" s="7"/>
      <c r="FBD15" s="7"/>
      <c r="FBE15" s="7"/>
      <c r="FBF15" s="7"/>
      <c r="FBG15" s="7"/>
      <c r="FBH15" s="7"/>
      <c r="FBI15" s="7"/>
      <c r="FBJ15" s="7"/>
      <c r="FBK15" s="7"/>
      <c r="FBL15" s="7"/>
      <c r="FBM15" s="7"/>
      <c r="FBN15" s="7"/>
      <c r="FBO15" s="7"/>
      <c r="FBP15" s="7"/>
      <c r="FBQ15" s="7"/>
      <c r="FBR15" s="7"/>
      <c r="FBS15" s="7"/>
      <c r="FBT15" s="7"/>
      <c r="FBU15" s="7"/>
      <c r="FBV15" s="7"/>
      <c r="FBW15" s="7"/>
      <c r="FBX15" s="7"/>
      <c r="FBY15" s="7"/>
      <c r="FBZ15" s="7"/>
      <c r="FCA15" s="7"/>
      <c r="FCB15" s="7"/>
      <c r="FCC15" s="7"/>
      <c r="FCD15" s="7"/>
      <c r="FCE15" s="7"/>
      <c r="FCF15" s="7"/>
      <c r="FCG15" s="7"/>
      <c r="FCH15" s="7"/>
      <c r="FCI15" s="7"/>
      <c r="FCJ15" s="7"/>
      <c r="FCK15" s="7"/>
      <c r="FCL15" s="7"/>
      <c r="FCM15" s="7"/>
      <c r="FCN15" s="7"/>
      <c r="FCO15" s="7"/>
      <c r="FCP15" s="7"/>
      <c r="FCQ15" s="7"/>
      <c r="FCR15" s="7"/>
      <c r="FCS15" s="7"/>
      <c r="FCT15" s="7"/>
      <c r="FCU15" s="7"/>
      <c r="FCV15" s="7"/>
      <c r="FCW15" s="7"/>
      <c r="FCX15" s="7"/>
      <c r="FCY15" s="7"/>
      <c r="FCZ15" s="7"/>
      <c r="FDA15" s="7"/>
      <c r="FDB15" s="7"/>
      <c r="FDC15" s="7"/>
      <c r="FDD15" s="7"/>
      <c r="FDE15" s="7"/>
      <c r="FDF15" s="7"/>
      <c r="FDG15" s="7"/>
      <c r="FDH15" s="7"/>
      <c r="FDI15" s="7"/>
      <c r="FDJ15" s="7"/>
      <c r="FDK15" s="7"/>
      <c r="FDL15" s="7"/>
      <c r="FDM15" s="7"/>
      <c r="FDN15" s="7"/>
      <c r="FDO15" s="7"/>
      <c r="FDP15" s="7"/>
      <c r="FDQ15" s="7"/>
      <c r="FDR15" s="7"/>
      <c r="FDS15" s="7"/>
      <c r="FDT15" s="7"/>
      <c r="FDU15" s="7"/>
      <c r="FDV15" s="7"/>
      <c r="FDW15" s="7"/>
      <c r="FDX15" s="7"/>
      <c r="FDY15" s="7"/>
      <c r="FDZ15" s="7"/>
      <c r="FEA15" s="7"/>
      <c r="FEB15" s="7"/>
      <c r="FEC15" s="7"/>
      <c r="FED15" s="7"/>
      <c r="FEE15" s="7"/>
      <c r="FEF15" s="7"/>
      <c r="FEG15" s="7"/>
      <c r="FEH15" s="7"/>
      <c r="FEI15" s="7"/>
      <c r="FEJ15" s="7"/>
      <c r="FEK15" s="7"/>
      <c r="FEL15" s="7"/>
      <c r="FEM15" s="7"/>
      <c r="FEN15" s="7"/>
      <c r="FEO15" s="7"/>
      <c r="FEP15" s="7"/>
      <c r="FEQ15" s="7"/>
      <c r="FER15" s="7"/>
      <c r="FES15" s="7"/>
      <c r="FET15" s="7"/>
      <c r="FEU15" s="7"/>
      <c r="FEV15" s="7"/>
      <c r="FEW15" s="7"/>
      <c r="FEX15" s="7"/>
      <c r="FEY15" s="7"/>
      <c r="FEZ15" s="7"/>
      <c r="FFA15" s="7"/>
      <c r="FFB15" s="7"/>
      <c r="FFC15" s="7"/>
      <c r="FFD15" s="7"/>
      <c r="FFE15" s="7"/>
      <c r="FFF15" s="7"/>
      <c r="FFG15" s="7"/>
      <c r="FFH15" s="7"/>
      <c r="FFI15" s="7"/>
      <c r="FFJ15" s="7"/>
      <c r="FFK15" s="7"/>
      <c r="FFL15" s="7"/>
      <c r="FFM15" s="7"/>
      <c r="FFN15" s="7"/>
      <c r="FFO15" s="7"/>
      <c r="FFP15" s="7"/>
      <c r="FFQ15" s="7"/>
      <c r="FFR15" s="7"/>
      <c r="FFS15" s="7"/>
      <c r="FFT15" s="7"/>
      <c r="FFU15" s="7"/>
      <c r="FFV15" s="7"/>
      <c r="FFW15" s="7"/>
      <c r="FFX15" s="7"/>
      <c r="FFY15" s="7"/>
      <c r="FFZ15" s="7"/>
      <c r="FGA15" s="7"/>
      <c r="FGB15" s="7"/>
      <c r="FGC15" s="7"/>
      <c r="FGD15" s="7"/>
      <c r="FGE15" s="7"/>
      <c r="FGF15" s="7"/>
      <c r="FGG15" s="7"/>
      <c r="FGH15" s="7"/>
      <c r="FGI15" s="7"/>
      <c r="FGJ15" s="7"/>
      <c r="FGK15" s="7"/>
      <c r="FGL15" s="7"/>
      <c r="FGM15" s="7"/>
      <c r="FGN15" s="7"/>
      <c r="FGO15" s="7"/>
      <c r="FGP15" s="7"/>
      <c r="FGQ15" s="7"/>
      <c r="FGR15" s="7"/>
      <c r="FGS15" s="7"/>
      <c r="FGT15" s="7"/>
      <c r="FGU15" s="7"/>
      <c r="FGV15" s="7"/>
      <c r="FGW15" s="7"/>
      <c r="FGX15" s="7"/>
      <c r="FGY15" s="7"/>
      <c r="FGZ15" s="7"/>
      <c r="FHA15" s="7"/>
      <c r="FHB15" s="7"/>
      <c r="FHC15" s="7"/>
      <c r="FHD15" s="7"/>
      <c r="FHE15" s="7"/>
      <c r="FHF15" s="7"/>
      <c r="FHG15" s="7"/>
      <c r="FHH15" s="7"/>
      <c r="FHI15" s="7"/>
      <c r="FHJ15" s="7"/>
      <c r="FHK15" s="7"/>
      <c r="FHL15" s="7"/>
      <c r="FHM15" s="7"/>
      <c r="FHN15" s="7"/>
      <c r="FHO15" s="7"/>
      <c r="FHP15" s="7"/>
      <c r="FHQ15" s="7"/>
      <c r="FHR15" s="7"/>
      <c r="FHS15" s="7"/>
      <c r="FHT15" s="7"/>
      <c r="FHU15" s="7"/>
      <c r="FHV15" s="7"/>
      <c r="FHW15" s="7"/>
      <c r="FHX15" s="7"/>
      <c r="FHY15" s="7"/>
      <c r="FHZ15" s="7"/>
      <c r="FIA15" s="7"/>
      <c r="FIB15" s="7"/>
      <c r="FIC15" s="7"/>
      <c r="FID15" s="7"/>
      <c r="FIE15" s="7"/>
      <c r="FIF15" s="7"/>
      <c r="FIG15" s="7"/>
      <c r="FIH15" s="7"/>
      <c r="FII15" s="7"/>
      <c r="FIJ15" s="7"/>
      <c r="FIK15" s="7"/>
      <c r="FIL15" s="7"/>
      <c r="FIM15" s="7"/>
      <c r="FIN15" s="7"/>
      <c r="FIO15" s="7"/>
      <c r="FIP15" s="7"/>
      <c r="FIQ15" s="7"/>
      <c r="FIR15" s="7"/>
      <c r="FIS15" s="7"/>
      <c r="FIT15" s="7"/>
      <c r="FIU15" s="7"/>
      <c r="FIV15" s="7"/>
      <c r="FIW15" s="7"/>
      <c r="FIX15" s="7"/>
      <c r="FIY15" s="7"/>
      <c r="FIZ15" s="7"/>
      <c r="FJA15" s="7"/>
      <c r="FJB15" s="7"/>
      <c r="FJC15" s="7"/>
      <c r="FJD15" s="7"/>
      <c r="FJE15" s="7"/>
      <c r="FJF15" s="7"/>
      <c r="FJG15" s="7"/>
      <c r="FJH15" s="7"/>
      <c r="FJI15" s="7"/>
      <c r="FJJ15" s="7"/>
      <c r="FJK15" s="7"/>
      <c r="FJL15" s="7"/>
      <c r="FJM15" s="7"/>
      <c r="FJN15" s="7"/>
      <c r="FJO15" s="7"/>
      <c r="FJP15" s="7"/>
      <c r="FJQ15" s="7"/>
      <c r="FJR15" s="7"/>
      <c r="FJS15" s="7"/>
      <c r="FJT15" s="7"/>
      <c r="FJU15" s="7"/>
      <c r="FJV15" s="7"/>
      <c r="FJW15" s="7"/>
      <c r="FJX15" s="7"/>
      <c r="FJY15" s="7"/>
      <c r="FJZ15" s="7"/>
      <c r="FKA15" s="7"/>
      <c r="FKB15" s="7"/>
      <c r="FKC15" s="7"/>
      <c r="FKD15" s="7"/>
      <c r="FKE15" s="7"/>
      <c r="FKF15" s="7"/>
      <c r="FKG15" s="7"/>
      <c r="FKH15" s="7"/>
      <c r="FKI15" s="7"/>
      <c r="FKJ15" s="7"/>
      <c r="FKK15" s="7"/>
      <c r="FKL15" s="7"/>
      <c r="FKM15" s="7"/>
      <c r="FKN15" s="7"/>
      <c r="FKO15" s="7"/>
      <c r="FKP15" s="7"/>
      <c r="FKQ15" s="7"/>
      <c r="FKR15" s="7"/>
      <c r="FKS15" s="7"/>
      <c r="FKT15" s="7"/>
      <c r="FKU15" s="7"/>
      <c r="FKV15" s="7"/>
      <c r="FKW15" s="7"/>
      <c r="FKX15" s="7"/>
      <c r="FKY15" s="7"/>
      <c r="FKZ15" s="7"/>
      <c r="FLA15" s="7"/>
      <c r="FLB15" s="7"/>
      <c r="FLC15" s="7"/>
      <c r="FLD15" s="7"/>
      <c r="FLE15" s="7"/>
      <c r="FLF15" s="7"/>
      <c r="FLG15" s="7"/>
      <c r="FLH15" s="7"/>
      <c r="FLI15" s="7"/>
      <c r="FLJ15" s="7"/>
      <c r="FLK15" s="7"/>
      <c r="FLL15" s="7"/>
      <c r="FLM15" s="7"/>
      <c r="FLN15" s="7"/>
      <c r="FLO15" s="7"/>
      <c r="FLP15" s="7"/>
      <c r="FLQ15" s="7"/>
      <c r="FLR15" s="7"/>
      <c r="FLS15" s="7"/>
      <c r="FLT15" s="7"/>
      <c r="FLU15" s="7"/>
      <c r="FLV15" s="7"/>
      <c r="FLW15" s="7"/>
      <c r="FLX15" s="7"/>
      <c r="FLY15" s="7"/>
      <c r="FLZ15" s="7"/>
      <c r="FMA15" s="7"/>
      <c r="FMB15" s="7"/>
      <c r="FMC15" s="7"/>
      <c r="FMD15" s="7"/>
      <c r="FME15" s="7"/>
      <c r="FMF15" s="7"/>
      <c r="FMG15" s="7"/>
      <c r="FMH15" s="7"/>
      <c r="FMI15" s="7"/>
      <c r="FMJ15" s="7"/>
      <c r="FMK15" s="7"/>
      <c r="FML15" s="7"/>
      <c r="FMM15" s="7"/>
      <c r="FMN15" s="7"/>
      <c r="FMO15" s="7"/>
      <c r="FMP15" s="7"/>
      <c r="FMQ15" s="7"/>
      <c r="FMR15" s="7"/>
      <c r="FMS15" s="7"/>
      <c r="FMT15" s="7"/>
      <c r="FMU15" s="7"/>
      <c r="FMV15" s="7"/>
      <c r="FMW15" s="7"/>
      <c r="FMX15" s="7"/>
      <c r="FMY15" s="7"/>
      <c r="FMZ15" s="7"/>
      <c r="FNA15" s="7"/>
      <c r="FNB15" s="7"/>
      <c r="FNC15" s="7"/>
      <c r="FND15" s="7"/>
      <c r="FNE15" s="7"/>
      <c r="FNF15" s="7"/>
      <c r="FNG15" s="7"/>
      <c r="FNH15" s="7"/>
      <c r="FNI15" s="7"/>
      <c r="FNJ15" s="7"/>
      <c r="FNK15" s="7"/>
      <c r="FNL15" s="7"/>
      <c r="FNM15" s="7"/>
      <c r="FNN15" s="7"/>
      <c r="FNO15" s="7"/>
      <c r="FNP15" s="7"/>
      <c r="FNQ15" s="7"/>
      <c r="FNR15" s="7"/>
      <c r="FNS15" s="7"/>
      <c r="FNT15" s="7"/>
      <c r="FNU15" s="7"/>
      <c r="FNV15" s="7"/>
      <c r="FNW15" s="7"/>
      <c r="FNX15" s="7"/>
      <c r="FNY15" s="7"/>
      <c r="FNZ15" s="7"/>
      <c r="FOA15" s="7"/>
      <c r="FOB15" s="7"/>
      <c r="FOC15" s="7"/>
      <c r="FOD15" s="7"/>
      <c r="FOE15" s="7"/>
      <c r="FOF15" s="7"/>
      <c r="FOG15" s="7"/>
      <c r="FOH15" s="7"/>
      <c r="FOI15" s="7"/>
      <c r="FOJ15" s="7"/>
      <c r="FOK15" s="7"/>
      <c r="FOL15" s="7"/>
      <c r="FOM15" s="7"/>
      <c r="FON15" s="7"/>
      <c r="FOO15" s="7"/>
      <c r="FOP15" s="7"/>
      <c r="FOQ15" s="7"/>
      <c r="FOR15" s="7"/>
      <c r="FOS15" s="7"/>
      <c r="FOT15" s="7"/>
      <c r="FOU15" s="7"/>
      <c r="FOV15" s="7"/>
      <c r="FOW15" s="7"/>
      <c r="FOX15" s="7"/>
      <c r="FOY15" s="7"/>
      <c r="FOZ15" s="7"/>
      <c r="FPA15" s="7"/>
      <c r="FPB15" s="7"/>
      <c r="FPC15" s="7"/>
      <c r="FPD15" s="7"/>
      <c r="FPE15" s="7"/>
      <c r="FPF15" s="7"/>
      <c r="FPG15" s="7"/>
      <c r="FPH15" s="7"/>
      <c r="FPI15" s="7"/>
      <c r="FPJ15" s="7"/>
      <c r="FPK15" s="7"/>
      <c r="FPL15" s="7"/>
      <c r="FPM15" s="7"/>
      <c r="FPN15" s="7"/>
      <c r="FPO15" s="7"/>
      <c r="FPP15" s="7"/>
      <c r="FPQ15" s="7"/>
      <c r="FPR15" s="7"/>
      <c r="FPS15" s="7"/>
      <c r="FPT15" s="7"/>
      <c r="FPU15" s="7"/>
      <c r="FPV15" s="7"/>
      <c r="FPW15" s="7"/>
      <c r="FPX15" s="7"/>
      <c r="FPY15" s="7"/>
      <c r="FPZ15" s="7"/>
      <c r="FQA15" s="7"/>
      <c r="FQB15" s="7"/>
      <c r="FQC15" s="7"/>
      <c r="FQD15" s="7"/>
      <c r="FQE15" s="7"/>
      <c r="FQF15" s="7"/>
      <c r="FQG15" s="7"/>
      <c r="FQH15" s="7"/>
      <c r="FQI15" s="7"/>
      <c r="FQJ15" s="7"/>
      <c r="FQK15" s="7"/>
      <c r="FQL15" s="7"/>
      <c r="FQM15" s="7"/>
      <c r="FQN15" s="7"/>
      <c r="FQO15" s="7"/>
      <c r="FQP15" s="7"/>
      <c r="FQQ15" s="7"/>
      <c r="FQR15" s="7"/>
      <c r="FQS15" s="7"/>
      <c r="FQT15" s="7"/>
      <c r="FQU15" s="7"/>
      <c r="FQV15" s="7"/>
      <c r="FQW15" s="7"/>
      <c r="FQX15" s="7"/>
      <c r="FQY15" s="7"/>
      <c r="FQZ15" s="7"/>
      <c r="FRA15" s="7"/>
      <c r="FRB15" s="7"/>
      <c r="FRC15" s="7"/>
      <c r="FRD15" s="7"/>
      <c r="FRE15" s="7"/>
      <c r="FRF15" s="7"/>
      <c r="FRG15" s="7"/>
      <c r="FRH15" s="7"/>
      <c r="FRI15" s="7"/>
      <c r="FRJ15" s="7"/>
      <c r="FRK15" s="7"/>
      <c r="FRL15" s="7"/>
      <c r="FRM15" s="7"/>
      <c r="FRN15" s="7"/>
      <c r="FRO15" s="7"/>
      <c r="FRP15" s="7"/>
      <c r="FRQ15" s="7"/>
      <c r="FRR15" s="7"/>
      <c r="FRS15" s="7"/>
      <c r="FRT15" s="7"/>
      <c r="FRU15" s="7"/>
      <c r="FRV15" s="7"/>
      <c r="FRW15" s="7"/>
      <c r="FRX15" s="7"/>
      <c r="FRY15" s="7"/>
      <c r="FRZ15" s="7"/>
      <c r="FSA15" s="7"/>
      <c r="FSB15" s="7"/>
      <c r="FSC15" s="7"/>
      <c r="FSD15" s="7"/>
      <c r="FSE15" s="7"/>
      <c r="FSF15" s="7"/>
      <c r="FSG15" s="7"/>
      <c r="FSH15" s="7"/>
      <c r="FSI15" s="7"/>
      <c r="FSJ15" s="7"/>
      <c r="FSK15" s="7"/>
      <c r="FSL15" s="7"/>
      <c r="FSM15" s="7"/>
      <c r="FSN15" s="7"/>
      <c r="FSO15" s="7"/>
      <c r="FSP15" s="7"/>
      <c r="FSQ15" s="7"/>
      <c r="FSR15" s="7"/>
      <c r="FSS15" s="7"/>
      <c r="FST15" s="7"/>
      <c r="FSU15" s="7"/>
      <c r="FSV15" s="7"/>
      <c r="FSW15" s="7"/>
      <c r="FSX15" s="7"/>
      <c r="FSY15" s="7"/>
      <c r="FSZ15" s="7"/>
      <c r="FTA15" s="7"/>
      <c r="FTB15" s="7"/>
      <c r="FTC15" s="7"/>
      <c r="FTD15" s="7"/>
      <c r="FTE15" s="7"/>
      <c r="FTF15" s="7"/>
      <c r="FTG15" s="7"/>
      <c r="FTH15" s="7"/>
      <c r="FTI15" s="7"/>
      <c r="FTJ15" s="7"/>
      <c r="FTK15" s="7"/>
      <c r="FTL15" s="7"/>
      <c r="FTM15" s="7"/>
      <c r="FTN15" s="7"/>
      <c r="FTO15" s="7"/>
      <c r="FTP15" s="7"/>
      <c r="FTQ15" s="7"/>
      <c r="FTR15" s="7"/>
      <c r="FTS15" s="7"/>
      <c r="FTT15" s="7"/>
      <c r="FTU15" s="7"/>
      <c r="FTV15" s="7"/>
      <c r="FTW15" s="7"/>
      <c r="FTX15" s="7"/>
      <c r="FTY15" s="7"/>
      <c r="FTZ15" s="7"/>
      <c r="FUA15" s="7"/>
      <c r="FUB15" s="7"/>
      <c r="FUC15" s="7"/>
      <c r="FUD15" s="7"/>
      <c r="FUE15" s="7"/>
      <c r="FUF15" s="7"/>
      <c r="FUG15" s="7"/>
      <c r="FUH15" s="7"/>
      <c r="FUI15" s="7"/>
      <c r="FUJ15" s="7"/>
      <c r="FUK15" s="7"/>
      <c r="FUL15" s="7"/>
      <c r="FUM15" s="7"/>
      <c r="FUN15" s="7"/>
      <c r="FUO15" s="7"/>
      <c r="FUP15" s="7"/>
      <c r="FUQ15" s="7"/>
      <c r="FUR15" s="7"/>
      <c r="FUS15" s="7"/>
      <c r="FUT15" s="7"/>
      <c r="FUU15" s="7"/>
      <c r="FUV15" s="7"/>
      <c r="FUW15" s="7"/>
      <c r="FUX15" s="7"/>
      <c r="FUY15" s="7"/>
      <c r="FUZ15" s="7"/>
      <c r="FVA15" s="7"/>
      <c r="FVB15" s="7"/>
      <c r="FVC15" s="7"/>
      <c r="FVD15" s="7"/>
      <c r="FVE15" s="7"/>
      <c r="FVF15" s="7"/>
      <c r="FVG15" s="7"/>
      <c r="FVH15" s="7"/>
      <c r="FVI15" s="7"/>
      <c r="FVJ15" s="7"/>
      <c r="FVK15" s="7"/>
      <c r="FVL15" s="7"/>
      <c r="FVM15" s="7"/>
      <c r="FVN15" s="7"/>
      <c r="FVO15" s="7"/>
      <c r="FVP15" s="7"/>
      <c r="FVQ15" s="7"/>
      <c r="FVR15" s="7"/>
      <c r="FVS15" s="7"/>
      <c r="FVT15" s="7"/>
      <c r="FVU15" s="7"/>
      <c r="FVV15" s="7"/>
      <c r="FVW15" s="7"/>
      <c r="FVX15" s="7"/>
      <c r="FVY15" s="7"/>
      <c r="FVZ15" s="7"/>
      <c r="FWA15" s="7"/>
      <c r="FWB15" s="7"/>
      <c r="FWC15" s="7"/>
      <c r="FWD15" s="7"/>
      <c r="FWE15" s="7"/>
      <c r="FWF15" s="7"/>
      <c r="FWG15" s="7"/>
      <c r="FWH15" s="7"/>
      <c r="FWI15" s="7"/>
      <c r="FWJ15" s="7"/>
      <c r="FWK15" s="7"/>
      <c r="FWL15" s="7"/>
      <c r="FWM15" s="7"/>
      <c r="FWN15" s="7"/>
      <c r="FWO15" s="7"/>
      <c r="FWP15" s="7"/>
      <c r="FWQ15" s="7"/>
      <c r="FWR15" s="7"/>
      <c r="FWS15" s="7"/>
      <c r="FWT15" s="7"/>
      <c r="FWU15" s="7"/>
      <c r="FWV15" s="7"/>
      <c r="FWW15" s="7"/>
      <c r="FWX15" s="7"/>
      <c r="FWY15" s="7"/>
      <c r="FWZ15" s="7"/>
      <c r="FXA15" s="7"/>
      <c r="FXB15" s="7"/>
      <c r="FXC15" s="7"/>
      <c r="FXD15" s="7"/>
      <c r="FXE15" s="7"/>
      <c r="FXF15" s="7"/>
      <c r="FXG15" s="7"/>
      <c r="FXH15" s="7"/>
      <c r="FXI15" s="7"/>
      <c r="FXJ15" s="7"/>
      <c r="FXK15" s="7"/>
      <c r="FXL15" s="7"/>
      <c r="FXM15" s="7"/>
      <c r="FXN15" s="7"/>
      <c r="FXO15" s="7"/>
      <c r="FXP15" s="7"/>
      <c r="FXQ15" s="7"/>
      <c r="FXR15" s="7"/>
      <c r="FXS15" s="7"/>
      <c r="FXT15" s="7"/>
      <c r="FXU15" s="7"/>
      <c r="FXV15" s="7"/>
      <c r="FXW15" s="7"/>
      <c r="FXX15" s="7"/>
      <c r="FXY15" s="7"/>
      <c r="FXZ15" s="7"/>
      <c r="FYA15" s="7"/>
      <c r="FYB15" s="7"/>
      <c r="FYC15" s="7"/>
      <c r="FYD15" s="7"/>
      <c r="FYE15" s="7"/>
      <c r="FYF15" s="7"/>
      <c r="FYG15" s="7"/>
      <c r="FYH15" s="7"/>
      <c r="FYI15" s="7"/>
      <c r="FYJ15" s="7"/>
      <c r="FYK15" s="7"/>
      <c r="FYL15" s="7"/>
      <c r="FYM15" s="7"/>
      <c r="FYN15" s="7"/>
      <c r="FYO15" s="7"/>
      <c r="FYP15" s="7"/>
      <c r="FYQ15" s="7"/>
      <c r="FYR15" s="7"/>
      <c r="FYS15" s="7"/>
      <c r="FYT15" s="7"/>
      <c r="FYU15" s="7"/>
      <c r="FYV15" s="7"/>
      <c r="FYW15" s="7"/>
      <c r="FYX15" s="7"/>
      <c r="FYY15" s="7"/>
      <c r="FYZ15" s="7"/>
      <c r="FZA15" s="7"/>
      <c r="FZB15" s="7"/>
      <c r="FZC15" s="7"/>
      <c r="FZD15" s="7"/>
      <c r="FZE15" s="7"/>
      <c r="FZF15" s="7"/>
      <c r="FZG15" s="7"/>
      <c r="FZH15" s="7"/>
      <c r="FZI15" s="7"/>
      <c r="FZJ15" s="7"/>
      <c r="FZK15" s="7"/>
      <c r="FZL15" s="7"/>
      <c r="FZM15" s="7"/>
      <c r="FZN15" s="7"/>
      <c r="FZO15" s="7"/>
      <c r="FZP15" s="7"/>
      <c r="FZQ15" s="7"/>
      <c r="FZR15" s="7"/>
      <c r="FZS15" s="7"/>
      <c r="FZT15" s="7"/>
      <c r="FZU15" s="7"/>
      <c r="FZV15" s="7"/>
      <c r="FZW15" s="7"/>
      <c r="FZX15" s="7"/>
      <c r="FZY15" s="7"/>
      <c r="FZZ15" s="7"/>
      <c r="GAA15" s="7"/>
      <c r="GAB15" s="7"/>
      <c r="GAC15" s="7"/>
      <c r="GAD15" s="7"/>
      <c r="GAE15" s="7"/>
      <c r="GAF15" s="7"/>
      <c r="GAG15" s="7"/>
      <c r="GAH15" s="7"/>
      <c r="GAI15" s="7"/>
      <c r="GAJ15" s="7"/>
      <c r="GAK15" s="7"/>
      <c r="GAL15" s="7"/>
      <c r="GAM15" s="7"/>
      <c r="GAN15" s="7"/>
      <c r="GAO15" s="7"/>
      <c r="GAP15" s="7"/>
      <c r="GAQ15" s="7"/>
      <c r="GAR15" s="7"/>
      <c r="GAS15" s="7"/>
      <c r="GAT15" s="7"/>
      <c r="GAU15" s="7"/>
      <c r="GAV15" s="7"/>
      <c r="GAW15" s="7"/>
      <c r="GAX15" s="7"/>
      <c r="GAY15" s="7"/>
      <c r="GAZ15" s="7"/>
      <c r="GBA15" s="7"/>
      <c r="GBB15" s="7"/>
      <c r="GBC15" s="7"/>
      <c r="GBD15" s="7"/>
      <c r="GBE15" s="7"/>
      <c r="GBF15" s="7"/>
      <c r="GBG15" s="7"/>
      <c r="GBH15" s="7"/>
      <c r="GBI15" s="7"/>
      <c r="GBJ15" s="7"/>
      <c r="GBK15" s="7"/>
      <c r="GBL15" s="7"/>
      <c r="GBM15" s="7"/>
      <c r="GBN15" s="7"/>
      <c r="GBO15" s="7"/>
      <c r="GBP15" s="7"/>
      <c r="GBQ15" s="7"/>
      <c r="GBR15" s="7"/>
      <c r="GBS15" s="7"/>
      <c r="GBT15" s="7"/>
      <c r="GBU15" s="7"/>
      <c r="GBV15" s="7"/>
      <c r="GBW15" s="7"/>
      <c r="GBX15" s="7"/>
      <c r="GBY15" s="7"/>
      <c r="GBZ15" s="7"/>
      <c r="GCA15" s="7"/>
      <c r="GCB15" s="7"/>
      <c r="GCC15" s="7"/>
      <c r="GCD15" s="7"/>
      <c r="GCE15" s="7"/>
      <c r="GCF15" s="7"/>
      <c r="GCG15" s="7"/>
      <c r="GCH15" s="7"/>
      <c r="GCI15" s="7"/>
      <c r="GCJ15" s="7"/>
      <c r="GCK15" s="7"/>
      <c r="GCL15" s="7"/>
      <c r="GCM15" s="7"/>
      <c r="GCN15" s="7"/>
      <c r="GCO15" s="7"/>
      <c r="GCP15" s="7"/>
      <c r="GCQ15" s="7"/>
      <c r="GCR15" s="7"/>
      <c r="GCS15" s="7"/>
      <c r="GCT15" s="7"/>
      <c r="GCU15" s="7"/>
      <c r="GCV15" s="7"/>
      <c r="GCW15" s="7"/>
      <c r="GCX15" s="7"/>
      <c r="GCY15" s="7"/>
      <c r="GCZ15" s="7"/>
      <c r="GDA15" s="7"/>
      <c r="GDB15" s="7"/>
      <c r="GDC15" s="7"/>
      <c r="GDD15" s="7"/>
      <c r="GDE15" s="7"/>
      <c r="GDF15" s="7"/>
      <c r="GDG15" s="7"/>
      <c r="GDH15" s="7"/>
      <c r="GDI15" s="7"/>
      <c r="GDJ15" s="7"/>
      <c r="GDK15" s="7"/>
      <c r="GDL15" s="7"/>
      <c r="GDM15" s="7"/>
      <c r="GDN15" s="7"/>
      <c r="GDO15" s="7"/>
      <c r="GDP15" s="7"/>
      <c r="GDQ15" s="7"/>
      <c r="GDR15" s="7"/>
      <c r="GDS15" s="7"/>
      <c r="GDT15" s="7"/>
      <c r="GDU15" s="7"/>
      <c r="GDV15" s="7"/>
      <c r="GDW15" s="7"/>
      <c r="GDX15" s="7"/>
      <c r="GDY15" s="7"/>
      <c r="GDZ15" s="7"/>
      <c r="GEA15" s="7"/>
      <c r="GEB15" s="7"/>
      <c r="GEC15" s="7"/>
      <c r="GED15" s="7"/>
      <c r="GEE15" s="7"/>
      <c r="GEF15" s="7"/>
      <c r="GEG15" s="7"/>
      <c r="GEH15" s="7"/>
      <c r="GEI15" s="7"/>
      <c r="GEJ15" s="7"/>
      <c r="GEK15" s="7"/>
      <c r="GEL15" s="7"/>
      <c r="GEM15" s="7"/>
      <c r="GEN15" s="7"/>
      <c r="GEO15" s="7"/>
      <c r="GEP15" s="7"/>
      <c r="GEQ15" s="7"/>
      <c r="GER15" s="7"/>
      <c r="GES15" s="7"/>
      <c r="GET15" s="7"/>
      <c r="GEU15" s="7"/>
      <c r="GEV15" s="7"/>
      <c r="GEW15" s="7"/>
      <c r="GEX15" s="7"/>
      <c r="GEY15" s="7"/>
      <c r="GEZ15" s="7"/>
      <c r="GFA15" s="7"/>
      <c r="GFB15" s="7"/>
      <c r="GFC15" s="7"/>
      <c r="GFD15" s="7"/>
      <c r="GFE15" s="7"/>
      <c r="GFF15" s="7"/>
      <c r="GFG15" s="7"/>
      <c r="GFH15" s="7"/>
      <c r="GFI15" s="7"/>
      <c r="GFJ15" s="7"/>
      <c r="GFK15" s="7"/>
      <c r="GFL15" s="7"/>
      <c r="GFM15" s="7"/>
      <c r="GFN15" s="7"/>
      <c r="GFO15" s="7"/>
      <c r="GFP15" s="7"/>
      <c r="GFQ15" s="7"/>
      <c r="GFR15" s="7"/>
      <c r="GFS15" s="7"/>
      <c r="GFT15" s="7"/>
      <c r="GFU15" s="7"/>
      <c r="GFV15" s="7"/>
      <c r="GFW15" s="7"/>
      <c r="GFX15" s="7"/>
      <c r="GFY15" s="7"/>
      <c r="GFZ15" s="7"/>
      <c r="GGA15" s="7"/>
      <c r="GGB15" s="7"/>
      <c r="GGC15" s="7"/>
      <c r="GGD15" s="7"/>
      <c r="GGE15" s="7"/>
      <c r="GGF15" s="7"/>
      <c r="GGG15" s="7"/>
      <c r="GGH15" s="7"/>
      <c r="GGI15" s="7"/>
      <c r="GGJ15" s="7"/>
      <c r="GGK15" s="7"/>
      <c r="GGL15" s="7"/>
      <c r="GGM15" s="7"/>
      <c r="GGN15" s="7"/>
      <c r="GGO15" s="7"/>
      <c r="GGP15" s="7"/>
      <c r="GGQ15" s="7"/>
      <c r="GGR15" s="7"/>
      <c r="GGS15" s="7"/>
      <c r="GGT15" s="7"/>
      <c r="GGU15" s="7"/>
      <c r="GGV15" s="7"/>
      <c r="GGW15" s="7"/>
      <c r="GGX15" s="7"/>
      <c r="GGY15" s="7"/>
      <c r="GGZ15" s="7"/>
      <c r="GHA15" s="7"/>
      <c r="GHB15" s="7"/>
      <c r="GHC15" s="7"/>
      <c r="GHD15" s="7"/>
      <c r="GHE15" s="7"/>
      <c r="GHF15" s="7"/>
      <c r="GHG15" s="7"/>
      <c r="GHH15" s="7"/>
      <c r="GHI15" s="7"/>
      <c r="GHJ15" s="7"/>
      <c r="GHK15" s="7"/>
      <c r="GHL15" s="7"/>
      <c r="GHM15" s="7"/>
      <c r="GHN15" s="7"/>
      <c r="GHO15" s="7"/>
      <c r="GHP15" s="7"/>
      <c r="GHQ15" s="7"/>
      <c r="GHR15" s="7"/>
      <c r="GHS15" s="7"/>
      <c r="GHT15" s="7"/>
      <c r="GHU15" s="7"/>
      <c r="GHV15" s="7"/>
      <c r="GHW15" s="7"/>
      <c r="GHX15" s="7"/>
      <c r="GHY15" s="7"/>
      <c r="GHZ15" s="7"/>
      <c r="GIA15" s="7"/>
      <c r="GIB15" s="7"/>
      <c r="GIC15" s="7"/>
      <c r="GID15" s="7"/>
      <c r="GIE15" s="7"/>
      <c r="GIF15" s="7"/>
      <c r="GIG15" s="7"/>
      <c r="GIH15" s="7"/>
      <c r="GII15" s="7"/>
      <c r="GIJ15" s="7"/>
      <c r="GIK15" s="7"/>
      <c r="GIL15" s="7"/>
      <c r="GIM15" s="7"/>
      <c r="GIN15" s="7"/>
      <c r="GIO15" s="7"/>
      <c r="GIP15" s="7"/>
      <c r="GIQ15" s="7"/>
      <c r="GIR15" s="7"/>
      <c r="GIS15" s="7"/>
      <c r="GIT15" s="7"/>
      <c r="GIU15" s="7"/>
      <c r="GIV15" s="7"/>
      <c r="GIW15" s="7"/>
      <c r="GIX15" s="7"/>
      <c r="GIY15" s="7"/>
      <c r="GIZ15" s="7"/>
      <c r="GJA15" s="7"/>
      <c r="GJB15" s="7"/>
      <c r="GJC15" s="7"/>
      <c r="GJD15" s="7"/>
      <c r="GJE15" s="7"/>
      <c r="GJF15" s="7"/>
      <c r="GJG15" s="7"/>
      <c r="GJH15" s="7"/>
      <c r="GJI15" s="7"/>
      <c r="GJJ15" s="7"/>
      <c r="GJK15" s="7"/>
      <c r="GJL15" s="7"/>
      <c r="GJM15" s="7"/>
      <c r="GJN15" s="7"/>
      <c r="GJO15" s="7"/>
      <c r="GJP15" s="7"/>
      <c r="GJQ15" s="7"/>
      <c r="GJR15" s="7"/>
      <c r="GJS15" s="7"/>
      <c r="GJT15" s="7"/>
      <c r="GJU15" s="7"/>
      <c r="GJV15" s="7"/>
      <c r="GJW15" s="7"/>
      <c r="GJX15" s="7"/>
      <c r="GJY15" s="7"/>
      <c r="GJZ15" s="7"/>
      <c r="GKA15" s="7"/>
      <c r="GKB15" s="7"/>
      <c r="GKC15" s="7"/>
      <c r="GKD15" s="7"/>
      <c r="GKE15" s="7"/>
      <c r="GKF15" s="7"/>
      <c r="GKG15" s="7"/>
      <c r="GKH15" s="7"/>
      <c r="GKI15" s="7"/>
      <c r="GKJ15" s="7"/>
      <c r="GKK15" s="7"/>
      <c r="GKL15" s="7"/>
      <c r="GKM15" s="7"/>
      <c r="GKN15" s="7"/>
      <c r="GKO15" s="7"/>
      <c r="GKP15" s="7"/>
      <c r="GKQ15" s="7"/>
      <c r="GKR15" s="7"/>
      <c r="GKS15" s="7"/>
      <c r="GKT15" s="7"/>
      <c r="GKU15" s="7"/>
      <c r="GKV15" s="7"/>
      <c r="GKW15" s="7"/>
      <c r="GKX15" s="7"/>
      <c r="GKY15" s="7"/>
      <c r="GKZ15" s="7"/>
      <c r="GLA15" s="7"/>
      <c r="GLB15" s="7"/>
      <c r="GLC15" s="7"/>
      <c r="GLD15" s="7"/>
      <c r="GLE15" s="7"/>
      <c r="GLF15" s="7"/>
      <c r="GLG15" s="7"/>
      <c r="GLH15" s="7"/>
      <c r="GLI15" s="7"/>
      <c r="GLJ15" s="7"/>
      <c r="GLK15" s="7"/>
      <c r="GLL15" s="7"/>
      <c r="GLM15" s="7"/>
      <c r="GLN15" s="7"/>
      <c r="GLO15" s="7"/>
      <c r="GLP15" s="7"/>
      <c r="GLQ15" s="7"/>
      <c r="GLR15" s="7"/>
      <c r="GLS15" s="7"/>
      <c r="GLT15" s="7"/>
      <c r="GLU15" s="7"/>
      <c r="GLV15" s="7"/>
      <c r="GLW15" s="7"/>
      <c r="GLX15" s="7"/>
      <c r="GLY15" s="7"/>
      <c r="GLZ15" s="7"/>
      <c r="GMA15" s="7"/>
      <c r="GMB15" s="7"/>
      <c r="GMC15" s="7"/>
      <c r="GMD15" s="7"/>
      <c r="GME15" s="7"/>
      <c r="GMF15" s="7"/>
      <c r="GMG15" s="7"/>
      <c r="GMH15" s="7"/>
      <c r="GMI15" s="7"/>
      <c r="GMJ15" s="7"/>
      <c r="GMK15" s="7"/>
      <c r="GML15" s="7"/>
      <c r="GMM15" s="7"/>
      <c r="GMN15" s="7"/>
      <c r="GMO15" s="7"/>
      <c r="GMP15" s="7"/>
      <c r="GMQ15" s="7"/>
      <c r="GMR15" s="7"/>
      <c r="GMS15" s="7"/>
      <c r="GMT15" s="7"/>
      <c r="GMU15" s="7"/>
      <c r="GMV15" s="7"/>
      <c r="GMW15" s="7"/>
      <c r="GMX15" s="7"/>
      <c r="GMY15" s="7"/>
      <c r="GMZ15" s="7"/>
      <c r="GNA15" s="7"/>
      <c r="GNB15" s="7"/>
      <c r="GNC15" s="7"/>
      <c r="GND15" s="7"/>
      <c r="GNE15" s="7"/>
      <c r="GNF15" s="7"/>
      <c r="GNG15" s="7"/>
      <c r="GNH15" s="7"/>
      <c r="GNI15" s="7"/>
      <c r="GNJ15" s="7"/>
      <c r="GNK15" s="7"/>
      <c r="GNL15" s="7"/>
      <c r="GNM15" s="7"/>
      <c r="GNN15" s="7"/>
      <c r="GNO15" s="7"/>
      <c r="GNP15" s="7"/>
      <c r="GNQ15" s="7"/>
      <c r="GNR15" s="7"/>
      <c r="GNS15" s="7"/>
      <c r="GNT15" s="7"/>
      <c r="GNU15" s="7"/>
      <c r="GNV15" s="7"/>
      <c r="GNW15" s="7"/>
      <c r="GNX15" s="7"/>
      <c r="GNY15" s="7"/>
      <c r="GNZ15" s="7"/>
      <c r="GOA15" s="7"/>
      <c r="GOB15" s="7"/>
      <c r="GOC15" s="7"/>
      <c r="GOD15" s="7"/>
      <c r="GOE15" s="7"/>
      <c r="GOF15" s="7"/>
      <c r="GOG15" s="7"/>
      <c r="GOH15" s="7"/>
      <c r="GOI15" s="7"/>
      <c r="GOJ15" s="7"/>
      <c r="GOK15" s="7"/>
      <c r="GOL15" s="7"/>
      <c r="GOM15" s="7"/>
      <c r="GON15" s="7"/>
      <c r="GOO15" s="7"/>
      <c r="GOP15" s="7"/>
      <c r="GOQ15" s="7"/>
      <c r="GOR15" s="7"/>
      <c r="GOS15" s="7"/>
      <c r="GOT15" s="7"/>
      <c r="GOU15" s="7"/>
      <c r="GOV15" s="7"/>
      <c r="GOW15" s="7"/>
      <c r="GOX15" s="7"/>
      <c r="GOY15" s="7"/>
      <c r="GOZ15" s="7"/>
      <c r="GPA15" s="7"/>
      <c r="GPB15" s="7"/>
      <c r="GPC15" s="7"/>
      <c r="GPD15" s="7"/>
      <c r="GPE15" s="7"/>
      <c r="GPF15" s="7"/>
      <c r="GPG15" s="7"/>
      <c r="GPH15" s="7"/>
      <c r="GPI15" s="7"/>
      <c r="GPJ15" s="7"/>
      <c r="GPK15" s="7"/>
      <c r="GPL15" s="7"/>
      <c r="GPM15" s="7"/>
      <c r="GPN15" s="7"/>
      <c r="GPO15" s="7"/>
      <c r="GPP15" s="7"/>
      <c r="GPQ15" s="7"/>
      <c r="GPR15" s="7"/>
      <c r="GPS15" s="7"/>
      <c r="GPT15" s="7"/>
      <c r="GPU15" s="7"/>
      <c r="GPV15" s="7"/>
      <c r="GPW15" s="7"/>
      <c r="GPX15" s="7"/>
      <c r="GPY15" s="7"/>
      <c r="GPZ15" s="7"/>
      <c r="GQA15" s="7"/>
      <c r="GQB15" s="7"/>
      <c r="GQC15" s="7"/>
      <c r="GQD15" s="7"/>
      <c r="GQE15" s="7"/>
      <c r="GQF15" s="7"/>
      <c r="GQG15" s="7"/>
      <c r="GQH15" s="7"/>
      <c r="GQI15" s="7"/>
      <c r="GQJ15" s="7"/>
      <c r="GQK15" s="7"/>
      <c r="GQL15" s="7"/>
      <c r="GQM15" s="7"/>
      <c r="GQN15" s="7"/>
      <c r="GQO15" s="7"/>
      <c r="GQP15" s="7"/>
      <c r="GQQ15" s="7"/>
      <c r="GQR15" s="7"/>
      <c r="GQS15" s="7"/>
      <c r="GQT15" s="7"/>
      <c r="GQU15" s="7"/>
      <c r="GQV15" s="7"/>
      <c r="GQW15" s="7"/>
      <c r="GQX15" s="7"/>
      <c r="GQY15" s="7"/>
      <c r="GQZ15" s="7"/>
      <c r="GRA15" s="7"/>
      <c r="GRB15" s="7"/>
      <c r="GRC15" s="7"/>
      <c r="GRD15" s="7"/>
      <c r="GRE15" s="7"/>
      <c r="GRF15" s="7"/>
      <c r="GRG15" s="7"/>
      <c r="GRH15" s="7"/>
      <c r="GRI15" s="7"/>
      <c r="GRJ15" s="7"/>
      <c r="GRK15" s="7"/>
      <c r="GRL15" s="7"/>
      <c r="GRM15" s="7"/>
      <c r="GRN15" s="7"/>
      <c r="GRO15" s="7"/>
      <c r="GRP15" s="7"/>
      <c r="GRQ15" s="7"/>
      <c r="GRR15" s="7"/>
      <c r="GRS15" s="7"/>
      <c r="GRT15" s="7"/>
      <c r="GRU15" s="7"/>
      <c r="GRV15" s="7"/>
      <c r="GRW15" s="7"/>
      <c r="GRX15" s="7"/>
      <c r="GRY15" s="7"/>
      <c r="GRZ15" s="7"/>
      <c r="GSA15" s="7"/>
      <c r="GSB15" s="7"/>
      <c r="GSC15" s="7"/>
      <c r="GSD15" s="7"/>
      <c r="GSE15" s="7"/>
      <c r="GSF15" s="7"/>
      <c r="GSG15" s="7"/>
      <c r="GSH15" s="7"/>
      <c r="GSI15" s="7"/>
      <c r="GSJ15" s="7"/>
      <c r="GSK15" s="7"/>
      <c r="GSL15" s="7"/>
      <c r="GSM15" s="7"/>
      <c r="GSN15" s="7"/>
      <c r="GSO15" s="7"/>
      <c r="GSP15" s="7"/>
      <c r="GSQ15" s="7"/>
      <c r="GSR15" s="7"/>
      <c r="GSS15" s="7"/>
      <c r="GST15" s="7"/>
      <c r="GSU15" s="7"/>
      <c r="GSV15" s="7"/>
      <c r="GSW15" s="7"/>
      <c r="GSX15" s="7"/>
      <c r="GSY15" s="7"/>
      <c r="GSZ15" s="7"/>
      <c r="GTA15" s="7"/>
      <c r="GTB15" s="7"/>
      <c r="GTC15" s="7"/>
      <c r="GTD15" s="7"/>
      <c r="GTE15" s="7"/>
      <c r="GTF15" s="7"/>
      <c r="GTG15" s="7"/>
      <c r="GTH15" s="7"/>
      <c r="GTI15" s="7"/>
      <c r="GTJ15" s="7"/>
      <c r="GTK15" s="7"/>
      <c r="GTL15" s="7"/>
      <c r="GTM15" s="7"/>
      <c r="GTN15" s="7"/>
      <c r="GTO15" s="7"/>
      <c r="GTP15" s="7"/>
      <c r="GTQ15" s="7"/>
      <c r="GTR15" s="7"/>
      <c r="GTS15" s="7"/>
      <c r="GTT15" s="7"/>
      <c r="GTU15" s="7"/>
      <c r="GTV15" s="7"/>
      <c r="GTW15" s="7"/>
      <c r="GTX15" s="7"/>
      <c r="GTY15" s="7"/>
      <c r="GTZ15" s="7"/>
      <c r="GUA15" s="7"/>
      <c r="GUB15" s="7"/>
      <c r="GUC15" s="7"/>
      <c r="GUD15" s="7"/>
      <c r="GUE15" s="7"/>
      <c r="GUF15" s="7"/>
      <c r="GUG15" s="7"/>
      <c r="GUH15" s="7"/>
      <c r="GUI15" s="7"/>
      <c r="GUJ15" s="7"/>
      <c r="GUK15" s="7"/>
      <c r="GUL15" s="7"/>
      <c r="GUM15" s="7"/>
      <c r="GUN15" s="7"/>
      <c r="GUO15" s="7"/>
      <c r="GUP15" s="7"/>
      <c r="GUQ15" s="7"/>
      <c r="GUR15" s="7"/>
      <c r="GUS15" s="7"/>
      <c r="GUT15" s="7"/>
      <c r="GUU15" s="7"/>
      <c r="GUV15" s="7"/>
      <c r="GUW15" s="7"/>
      <c r="GUX15" s="7"/>
      <c r="GUY15" s="7"/>
      <c r="GUZ15" s="7"/>
      <c r="GVA15" s="7"/>
      <c r="GVB15" s="7"/>
      <c r="GVC15" s="7"/>
      <c r="GVD15" s="7"/>
      <c r="GVE15" s="7"/>
      <c r="GVF15" s="7"/>
      <c r="GVG15" s="7"/>
      <c r="GVH15" s="7"/>
      <c r="GVI15" s="7"/>
      <c r="GVJ15" s="7"/>
      <c r="GVK15" s="7"/>
      <c r="GVL15" s="7"/>
      <c r="GVM15" s="7"/>
      <c r="GVN15" s="7"/>
      <c r="GVO15" s="7"/>
      <c r="GVP15" s="7"/>
      <c r="GVQ15" s="7"/>
      <c r="GVR15" s="7"/>
      <c r="GVS15" s="7"/>
      <c r="GVT15" s="7"/>
      <c r="GVU15" s="7"/>
      <c r="GVV15" s="7"/>
      <c r="GVW15" s="7"/>
      <c r="GVX15" s="7"/>
      <c r="GVY15" s="7"/>
      <c r="GVZ15" s="7"/>
      <c r="GWA15" s="7"/>
      <c r="GWB15" s="7"/>
      <c r="GWC15" s="7"/>
      <c r="GWD15" s="7"/>
      <c r="GWE15" s="7"/>
      <c r="GWF15" s="7"/>
      <c r="GWG15" s="7"/>
      <c r="GWH15" s="7"/>
      <c r="GWI15" s="7"/>
      <c r="GWJ15" s="7"/>
      <c r="GWK15" s="7"/>
      <c r="GWL15" s="7"/>
      <c r="GWM15" s="7"/>
      <c r="GWN15" s="7"/>
      <c r="GWO15" s="7"/>
      <c r="GWP15" s="7"/>
      <c r="GWQ15" s="7"/>
      <c r="GWR15" s="7"/>
      <c r="GWS15" s="7"/>
      <c r="GWT15" s="7"/>
      <c r="GWU15" s="7"/>
      <c r="GWV15" s="7"/>
      <c r="GWW15" s="7"/>
      <c r="GWX15" s="7"/>
      <c r="GWY15" s="7"/>
      <c r="GWZ15" s="7"/>
      <c r="GXA15" s="7"/>
      <c r="GXB15" s="7"/>
      <c r="GXC15" s="7"/>
      <c r="GXD15" s="7"/>
      <c r="GXE15" s="7"/>
      <c r="GXF15" s="7"/>
      <c r="GXG15" s="7"/>
      <c r="GXH15" s="7"/>
      <c r="GXI15" s="7"/>
      <c r="GXJ15" s="7"/>
      <c r="GXK15" s="7"/>
      <c r="GXL15" s="7"/>
      <c r="GXM15" s="7"/>
      <c r="GXN15" s="7"/>
      <c r="GXO15" s="7"/>
      <c r="GXP15" s="7"/>
      <c r="GXQ15" s="7"/>
      <c r="GXR15" s="7"/>
      <c r="GXS15" s="7"/>
      <c r="GXT15" s="7"/>
      <c r="GXU15" s="7"/>
      <c r="GXV15" s="7"/>
      <c r="GXW15" s="7"/>
      <c r="GXX15" s="7"/>
      <c r="GXY15" s="7"/>
      <c r="GXZ15" s="7"/>
      <c r="GYA15" s="7"/>
      <c r="GYB15" s="7"/>
      <c r="GYC15" s="7"/>
      <c r="GYD15" s="7"/>
      <c r="GYE15" s="7"/>
      <c r="GYF15" s="7"/>
      <c r="GYG15" s="7"/>
      <c r="GYH15" s="7"/>
      <c r="GYI15" s="7"/>
      <c r="GYJ15" s="7"/>
      <c r="GYK15" s="7"/>
      <c r="GYL15" s="7"/>
      <c r="GYM15" s="7"/>
      <c r="GYN15" s="7"/>
      <c r="GYO15" s="7"/>
      <c r="GYP15" s="7"/>
      <c r="GYQ15" s="7"/>
      <c r="GYR15" s="7"/>
      <c r="GYS15" s="7"/>
      <c r="GYT15" s="7"/>
      <c r="GYU15" s="7"/>
      <c r="GYV15" s="7"/>
      <c r="GYW15" s="7"/>
      <c r="GYX15" s="7"/>
      <c r="GYY15" s="7"/>
      <c r="GYZ15" s="7"/>
      <c r="GZA15" s="7"/>
      <c r="GZB15" s="7"/>
      <c r="GZC15" s="7"/>
      <c r="GZD15" s="7"/>
      <c r="GZE15" s="7"/>
      <c r="GZF15" s="7"/>
      <c r="GZG15" s="7"/>
      <c r="GZH15" s="7"/>
      <c r="GZI15" s="7"/>
      <c r="GZJ15" s="7"/>
      <c r="GZK15" s="7"/>
      <c r="GZL15" s="7"/>
      <c r="GZM15" s="7"/>
      <c r="GZN15" s="7"/>
      <c r="GZO15" s="7"/>
      <c r="GZP15" s="7"/>
      <c r="GZQ15" s="7"/>
      <c r="GZR15" s="7"/>
      <c r="GZS15" s="7"/>
      <c r="GZT15" s="7"/>
      <c r="GZU15" s="7"/>
      <c r="GZV15" s="7"/>
      <c r="GZW15" s="7"/>
      <c r="GZX15" s="7"/>
      <c r="GZY15" s="7"/>
      <c r="GZZ15" s="7"/>
      <c r="HAA15" s="7"/>
      <c r="HAB15" s="7"/>
      <c r="HAC15" s="7"/>
      <c r="HAD15" s="7"/>
      <c r="HAE15" s="7"/>
      <c r="HAF15" s="7"/>
      <c r="HAG15" s="7"/>
      <c r="HAH15" s="7"/>
      <c r="HAI15" s="7"/>
      <c r="HAJ15" s="7"/>
      <c r="HAK15" s="7"/>
      <c r="HAL15" s="7"/>
      <c r="HAM15" s="7"/>
      <c r="HAN15" s="7"/>
      <c r="HAO15" s="7"/>
      <c r="HAP15" s="7"/>
      <c r="HAQ15" s="7"/>
      <c r="HAR15" s="7"/>
      <c r="HAS15" s="7"/>
      <c r="HAT15" s="7"/>
      <c r="HAU15" s="7"/>
      <c r="HAV15" s="7"/>
      <c r="HAW15" s="7"/>
      <c r="HAX15" s="7"/>
      <c r="HAY15" s="7"/>
      <c r="HAZ15" s="7"/>
      <c r="HBA15" s="7"/>
      <c r="HBB15" s="7"/>
      <c r="HBC15" s="7"/>
      <c r="HBD15" s="7"/>
      <c r="HBE15" s="7"/>
      <c r="HBF15" s="7"/>
      <c r="HBG15" s="7"/>
      <c r="HBH15" s="7"/>
      <c r="HBI15" s="7"/>
      <c r="HBJ15" s="7"/>
      <c r="HBK15" s="7"/>
      <c r="HBL15" s="7"/>
      <c r="HBM15" s="7"/>
      <c r="HBN15" s="7"/>
      <c r="HBO15" s="7"/>
      <c r="HBP15" s="7"/>
      <c r="HBQ15" s="7"/>
      <c r="HBR15" s="7"/>
      <c r="HBS15" s="7"/>
      <c r="HBT15" s="7"/>
      <c r="HBU15" s="7"/>
      <c r="HBV15" s="7"/>
      <c r="HBW15" s="7"/>
      <c r="HBX15" s="7"/>
      <c r="HBY15" s="7"/>
      <c r="HBZ15" s="7"/>
      <c r="HCA15" s="7"/>
      <c r="HCB15" s="7"/>
      <c r="HCC15" s="7"/>
      <c r="HCD15" s="7"/>
      <c r="HCE15" s="7"/>
      <c r="HCF15" s="7"/>
      <c r="HCG15" s="7"/>
      <c r="HCH15" s="7"/>
      <c r="HCI15" s="7"/>
      <c r="HCJ15" s="7"/>
      <c r="HCK15" s="7"/>
      <c r="HCL15" s="7"/>
      <c r="HCM15" s="7"/>
      <c r="HCN15" s="7"/>
      <c r="HCO15" s="7"/>
      <c r="HCP15" s="7"/>
      <c r="HCQ15" s="7"/>
      <c r="HCR15" s="7"/>
      <c r="HCS15" s="7"/>
      <c r="HCT15" s="7"/>
      <c r="HCU15" s="7"/>
      <c r="HCV15" s="7"/>
      <c r="HCW15" s="7"/>
      <c r="HCX15" s="7"/>
      <c r="HCY15" s="7"/>
      <c r="HCZ15" s="7"/>
      <c r="HDA15" s="7"/>
      <c r="HDB15" s="7"/>
      <c r="HDC15" s="7"/>
      <c r="HDD15" s="7"/>
      <c r="HDE15" s="7"/>
      <c r="HDF15" s="7"/>
      <c r="HDG15" s="7"/>
      <c r="HDH15" s="7"/>
      <c r="HDI15" s="7"/>
      <c r="HDJ15" s="7"/>
      <c r="HDK15" s="7"/>
      <c r="HDL15" s="7"/>
      <c r="HDM15" s="7"/>
      <c r="HDN15" s="7"/>
      <c r="HDO15" s="7"/>
      <c r="HDP15" s="7"/>
      <c r="HDQ15" s="7"/>
      <c r="HDR15" s="7"/>
      <c r="HDS15" s="7"/>
      <c r="HDT15" s="7"/>
      <c r="HDU15" s="7"/>
      <c r="HDV15" s="7"/>
      <c r="HDW15" s="7"/>
      <c r="HDX15" s="7"/>
      <c r="HDY15" s="7"/>
      <c r="HDZ15" s="7"/>
      <c r="HEA15" s="7"/>
      <c r="HEB15" s="7"/>
      <c r="HEC15" s="7"/>
      <c r="HED15" s="7"/>
      <c r="HEE15" s="7"/>
      <c r="HEF15" s="7"/>
      <c r="HEG15" s="7"/>
      <c r="HEH15" s="7"/>
      <c r="HEI15" s="7"/>
      <c r="HEJ15" s="7"/>
      <c r="HEK15" s="7"/>
      <c r="HEL15" s="7"/>
      <c r="HEM15" s="7"/>
      <c r="HEN15" s="7"/>
      <c r="HEO15" s="7"/>
      <c r="HEP15" s="7"/>
      <c r="HEQ15" s="7"/>
      <c r="HER15" s="7"/>
      <c r="HES15" s="7"/>
      <c r="HET15" s="7"/>
      <c r="HEU15" s="7"/>
      <c r="HEV15" s="7"/>
      <c r="HEW15" s="7"/>
      <c r="HEX15" s="7"/>
      <c r="HEY15" s="7"/>
      <c r="HEZ15" s="7"/>
      <c r="HFA15" s="7"/>
      <c r="HFB15" s="7"/>
      <c r="HFC15" s="7"/>
      <c r="HFD15" s="7"/>
      <c r="HFE15" s="7"/>
      <c r="HFF15" s="7"/>
      <c r="HFG15" s="7"/>
      <c r="HFH15" s="7"/>
      <c r="HFI15" s="7"/>
      <c r="HFJ15" s="7"/>
      <c r="HFK15" s="7"/>
      <c r="HFL15" s="7"/>
      <c r="HFM15" s="7"/>
      <c r="HFN15" s="7"/>
      <c r="HFO15" s="7"/>
      <c r="HFP15" s="7"/>
      <c r="HFQ15" s="7"/>
      <c r="HFR15" s="7"/>
      <c r="HFS15" s="7"/>
      <c r="HFT15" s="7"/>
      <c r="HFU15" s="7"/>
      <c r="HFV15" s="7"/>
      <c r="HFW15" s="7"/>
      <c r="HFX15" s="7"/>
      <c r="HFY15" s="7"/>
      <c r="HFZ15" s="7"/>
      <c r="HGA15" s="7"/>
      <c r="HGB15" s="7"/>
      <c r="HGC15" s="7"/>
      <c r="HGD15" s="7"/>
      <c r="HGE15" s="7"/>
      <c r="HGF15" s="7"/>
      <c r="HGG15" s="7"/>
      <c r="HGH15" s="7"/>
      <c r="HGI15" s="7"/>
      <c r="HGJ15" s="7"/>
      <c r="HGK15" s="7"/>
      <c r="HGL15" s="7"/>
      <c r="HGM15" s="7"/>
      <c r="HGN15" s="7"/>
      <c r="HGO15" s="7"/>
      <c r="HGP15" s="7"/>
      <c r="HGQ15" s="7"/>
      <c r="HGR15" s="7"/>
      <c r="HGS15" s="7"/>
      <c r="HGT15" s="7"/>
      <c r="HGU15" s="7"/>
      <c r="HGV15" s="7"/>
      <c r="HGW15" s="7"/>
      <c r="HGX15" s="7"/>
      <c r="HGY15" s="7"/>
      <c r="HGZ15" s="7"/>
      <c r="HHA15" s="7"/>
      <c r="HHB15" s="7"/>
      <c r="HHC15" s="7"/>
      <c r="HHD15" s="7"/>
      <c r="HHE15" s="7"/>
      <c r="HHF15" s="7"/>
      <c r="HHG15" s="7"/>
      <c r="HHH15" s="7"/>
      <c r="HHI15" s="7"/>
      <c r="HHJ15" s="7"/>
      <c r="HHK15" s="7"/>
      <c r="HHL15" s="7"/>
      <c r="HHM15" s="7"/>
      <c r="HHN15" s="7"/>
      <c r="HHO15" s="7"/>
      <c r="HHP15" s="7"/>
      <c r="HHQ15" s="7"/>
      <c r="HHR15" s="7"/>
      <c r="HHS15" s="7"/>
      <c r="HHT15" s="7"/>
      <c r="HHU15" s="7"/>
      <c r="HHV15" s="7"/>
      <c r="HHW15" s="7"/>
      <c r="HHX15" s="7"/>
      <c r="HHY15" s="7"/>
      <c r="HHZ15" s="7"/>
      <c r="HIA15" s="7"/>
      <c r="HIB15" s="7"/>
      <c r="HIC15" s="7"/>
      <c r="HID15" s="7"/>
      <c r="HIE15" s="7"/>
      <c r="HIF15" s="7"/>
      <c r="HIG15" s="7"/>
      <c r="HIH15" s="7"/>
      <c r="HII15" s="7"/>
      <c r="HIJ15" s="7"/>
      <c r="HIK15" s="7"/>
      <c r="HIL15" s="7"/>
      <c r="HIM15" s="7"/>
      <c r="HIN15" s="7"/>
      <c r="HIO15" s="7"/>
      <c r="HIP15" s="7"/>
      <c r="HIQ15" s="7"/>
      <c r="HIR15" s="7"/>
      <c r="HIS15" s="7"/>
      <c r="HIT15" s="7"/>
      <c r="HIU15" s="7"/>
      <c r="HIV15" s="7"/>
      <c r="HIW15" s="7"/>
      <c r="HIX15" s="7"/>
      <c r="HIY15" s="7"/>
      <c r="HIZ15" s="7"/>
      <c r="HJA15" s="7"/>
      <c r="HJB15" s="7"/>
      <c r="HJC15" s="7"/>
      <c r="HJD15" s="7"/>
      <c r="HJE15" s="7"/>
      <c r="HJF15" s="7"/>
      <c r="HJG15" s="7"/>
      <c r="HJH15" s="7"/>
      <c r="HJI15" s="7"/>
      <c r="HJJ15" s="7"/>
      <c r="HJK15" s="7"/>
      <c r="HJL15" s="7"/>
      <c r="HJM15" s="7"/>
      <c r="HJN15" s="7"/>
      <c r="HJO15" s="7"/>
      <c r="HJP15" s="7"/>
      <c r="HJQ15" s="7"/>
      <c r="HJR15" s="7"/>
      <c r="HJS15" s="7"/>
      <c r="HJT15" s="7"/>
      <c r="HJU15" s="7"/>
      <c r="HJV15" s="7"/>
      <c r="HJW15" s="7"/>
      <c r="HJX15" s="7"/>
      <c r="HJY15" s="7"/>
      <c r="HJZ15" s="7"/>
      <c r="HKA15" s="7"/>
      <c r="HKB15" s="7"/>
      <c r="HKC15" s="7"/>
      <c r="HKD15" s="7"/>
      <c r="HKE15" s="7"/>
      <c r="HKF15" s="7"/>
      <c r="HKG15" s="7"/>
      <c r="HKH15" s="7"/>
      <c r="HKI15" s="7"/>
      <c r="HKJ15" s="7"/>
      <c r="HKK15" s="7"/>
      <c r="HKL15" s="7"/>
      <c r="HKM15" s="7"/>
      <c r="HKN15" s="7"/>
      <c r="HKO15" s="7"/>
      <c r="HKP15" s="7"/>
      <c r="HKQ15" s="7"/>
      <c r="HKR15" s="7"/>
      <c r="HKS15" s="7"/>
      <c r="HKT15" s="7"/>
      <c r="HKU15" s="7"/>
      <c r="HKV15" s="7"/>
      <c r="HKW15" s="7"/>
      <c r="HKX15" s="7"/>
      <c r="HKY15" s="7"/>
      <c r="HKZ15" s="7"/>
      <c r="HLA15" s="7"/>
      <c r="HLB15" s="7"/>
      <c r="HLC15" s="7"/>
      <c r="HLD15" s="7"/>
      <c r="HLE15" s="7"/>
      <c r="HLF15" s="7"/>
      <c r="HLG15" s="7"/>
      <c r="HLH15" s="7"/>
      <c r="HLI15" s="7"/>
      <c r="HLJ15" s="7"/>
      <c r="HLK15" s="7"/>
      <c r="HLL15" s="7"/>
      <c r="HLM15" s="7"/>
      <c r="HLN15" s="7"/>
      <c r="HLO15" s="7"/>
      <c r="HLP15" s="7"/>
      <c r="HLQ15" s="7"/>
      <c r="HLR15" s="7"/>
      <c r="HLS15" s="7"/>
      <c r="HLT15" s="7"/>
      <c r="HLU15" s="7"/>
      <c r="HLV15" s="7"/>
      <c r="HLW15" s="7"/>
      <c r="HLX15" s="7"/>
      <c r="HLY15" s="7"/>
      <c r="HLZ15" s="7"/>
      <c r="HMA15" s="7"/>
      <c r="HMB15" s="7"/>
      <c r="HMC15" s="7"/>
      <c r="HMD15" s="7"/>
      <c r="HME15" s="7"/>
      <c r="HMF15" s="7"/>
      <c r="HMG15" s="7"/>
      <c r="HMH15" s="7"/>
      <c r="HMI15" s="7"/>
      <c r="HMJ15" s="7"/>
      <c r="HMK15" s="7"/>
      <c r="HML15" s="7"/>
      <c r="HMM15" s="7"/>
      <c r="HMN15" s="7"/>
      <c r="HMO15" s="7"/>
      <c r="HMP15" s="7"/>
      <c r="HMQ15" s="7"/>
      <c r="HMR15" s="7"/>
      <c r="HMS15" s="7"/>
      <c r="HMT15" s="7"/>
      <c r="HMU15" s="7"/>
      <c r="HMV15" s="7"/>
      <c r="HMW15" s="7"/>
      <c r="HMX15" s="7"/>
      <c r="HMY15" s="7"/>
      <c r="HMZ15" s="7"/>
      <c r="HNA15" s="7"/>
      <c r="HNB15" s="7"/>
      <c r="HNC15" s="7"/>
      <c r="HND15" s="7"/>
      <c r="HNE15" s="7"/>
      <c r="HNF15" s="7"/>
      <c r="HNG15" s="7"/>
      <c r="HNH15" s="7"/>
      <c r="HNI15" s="7"/>
      <c r="HNJ15" s="7"/>
      <c r="HNK15" s="7"/>
      <c r="HNL15" s="7"/>
      <c r="HNM15" s="7"/>
      <c r="HNN15" s="7"/>
      <c r="HNO15" s="7"/>
      <c r="HNP15" s="7"/>
      <c r="HNQ15" s="7"/>
      <c r="HNR15" s="7"/>
      <c r="HNS15" s="7"/>
      <c r="HNT15" s="7"/>
      <c r="HNU15" s="7"/>
      <c r="HNV15" s="7"/>
      <c r="HNW15" s="7"/>
      <c r="HNX15" s="7"/>
      <c r="HNY15" s="7"/>
      <c r="HNZ15" s="7"/>
      <c r="HOA15" s="7"/>
      <c r="HOB15" s="7"/>
      <c r="HOC15" s="7"/>
      <c r="HOD15" s="7"/>
      <c r="HOE15" s="7"/>
      <c r="HOF15" s="7"/>
      <c r="HOG15" s="7"/>
      <c r="HOH15" s="7"/>
      <c r="HOI15" s="7"/>
      <c r="HOJ15" s="7"/>
      <c r="HOK15" s="7"/>
      <c r="HOL15" s="7"/>
      <c r="HOM15" s="7"/>
      <c r="HON15" s="7"/>
      <c r="HOO15" s="7"/>
      <c r="HOP15" s="7"/>
      <c r="HOQ15" s="7"/>
      <c r="HOR15" s="7"/>
      <c r="HOS15" s="7"/>
      <c r="HOT15" s="7"/>
      <c r="HOU15" s="7"/>
      <c r="HOV15" s="7"/>
      <c r="HOW15" s="7"/>
      <c r="HOX15" s="7"/>
      <c r="HOY15" s="7"/>
      <c r="HOZ15" s="7"/>
      <c r="HPA15" s="7"/>
      <c r="HPB15" s="7"/>
      <c r="HPC15" s="7"/>
      <c r="HPD15" s="7"/>
      <c r="HPE15" s="7"/>
      <c r="HPF15" s="7"/>
      <c r="HPG15" s="7"/>
      <c r="HPH15" s="7"/>
      <c r="HPI15" s="7"/>
      <c r="HPJ15" s="7"/>
      <c r="HPK15" s="7"/>
      <c r="HPL15" s="7"/>
      <c r="HPM15" s="7"/>
      <c r="HPN15" s="7"/>
      <c r="HPO15" s="7"/>
      <c r="HPP15" s="7"/>
      <c r="HPQ15" s="7"/>
      <c r="HPR15" s="7"/>
      <c r="HPS15" s="7"/>
      <c r="HPT15" s="7"/>
      <c r="HPU15" s="7"/>
      <c r="HPV15" s="7"/>
      <c r="HPW15" s="7"/>
      <c r="HPX15" s="7"/>
      <c r="HPY15" s="7"/>
      <c r="HPZ15" s="7"/>
      <c r="HQA15" s="7"/>
      <c r="HQB15" s="7"/>
      <c r="HQC15" s="7"/>
      <c r="HQD15" s="7"/>
      <c r="HQE15" s="7"/>
      <c r="HQF15" s="7"/>
      <c r="HQG15" s="7"/>
      <c r="HQH15" s="7"/>
      <c r="HQI15" s="7"/>
      <c r="HQJ15" s="7"/>
      <c r="HQK15" s="7"/>
      <c r="HQL15" s="7"/>
      <c r="HQM15" s="7"/>
      <c r="HQN15" s="7"/>
      <c r="HQO15" s="7"/>
      <c r="HQP15" s="7"/>
      <c r="HQQ15" s="7"/>
      <c r="HQR15" s="7"/>
      <c r="HQS15" s="7"/>
      <c r="HQT15" s="7"/>
      <c r="HQU15" s="7"/>
      <c r="HQV15" s="7"/>
      <c r="HQW15" s="7"/>
      <c r="HQX15" s="7"/>
      <c r="HQY15" s="7"/>
      <c r="HQZ15" s="7"/>
      <c r="HRA15" s="7"/>
      <c r="HRB15" s="7"/>
      <c r="HRC15" s="7"/>
      <c r="HRD15" s="7"/>
      <c r="HRE15" s="7"/>
      <c r="HRF15" s="7"/>
      <c r="HRG15" s="7"/>
      <c r="HRH15" s="7"/>
      <c r="HRI15" s="7"/>
      <c r="HRJ15" s="7"/>
      <c r="HRK15" s="7"/>
      <c r="HRL15" s="7"/>
      <c r="HRM15" s="7"/>
      <c r="HRN15" s="7"/>
      <c r="HRO15" s="7"/>
      <c r="HRP15" s="7"/>
      <c r="HRQ15" s="7"/>
      <c r="HRR15" s="7"/>
      <c r="HRS15" s="7"/>
      <c r="HRT15" s="7"/>
      <c r="HRU15" s="7"/>
      <c r="HRV15" s="7"/>
      <c r="HRW15" s="7"/>
      <c r="HRX15" s="7"/>
      <c r="HRY15" s="7"/>
      <c r="HRZ15" s="7"/>
      <c r="HSA15" s="7"/>
      <c r="HSB15" s="7"/>
      <c r="HSC15" s="7"/>
      <c r="HSD15" s="7"/>
      <c r="HSE15" s="7"/>
      <c r="HSF15" s="7"/>
      <c r="HSG15" s="7"/>
      <c r="HSH15" s="7"/>
      <c r="HSI15" s="7"/>
      <c r="HSJ15" s="7"/>
      <c r="HSK15" s="7"/>
      <c r="HSL15" s="7"/>
      <c r="HSM15" s="7"/>
      <c r="HSN15" s="7"/>
      <c r="HSO15" s="7"/>
      <c r="HSP15" s="7"/>
      <c r="HSQ15" s="7"/>
      <c r="HSR15" s="7"/>
      <c r="HSS15" s="7"/>
      <c r="HST15" s="7"/>
      <c r="HSU15" s="7"/>
      <c r="HSV15" s="7"/>
      <c r="HSW15" s="7"/>
      <c r="HSX15" s="7"/>
      <c r="HSY15" s="7"/>
      <c r="HSZ15" s="7"/>
      <c r="HTA15" s="7"/>
      <c r="HTB15" s="7"/>
      <c r="HTC15" s="7"/>
      <c r="HTD15" s="7"/>
      <c r="HTE15" s="7"/>
      <c r="HTF15" s="7"/>
      <c r="HTG15" s="7"/>
      <c r="HTH15" s="7"/>
      <c r="HTI15" s="7"/>
      <c r="HTJ15" s="7"/>
      <c r="HTK15" s="7"/>
      <c r="HTL15" s="7"/>
      <c r="HTM15" s="7"/>
      <c r="HTN15" s="7"/>
      <c r="HTO15" s="7"/>
      <c r="HTP15" s="7"/>
      <c r="HTQ15" s="7"/>
      <c r="HTR15" s="7"/>
      <c r="HTS15" s="7"/>
      <c r="HTT15" s="7"/>
      <c r="HTU15" s="7"/>
      <c r="HTV15" s="7"/>
      <c r="HTW15" s="7"/>
      <c r="HTX15" s="7"/>
      <c r="HTY15" s="7"/>
      <c r="HTZ15" s="7"/>
      <c r="HUA15" s="7"/>
      <c r="HUB15" s="7"/>
      <c r="HUC15" s="7"/>
      <c r="HUD15" s="7"/>
      <c r="HUE15" s="7"/>
      <c r="HUF15" s="7"/>
      <c r="HUG15" s="7"/>
      <c r="HUH15" s="7"/>
      <c r="HUI15" s="7"/>
      <c r="HUJ15" s="7"/>
      <c r="HUK15" s="7"/>
      <c r="HUL15" s="7"/>
      <c r="HUM15" s="7"/>
      <c r="HUN15" s="7"/>
      <c r="HUO15" s="7"/>
      <c r="HUP15" s="7"/>
      <c r="HUQ15" s="7"/>
      <c r="HUR15" s="7"/>
      <c r="HUS15" s="7"/>
      <c r="HUT15" s="7"/>
      <c r="HUU15" s="7"/>
      <c r="HUV15" s="7"/>
      <c r="HUW15" s="7"/>
      <c r="HUX15" s="7"/>
      <c r="HUY15" s="7"/>
      <c r="HUZ15" s="7"/>
      <c r="HVA15" s="7"/>
      <c r="HVB15" s="7"/>
      <c r="HVC15" s="7"/>
      <c r="HVD15" s="7"/>
      <c r="HVE15" s="7"/>
      <c r="HVF15" s="7"/>
      <c r="HVG15" s="7"/>
      <c r="HVH15" s="7"/>
      <c r="HVI15" s="7"/>
      <c r="HVJ15" s="7"/>
      <c r="HVK15" s="7"/>
      <c r="HVL15" s="7"/>
      <c r="HVM15" s="7"/>
      <c r="HVN15" s="7"/>
      <c r="HVO15" s="7"/>
      <c r="HVP15" s="7"/>
      <c r="HVQ15" s="7"/>
      <c r="HVR15" s="7"/>
      <c r="HVS15" s="7"/>
      <c r="HVT15" s="7"/>
      <c r="HVU15" s="7"/>
      <c r="HVV15" s="7"/>
      <c r="HVW15" s="7"/>
      <c r="HVX15" s="7"/>
      <c r="HVY15" s="7"/>
      <c r="HVZ15" s="7"/>
      <c r="HWA15" s="7"/>
      <c r="HWB15" s="7"/>
      <c r="HWC15" s="7"/>
      <c r="HWD15" s="7"/>
      <c r="HWE15" s="7"/>
      <c r="HWF15" s="7"/>
      <c r="HWG15" s="7"/>
      <c r="HWH15" s="7"/>
      <c r="HWI15" s="7"/>
      <c r="HWJ15" s="7"/>
      <c r="HWK15" s="7"/>
      <c r="HWL15" s="7"/>
      <c r="HWM15" s="7"/>
      <c r="HWN15" s="7"/>
      <c r="HWO15" s="7"/>
      <c r="HWP15" s="7"/>
      <c r="HWQ15" s="7"/>
      <c r="HWR15" s="7"/>
      <c r="HWS15" s="7"/>
      <c r="HWT15" s="7"/>
      <c r="HWU15" s="7"/>
      <c r="HWV15" s="7"/>
      <c r="HWW15" s="7"/>
      <c r="HWX15" s="7"/>
      <c r="HWY15" s="7"/>
      <c r="HWZ15" s="7"/>
      <c r="HXA15" s="7"/>
      <c r="HXB15" s="7"/>
      <c r="HXC15" s="7"/>
      <c r="HXD15" s="7"/>
      <c r="HXE15" s="7"/>
      <c r="HXF15" s="7"/>
      <c r="HXG15" s="7"/>
      <c r="HXH15" s="7"/>
      <c r="HXI15" s="7"/>
      <c r="HXJ15" s="7"/>
      <c r="HXK15" s="7"/>
      <c r="HXL15" s="7"/>
      <c r="HXM15" s="7"/>
      <c r="HXN15" s="7"/>
      <c r="HXO15" s="7"/>
      <c r="HXP15" s="7"/>
      <c r="HXQ15" s="7"/>
      <c r="HXR15" s="7"/>
      <c r="HXS15" s="7"/>
      <c r="HXT15" s="7"/>
      <c r="HXU15" s="7"/>
      <c r="HXV15" s="7"/>
      <c r="HXW15" s="7"/>
      <c r="HXX15" s="7"/>
      <c r="HXY15" s="7"/>
      <c r="HXZ15" s="7"/>
      <c r="HYA15" s="7"/>
      <c r="HYB15" s="7"/>
      <c r="HYC15" s="7"/>
      <c r="HYD15" s="7"/>
      <c r="HYE15" s="7"/>
      <c r="HYF15" s="7"/>
      <c r="HYG15" s="7"/>
      <c r="HYH15" s="7"/>
      <c r="HYI15" s="7"/>
      <c r="HYJ15" s="7"/>
      <c r="HYK15" s="7"/>
      <c r="HYL15" s="7"/>
      <c r="HYM15" s="7"/>
      <c r="HYN15" s="7"/>
      <c r="HYO15" s="7"/>
      <c r="HYP15" s="7"/>
      <c r="HYQ15" s="7"/>
      <c r="HYR15" s="7"/>
      <c r="HYS15" s="7"/>
      <c r="HYT15" s="7"/>
      <c r="HYU15" s="7"/>
      <c r="HYV15" s="7"/>
      <c r="HYW15" s="7"/>
      <c r="HYX15" s="7"/>
      <c r="HYY15" s="7"/>
      <c r="HYZ15" s="7"/>
      <c r="HZA15" s="7"/>
      <c r="HZB15" s="7"/>
      <c r="HZC15" s="7"/>
      <c r="HZD15" s="7"/>
      <c r="HZE15" s="7"/>
      <c r="HZF15" s="7"/>
      <c r="HZG15" s="7"/>
      <c r="HZH15" s="7"/>
      <c r="HZI15" s="7"/>
      <c r="HZJ15" s="7"/>
      <c r="HZK15" s="7"/>
      <c r="HZL15" s="7"/>
      <c r="HZM15" s="7"/>
      <c r="HZN15" s="7"/>
      <c r="HZO15" s="7"/>
      <c r="HZP15" s="7"/>
      <c r="HZQ15" s="7"/>
      <c r="HZR15" s="7"/>
      <c r="HZS15" s="7"/>
      <c r="HZT15" s="7"/>
      <c r="HZU15" s="7"/>
      <c r="HZV15" s="7"/>
      <c r="HZW15" s="7"/>
      <c r="HZX15" s="7"/>
      <c r="HZY15" s="7"/>
      <c r="HZZ15" s="7"/>
      <c r="IAA15" s="7"/>
      <c r="IAB15" s="7"/>
      <c r="IAC15" s="7"/>
      <c r="IAD15" s="7"/>
      <c r="IAE15" s="7"/>
      <c r="IAF15" s="7"/>
      <c r="IAG15" s="7"/>
      <c r="IAH15" s="7"/>
      <c r="IAI15" s="7"/>
      <c r="IAJ15" s="7"/>
      <c r="IAK15" s="7"/>
      <c r="IAL15" s="7"/>
      <c r="IAM15" s="7"/>
      <c r="IAN15" s="7"/>
      <c r="IAO15" s="7"/>
      <c r="IAP15" s="7"/>
      <c r="IAQ15" s="7"/>
      <c r="IAR15" s="7"/>
      <c r="IAS15" s="7"/>
      <c r="IAT15" s="7"/>
      <c r="IAU15" s="7"/>
      <c r="IAV15" s="7"/>
      <c r="IAW15" s="7"/>
      <c r="IAX15" s="7"/>
      <c r="IAY15" s="7"/>
      <c r="IAZ15" s="7"/>
      <c r="IBA15" s="7"/>
      <c r="IBB15" s="7"/>
      <c r="IBC15" s="7"/>
      <c r="IBD15" s="7"/>
      <c r="IBE15" s="7"/>
      <c r="IBF15" s="7"/>
      <c r="IBG15" s="7"/>
      <c r="IBH15" s="7"/>
      <c r="IBI15" s="7"/>
      <c r="IBJ15" s="7"/>
      <c r="IBK15" s="7"/>
      <c r="IBL15" s="7"/>
      <c r="IBM15" s="7"/>
      <c r="IBN15" s="7"/>
      <c r="IBO15" s="7"/>
      <c r="IBP15" s="7"/>
      <c r="IBQ15" s="7"/>
      <c r="IBR15" s="7"/>
      <c r="IBS15" s="7"/>
      <c r="IBT15" s="7"/>
      <c r="IBU15" s="7"/>
      <c r="IBV15" s="7"/>
      <c r="IBW15" s="7"/>
      <c r="IBX15" s="7"/>
      <c r="IBY15" s="7"/>
      <c r="IBZ15" s="7"/>
      <c r="ICA15" s="7"/>
      <c r="ICB15" s="7"/>
      <c r="ICC15" s="7"/>
      <c r="ICD15" s="7"/>
      <c r="ICE15" s="7"/>
      <c r="ICF15" s="7"/>
      <c r="ICG15" s="7"/>
      <c r="ICH15" s="7"/>
      <c r="ICI15" s="7"/>
      <c r="ICJ15" s="7"/>
      <c r="ICK15" s="7"/>
      <c r="ICL15" s="7"/>
      <c r="ICM15" s="7"/>
      <c r="ICN15" s="7"/>
      <c r="ICO15" s="7"/>
      <c r="ICP15" s="7"/>
      <c r="ICQ15" s="7"/>
      <c r="ICR15" s="7"/>
      <c r="ICS15" s="7"/>
      <c r="ICT15" s="7"/>
      <c r="ICU15" s="7"/>
      <c r="ICV15" s="7"/>
      <c r="ICW15" s="7"/>
      <c r="ICX15" s="7"/>
      <c r="ICY15" s="7"/>
      <c r="ICZ15" s="7"/>
      <c r="IDA15" s="7"/>
      <c r="IDB15" s="7"/>
      <c r="IDC15" s="7"/>
      <c r="IDD15" s="7"/>
      <c r="IDE15" s="7"/>
      <c r="IDF15" s="7"/>
      <c r="IDG15" s="7"/>
      <c r="IDH15" s="7"/>
      <c r="IDI15" s="7"/>
      <c r="IDJ15" s="7"/>
      <c r="IDK15" s="7"/>
      <c r="IDL15" s="7"/>
      <c r="IDM15" s="7"/>
      <c r="IDN15" s="7"/>
      <c r="IDO15" s="7"/>
      <c r="IDP15" s="7"/>
      <c r="IDQ15" s="7"/>
      <c r="IDR15" s="7"/>
      <c r="IDS15" s="7"/>
      <c r="IDT15" s="7"/>
      <c r="IDU15" s="7"/>
      <c r="IDV15" s="7"/>
      <c r="IDW15" s="7"/>
      <c r="IDX15" s="7"/>
      <c r="IDY15" s="7"/>
      <c r="IDZ15" s="7"/>
      <c r="IEA15" s="7"/>
      <c r="IEB15" s="7"/>
      <c r="IEC15" s="7"/>
      <c r="IED15" s="7"/>
      <c r="IEE15" s="7"/>
      <c r="IEF15" s="7"/>
      <c r="IEG15" s="7"/>
      <c r="IEH15" s="7"/>
      <c r="IEI15" s="7"/>
      <c r="IEJ15" s="7"/>
      <c r="IEK15" s="7"/>
      <c r="IEL15" s="7"/>
      <c r="IEM15" s="7"/>
      <c r="IEN15" s="7"/>
      <c r="IEO15" s="7"/>
      <c r="IEP15" s="7"/>
      <c r="IEQ15" s="7"/>
      <c r="IER15" s="7"/>
      <c r="IES15" s="7"/>
      <c r="IET15" s="7"/>
      <c r="IEU15" s="7"/>
      <c r="IEV15" s="7"/>
      <c r="IEW15" s="7"/>
      <c r="IEX15" s="7"/>
      <c r="IEY15" s="7"/>
      <c r="IEZ15" s="7"/>
      <c r="IFA15" s="7"/>
      <c r="IFB15" s="7"/>
      <c r="IFC15" s="7"/>
      <c r="IFD15" s="7"/>
      <c r="IFE15" s="7"/>
      <c r="IFF15" s="7"/>
      <c r="IFG15" s="7"/>
      <c r="IFH15" s="7"/>
      <c r="IFI15" s="7"/>
      <c r="IFJ15" s="7"/>
      <c r="IFK15" s="7"/>
      <c r="IFL15" s="7"/>
      <c r="IFM15" s="7"/>
      <c r="IFN15" s="7"/>
      <c r="IFO15" s="7"/>
      <c r="IFP15" s="7"/>
      <c r="IFQ15" s="7"/>
      <c r="IFR15" s="7"/>
      <c r="IFS15" s="7"/>
      <c r="IFT15" s="7"/>
      <c r="IFU15" s="7"/>
      <c r="IFV15" s="7"/>
      <c r="IFW15" s="7"/>
      <c r="IFX15" s="7"/>
      <c r="IFY15" s="7"/>
      <c r="IFZ15" s="7"/>
      <c r="IGA15" s="7"/>
      <c r="IGB15" s="7"/>
      <c r="IGC15" s="7"/>
      <c r="IGD15" s="7"/>
      <c r="IGE15" s="7"/>
      <c r="IGF15" s="7"/>
      <c r="IGG15" s="7"/>
      <c r="IGH15" s="7"/>
      <c r="IGI15" s="7"/>
      <c r="IGJ15" s="7"/>
      <c r="IGK15" s="7"/>
      <c r="IGL15" s="7"/>
      <c r="IGM15" s="7"/>
      <c r="IGN15" s="7"/>
      <c r="IGO15" s="7"/>
      <c r="IGP15" s="7"/>
      <c r="IGQ15" s="7"/>
      <c r="IGR15" s="7"/>
      <c r="IGS15" s="7"/>
      <c r="IGT15" s="7"/>
      <c r="IGU15" s="7"/>
      <c r="IGV15" s="7"/>
      <c r="IGW15" s="7"/>
      <c r="IGX15" s="7"/>
      <c r="IGY15" s="7"/>
      <c r="IGZ15" s="7"/>
      <c r="IHA15" s="7"/>
      <c r="IHB15" s="7"/>
      <c r="IHC15" s="7"/>
      <c r="IHD15" s="7"/>
      <c r="IHE15" s="7"/>
      <c r="IHF15" s="7"/>
      <c r="IHG15" s="7"/>
      <c r="IHH15" s="7"/>
      <c r="IHI15" s="7"/>
      <c r="IHJ15" s="7"/>
      <c r="IHK15" s="7"/>
      <c r="IHL15" s="7"/>
      <c r="IHM15" s="7"/>
      <c r="IHN15" s="7"/>
      <c r="IHO15" s="7"/>
      <c r="IHP15" s="7"/>
      <c r="IHQ15" s="7"/>
      <c r="IHR15" s="7"/>
      <c r="IHS15" s="7"/>
      <c r="IHT15" s="7"/>
      <c r="IHU15" s="7"/>
      <c r="IHV15" s="7"/>
      <c r="IHW15" s="7"/>
      <c r="IHX15" s="7"/>
      <c r="IHY15" s="7"/>
      <c r="IHZ15" s="7"/>
      <c r="IIA15" s="7"/>
      <c r="IIB15" s="7"/>
      <c r="IIC15" s="7"/>
      <c r="IID15" s="7"/>
      <c r="IIE15" s="7"/>
      <c r="IIF15" s="7"/>
      <c r="IIG15" s="7"/>
      <c r="IIH15" s="7"/>
      <c r="III15" s="7"/>
      <c r="IIJ15" s="7"/>
      <c r="IIK15" s="7"/>
      <c r="IIL15" s="7"/>
      <c r="IIM15" s="7"/>
      <c r="IIN15" s="7"/>
      <c r="IIO15" s="7"/>
      <c r="IIP15" s="7"/>
      <c r="IIQ15" s="7"/>
      <c r="IIR15" s="7"/>
      <c r="IIS15" s="7"/>
      <c r="IIT15" s="7"/>
      <c r="IIU15" s="7"/>
      <c r="IIV15" s="7"/>
      <c r="IIW15" s="7"/>
      <c r="IIX15" s="7"/>
      <c r="IIY15" s="7"/>
      <c r="IIZ15" s="7"/>
      <c r="IJA15" s="7"/>
      <c r="IJB15" s="7"/>
      <c r="IJC15" s="7"/>
      <c r="IJD15" s="7"/>
      <c r="IJE15" s="7"/>
      <c r="IJF15" s="7"/>
      <c r="IJG15" s="7"/>
      <c r="IJH15" s="7"/>
      <c r="IJI15" s="7"/>
      <c r="IJJ15" s="7"/>
      <c r="IJK15" s="7"/>
      <c r="IJL15" s="7"/>
      <c r="IJM15" s="7"/>
      <c r="IJN15" s="7"/>
      <c r="IJO15" s="7"/>
      <c r="IJP15" s="7"/>
      <c r="IJQ15" s="7"/>
      <c r="IJR15" s="7"/>
      <c r="IJS15" s="7"/>
      <c r="IJT15" s="7"/>
      <c r="IJU15" s="7"/>
      <c r="IJV15" s="7"/>
      <c r="IJW15" s="7"/>
      <c r="IJX15" s="7"/>
      <c r="IJY15" s="7"/>
      <c r="IJZ15" s="7"/>
      <c r="IKA15" s="7"/>
      <c r="IKB15" s="7"/>
      <c r="IKC15" s="7"/>
      <c r="IKD15" s="7"/>
      <c r="IKE15" s="7"/>
      <c r="IKF15" s="7"/>
      <c r="IKG15" s="7"/>
      <c r="IKH15" s="7"/>
      <c r="IKI15" s="7"/>
      <c r="IKJ15" s="7"/>
      <c r="IKK15" s="7"/>
      <c r="IKL15" s="7"/>
      <c r="IKM15" s="7"/>
      <c r="IKN15" s="7"/>
      <c r="IKO15" s="7"/>
      <c r="IKP15" s="7"/>
      <c r="IKQ15" s="7"/>
      <c r="IKR15" s="7"/>
      <c r="IKS15" s="7"/>
      <c r="IKT15" s="7"/>
      <c r="IKU15" s="7"/>
      <c r="IKV15" s="7"/>
      <c r="IKW15" s="7"/>
      <c r="IKX15" s="7"/>
      <c r="IKY15" s="7"/>
      <c r="IKZ15" s="7"/>
      <c r="ILA15" s="7"/>
      <c r="ILB15" s="7"/>
      <c r="ILC15" s="7"/>
      <c r="ILD15" s="7"/>
      <c r="ILE15" s="7"/>
      <c r="ILF15" s="7"/>
      <c r="ILG15" s="7"/>
      <c r="ILH15" s="7"/>
      <c r="ILI15" s="7"/>
      <c r="ILJ15" s="7"/>
      <c r="ILK15" s="7"/>
      <c r="ILL15" s="7"/>
      <c r="ILM15" s="7"/>
      <c r="ILN15" s="7"/>
      <c r="ILO15" s="7"/>
      <c r="ILP15" s="7"/>
      <c r="ILQ15" s="7"/>
      <c r="ILR15" s="7"/>
      <c r="ILS15" s="7"/>
      <c r="ILT15" s="7"/>
      <c r="ILU15" s="7"/>
      <c r="ILV15" s="7"/>
      <c r="ILW15" s="7"/>
      <c r="ILX15" s="7"/>
      <c r="ILY15" s="7"/>
      <c r="ILZ15" s="7"/>
      <c r="IMA15" s="7"/>
      <c r="IMB15" s="7"/>
      <c r="IMC15" s="7"/>
      <c r="IMD15" s="7"/>
      <c r="IME15" s="7"/>
      <c r="IMF15" s="7"/>
      <c r="IMG15" s="7"/>
      <c r="IMH15" s="7"/>
      <c r="IMI15" s="7"/>
      <c r="IMJ15" s="7"/>
      <c r="IMK15" s="7"/>
      <c r="IML15" s="7"/>
      <c r="IMM15" s="7"/>
      <c r="IMN15" s="7"/>
      <c r="IMO15" s="7"/>
      <c r="IMP15" s="7"/>
      <c r="IMQ15" s="7"/>
      <c r="IMR15" s="7"/>
      <c r="IMS15" s="7"/>
      <c r="IMT15" s="7"/>
      <c r="IMU15" s="7"/>
      <c r="IMV15" s="7"/>
      <c r="IMW15" s="7"/>
      <c r="IMX15" s="7"/>
      <c r="IMY15" s="7"/>
      <c r="IMZ15" s="7"/>
      <c r="INA15" s="7"/>
      <c r="INB15" s="7"/>
      <c r="INC15" s="7"/>
      <c r="IND15" s="7"/>
      <c r="INE15" s="7"/>
      <c r="INF15" s="7"/>
      <c r="ING15" s="7"/>
      <c r="INH15" s="7"/>
      <c r="INI15" s="7"/>
      <c r="INJ15" s="7"/>
      <c r="INK15" s="7"/>
      <c r="INL15" s="7"/>
      <c r="INM15" s="7"/>
      <c r="INN15" s="7"/>
      <c r="INO15" s="7"/>
      <c r="INP15" s="7"/>
      <c r="INQ15" s="7"/>
      <c r="INR15" s="7"/>
      <c r="INS15" s="7"/>
      <c r="INT15" s="7"/>
      <c r="INU15" s="7"/>
      <c r="INV15" s="7"/>
      <c r="INW15" s="7"/>
      <c r="INX15" s="7"/>
      <c r="INY15" s="7"/>
      <c r="INZ15" s="7"/>
      <c r="IOA15" s="7"/>
      <c r="IOB15" s="7"/>
      <c r="IOC15" s="7"/>
      <c r="IOD15" s="7"/>
      <c r="IOE15" s="7"/>
      <c r="IOF15" s="7"/>
      <c r="IOG15" s="7"/>
      <c r="IOH15" s="7"/>
      <c r="IOI15" s="7"/>
      <c r="IOJ15" s="7"/>
      <c r="IOK15" s="7"/>
      <c r="IOL15" s="7"/>
      <c r="IOM15" s="7"/>
      <c r="ION15" s="7"/>
      <c r="IOO15" s="7"/>
      <c r="IOP15" s="7"/>
      <c r="IOQ15" s="7"/>
      <c r="IOR15" s="7"/>
      <c r="IOS15" s="7"/>
      <c r="IOT15" s="7"/>
      <c r="IOU15" s="7"/>
      <c r="IOV15" s="7"/>
      <c r="IOW15" s="7"/>
      <c r="IOX15" s="7"/>
      <c r="IOY15" s="7"/>
      <c r="IOZ15" s="7"/>
      <c r="IPA15" s="7"/>
      <c r="IPB15" s="7"/>
      <c r="IPC15" s="7"/>
      <c r="IPD15" s="7"/>
      <c r="IPE15" s="7"/>
      <c r="IPF15" s="7"/>
      <c r="IPG15" s="7"/>
      <c r="IPH15" s="7"/>
      <c r="IPI15" s="7"/>
      <c r="IPJ15" s="7"/>
      <c r="IPK15" s="7"/>
      <c r="IPL15" s="7"/>
      <c r="IPM15" s="7"/>
      <c r="IPN15" s="7"/>
      <c r="IPO15" s="7"/>
      <c r="IPP15" s="7"/>
      <c r="IPQ15" s="7"/>
      <c r="IPR15" s="7"/>
      <c r="IPS15" s="7"/>
      <c r="IPT15" s="7"/>
      <c r="IPU15" s="7"/>
      <c r="IPV15" s="7"/>
      <c r="IPW15" s="7"/>
      <c r="IPX15" s="7"/>
      <c r="IPY15" s="7"/>
      <c r="IPZ15" s="7"/>
      <c r="IQA15" s="7"/>
      <c r="IQB15" s="7"/>
      <c r="IQC15" s="7"/>
      <c r="IQD15" s="7"/>
      <c r="IQE15" s="7"/>
      <c r="IQF15" s="7"/>
      <c r="IQG15" s="7"/>
      <c r="IQH15" s="7"/>
      <c r="IQI15" s="7"/>
      <c r="IQJ15" s="7"/>
      <c r="IQK15" s="7"/>
      <c r="IQL15" s="7"/>
      <c r="IQM15" s="7"/>
      <c r="IQN15" s="7"/>
      <c r="IQO15" s="7"/>
      <c r="IQP15" s="7"/>
      <c r="IQQ15" s="7"/>
      <c r="IQR15" s="7"/>
      <c r="IQS15" s="7"/>
      <c r="IQT15" s="7"/>
      <c r="IQU15" s="7"/>
      <c r="IQV15" s="7"/>
      <c r="IQW15" s="7"/>
      <c r="IQX15" s="7"/>
      <c r="IQY15" s="7"/>
      <c r="IQZ15" s="7"/>
      <c r="IRA15" s="7"/>
      <c r="IRB15" s="7"/>
      <c r="IRC15" s="7"/>
      <c r="IRD15" s="7"/>
      <c r="IRE15" s="7"/>
      <c r="IRF15" s="7"/>
      <c r="IRG15" s="7"/>
      <c r="IRH15" s="7"/>
      <c r="IRI15" s="7"/>
      <c r="IRJ15" s="7"/>
      <c r="IRK15" s="7"/>
      <c r="IRL15" s="7"/>
      <c r="IRM15" s="7"/>
      <c r="IRN15" s="7"/>
      <c r="IRO15" s="7"/>
      <c r="IRP15" s="7"/>
      <c r="IRQ15" s="7"/>
      <c r="IRR15" s="7"/>
      <c r="IRS15" s="7"/>
      <c r="IRT15" s="7"/>
      <c r="IRU15" s="7"/>
      <c r="IRV15" s="7"/>
      <c r="IRW15" s="7"/>
      <c r="IRX15" s="7"/>
      <c r="IRY15" s="7"/>
      <c r="IRZ15" s="7"/>
      <c r="ISA15" s="7"/>
      <c r="ISB15" s="7"/>
      <c r="ISC15" s="7"/>
      <c r="ISD15" s="7"/>
      <c r="ISE15" s="7"/>
      <c r="ISF15" s="7"/>
      <c r="ISG15" s="7"/>
      <c r="ISH15" s="7"/>
      <c r="ISI15" s="7"/>
      <c r="ISJ15" s="7"/>
      <c r="ISK15" s="7"/>
      <c r="ISL15" s="7"/>
      <c r="ISM15" s="7"/>
      <c r="ISN15" s="7"/>
      <c r="ISO15" s="7"/>
      <c r="ISP15" s="7"/>
      <c r="ISQ15" s="7"/>
      <c r="ISR15" s="7"/>
      <c r="ISS15" s="7"/>
      <c r="IST15" s="7"/>
      <c r="ISU15" s="7"/>
      <c r="ISV15" s="7"/>
      <c r="ISW15" s="7"/>
      <c r="ISX15" s="7"/>
      <c r="ISY15" s="7"/>
      <c r="ISZ15" s="7"/>
      <c r="ITA15" s="7"/>
      <c r="ITB15" s="7"/>
      <c r="ITC15" s="7"/>
      <c r="ITD15" s="7"/>
      <c r="ITE15" s="7"/>
      <c r="ITF15" s="7"/>
      <c r="ITG15" s="7"/>
      <c r="ITH15" s="7"/>
      <c r="ITI15" s="7"/>
      <c r="ITJ15" s="7"/>
      <c r="ITK15" s="7"/>
      <c r="ITL15" s="7"/>
      <c r="ITM15" s="7"/>
      <c r="ITN15" s="7"/>
      <c r="ITO15" s="7"/>
      <c r="ITP15" s="7"/>
      <c r="ITQ15" s="7"/>
      <c r="ITR15" s="7"/>
      <c r="ITS15" s="7"/>
      <c r="ITT15" s="7"/>
      <c r="ITU15" s="7"/>
      <c r="ITV15" s="7"/>
      <c r="ITW15" s="7"/>
      <c r="ITX15" s="7"/>
      <c r="ITY15" s="7"/>
      <c r="ITZ15" s="7"/>
      <c r="IUA15" s="7"/>
      <c r="IUB15" s="7"/>
      <c r="IUC15" s="7"/>
      <c r="IUD15" s="7"/>
      <c r="IUE15" s="7"/>
      <c r="IUF15" s="7"/>
      <c r="IUG15" s="7"/>
      <c r="IUH15" s="7"/>
      <c r="IUI15" s="7"/>
      <c r="IUJ15" s="7"/>
      <c r="IUK15" s="7"/>
      <c r="IUL15" s="7"/>
      <c r="IUM15" s="7"/>
      <c r="IUN15" s="7"/>
      <c r="IUO15" s="7"/>
      <c r="IUP15" s="7"/>
      <c r="IUQ15" s="7"/>
      <c r="IUR15" s="7"/>
      <c r="IUS15" s="7"/>
      <c r="IUT15" s="7"/>
      <c r="IUU15" s="7"/>
      <c r="IUV15" s="7"/>
      <c r="IUW15" s="7"/>
      <c r="IUX15" s="7"/>
      <c r="IUY15" s="7"/>
      <c r="IUZ15" s="7"/>
      <c r="IVA15" s="7"/>
      <c r="IVB15" s="7"/>
      <c r="IVC15" s="7"/>
      <c r="IVD15" s="7"/>
      <c r="IVE15" s="7"/>
      <c r="IVF15" s="7"/>
      <c r="IVG15" s="7"/>
      <c r="IVH15" s="7"/>
      <c r="IVI15" s="7"/>
      <c r="IVJ15" s="7"/>
      <c r="IVK15" s="7"/>
      <c r="IVL15" s="7"/>
      <c r="IVM15" s="7"/>
      <c r="IVN15" s="7"/>
      <c r="IVO15" s="7"/>
      <c r="IVP15" s="7"/>
      <c r="IVQ15" s="7"/>
      <c r="IVR15" s="7"/>
      <c r="IVS15" s="7"/>
      <c r="IVT15" s="7"/>
      <c r="IVU15" s="7"/>
      <c r="IVV15" s="7"/>
      <c r="IVW15" s="7"/>
      <c r="IVX15" s="7"/>
      <c r="IVY15" s="7"/>
      <c r="IVZ15" s="7"/>
      <c r="IWA15" s="7"/>
      <c r="IWB15" s="7"/>
      <c r="IWC15" s="7"/>
      <c r="IWD15" s="7"/>
      <c r="IWE15" s="7"/>
      <c r="IWF15" s="7"/>
      <c r="IWG15" s="7"/>
      <c r="IWH15" s="7"/>
      <c r="IWI15" s="7"/>
      <c r="IWJ15" s="7"/>
      <c r="IWK15" s="7"/>
      <c r="IWL15" s="7"/>
      <c r="IWM15" s="7"/>
      <c r="IWN15" s="7"/>
      <c r="IWO15" s="7"/>
      <c r="IWP15" s="7"/>
      <c r="IWQ15" s="7"/>
      <c r="IWR15" s="7"/>
      <c r="IWS15" s="7"/>
      <c r="IWT15" s="7"/>
      <c r="IWU15" s="7"/>
      <c r="IWV15" s="7"/>
      <c r="IWW15" s="7"/>
      <c r="IWX15" s="7"/>
      <c r="IWY15" s="7"/>
      <c r="IWZ15" s="7"/>
      <c r="IXA15" s="7"/>
      <c r="IXB15" s="7"/>
      <c r="IXC15" s="7"/>
      <c r="IXD15" s="7"/>
      <c r="IXE15" s="7"/>
      <c r="IXF15" s="7"/>
      <c r="IXG15" s="7"/>
      <c r="IXH15" s="7"/>
      <c r="IXI15" s="7"/>
      <c r="IXJ15" s="7"/>
      <c r="IXK15" s="7"/>
      <c r="IXL15" s="7"/>
      <c r="IXM15" s="7"/>
      <c r="IXN15" s="7"/>
      <c r="IXO15" s="7"/>
      <c r="IXP15" s="7"/>
      <c r="IXQ15" s="7"/>
      <c r="IXR15" s="7"/>
      <c r="IXS15" s="7"/>
      <c r="IXT15" s="7"/>
      <c r="IXU15" s="7"/>
      <c r="IXV15" s="7"/>
      <c r="IXW15" s="7"/>
      <c r="IXX15" s="7"/>
      <c r="IXY15" s="7"/>
      <c r="IXZ15" s="7"/>
      <c r="IYA15" s="7"/>
      <c r="IYB15" s="7"/>
      <c r="IYC15" s="7"/>
      <c r="IYD15" s="7"/>
      <c r="IYE15" s="7"/>
      <c r="IYF15" s="7"/>
      <c r="IYG15" s="7"/>
      <c r="IYH15" s="7"/>
      <c r="IYI15" s="7"/>
      <c r="IYJ15" s="7"/>
      <c r="IYK15" s="7"/>
      <c r="IYL15" s="7"/>
      <c r="IYM15" s="7"/>
      <c r="IYN15" s="7"/>
      <c r="IYO15" s="7"/>
      <c r="IYP15" s="7"/>
      <c r="IYQ15" s="7"/>
      <c r="IYR15" s="7"/>
      <c r="IYS15" s="7"/>
      <c r="IYT15" s="7"/>
      <c r="IYU15" s="7"/>
      <c r="IYV15" s="7"/>
      <c r="IYW15" s="7"/>
      <c r="IYX15" s="7"/>
      <c r="IYY15" s="7"/>
      <c r="IYZ15" s="7"/>
      <c r="IZA15" s="7"/>
      <c r="IZB15" s="7"/>
      <c r="IZC15" s="7"/>
      <c r="IZD15" s="7"/>
      <c r="IZE15" s="7"/>
      <c r="IZF15" s="7"/>
      <c r="IZG15" s="7"/>
      <c r="IZH15" s="7"/>
      <c r="IZI15" s="7"/>
      <c r="IZJ15" s="7"/>
      <c r="IZK15" s="7"/>
      <c r="IZL15" s="7"/>
      <c r="IZM15" s="7"/>
      <c r="IZN15" s="7"/>
      <c r="IZO15" s="7"/>
      <c r="IZP15" s="7"/>
      <c r="IZQ15" s="7"/>
      <c r="IZR15" s="7"/>
      <c r="IZS15" s="7"/>
      <c r="IZT15" s="7"/>
      <c r="IZU15" s="7"/>
      <c r="IZV15" s="7"/>
      <c r="IZW15" s="7"/>
      <c r="IZX15" s="7"/>
      <c r="IZY15" s="7"/>
      <c r="IZZ15" s="7"/>
      <c r="JAA15" s="7"/>
      <c r="JAB15" s="7"/>
      <c r="JAC15" s="7"/>
      <c r="JAD15" s="7"/>
      <c r="JAE15" s="7"/>
      <c r="JAF15" s="7"/>
      <c r="JAG15" s="7"/>
      <c r="JAH15" s="7"/>
      <c r="JAI15" s="7"/>
      <c r="JAJ15" s="7"/>
      <c r="JAK15" s="7"/>
      <c r="JAL15" s="7"/>
      <c r="JAM15" s="7"/>
      <c r="JAN15" s="7"/>
      <c r="JAO15" s="7"/>
      <c r="JAP15" s="7"/>
      <c r="JAQ15" s="7"/>
      <c r="JAR15" s="7"/>
      <c r="JAS15" s="7"/>
      <c r="JAT15" s="7"/>
      <c r="JAU15" s="7"/>
      <c r="JAV15" s="7"/>
      <c r="JAW15" s="7"/>
      <c r="JAX15" s="7"/>
      <c r="JAY15" s="7"/>
      <c r="JAZ15" s="7"/>
      <c r="JBA15" s="7"/>
      <c r="JBB15" s="7"/>
      <c r="JBC15" s="7"/>
      <c r="JBD15" s="7"/>
      <c r="JBE15" s="7"/>
      <c r="JBF15" s="7"/>
      <c r="JBG15" s="7"/>
      <c r="JBH15" s="7"/>
      <c r="JBI15" s="7"/>
      <c r="JBJ15" s="7"/>
      <c r="JBK15" s="7"/>
      <c r="JBL15" s="7"/>
      <c r="JBM15" s="7"/>
      <c r="JBN15" s="7"/>
      <c r="JBO15" s="7"/>
      <c r="JBP15" s="7"/>
      <c r="JBQ15" s="7"/>
      <c r="JBR15" s="7"/>
      <c r="JBS15" s="7"/>
      <c r="JBT15" s="7"/>
      <c r="JBU15" s="7"/>
      <c r="JBV15" s="7"/>
      <c r="JBW15" s="7"/>
      <c r="JBX15" s="7"/>
      <c r="JBY15" s="7"/>
      <c r="JBZ15" s="7"/>
      <c r="JCA15" s="7"/>
      <c r="JCB15" s="7"/>
      <c r="JCC15" s="7"/>
      <c r="JCD15" s="7"/>
      <c r="JCE15" s="7"/>
      <c r="JCF15" s="7"/>
      <c r="JCG15" s="7"/>
      <c r="JCH15" s="7"/>
      <c r="JCI15" s="7"/>
      <c r="JCJ15" s="7"/>
      <c r="JCK15" s="7"/>
      <c r="JCL15" s="7"/>
      <c r="JCM15" s="7"/>
      <c r="JCN15" s="7"/>
      <c r="JCO15" s="7"/>
      <c r="JCP15" s="7"/>
      <c r="JCQ15" s="7"/>
      <c r="JCR15" s="7"/>
      <c r="JCS15" s="7"/>
      <c r="JCT15" s="7"/>
      <c r="JCU15" s="7"/>
      <c r="JCV15" s="7"/>
      <c r="JCW15" s="7"/>
      <c r="JCX15" s="7"/>
      <c r="JCY15" s="7"/>
      <c r="JCZ15" s="7"/>
      <c r="JDA15" s="7"/>
      <c r="JDB15" s="7"/>
      <c r="JDC15" s="7"/>
      <c r="JDD15" s="7"/>
      <c r="JDE15" s="7"/>
      <c r="JDF15" s="7"/>
      <c r="JDG15" s="7"/>
      <c r="JDH15" s="7"/>
      <c r="JDI15" s="7"/>
      <c r="JDJ15" s="7"/>
      <c r="JDK15" s="7"/>
      <c r="JDL15" s="7"/>
      <c r="JDM15" s="7"/>
      <c r="JDN15" s="7"/>
      <c r="JDO15" s="7"/>
      <c r="JDP15" s="7"/>
      <c r="JDQ15" s="7"/>
      <c r="JDR15" s="7"/>
      <c r="JDS15" s="7"/>
      <c r="JDT15" s="7"/>
      <c r="JDU15" s="7"/>
      <c r="JDV15" s="7"/>
      <c r="JDW15" s="7"/>
      <c r="JDX15" s="7"/>
      <c r="JDY15" s="7"/>
      <c r="JDZ15" s="7"/>
      <c r="JEA15" s="7"/>
      <c r="JEB15" s="7"/>
      <c r="JEC15" s="7"/>
      <c r="JED15" s="7"/>
      <c r="JEE15" s="7"/>
      <c r="JEF15" s="7"/>
      <c r="JEG15" s="7"/>
      <c r="JEH15" s="7"/>
      <c r="JEI15" s="7"/>
      <c r="JEJ15" s="7"/>
      <c r="JEK15" s="7"/>
      <c r="JEL15" s="7"/>
      <c r="JEM15" s="7"/>
      <c r="JEN15" s="7"/>
      <c r="JEO15" s="7"/>
      <c r="JEP15" s="7"/>
      <c r="JEQ15" s="7"/>
      <c r="JER15" s="7"/>
      <c r="JES15" s="7"/>
      <c r="JET15" s="7"/>
      <c r="JEU15" s="7"/>
      <c r="JEV15" s="7"/>
      <c r="JEW15" s="7"/>
      <c r="JEX15" s="7"/>
      <c r="JEY15" s="7"/>
      <c r="JEZ15" s="7"/>
      <c r="JFA15" s="7"/>
      <c r="JFB15" s="7"/>
      <c r="JFC15" s="7"/>
      <c r="JFD15" s="7"/>
      <c r="JFE15" s="7"/>
      <c r="JFF15" s="7"/>
      <c r="JFG15" s="7"/>
      <c r="JFH15" s="7"/>
      <c r="JFI15" s="7"/>
      <c r="JFJ15" s="7"/>
      <c r="JFK15" s="7"/>
      <c r="JFL15" s="7"/>
      <c r="JFM15" s="7"/>
      <c r="JFN15" s="7"/>
      <c r="JFO15" s="7"/>
      <c r="JFP15" s="7"/>
      <c r="JFQ15" s="7"/>
      <c r="JFR15" s="7"/>
      <c r="JFS15" s="7"/>
      <c r="JFT15" s="7"/>
      <c r="JFU15" s="7"/>
      <c r="JFV15" s="7"/>
      <c r="JFW15" s="7"/>
      <c r="JFX15" s="7"/>
      <c r="JFY15" s="7"/>
      <c r="JFZ15" s="7"/>
      <c r="JGA15" s="7"/>
      <c r="JGB15" s="7"/>
      <c r="JGC15" s="7"/>
      <c r="JGD15" s="7"/>
      <c r="JGE15" s="7"/>
      <c r="JGF15" s="7"/>
      <c r="JGG15" s="7"/>
      <c r="JGH15" s="7"/>
      <c r="JGI15" s="7"/>
      <c r="JGJ15" s="7"/>
      <c r="JGK15" s="7"/>
      <c r="JGL15" s="7"/>
      <c r="JGM15" s="7"/>
      <c r="JGN15" s="7"/>
      <c r="JGO15" s="7"/>
      <c r="JGP15" s="7"/>
      <c r="JGQ15" s="7"/>
      <c r="JGR15" s="7"/>
      <c r="JGS15" s="7"/>
      <c r="JGT15" s="7"/>
      <c r="JGU15" s="7"/>
      <c r="JGV15" s="7"/>
      <c r="JGW15" s="7"/>
      <c r="JGX15" s="7"/>
      <c r="JGY15" s="7"/>
      <c r="JGZ15" s="7"/>
      <c r="JHA15" s="7"/>
      <c r="JHB15" s="7"/>
      <c r="JHC15" s="7"/>
      <c r="JHD15" s="7"/>
      <c r="JHE15" s="7"/>
      <c r="JHF15" s="7"/>
      <c r="JHG15" s="7"/>
      <c r="JHH15" s="7"/>
      <c r="JHI15" s="7"/>
      <c r="JHJ15" s="7"/>
      <c r="JHK15" s="7"/>
      <c r="JHL15" s="7"/>
      <c r="JHM15" s="7"/>
      <c r="JHN15" s="7"/>
      <c r="JHO15" s="7"/>
      <c r="JHP15" s="7"/>
      <c r="JHQ15" s="7"/>
      <c r="JHR15" s="7"/>
      <c r="JHS15" s="7"/>
      <c r="JHT15" s="7"/>
      <c r="JHU15" s="7"/>
      <c r="JHV15" s="7"/>
      <c r="JHW15" s="7"/>
      <c r="JHX15" s="7"/>
      <c r="JHY15" s="7"/>
      <c r="JHZ15" s="7"/>
      <c r="JIA15" s="7"/>
      <c r="JIB15" s="7"/>
      <c r="JIC15" s="7"/>
      <c r="JID15" s="7"/>
      <c r="JIE15" s="7"/>
      <c r="JIF15" s="7"/>
      <c r="JIG15" s="7"/>
      <c r="JIH15" s="7"/>
      <c r="JII15" s="7"/>
      <c r="JIJ15" s="7"/>
      <c r="JIK15" s="7"/>
      <c r="JIL15" s="7"/>
      <c r="JIM15" s="7"/>
      <c r="JIN15" s="7"/>
      <c r="JIO15" s="7"/>
      <c r="JIP15" s="7"/>
      <c r="JIQ15" s="7"/>
      <c r="JIR15" s="7"/>
      <c r="JIS15" s="7"/>
      <c r="JIT15" s="7"/>
      <c r="JIU15" s="7"/>
      <c r="JIV15" s="7"/>
      <c r="JIW15" s="7"/>
      <c r="JIX15" s="7"/>
      <c r="JIY15" s="7"/>
      <c r="JIZ15" s="7"/>
      <c r="JJA15" s="7"/>
      <c r="JJB15" s="7"/>
      <c r="JJC15" s="7"/>
      <c r="JJD15" s="7"/>
      <c r="JJE15" s="7"/>
      <c r="JJF15" s="7"/>
      <c r="JJG15" s="7"/>
      <c r="JJH15" s="7"/>
      <c r="JJI15" s="7"/>
      <c r="JJJ15" s="7"/>
      <c r="JJK15" s="7"/>
      <c r="JJL15" s="7"/>
      <c r="JJM15" s="7"/>
      <c r="JJN15" s="7"/>
      <c r="JJO15" s="7"/>
      <c r="JJP15" s="7"/>
      <c r="JJQ15" s="7"/>
      <c r="JJR15" s="7"/>
      <c r="JJS15" s="7"/>
      <c r="JJT15" s="7"/>
      <c r="JJU15" s="7"/>
      <c r="JJV15" s="7"/>
      <c r="JJW15" s="7"/>
      <c r="JJX15" s="7"/>
      <c r="JJY15" s="7"/>
      <c r="JJZ15" s="7"/>
      <c r="JKA15" s="7"/>
      <c r="JKB15" s="7"/>
      <c r="JKC15" s="7"/>
      <c r="JKD15" s="7"/>
      <c r="JKE15" s="7"/>
      <c r="JKF15" s="7"/>
      <c r="JKG15" s="7"/>
      <c r="JKH15" s="7"/>
      <c r="JKI15" s="7"/>
      <c r="JKJ15" s="7"/>
      <c r="JKK15" s="7"/>
      <c r="JKL15" s="7"/>
      <c r="JKM15" s="7"/>
      <c r="JKN15" s="7"/>
      <c r="JKO15" s="7"/>
      <c r="JKP15" s="7"/>
      <c r="JKQ15" s="7"/>
      <c r="JKR15" s="7"/>
      <c r="JKS15" s="7"/>
      <c r="JKT15" s="7"/>
      <c r="JKU15" s="7"/>
      <c r="JKV15" s="7"/>
      <c r="JKW15" s="7"/>
      <c r="JKX15" s="7"/>
      <c r="JKY15" s="7"/>
      <c r="JKZ15" s="7"/>
      <c r="JLA15" s="7"/>
      <c r="JLB15" s="7"/>
      <c r="JLC15" s="7"/>
      <c r="JLD15" s="7"/>
      <c r="JLE15" s="7"/>
      <c r="JLF15" s="7"/>
      <c r="JLG15" s="7"/>
      <c r="JLH15" s="7"/>
      <c r="JLI15" s="7"/>
      <c r="JLJ15" s="7"/>
      <c r="JLK15" s="7"/>
      <c r="JLL15" s="7"/>
      <c r="JLM15" s="7"/>
      <c r="JLN15" s="7"/>
      <c r="JLO15" s="7"/>
      <c r="JLP15" s="7"/>
      <c r="JLQ15" s="7"/>
      <c r="JLR15" s="7"/>
      <c r="JLS15" s="7"/>
      <c r="JLT15" s="7"/>
      <c r="JLU15" s="7"/>
      <c r="JLV15" s="7"/>
      <c r="JLW15" s="7"/>
      <c r="JLX15" s="7"/>
      <c r="JLY15" s="7"/>
      <c r="JLZ15" s="7"/>
      <c r="JMA15" s="7"/>
      <c r="JMB15" s="7"/>
      <c r="JMC15" s="7"/>
      <c r="JMD15" s="7"/>
      <c r="JME15" s="7"/>
      <c r="JMF15" s="7"/>
      <c r="JMG15" s="7"/>
      <c r="JMH15" s="7"/>
      <c r="JMI15" s="7"/>
      <c r="JMJ15" s="7"/>
      <c r="JMK15" s="7"/>
      <c r="JML15" s="7"/>
      <c r="JMM15" s="7"/>
      <c r="JMN15" s="7"/>
      <c r="JMO15" s="7"/>
      <c r="JMP15" s="7"/>
      <c r="JMQ15" s="7"/>
      <c r="JMR15" s="7"/>
      <c r="JMS15" s="7"/>
      <c r="JMT15" s="7"/>
      <c r="JMU15" s="7"/>
      <c r="JMV15" s="7"/>
      <c r="JMW15" s="7"/>
      <c r="JMX15" s="7"/>
      <c r="JMY15" s="7"/>
      <c r="JMZ15" s="7"/>
      <c r="JNA15" s="7"/>
      <c r="JNB15" s="7"/>
      <c r="JNC15" s="7"/>
      <c r="JND15" s="7"/>
      <c r="JNE15" s="7"/>
      <c r="JNF15" s="7"/>
      <c r="JNG15" s="7"/>
      <c r="JNH15" s="7"/>
      <c r="JNI15" s="7"/>
      <c r="JNJ15" s="7"/>
      <c r="JNK15" s="7"/>
      <c r="JNL15" s="7"/>
      <c r="JNM15" s="7"/>
      <c r="JNN15" s="7"/>
      <c r="JNO15" s="7"/>
      <c r="JNP15" s="7"/>
      <c r="JNQ15" s="7"/>
      <c r="JNR15" s="7"/>
      <c r="JNS15" s="7"/>
      <c r="JNT15" s="7"/>
      <c r="JNU15" s="7"/>
      <c r="JNV15" s="7"/>
      <c r="JNW15" s="7"/>
      <c r="JNX15" s="7"/>
      <c r="JNY15" s="7"/>
      <c r="JNZ15" s="7"/>
      <c r="JOA15" s="7"/>
      <c r="JOB15" s="7"/>
      <c r="JOC15" s="7"/>
      <c r="JOD15" s="7"/>
      <c r="JOE15" s="7"/>
      <c r="JOF15" s="7"/>
      <c r="JOG15" s="7"/>
      <c r="JOH15" s="7"/>
      <c r="JOI15" s="7"/>
      <c r="JOJ15" s="7"/>
      <c r="JOK15" s="7"/>
      <c r="JOL15" s="7"/>
      <c r="JOM15" s="7"/>
      <c r="JON15" s="7"/>
      <c r="JOO15" s="7"/>
      <c r="JOP15" s="7"/>
      <c r="JOQ15" s="7"/>
      <c r="JOR15" s="7"/>
      <c r="JOS15" s="7"/>
      <c r="JOT15" s="7"/>
      <c r="JOU15" s="7"/>
      <c r="JOV15" s="7"/>
      <c r="JOW15" s="7"/>
      <c r="JOX15" s="7"/>
      <c r="JOY15" s="7"/>
      <c r="JOZ15" s="7"/>
      <c r="JPA15" s="7"/>
      <c r="JPB15" s="7"/>
      <c r="JPC15" s="7"/>
      <c r="JPD15" s="7"/>
      <c r="JPE15" s="7"/>
      <c r="JPF15" s="7"/>
      <c r="JPG15" s="7"/>
      <c r="JPH15" s="7"/>
      <c r="JPI15" s="7"/>
      <c r="JPJ15" s="7"/>
      <c r="JPK15" s="7"/>
      <c r="JPL15" s="7"/>
      <c r="JPM15" s="7"/>
      <c r="JPN15" s="7"/>
      <c r="JPO15" s="7"/>
      <c r="JPP15" s="7"/>
      <c r="JPQ15" s="7"/>
      <c r="JPR15" s="7"/>
      <c r="JPS15" s="7"/>
      <c r="JPT15" s="7"/>
      <c r="JPU15" s="7"/>
      <c r="JPV15" s="7"/>
      <c r="JPW15" s="7"/>
      <c r="JPX15" s="7"/>
      <c r="JPY15" s="7"/>
      <c r="JPZ15" s="7"/>
      <c r="JQA15" s="7"/>
      <c r="JQB15" s="7"/>
      <c r="JQC15" s="7"/>
      <c r="JQD15" s="7"/>
      <c r="JQE15" s="7"/>
      <c r="JQF15" s="7"/>
      <c r="JQG15" s="7"/>
      <c r="JQH15" s="7"/>
      <c r="JQI15" s="7"/>
      <c r="JQJ15" s="7"/>
      <c r="JQK15" s="7"/>
      <c r="JQL15" s="7"/>
      <c r="JQM15" s="7"/>
      <c r="JQN15" s="7"/>
      <c r="JQO15" s="7"/>
      <c r="JQP15" s="7"/>
      <c r="JQQ15" s="7"/>
      <c r="JQR15" s="7"/>
      <c r="JQS15" s="7"/>
      <c r="JQT15" s="7"/>
      <c r="JQU15" s="7"/>
      <c r="JQV15" s="7"/>
      <c r="JQW15" s="7"/>
      <c r="JQX15" s="7"/>
      <c r="JQY15" s="7"/>
      <c r="JQZ15" s="7"/>
      <c r="JRA15" s="7"/>
      <c r="JRB15" s="7"/>
      <c r="JRC15" s="7"/>
      <c r="JRD15" s="7"/>
      <c r="JRE15" s="7"/>
      <c r="JRF15" s="7"/>
      <c r="JRG15" s="7"/>
      <c r="JRH15" s="7"/>
      <c r="JRI15" s="7"/>
      <c r="JRJ15" s="7"/>
      <c r="JRK15" s="7"/>
      <c r="JRL15" s="7"/>
      <c r="JRM15" s="7"/>
      <c r="JRN15" s="7"/>
      <c r="JRO15" s="7"/>
      <c r="JRP15" s="7"/>
      <c r="JRQ15" s="7"/>
      <c r="JRR15" s="7"/>
      <c r="JRS15" s="7"/>
      <c r="JRT15" s="7"/>
      <c r="JRU15" s="7"/>
      <c r="JRV15" s="7"/>
      <c r="JRW15" s="7"/>
      <c r="JRX15" s="7"/>
      <c r="JRY15" s="7"/>
      <c r="JRZ15" s="7"/>
      <c r="JSA15" s="7"/>
      <c r="JSB15" s="7"/>
      <c r="JSC15" s="7"/>
      <c r="JSD15" s="7"/>
      <c r="JSE15" s="7"/>
      <c r="JSF15" s="7"/>
      <c r="JSG15" s="7"/>
      <c r="JSH15" s="7"/>
      <c r="JSI15" s="7"/>
      <c r="JSJ15" s="7"/>
      <c r="JSK15" s="7"/>
      <c r="JSL15" s="7"/>
      <c r="JSM15" s="7"/>
      <c r="JSN15" s="7"/>
      <c r="JSO15" s="7"/>
      <c r="JSP15" s="7"/>
      <c r="JSQ15" s="7"/>
      <c r="JSR15" s="7"/>
      <c r="JSS15" s="7"/>
      <c r="JST15" s="7"/>
      <c r="JSU15" s="7"/>
      <c r="JSV15" s="7"/>
      <c r="JSW15" s="7"/>
      <c r="JSX15" s="7"/>
      <c r="JSY15" s="7"/>
      <c r="JSZ15" s="7"/>
      <c r="JTA15" s="7"/>
      <c r="JTB15" s="7"/>
      <c r="JTC15" s="7"/>
      <c r="JTD15" s="7"/>
      <c r="JTE15" s="7"/>
      <c r="JTF15" s="7"/>
      <c r="JTG15" s="7"/>
      <c r="JTH15" s="7"/>
      <c r="JTI15" s="7"/>
      <c r="JTJ15" s="7"/>
      <c r="JTK15" s="7"/>
      <c r="JTL15" s="7"/>
      <c r="JTM15" s="7"/>
      <c r="JTN15" s="7"/>
      <c r="JTO15" s="7"/>
      <c r="JTP15" s="7"/>
      <c r="JTQ15" s="7"/>
      <c r="JTR15" s="7"/>
      <c r="JTS15" s="7"/>
      <c r="JTT15" s="7"/>
      <c r="JTU15" s="7"/>
      <c r="JTV15" s="7"/>
      <c r="JTW15" s="7"/>
      <c r="JTX15" s="7"/>
      <c r="JTY15" s="7"/>
      <c r="JTZ15" s="7"/>
      <c r="JUA15" s="7"/>
      <c r="JUB15" s="7"/>
      <c r="JUC15" s="7"/>
      <c r="JUD15" s="7"/>
      <c r="JUE15" s="7"/>
      <c r="JUF15" s="7"/>
      <c r="JUG15" s="7"/>
      <c r="JUH15" s="7"/>
      <c r="JUI15" s="7"/>
      <c r="JUJ15" s="7"/>
      <c r="JUK15" s="7"/>
      <c r="JUL15" s="7"/>
      <c r="JUM15" s="7"/>
      <c r="JUN15" s="7"/>
      <c r="JUO15" s="7"/>
      <c r="JUP15" s="7"/>
      <c r="JUQ15" s="7"/>
      <c r="JUR15" s="7"/>
      <c r="JUS15" s="7"/>
      <c r="JUT15" s="7"/>
      <c r="JUU15" s="7"/>
      <c r="JUV15" s="7"/>
      <c r="JUW15" s="7"/>
      <c r="JUX15" s="7"/>
      <c r="JUY15" s="7"/>
      <c r="JUZ15" s="7"/>
      <c r="JVA15" s="7"/>
      <c r="JVB15" s="7"/>
      <c r="JVC15" s="7"/>
      <c r="JVD15" s="7"/>
      <c r="JVE15" s="7"/>
      <c r="JVF15" s="7"/>
      <c r="JVG15" s="7"/>
      <c r="JVH15" s="7"/>
      <c r="JVI15" s="7"/>
      <c r="JVJ15" s="7"/>
      <c r="JVK15" s="7"/>
      <c r="JVL15" s="7"/>
      <c r="JVM15" s="7"/>
      <c r="JVN15" s="7"/>
      <c r="JVO15" s="7"/>
      <c r="JVP15" s="7"/>
      <c r="JVQ15" s="7"/>
      <c r="JVR15" s="7"/>
      <c r="JVS15" s="7"/>
      <c r="JVT15" s="7"/>
      <c r="JVU15" s="7"/>
      <c r="JVV15" s="7"/>
      <c r="JVW15" s="7"/>
      <c r="JVX15" s="7"/>
      <c r="JVY15" s="7"/>
      <c r="JVZ15" s="7"/>
      <c r="JWA15" s="7"/>
      <c r="JWB15" s="7"/>
      <c r="JWC15" s="7"/>
      <c r="JWD15" s="7"/>
      <c r="JWE15" s="7"/>
      <c r="JWF15" s="7"/>
      <c r="JWG15" s="7"/>
      <c r="JWH15" s="7"/>
      <c r="JWI15" s="7"/>
      <c r="JWJ15" s="7"/>
      <c r="JWK15" s="7"/>
      <c r="JWL15" s="7"/>
      <c r="JWM15" s="7"/>
      <c r="JWN15" s="7"/>
      <c r="JWO15" s="7"/>
      <c r="JWP15" s="7"/>
      <c r="JWQ15" s="7"/>
      <c r="JWR15" s="7"/>
      <c r="JWS15" s="7"/>
      <c r="JWT15" s="7"/>
      <c r="JWU15" s="7"/>
      <c r="JWV15" s="7"/>
      <c r="JWW15" s="7"/>
      <c r="JWX15" s="7"/>
      <c r="JWY15" s="7"/>
      <c r="JWZ15" s="7"/>
      <c r="JXA15" s="7"/>
      <c r="JXB15" s="7"/>
      <c r="JXC15" s="7"/>
      <c r="JXD15" s="7"/>
      <c r="JXE15" s="7"/>
      <c r="JXF15" s="7"/>
      <c r="JXG15" s="7"/>
      <c r="JXH15" s="7"/>
      <c r="JXI15" s="7"/>
      <c r="JXJ15" s="7"/>
      <c r="JXK15" s="7"/>
      <c r="JXL15" s="7"/>
      <c r="JXM15" s="7"/>
      <c r="JXN15" s="7"/>
      <c r="JXO15" s="7"/>
      <c r="JXP15" s="7"/>
      <c r="JXQ15" s="7"/>
      <c r="JXR15" s="7"/>
      <c r="JXS15" s="7"/>
      <c r="JXT15" s="7"/>
      <c r="JXU15" s="7"/>
      <c r="JXV15" s="7"/>
      <c r="JXW15" s="7"/>
      <c r="JXX15" s="7"/>
      <c r="JXY15" s="7"/>
      <c r="JXZ15" s="7"/>
      <c r="JYA15" s="7"/>
      <c r="JYB15" s="7"/>
      <c r="JYC15" s="7"/>
      <c r="JYD15" s="7"/>
      <c r="JYE15" s="7"/>
      <c r="JYF15" s="7"/>
      <c r="JYG15" s="7"/>
      <c r="JYH15" s="7"/>
      <c r="JYI15" s="7"/>
      <c r="JYJ15" s="7"/>
      <c r="JYK15" s="7"/>
      <c r="JYL15" s="7"/>
      <c r="JYM15" s="7"/>
      <c r="JYN15" s="7"/>
      <c r="JYO15" s="7"/>
      <c r="JYP15" s="7"/>
      <c r="JYQ15" s="7"/>
      <c r="JYR15" s="7"/>
      <c r="JYS15" s="7"/>
      <c r="JYT15" s="7"/>
      <c r="JYU15" s="7"/>
      <c r="JYV15" s="7"/>
      <c r="JYW15" s="7"/>
      <c r="JYX15" s="7"/>
      <c r="JYY15" s="7"/>
      <c r="JYZ15" s="7"/>
      <c r="JZA15" s="7"/>
      <c r="JZB15" s="7"/>
      <c r="JZC15" s="7"/>
      <c r="JZD15" s="7"/>
      <c r="JZE15" s="7"/>
      <c r="JZF15" s="7"/>
      <c r="JZG15" s="7"/>
      <c r="JZH15" s="7"/>
      <c r="JZI15" s="7"/>
      <c r="JZJ15" s="7"/>
      <c r="JZK15" s="7"/>
      <c r="JZL15" s="7"/>
      <c r="JZM15" s="7"/>
      <c r="JZN15" s="7"/>
      <c r="JZO15" s="7"/>
      <c r="JZP15" s="7"/>
      <c r="JZQ15" s="7"/>
      <c r="JZR15" s="7"/>
      <c r="JZS15" s="7"/>
      <c r="JZT15" s="7"/>
      <c r="JZU15" s="7"/>
      <c r="JZV15" s="7"/>
      <c r="JZW15" s="7"/>
      <c r="JZX15" s="7"/>
      <c r="JZY15" s="7"/>
      <c r="JZZ15" s="7"/>
      <c r="KAA15" s="7"/>
      <c r="KAB15" s="7"/>
      <c r="KAC15" s="7"/>
      <c r="KAD15" s="7"/>
      <c r="KAE15" s="7"/>
      <c r="KAF15" s="7"/>
      <c r="KAG15" s="7"/>
      <c r="KAH15" s="7"/>
      <c r="KAI15" s="7"/>
      <c r="KAJ15" s="7"/>
      <c r="KAK15" s="7"/>
      <c r="KAL15" s="7"/>
      <c r="KAM15" s="7"/>
      <c r="KAN15" s="7"/>
      <c r="KAO15" s="7"/>
      <c r="KAP15" s="7"/>
      <c r="KAQ15" s="7"/>
      <c r="KAR15" s="7"/>
      <c r="KAS15" s="7"/>
      <c r="KAT15" s="7"/>
      <c r="KAU15" s="7"/>
      <c r="KAV15" s="7"/>
      <c r="KAW15" s="7"/>
      <c r="KAX15" s="7"/>
      <c r="KAY15" s="7"/>
      <c r="KAZ15" s="7"/>
      <c r="KBA15" s="7"/>
      <c r="KBB15" s="7"/>
      <c r="KBC15" s="7"/>
      <c r="KBD15" s="7"/>
      <c r="KBE15" s="7"/>
      <c r="KBF15" s="7"/>
      <c r="KBG15" s="7"/>
      <c r="KBH15" s="7"/>
      <c r="KBI15" s="7"/>
      <c r="KBJ15" s="7"/>
      <c r="KBK15" s="7"/>
      <c r="KBL15" s="7"/>
      <c r="KBM15" s="7"/>
      <c r="KBN15" s="7"/>
      <c r="KBO15" s="7"/>
      <c r="KBP15" s="7"/>
      <c r="KBQ15" s="7"/>
      <c r="KBR15" s="7"/>
      <c r="KBS15" s="7"/>
      <c r="KBT15" s="7"/>
      <c r="KBU15" s="7"/>
      <c r="KBV15" s="7"/>
      <c r="KBW15" s="7"/>
      <c r="KBX15" s="7"/>
      <c r="KBY15" s="7"/>
      <c r="KBZ15" s="7"/>
      <c r="KCA15" s="7"/>
      <c r="KCB15" s="7"/>
      <c r="KCC15" s="7"/>
      <c r="KCD15" s="7"/>
      <c r="KCE15" s="7"/>
      <c r="KCF15" s="7"/>
      <c r="KCG15" s="7"/>
      <c r="KCH15" s="7"/>
      <c r="KCI15" s="7"/>
      <c r="KCJ15" s="7"/>
      <c r="KCK15" s="7"/>
      <c r="KCL15" s="7"/>
      <c r="KCM15" s="7"/>
      <c r="KCN15" s="7"/>
      <c r="KCO15" s="7"/>
      <c r="KCP15" s="7"/>
      <c r="KCQ15" s="7"/>
      <c r="KCR15" s="7"/>
      <c r="KCS15" s="7"/>
      <c r="KCT15" s="7"/>
      <c r="KCU15" s="7"/>
      <c r="KCV15" s="7"/>
      <c r="KCW15" s="7"/>
      <c r="KCX15" s="7"/>
      <c r="KCY15" s="7"/>
      <c r="KCZ15" s="7"/>
      <c r="KDA15" s="7"/>
      <c r="KDB15" s="7"/>
      <c r="KDC15" s="7"/>
      <c r="KDD15" s="7"/>
      <c r="KDE15" s="7"/>
      <c r="KDF15" s="7"/>
      <c r="KDG15" s="7"/>
      <c r="KDH15" s="7"/>
      <c r="KDI15" s="7"/>
      <c r="KDJ15" s="7"/>
      <c r="KDK15" s="7"/>
      <c r="KDL15" s="7"/>
      <c r="KDM15" s="7"/>
      <c r="KDN15" s="7"/>
      <c r="KDO15" s="7"/>
      <c r="KDP15" s="7"/>
      <c r="KDQ15" s="7"/>
      <c r="KDR15" s="7"/>
      <c r="KDS15" s="7"/>
      <c r="KDT15" s="7"/>
      <c r="KDU15" s="7"/>
      <c r="KDV15" s="7"/>
      <c r="KDW15" s="7"/>
      <c r="KDX15" s="7"/>
      <c r="KDY15" s="7"/>
      <c r="KDZ15" s="7"/>
      <c r="KEA15" s="7"/>
      <c r="KEB15" s="7"/>
      <c r="KEC15" s="7"/>
      <c r="KED15" s="7"/>
      <c r="KEE15" s="7"/>
      <c r="KEF15" s="7"/>
      <c r="KEG15" s="7"/>
      <c r="KEH15" s="7"/>
      <c r="KEI15" s="7"/>
      <c r="KEJ15" s="7"/>
      <c r="KEK15" s="7"/>
      <c r="KEL15" s="7"/>
      <c r="KEM15" s="7"/>
      <c r="KEN15" s="7"/>
      <c r="KEO15" s="7"/>
      <c r="KEP15" s="7"/>
      <c r="KEQ15" s="7"/>
      <c r="KER15" s="7"/>
      <c r="KES15" s="7"/>
      <c r="KET15" s="7"/>
      <c r="KEU15" s="7"/>
      <c r="KEV15" s="7"/>
      <c r="KEW15" s="7"/>
      <c r="KEX15" s="7"/>
      <c r="KEY15" s="7"/>
      <c r="KEZ15" s="7"/>
      <c r="KFA15" s="7"/>
      <c r="KFB15" s="7"/>
      <c r="KFC15" s="7"/>
      <c r="KFD15" s="7"/>
      <c r="KFE15" s="7"/>
      <c r="KFF15" s="7"/>
      <c r="KFG15" s="7"/>
      <c r="KFH15" s="7"/>
      <c r="KFI15" s="7"/>
      <c r="KFJ15" s="7"/>
      <c r="KFK15" s="7"/>
      <c r="KFL15" s="7"/>
      <c r="KFM15" s="7"/>
      <c r="KFN15" s="7"/>
      <c r="KFO15" s="7"/>
      <c r="KFP15" s="7"/>
      <c r="KFQ15" s="7"/>
      <c r="KFR15" s="7"/>
      <c r="KFS15" s="7"/>
      <c r="KFT15" s="7"/>
      <c r="KFU15" s="7"/>
      <c r="KFV15" s="7"/>
      <c r="KFW15" s="7"/>
      <c r="KFX15" s="7"/>
      <c r="KFY15" s="7"/>
      <c r="KFZ15" s="7"/>
      <c r="KGA15" s="7"/>
      <c r="KGB15" s="7"/>
      <c r="KGC15" s="7"/>
      <c r="KGD15" s="7"/>
      <c r="KGE15" s="7"/>
      <c r="KGF15" s="7"/>
      <c r="KGG15" s="7"/>
      <c r="KGH15" s="7"/>
      <c r="KGI15" s="7"/>
      <c r="KGJ15" s="7"/>
      <c r="KGK15" s="7"/>
      <c r="KGL15" s="7"/>
      <c r="KGM15" s="7"/>
      <c r="KGN15" s="7"/>
      <c r="KGO15" s="7"/>
      <c r="KGP15" s="7"/>
      <c r="KGQ15" s="7"/>
      <c r="KGR15" s="7"/>
      <c r="KGS15" s="7"/>
      <c r="KGT15" s="7"/>
      <c r="KGU15" s="7"/>
      <c r="KGV15" s="7"/>
      <c r="KGW15" s="7"/>
      <c r="KGX15" s="7"/>
      <c r="KGY15" s="7"/>
      <c r="KGZ15" s="7"/>
      <c r="KHA15" s="7"/>
      <c r="KHB15" s="7"/>
      <c r="KHC15" s="7"/>
      <c r="KHD15" s="7"/>
      <c r="KHE15" s="7"/>
      <c r="KHF15" s="7"/>
      <c r="KHG15" s="7"/>
      <c r="KHH15" s="7"/>
      <c r="KHI15" s="7"/>
      <c r="KHJ15" s="7"/>
      <c r="KHK15" s="7"/>
      <c r="KHL15" s="7"/>
      <c r="KHM15" s="7"/>
      <c r="KHN15" s="7"/>
      <c r="KHO15" s="7"/>
      <c r="KHP15" s="7"/>
      <c r="KHQ15" s="7"/>
      <c r="KHR15" s="7"/>
      <c r="KHS15" s="7"/>
      <c r="KHT15" s="7"/>
      <c r="KHU15" s="7"/>
      <c r="KHV15" s="7"/>
      <c r="KHW15" s="7"/>
      <c r="KHX15" s="7"/>
      <c r="KHY15" s="7"/>
      <c r="KHZ15" s="7"/>
      <c r="KIA15" s="7"/>
      <c r="KIB15" s="7"/>
      <c r="KIC15" s="7"/>
      <c r="KID15" s="7"/>
      <c r="KIE15" s="7"/>
      <c r="KIF15" s="7"/>
      <c r="KIG15" s="7"/>
      <c r="KIH15" s="7"/>
      <c r="KII15" s="7"/>
      <c r="KIJ15" s="7"/>
      <c r="KIK15" s="7"/>
      <c r="KIL15" s="7"/>
      <c r="KIM15" s="7"/>
      <c r="KIN15" s="7"/>
      <c r="KIO15" s="7"/>
      <c r="KIP15" s="7"/>
      <c r="KIQ15" s="7"/>
      <c r="KIR15" s="7"/>
      <c r="KIS15" s="7"/>
      <c r="KIT15" s="7"/>
      <c r="KIU15" s="7"/>
      <c r="KIV15" s="7"/>
      <c r="KIW15" s="7"/>
      <c r="KIX15" s="7"/>
      <c r="KIY15" s="7"/>
      <c r="KIZ15" s="7"/>
      <c r="KJA15" s="7"/>
      <c r="KJB15" s="7"/>
      <c r="KJC15" s="7"/>
      <c r="KJD15" s="7"/>
      <c r="KJE15" s="7"/>
      <c r="KJF15" s="7"/>
      <c r="KJG15" s="7"/>
      <c r="KJH15" s="7"/>
      <c r="KJI15" s="7"/>
      <c r="KJJ15" s="7"/>
      <c r="KJK15" s="7"/>
      <c r="KJL15" s="7"/>
      <c r="KJM15" s="7"/>
      <c r="KJN15" s="7"/>
      <c r="KJO15" s="7"/>
      <c r="KJP15" s="7"/>
      <c r="KJQ15" s="7"/>
      <c r="KJR15" s="7"/>
      <c r="KJS15" s="7"/>
      <c r="KJT15" s="7"/>
      <c r="KJU15" s="7"/>
      <c r="KJV15" s="7"/>
      <c r="KJW15" s="7"/>
      <c r="KJX15" s="7"/>
      <c r="KJY15" s="7"/>
      <c r="KJZ15" s="7"/>
      <c r="KKA15" s="7"/>
      <c r="KKB15" s="7"/>
      <c r="KKC15" s="7"/>
      <c r="KKD15" s="7"/>
      <c r="KKE15" s="7"/>
      <c r="KKF15" s="7"/>
      <c r="KKG15" s="7"/>
      <c r="KKH15" s="7"/>
      <c r="KKI15" s="7"/>
      <c r="KKJ15" s="7"/>
      <c r="KKK15" s="7"/>
      <c r="KKL15" s="7"/>
      <c r="KKM15" s="7"/>
      <c r="KKN15" s="7"/>
      <c r="KKO15" s="7"/>
      <c r="KKP15" s="7"/>
      <c r="KKQ15" s="7"/>
      <c r="KKR15" s="7"/>
      <c r="KKS15" s="7"/>
      <c r="KKT15" s="7"/>
      <c r="KKU15" s="7"/>
      <c r="KKV15" s="7"/>
      <c r="KKW15" s="7"/>
      <c r="KKX15" s="7"/>
      <c r="KKY15" s="7"/>
      <c r="KKZ15" s="7"/>
      <c r="KLA15" s="7"/>
      <c r="KLB15" s="7"/>
      <c r="KLC15" s="7"/>
      <c r="KLD15" s="7"/>
      <c r="KLE15" s="7"/>
      <c r="KLF15" s="7"/>
      <c r="KLG15" s="7"/>
      <c r="KLH15" s="7"/>
      <c r="KLI15" s="7"/>
      <c r="KLJ15" s="7"/>
      <c r="KLK15" s="7"/>
      <c r="KLL15" s="7"/>
      <c r="KLM15" s="7"/>
      <c r="KLN15" s="7"/>
      <c r="KLO15" s="7"/>
      <c r="KLP15" s="7"/>
      <c r="KLQ15" s="7"/>
      <c r="KLR15" s="7"/>
      <c r="KLS15" s="7"/>
      <c r="KLT15" s="7"/>
      <c r="KLU15" s="7"/>
      <c r="KLV15" s="7"/>
      <c r="KLW15" s="7"/>
      <c r="KLX15" s="7"/>
      <c r="KLY15" s="7"/>
      <c r="KLZ15" s="7"/>
      <c r="KMA15" s="7"/>
      <c r="KMB15" s="7"/>
      <c r="KMC15" s="7"/>
      <c r="KMD15" s="7"/>
      <c r="KME15" s="7"/>
      <c r="KMF15" s="7"/>
      <c r="KMG15" s="7"/>
      <c r="KMH15" s="7"/>
      <c r="KMI15" s="7"/>
      <c r="KMJ15" s="7"/>
      <c r="KMK15" s="7"/>
      <c r="KML15" s="7"/>
      <c r="KMM15" s="7"/>
      <c r="KMN15" s="7"/>
      <c r="KMO15" s="7"/>
      <c r="KMP15" s="7"/>
      <c r="KMQ15" s="7"/>
      <c r="KMR15" s="7"/>
      <c r="KMS15" s="7"/>
      <c r="KMT15" s="7"/>
      <c r="KMU15" s="7"/>
      <c r="KMV15" s="7"/>
      <c r="KMW15" s="7"/>
      <c r="KMX15" s="7"/>
      <c r="KMY15" s="7"/>
      <c r="KMZ15" s="7"/>
      <c r="KNA15" s="7"/>
      <c r="KNB15" s="7"/>
      <c r="KNC15" s="7"/>
      <c r="KND15" s="7"/>
      <c r="KNE15" s="7"/>
      <c r="KNF15" s="7"/>
      <c r="KNG15" s="7"/>
      <c r="KNH15" s="7"/>
      <c r="KNI15" s="7"/>
      <c r="KNJ15" s="7"/>
      <c r="KNK15" s="7"/>
      <c r="KNL15" s="7"/>
      <c r="KNM15" s="7"/>
      <c r="KNN15" s="7"/>
      <c r="KNO15" s="7"/>
      <c r="KNP15" s="7"/>
      <c r="KNQ15" s="7"/>
      <c r="KNR15" s="7"/>
      <c r="KNS15" s="7"/>
      <c r="KNT15" s="7"/>
      <c r="KNU15" s="7"/>
      <c r="KNV15" s="7"/>
      <c r="KNW15" s="7"/>
      <c r="KNX15" s="7"/>
      <c r="KNY15" s="7"/>
      <c r="KNZ15" s="7"/>
      <c r="KOA15" s="7"/>
      <c r="KOB15" s="7"/>
      <c r="KOC15" s="7"/>
      <c r="KOD15" s="7"/>
      <c r="KOE15" s="7"/>
      <c r="KOF15" s="7"/>
      <c r="KOG15" s="7"/>
      <c r="KOH15" s="7"/>
      <c r="KOI15" s="7"/>
      <c r="KOJ15" s="7"/>
      <c r="KOK15" s="7"/>
      <c r="KOL15" s="7"/>
      <c r="KOM15" s="7"/>
      <c r="KON15" s="7"/>
      <c r="KOO15" s="7"/>
      <c r="KOP15" s="7"/>
      <c r="KOQ15" s="7"/>
      <c r="KOR15" s="7"/>
      <c r="KOS15" s="7"/>
      <c r="KOT15" s="7"/>
      <c r="KOU15" s="7"/>
      <c r="KOV15" s="7"/>
      <c r="KOW15" s="7"/>
      <c r="KOX15" s="7"/>
      <c r="KOY15" s="7"/>
      <c r="KOZ15" s="7"/>
      <c r="KPA15" s="7"/>
      <c r="KPB15" s="7"/>
      <c r="KPC15" s="7"/>
      <c r="KPD15" s="7"/>
      <c r="KPE15" s="7"/>
      <c r="KPF15" s="7"/>
      <c r="KPG15" s="7"/>
      <c r="KPH15" s="7"/>
      <c r="KPI15" s="7"/>
      <c r="KPJ15" s="7"/>
      <c r="KPK15" s="7"/>
      <c r="KPL15" s="7"/>
      <c r="KPM15" s="7"/>
      <c r="KPN15" s="7"/>
      <c r="KPO15" s="7"/>
      <c r="KPP15" s="7"/>
      <c r="KPQ15" s="7"/>
      <c r="KPR15" s="7"/>
      <c r="KPS15" s="7"/>
      <c r="KPT15" s="7"/>
      <c r="KPU15" s="7"/>
      <c r="KPV15" s="7"/>
      <c r="KPW15" s="7"/>
      <c r="KPX15" s="7"/>
      <c r="KPY15" s="7"/>
      <c r="KPZ15" s="7"/>
      <c r="KQA15" s="7"/>
      <c r="KQB15" s="7"/>
      <c r="KQC15" s="7"/>
      <c r="KQD15" s="7"/>
      <c r="KQE15" s="7"/>
      <c r="KQF15" s="7"/>
      <c r="KQG15" s="7"/>
      <c r="KQH15" s="7"/>
      <c r="KQI15" s="7"/>
      <c r="KQJ15" s="7"/>
      <c r="KQK15" s="7"/>
      <c r="KQL15" s="7"/>
      <c r="KQM15" s="7"/>
      <c r="KQN15" s="7"/>
      <c r="KQO15" s="7"/>
      <c r="KQP15" s="7"/>
      <c r="KQQ15" s="7"/>
      <c r="KQR15" s="7"/>
      <c r="KQS15" s="7"/>
      <c r="KQT15" s="7"/>
      <c r="KQU15" s="7"/>
      <c r="KQV15" s="7"/>
      <c r="KQW15" s="7"/>
      <c r="KQX15" s="7"/>
      <c r="KQY15" s="7"/>
      <c r="KQZ15" s="7"/>
      <c r="KRA15" s="7"/>
      <c r="KRB15" s="7"/>
      <c r="KRC15" s="7"/>
      <c r="KRD15" s="7"/>
      <c r="KRE15" s="7"/>
      <c r="KRF15" s="7"/>
      <c r="KRG15" s="7"/>
      <c r="KRH15" s="7"/>
      <c r="KRI15" s="7"/>
      <c r="KRJ15" s="7"/>
      <c r="KRK15" s="7"/>
      <c r="KRL15" s="7"/>
      <c r="KRM15" s="7"/>
      <c r="KRN15" s="7"/>
      <c r="KRO15" s="7"/>
      <c r="KRP15" s="7"/>
      <c r="KRQ15" s="7"/>
      <c r="KRR15" s="7"/>
      <c r="KRS15" s="7"/>
      <c r="KRT15" s="7"/>
      <c r="KRU15" s="7"/>
      <c r="KRV15" s="7"/>
      <c r="KRW15" s="7"/>
      <c r="KRX15" s="7"/>
      <c r="KRY15" s="7"/>
      <c r="KRZ15" s="7"/>
      <c r="KSA15" s="7"/>
      <c r="KSB15" s="7"/>
      <c r="KSC15" s="7"/>
      <c r="KSD15" s="7"/>
      <c r="KSE15" s="7"/>
      <c r="KSF15" s="7"/>
      <c r="KSG15" s="7"/>
      <c r="KSH15" s="7"/>
      <c r="KSI15" s="7"/>
      <c r="KSJ15" s="7"/>
      <c r="KSK15" s="7"/>
      <c r="KSL15" s="7"/>
      <c r="KSM15" s="7"/>
      <c r="KSN15" s="7"/>
      <c r="KSO15" s="7"/>
      <c r="KSP15" s="7"/>
      <c r="KSQ15" s="7"/>
      <c r="KSR15" s="7"/>
      <c r="KSS15" s="7"/>
      <c r="KST15" s="7"/>
      <c r="KSU15" s="7"/>
      <c r="KSV15" s="7"/>
      <c r="KSW15" s="7"/>
      <c r="KSX15" s="7"/>
      <c r="KSY15" s="7"/>
      <c r="KSZ15" s="7"/>
      <c r="KTA15" s="7"/>
      <c r="KTB15" s="7"/>
      <c r="KTC15" s="7"/>
      <c r="KTD15" s="7"/>
      <c r="KTE15" s="7"/>
      <c r="KTF15" s="7"/>
      <c r="KTG15" s="7"/>
      <c r="KTH15" s="7"/>
      <c r="KTI15" s="7"/>
      <c r="KTJ15" s="7"/>
      <c r="KTK15" s="7"/>
      <c r="KTL15" s="7"/>
      <c r="KTM15" s="7"/>
      <c r="KTN15" s="7"/>
      <c r="KTO15" s="7"/>
      <c r="KTP15" s="7"/>
      <c r="KTQ15" s="7"/>
      <c r="KTR15" s="7"/>
      <c r="KTS15" s="7"/>
      <c r="KTT15" s="7"/>
      <c r="KTU15" s="7"/>
      <c r="KTV15" s="7"/>
      <c r="KTW15" s="7"/>
      <c r="KTX15" s="7"/>
      <c r="KTY15" s="7"/>
      <c r="KTZ15" s="7"/>
      <c r="KUA15" s="7"/>
      <c r="KUB15" s="7"/>
      <c r="KUC15" s="7"/>
      <c r="KUD15" s="7"/>
      <c r="KUE15" s="7"/>
      <c r="KUF15" s="7"/>
      <c r="KUG15" s="7"/>
      <c r="KUH15" s="7"/>
      <c r="KUI15" s="7"/>
      <c r="KUJ15" s="7"/>
      <c r="KUK15" s="7"/>
      <c r="KUL15" s="7"/>
      <c r="KUM15" s="7"/>
      <c r="KUN15" s="7"/>
      <c r="KUO15" s="7"/>
      <c r="KUP15" s="7"/>
      <c r="KUQ15" s="7"/>
      <c r="KUR15" s="7"/>
      <c r="KUS15" s="7"/>
      <c r="KUT15" s="7"/>
      <c r="KUU15" s="7"/>
      <c r="KUV15" s="7"/>
      <c r="KUW15" s="7"/>
      <c r="KUX15" s="7"/>
      <c r="KUY15" s="7"/>
      <c r="KUZ15" s="7"/>
      <c r="KVA15" s="7"/>
      <c r="KVB15" s="7"/>
      <c r="KVC15" s="7"/>
      <c r="KVD15" s="7"/>
      <c r="KVE15" s="7"/>
      <c r="KVF15" s="7"/>
      <c r="KVG15" s="7"/>
      <c r="KVH15" s="7"/>
      <c r="KVI15" s="7"/>
      <c r="KVJ15" s="7"/>
      <c r="KVK15" s="7"/>
      <c r="KVL15" s="7"/>
      <c r="KVM15" s="7"/>
      <c r="KVN15" s="7"/>
      <c r="KVO15" s="7"/>
      <c r="KVP15" s="7"/>
      <c r="KVQ15" s="7"/>
      <c r="KVR15" s="7"/>
      <c r="KVS15" s="7"/>
      <c r="KVT15" s="7"/>
      <c r="KVU15" s="7"/>
      <c r="KVV15" s="7"/>
      <c r="KVW15" s="7"/>
      <c r="KVX15" s="7"/>
      <c r="KVY15" s="7"/>
      <c r="KVZ15" s="7"/>
      <c r="KWA15" s="7"/>
      <c r="KWB15" s="7"/>
      <c r="KWC15" s="7"/>
      <c r="KWD15" s="7"/>
      <c r="KWE15" s="7"/>
      <c r="KWF15" s="7"/>
      <c r="KWG15" s="7"/>
      <c r="KWH15" s="7"/>
      <c r="KWI15" s="7"/>
      <c r="KWJ15" s="7"/>
      <c r="KWK15" s="7"/>
      <c r="KWL15" s="7"/>
      <c r="KWM15" s="7"/>
      <c r="KWN15" s="7"/>
      <c r="KWO15" s="7"/>
      <c r="KWP15" s="7"/>
      <c r="KWQ15" s="7"/>
      <c r="KWR15" s="7"/>
      <c r="KWS15" s="7"/>
      <c r="KWT15" s="7"/>
      <c r="KWU15" s="7"/>
      <c r="KWV15" s="7"/>
      <c r="KWW15" s="7"/>
      <c r="KWX15" s="7"/>
      <c r="KWY15" s="7"/>
      <c r="KWZ15" s="7"/>
      <c r="KXA15" s="7"/>
      <c r="KXB15" s="7"/>
      <c r="KXC15" s="7"/>
      <c r="KXD15" s="7"/>
      <c r="KXE15" s="7"/>
      <c r="KXF15" s="7"/>
      <c r="KXG15" s="7"/>
      <c r="KXH15" s="7"/>
      <c r="KXI15" s="7"/>
      <c r="KXJ15" s="7"/>
      <c r="KXK15" s="7"/>
      <c r="KXL15" s="7"/>
      <c r="KXM15" s="7"/>
      <c r="KXN15" s="7"/>
      <c r="KXO15" s="7"/>
      <c r="KXP15" s="7"/>
      <c r="KXQ15" s="7"/>
      <c r="KXR15" s="7"/>
      <c r="KXS15" s="7"/>
      <c r="KXT15" s="7"/>
      <c r="KXU15" s="7"/>
      <c r="KXV15" s="7"/>
      <c r="KXW15" s="7"/>
      <c r="KXX15" s="7"/>
      <c r="KXY15" s="7"/>
      <c r="KXZ15" s="7"/>
      <c r="KYA15" s="7"/>
      <c r="KYB15" s="7"/>
      <c r="KYC15" s="7"/>
      <c r="KYD15" s="7"/>
      <c r="KYE15" s="7"/>
      <c r="KYF15" s="7"/>
      <c r="KYG15" s="7"/>
      <c r="KYH15" s="7"/>
      <c r="KYI15" s="7"/>
      <c r="KYJ15" s="7"/>
      <c r="KYK15" s="7"/>
      <c r="KYL15" s="7"/>
      <c r="KYM15" s="7"/>
      <c r="KYN15" s="7"/>
      <c r="KYO15" s="7"/>
      <c r="KYP15" s="7"/>
      <c r="KYQ15" s="7"/>
      <c r="KYR15" s="7"/>
      <c r="KYS15" s="7"/>
      <c r="KYT15" s="7"/>
      <c r="KYU15" s="7"/>
      <c r="KYV15" s="7"/>
      <c r="KYW15" s="7"/>
      <c r="KYX15" s="7"/>
      <c r="KYY15" s="7"/>
      <c r="KYZ15" s="7"/>
      <c r="KZA15" s="7"/>
      <c r="KZB15" s="7"/>
      <c r="KZC15" s="7"/>
      <c r="KZD15" s="7"/>
      <c r="KZE15" s="7"/>
      <c r="KZF15" s="7"/>
      <c r="KZG15" s="7"/>
      <c r="KZH15" s="7"/>
      <c r="KZI15" s="7"/>
      <c r="KZJ15" s="7"/>
      <c r="KZK15" s="7"/>
      <c r="KZL15" s="7"/>
      <c r="KZM15" s="7"/>
      <c r="KZN15" s="7"/>
      <c r="KZO15" s="7"/>
      <c r="KZP15" s="7"/>
      <c r="KZQ15" s="7"/>
      <c r="KZR15" s="7"/>
      <c r="KZS15" s="7"/>
      <c r="KZT15" s="7"/>
      <c r="KZU15" s="7"/>
      <c r="KZV15" s="7"/>
      <c r="KZW15" s="7"/>
      <c r="KZX15" s="7"/>
      <c r="KZY15" s="7"/>
      <c r="KZZ15" s="7"/>
      <c r="LAA15" s="7"/>
      <c r="LAB15" s="7"/>
      <c r="LAC15" s="7"/>
      <c r="LAD15" s="7"/>
      <c r="LAE15" s="7"/>
      <c r="LAF15" s="7"/>
      <c r="LAG15" s="7"/>
      <c r="LAH15" s="7"/>
      <c r="LAI15" s="7"/>
      <c r="LAJ15" s="7"/>
      <c r="LAK15" s="7"/>
      <c r="LAL15" s="7"/>
      <c r="LAM15" s="7"/>
      <c r="LAN15" s="7"/>
      <c r="LAO15" s="7"/>
      <c r="LAP15" s="7"/>
      <c r="LAQ15" s="7"/>
      <c r="LAR15" s="7"/>
      <c r="LAS15" s="7"/>
      <c r="LAT15" s="7"/>
      <c r="LAU15" s="7"/>
      <c r="LAV15" s="7"/>
      <c r="LAW15" s="7"/>
      <c r="LAX15" s="7"/>
      <c r="LAY15" s="7"/>
      <c r="LAZ15" s="7"/>
      <c r="LBA15" s="7"/>
      <c r="LBB15" s="7"/>
      <c r="LBC15" s="7"/>
      <c r="LBD15" s="7"/>
      <c r="LBE15" s="7"/>
      <c r="LBF15" s="7"/>
      <c r="LBG15" s="7"/>
      <c r="LBH15" s="7"/>
      <c r="LBI15" s="7"/>
      <c r="LBJ15" s="7"/>
      <c r="LBK15" s="7"/>
      <c r="LBL15" s="7"/>
      <c r="LBM15" s="7"/>
      <c r="LBN15" s="7"/>
      <c r="LBO15" s="7"/>
      <c r="LBP15" s="7"/>
      <c r="LBQ15" s="7"/>
      <c r="LBR15" s="7"/>
      <c r="LBS15" s="7"/>
      <c r="LBT15" s="7"/>
      <c r="LBU15" s="7"/>
      <c r="LBV15" s="7"/>
      <c r="LBW15" s="7"/>
      <c r="LBX15" s="7"/>
      <c r="LBY15" s="7"/>
      <c r="LBZ15" s="7"/>
      <c r="LCA15" s="7"/>
      <c r="LCB15" s="7"/>
      <c r="LCC15" s="7"/>
      <c r="LCD15" s="7"/>
      <c r="LCE15" s="7"/>
      <c r="LCF15" s="7"/>
      <c r="LCG15" s="7"/>
      <c r="LCH15" s="7"/>
      <c r="LCI15" s="7"/>
      <c r="LCJ15" s="7"/>
      <c r="LCK15" s="7"/>
      <c r="LCL15" s="7"/>
      <c r="LCM15" s="7"/>
      <c r="LCN15" s="7"/>
      <c r="LCO15" s="7"/>
      <c r="LCP15" s="7"/>
      <c r="LCQ15" s="7"/>
      <c r="LCR15" s="7"/>
      <c r="LCS15" s="7"/>
      <c r="LCT15" s="7"/>
      <c r="LCU15" s="7"/>
      <c r="LCV15" s="7"/>
      <c r="LCW15" s="7"/>
      <c r="LCX15" s="7"/>
      <c r="LCY15" s="7"/>
      <c r="LCZ15" s="7"/>
      <c r="LDA15" s="7"/>
      <c r="LDB15" s="7"/>
      <c r="LDC15" s="7"/>
      <c r="LDD15" s="7"/>
      <c r="LDE15" s="7"/>
      <c r="LDF15" s="7"/>
      <c r="LDG15" s="7"/>
      <c r="LDH15" s="7"/>
      <c r="LDI15" s="7"/>
      <c r="LDJ15" s="7"/>
      <c r="LDK15" s="7"/>
      <c r="LDL15" s="7"/>
      <c r="LDM15" s="7"/>
      <c r="LDN15" s="7"/>
      <c r="LDO15" s="7"/>
      <c r="LDP15" s="7"/>
      <c r="LDQ15" s="7"/>
      <c r="LDR15" s="7"/>
      <c r="LDS15" s="7"/>
      <c r="LDT15" s="7"/>
      <c r="LDU15" s="7"/>
      <c r="LDV15" s="7"/>
      <c r="LDW15" s="7"/>
      <c r="LDX15" s="7"/>
      <c r="LDY15" s="7"/>
      <c r="LDZ15" s="7"/>
      <c r="LEA15" s="7"/>
      <c r="LEB15" s="7"/>
      <c r="LEC15" s="7"/>
      <c r="LED15" s="7"/>
      <c r="LEE15" s="7"/>
      <c r="LEF15" s="7"/>
      <c r="LEG15" s="7"/>
      <c r="LEH15" s="7"/>
      <c r="LEI15" s="7"/>
      <c r="LEJ15" s="7"/>
      <c r="LEK15" s="7"/>
      <c r="LEL15" s="7"/>
      <c r="LEM15" s="7"/>
      <c r="LEN15" s="7"/>
      <c r="LEO15" s="7"/>
      <c r="LEP15" s="7"/>
      <c r="LEQ15" s="7"/>
      <c r="LER15" s="7"/>
      <c r="LES15" s="7"/>
      <c r="LET15" s="7"/>
      <c r="LEU15" s="7"/>
      <c r="LEV15" s="7"/>
      <c r="LEW15" s="7"/>
      <c r="LEX15" s="7"/>
      <c r="LEY15" s="7"/>
      <c r="LEZ15" s="7"/>
      <c r="LFA15" s="7"/>
      <c r="LFB15" s="7"/>
      <c r="LFC15" s="7"/>
      <c r="LFD15" s="7"/>
      <c r="LFE15" s="7"/>
      <c r="LFF15" s="7"/>
      <c r="LFG15" s="7"/>
      <c r="LFH15" s="7"/>
      <c r="LFI15" s="7"/>
      <c r="LFJ15" s="7"/>
      <c r="LFK15" s="7"/>
      <c r="LFL15" s="7"/>
      <c r="LFM15" s="7"/>
      <c r="LFN15" s="7"/>
      <c r="LFO15" s="7"/>
      <c r="LFP15" s="7"/>
      <c r="LFQ15" s="7"/>
      <c r="LFR15" s="7"/>
      <c r="LFS15" s="7"/>
      <c r="LFT15" s="7"/>
      <c r="LFU15" s="7"/>
      <c r="LFV15" s="7"/>
      <c r="LFW15" s="7"/>
      <c r="LFX15" s="7"/>
      <c r="LFY15" s="7"/>
      <c r="LFZ15" s="7"/>
      <c r="LGA15" s="7"/>
      <c r="LGB15" s="7"/>
      <c r="LGC15" s="7"/>
      <c r="LGD15" s="7"/>
      <c r="LGE15" s="7"/>
      <c r="LGF15" s="7"/>
      <c r="LGG15" s="7"/>
      <c r="LGH15" s="7"/>
      <c r="LGI15" s="7"/>
      <c r="LGJ15" s="7"/>
      <c r="LGK15" s="7"/>
      <c r="LGL15" s="7"/>
      <c r="LGM15" s="7"/>
      <c r="LGN15" s="7"/>
      <c r="LGO15" s="7"/>
      <c r="LGP15" s="7"/>
      <c r="LGQ15" s="7"/>
      <c r="LGR15" s="7"/>
      <c r="LGS15" s="7"/>
      <c r="LGT15" s="7"/>
      <c r="LGU15" s="7"/>
      <c r="LGV15" s="7"/>
      <c r="LGW15" s="7"/>
      <c r="LGX15" s="7"/>
      <c r="LGY15" s="7"/>
      <c r="LGZ15" s="7"/>
      <c r="LHA15" s="7"/>
      <c r="LHB15" s="7"/>
      <c r="LHC15" s="7"/>
      <c r="LHD15" s="7"/>
      <c r="LHE15" s="7"/>
      <c r="LHF15" s="7"/>
      <c r="LHG15" s="7"/>
      <c r="LHH15" s="7"/>
      <c r="LHI15" s="7"/>
      <c r="LHJ15" s="7"/>
      <c r="LHK15" s="7"/>
      <c r="LHL15" s="7"/>
      <c r="LHM15" s="7"/>
      <c r="LHN15" s="7"/>
      <c r="LHO15" s="7"/>
      <c r="LHP15" s="7"/>
      <c r="LHQ15" s="7"/>
      <c r="LHR15" s="7"/>
      <c r="LHS15" s="7"/>
      <c r="LHT15" s="7"/>
      <c r="LHU15" s="7"/>
      <c r="LHV15" s="7"/>
      <c r="LHW15" s="7"/>
      <c r="LHX15" s="7"/>
      <c r="LHY15" s="7"/>
      <c r="LHZ15" s="7"/>
      <c r="LIA15" s="7"/>
      <c r="LIB15" s="7"/>
      <c r="LIC15" s="7"/>
      <c r="LID15" s="7"/>
      <c r="LIE15" s="7"/>
      <c r="LIF15" s="7"/>
      <c r="LIG15" s="7"/>
      <c r="LIH15" s="7"/>
      <c r="LII15" s="7"/>
      <c r="LIJ15" s="7"/>
      <c r="LIK15" s="7"/>
      <c r="LIL15" s="7"/>
      <c r="LIM15" s="7"/>
      <c r="LIN15" s="7"/>
      <c r="LIO15" s="7"/>
      <c r="LIP15" s="7"/>
      <c r="LIQ15" s="7"/>
      <c r="LIR15" s="7"/>
      <c r="LIS15" s="7"/>
      <c r="LIT15" s="7"/>
      <c r="LIU15" s="7"/>
      <c r="LIV15" s="7"/>
      <c r="LIW15" s="7"/>
      <c r="LIX15" s="7"/>
      <c r="LIY15" s="7"/>
      <c r="LIZ15" s="7"/>
      <c r="LJA15" s="7"/>
      <c r="LJB15" s="7"/>
      <c r="LJC15" s="7"/>
      <c r="LJD15" s="7"/>
      <c r="LJE15" s="7"/>
      <c r="LJF15" s="7"/>
      <c r="LJG15" s="7"/>
      <c r="LJH15" s="7"/>
      <c r="LJI15" s="7"/>
      <c r="LJJ15" s="7"/>
      <c r="LJK15" s="7"/>
      <c r="LJL15" s="7"/>
      <c r="LJM15" s="7"/>
      <c r="LJN15" s="7"/>
      <c r="LJO15" s="7"/>
      <c r="LJP15" s="7"/>
      <c r="LJQ15" s="7"/>
      <c r="LJR15" s="7"/>
      <c r="LJS15" s="7"/>
      <c r="LJT15" s="7"/>
      <c r="LJU15" s="7"/>
      <c r="LJV15" s="7"/>
      <c r="LJW15" s="7"/>
      <c r="LJX15" s="7"/>
      <c r="LJY15" s="7"/>
      <c r="LJZ15" s="7"/>
      <c r="LKA15" s="7"/>
      <c r="LKB15" s="7"/>
      <c r="LKC15" s="7"/>
      <c r="LKD15" s="7"/>
      <c r="LKE15" s="7"/>
      <c r="LKF15" s="7"/>
      <c r="LKG15" s="7"/>
      <c r="LKH15" s="7"/>
      <c r="LKI15" s="7"/>
      <c r="LKJ15" s="7"/>
      <c r="LKK15" s="7"/>
      <c r="LKL15" s="7"/>
      <c r="LKM15" s="7"/>
      <c r="LKN15" s="7"/>
      <c r="LKO15" s="7"/>
      <c r="LKP15" s="7"/>
      <c r="LKQ15" s="7"/>
      <c r="LKR15" s="7"/>
      <c r="LKS15" s="7"/>
      <c r="LKT15" s="7"/>
      <c r="LKU15" s="7"/>
      <c r="LKV15" s="7"/>
      <c r="LKW15" s="7"/>
      <c r="LKX15" s="7"/>
      <c r="LKY15" s="7"/>
      <c r="LKZ15" s="7"/>
      <c r="LLA15" s="7"/>
      <c r="LLB15" s="7"/>
      <c r="LLC15" s="7"/>
      <c r="LLD15" s="7"/>
      <c r="LLE15" s="7"/>
      <c r="LLF15" s="7"/>
      <c r="LLG15" s="7"/>
      <c r="LLH15" s="7"/>
      <c r="LLI15" s="7"/>
      <c r="LLJ15" s="7"/>
      <c r="LLK15" s="7"/>
      <c r="LLL15" s="7"/>
      <c r="LLM15" s="7"/>
      <c r="LLN15" s="7"/>
      <c r="LLO15" s="7"/>
      <c r="LLP15" s="7"/>
      <c r="LLQ15" s="7"/>
      <c r="LLR15" s="7"/>
      <c r="LLS15" s="7"/>
      <c r="LLT15" s="7"/>
      <c r="LLU15" s="7"/>
      <c r="LLV15" s="7"/>
      <c r="LLW15" s="7"/>
      <c r="LLX15" s="7"/>
      <c r="LLY15" s="7"/>
      <c r="LLZ15" s="7"/>
      <c r="LMA15" s="7"/>
      <c r="LMB15" s="7"/>
      <c r="LMC15" s="7"/>
      <c r="LMD15" s="7"/>
      <c r="LME15" s="7"/>
      <c r="LMF15" s="7"/>
      <c r="LMG15" s="7"/>
      <c r="LMH15" s="7"/>
      <c r="LMI15" s="7"/>
      <c r="LMJ15" s="7"/>
      <c r="LMK15" s="7"/>
      <c r="LML15" s="7"/>
      <c r="LMM15" s="7"/>
      <c r="LMN15" s="7"/>
      <c r="LMO15" s="7"/>
      <c r="LMP15" s="7"/>
      <c r="LMQ15" s="7"/>
      <c r="LMR15" s="7"/>
      <c r="LMS15" s="7"/>
      <c r="LMT15" s="7"/>
      <c r="LMU15" s="7"/>
      <c r="LMV15" s="7"/>
      <c r="LMW15" s="7"/>
      <c r="LMX15" s="7"/>
      <c r="LMY15" s="7"/>
      <c r="LMZ15" s="7"/>
      <c r="LNA15" s="7"/>
      <c r="LNB15" s="7"/>
      <c r="LNC15" s="7"/>
      <c r="LND15" s="7"/>
      <c r="LNE15" s="7"/>
      <c r="LNF15" s="7"/>
      <c r="LNG15" s="7"/>
      <c r="LNH15" s="7"/>
      <c r="LNI15" s="7"/>
      <c r="LNJ15" s="7"/>
      <c r="LNK15" s="7"/>
      <c r="LNL15" s="7"/>
      <c r="LNM15" s="7"/>
      <c r="LNN15" s="7"/>
      <c r="LNO15" s="7"/>
      <c r="LNP15" s="7"/>
      <c r="LNQ15" s="7"/>
      <c r="LNR15" s="7"/>
      <c r="LNS15" s="7"/>
      <c r="LNT15" s="7"/>
      <c r="LNU15" s="7"/>
      <c r="LNV15" s="7"/>
      <c r="LNW15" s="7"/>
      <c r="LNX15" s="7"/>
      <c r="LNY15" s="7"/>
      <c r="LNZ15" s="7"/>
      <c r="LOA15" s="7"/>
      <c r="LOB15" s="7"/>
      <c r="LOC15" s="7"/>
      <c r="LOD15" s="7"/>
      <c r="LOE15" s="7"/>
      <c r="LOF15" s="7"/>
      <c r="LOG15" s="7"/>
      <c r="LOH15" s="7"/>
      <c r="LOI15" s="7"/>
      <c r="LOJ15" s="7"/>
      <c r="LOK15" s="7"/>
      <c r="LOL15" s="7"/>
      <c r="LOM15" s="7"/>
      <c r="LON15" s="7"/>
      <c r="LOO15" s="7"/>
      <c r="LOP15" s="7"/>
      <c r="LOQ15" s="7"/>
      <c r="LOR15" s="7"/>
      <c r="LOS15" s="7"/>
      <c r="LOT15" s="7"/>
      <c r="LOU15" s="7"/>
      <c r="LOV15" s="7"/>
      <c r="LOW15" s="7"/>
      <c r="LOX15" s="7"/>
      <c r="LOY15" s="7"/>
      <c r="LOZ15" s="7"/>
      <c r="LPA15" s="7"/>
      <c r="LPB15" s="7"/>
      <c r="LPC15" s="7"/>
      <c r="LPD15" s="7"/>
      <c r="LPE15" s="7"/>
      <c r="LPF15" s="7"/>
      <c r="LPG15" s="7"/>
      <c r="LPH15" s="7"/>
      <c r="LPI15" s="7"/>
      <c r="LPJ15" s="7"/>
      <c r="LPK15" s="7"/>
      <c r="LPL15" s="7"/>
      <c r="LPM15" s="7"/>
      <c r="LPN15" s="7"/>
      <c r="LPO15" s="7"/>
      <c r="LPP15" s="7"/>
      <c r="LPQ15" s="7"/>
      <c r="LPR15" s="7"/>
      <c r="LPS15" s="7"/>
      <c r="LPT15" s="7"/>
      <c r="LPU15" s="7"/>
      <c r="LPV15" s="7"/>
      <c r="LPW15" s="7"/>
      <c r="LPX15" s="7"/>
      <c r="LPY15" s="7"/>
      <c r="LPZ15" s="7"/>
      <c r="LQA15" s="7"/>
      <c r="LQB15" s="7"/>
      <c r="LQC15" s="7"/>
      <c r="LQD15" s="7"/>
      <c r="LQE15" s="7"/>
      <c r="LQF15" s="7"/>
      <c r="LQG15" s="7"/>
      <c r="LQH15" s="7"/>
      <c r="LQI15" s="7"/>
      <c r="LQJ15" s="7"/>
      <c r="LQK15" s="7"/>
      <c r="LQL15" s="7"/>
      <c r="LQM15" s="7"/>
      <c r="LQN15" s="7"/>
      <c r="LQO15" s="7"/>
      <c r="LQP15" s="7"/>
      <c r="LQQ15" s="7"/>
      <c r="LQR15" s="7"/>
      <c r="LQS15" s="7"/>
      <c r="LQT15" s="7"/>
      <c r="LQU15" s="7"/>
      <c r="LQV15" s="7"/>
      <c r="LQW15" s="7"/>
      <c r="LQX15" s="7"/>
      <c r="LQY15" s="7"/>
      <c r="LQZ15" s="7"/>
      <c r="LRA15" s="7"/>
      <c r="LRB15" s="7"/>
      <c r="LRC15" s="7"/>
      <c r="LRD15" s="7"/>
      <c r="LRE15" s="7"/>
      <c r="LRF15" s="7"/>
      <c r="LRG15" s="7"/>
      <c r="LRH15" s="7"/>
      <c r="LRI15" s="7"/>
      <c r="LRJ15" s="7"/>
      <c r="LRK15" s="7"/>
      <c r="LRL15" s="7"/>
      <c r="LRM15" s="7"/>
      <c r="LRN15" s="7"/>
      <c r="LRO15" s="7"/>
      <c r="LRP15" s="7"/>
      <c r="LRQ15" s="7"/>
      <c r="LRR15" s="7"/>
      <c r="LRS15" s="7"/>
      <c r="LRT15" s="7"/>
      <c r="LRU15" s="7"/>
      <c r="LRV15" s="7"/>
      <c r="LRW15" s="7"/>
      <c r="LRX15" s="7"/>
      <c r="LRY15" s="7"/>
      <c r="LRZ15" s="7"/>
      <c r="LSA15" s="7"/>
      <c r="LSB15" s="7"/>
      <c r="LSC15" s="7"/>
      <c r="LSD15" s="7"/>
      <c r="LSE15" s="7"/>
      <c r="LSF15" s="7"/>
      <c r="LSG15" s="7"/>
      <c r="LSH15" s="7"/>
      <c r="LSI15" s="7"/>
      <c r="LSJ15" s="7"/>
      <c r="LSK15" s="7"/>
      <c r="LSL15" s="7"/>
      <c r="LSM15" s="7"/>
      <c r="LSN15" s="7"/>
      <c r="LSO15" s="7"/>
      <c r="LSP15" s="7"/>
      <c r="LSQ15" s="7"/>
      <c r="LSR15" s="7"/>
      <c r="LSS15" s="7"/>
      <c r="LST15" s="7"/>
      <c r="LSU15" s="7"/>
      <c r="LSV15" s="7"/>
      <c r="LSW15" s="7"/>
      <c r="LSX15" s="7"/>
      <c r="LSY15" s="7"/>
      <c r="LSZ15" s="7"/>
      <c r="LTA15" s="7"/>
      <c r="LTB15" s="7"/>
      <c r="LTC15" s="7"/>
      <c r="LTD15" s="7"/>
      <c r="LTE15" s="7"/>
      <c r="LTF15" s="7"/>
      <c r="LTG15" s="7"/>
      <c r="LTH15" s="7"/>
      <c r="LTI15" s="7"/>
      <c r="LTJ15" s="7"/>
      <c r="LTK15" s="7"/>
      <c r="LTL15" s="7"/>
      <c r="LTM15" s="7"/>
      <c r="LTN15" s="7"/>
      <c r="LTO15" s="7"/>
      <c r="LTP15" s="7"/>
      <c r="LTQ15" s="7"/>
      <c r="LTR15" s="7"/>
      <c r="LTS15" s="7"/>
      <c r="LTT15" s="7"/>
      <c r="LTU15" s="7"/>
      <c r="LTV15" s="7"/>
      <c r="LTW15" s="7"/>
      <c r="LTX15" s="7"/>
      <c r="LTY15" s="7"/>
      <c r="LTZ15" s="7"/>
      <c r="LUA15" s="7"/>
      <c r="LUB15" s="7"/>
      <c r="LUC15" s="7"/>
      <c r="LUD15" s="7"/>
      <c r="LUE15" s="7"/>
      <c r="LUF15" s="7"/>
      <c r="LUG15" s="7"/>
      <c r="LUH15" s="7"/>
      <c r="LUI15" s="7"/>
      <c r="LUJ15" s="7"/>
      <c r="LUK15" s="7"/>
      <c r="LUL15" s="7"/>
      <c r="LUM15" s="7"/>
      <c r="LUN15" s="7"/>
      <c r="LUO15" s="7"/>
      <c r="LUP15" s="7"/>
      <c r="LUQ15" s="7"/>
      <c r="LUR15" s="7"/>
      <c r="LUS15" s="7"/>
      <c r="LUT15" s="7"/>
      <c r="LUU15" s="7"/>
      <c r="LUV15" s="7"/>
      <c r="LUW15" s="7"/>
      <c r="LUX15" s="7"/>
      <c r="LUY15" s="7"/>
      <c r="LUZ15" s="7"/>
      <c r="LVA15" s="7"/>
      <c r="LVB15" s="7"/>
      <c r="LVC15" s="7"/>
      <c r="LVD15" s="7"/>
      <c r="LVE15" s="7"/>
      <c r="LVF15" s="7"/>
      <c r="LVG15" s="7"/>
      <c r="LVH15" s="7"/>
      <c r="LVI15" s="7"/>
      <c r="LVJ15" s="7"/>
      <c r="LVK15" s="7"/>
      <c r="LVL15" s="7"/>
      <c r="LVM15" s="7"/>
      <c r="LVN15" s="7"/>
      <c r="LVO15" s="7"/>
      <c r="LVP15" s="7"/>
      <c r="LVQ15" s="7"/>
      <c r="LVR15" s="7"/>
      <c r="LVS15" s="7"/>
      <c r="LVT15" s="7"/>
      <c r="LVU15" s="7"/>
      <c r="LVV15" s="7"/>
      <c r="LVW15" s="7"/>
      <c r="LVX15" s="7"/>
      <c r="LVY15" s="7"/>
      <c r="LVZ15" s="7"/>
      <c r="LWA15" s="7"/>
      <c r="LWB15" s="7"/>
      <c r="LWC15" s="7"/>
      <c r="LWD15" s="7"/>
      <c r="LWE15" s="7"/>
      <c r="LWF15" s="7"/>
      <c r="LWG15" s="7"/>
      <c r="LWH15" s="7"/>
      <c r="LWI15" s="7"/>
      <c r="LWJ15" s="7"/>
      <c r="LWK15" s="7"/>
      <c r="LWL15" s="7"/>
      <c r="LWM15" s="7"/>
      <c r="LWN15" s="7"/>
      <c r="LWO15" s="7"/>
      <c r="LWP15" s="7"/>
      <c r="LWQ15" s="7"/>
      <c r="LWR15" s="7"/>
      <c r="LWS15" s="7"/>
      <c r="LWT15" s="7"/>
      <c r="LWU15" s="7"/>
      <c r="LWV15" s="7"/>
      <c r="LWW15" s="7"/>
      <c r="LWX15" s="7"/>
      <c r="LWY15" s="7"/>
      <c r="LWZ15" s="7"/>
      <c r="LXA15" s="7"/>
      <c r="LXB15" s="7"/>
      <c r="LXC15" s="7"/>
      <c r="LXD15" s="7"/>
      <c r="LXE15" s="7"/>
      <c r="LXF15" s="7"/>
      <c r="LXG15" s="7"/>
      <c r="LXH15" s="7"/>
      <c r="LXI15" s="7"/>
      <c r="LXJ15" s="7"/>
      <c r="LXK15" s="7"/>
      <c r="LXL15" s="7"/>
      <c r="LXM15" s="7"/>
      <c r="LXN15" s="7"/>
      <c r="LXO15" s="7"/>
      <c r="LXP15" s="7"/>
      <c r="LXQ15" s="7"/>
      <c r="LXR15" s="7"/>
      <c r="LXS15" s="7"/>
      <c r="LXT15" s="7"/>
      <c r="LXU15" s="7"/>
      <c r="LXV15" s="7"/>
      <c r="LXW15" s="7"/>
      <c r="LXX15" s="7"/>
      <c r="LXY15" s="7"/>
      <c r="LXZ15" s="7"/>
      <c r="LYA15" s="7"/>
      <c r="LYB15" s="7"/>
      <c r="LYC15" s="7"/>
      <c r="LYD15" s="7"/>
      <c r="LYE15" s="7"/>
      <c r="LYF15" s="7"/>
      <c r="LYG15" s="7"/>
      <c r="LYH15" s="7"/>
      <c r="LYI15" s="7"/>
      <c r="LYJ15" s="7"/>
      <c r="LYK15" s="7"/>
      <c r="LYL15" s="7"/>
      <c r="LYM15" s="7"/>
      <c r="LYN15" s="7"/>
      <c r="LYO15" s="7"/>
      <c r="LYP15" s="7"/>
      <c r="LYQ15" s="7"/>
      <c r="LYR15" s="7"/>
      <c r="LYS15" s="7"/>
      <c r="LYT15" s="7"/>
      <c r="LYU15" s="7"/>
      <c r="LYV15" s="7"/>
      <c r="LYW15" s="7"/>
      <c r="LYX15" s="7"/>
      <c r="LYY15" s="7"/>
      <c r="LYZ15" s="7"/>
      <c r="LZA15" s="7"/>
      <c r="LZB15" s="7"/>
      <c r="LZC15" s="7"/>
      <c r="LZD15" s="7"/>
      <c r="LZE15" s="7"/>
      <c r="LZF15" s="7"/>
      <c r="LZG15" s="7"/>
      <c r="LZH15" s="7"/>
      <c r="LZI15" s="7"/>
      <c r="LZJ15" s="7"/>
      <c r="LZK15" s="7"/>
      <c r="LZL15" s="7"/>
      <c r="LZM15" s="7"/>
      <c r="LZN15" s="7"/>
      <c r="LZO15" s="7"/>
      <c r="LZP15" s="7"/>
      <c r="LZQ15" s="7"/>
      <c r="LZR15" s="7"/>
      <c r="LZS15" s="7"/>
      <c r="LZT15" s="7"/>
      <c r="LZU15" s="7"/>
      <c r="LZV15" s="7"/>
      <c r="LZW15" s="7"/>
      <c r="LZX15" s="7"/>
      <c r="LZY15" s="7"/>
      <c r="LZZ15" s="7"/>
      <c r="MAA15" s="7"/>
      <c r="MAB15" s="7"/>
      <c r="MAC15" s="7"/>
      <c r="MAD15" s="7"/>
      <c r="MAE15" s="7"/>
      <c r="MAF15" s="7"/>
      <c r="MAG15" s="7"/>
      <c r="MAH15" s="7"/>
      <c r="MAI15" s="7"/>
      <c r="MAJ15" s="7"/>
      <c r="MAK15" s="7"/>
      <c r="MAL15" s="7"/>
      <c r="MAM15" s="7"/>
      <c r="MAN15" s="7"/>
      <c r="MAO15" s="7"/>
      <c r="MAP15" s="7"/>
      <c r="MAQ15" s="7"/>
      <c r="MAR15" s="7"/>
      <c r="MAS15" s="7"/>
      <c r="MAT15" s="7"/>
      <c r="MAU15" s="7"/>
      <c r="MAV15" s="7"/>
      <c r="MAW15" s="7"/>
      <c r="MAX15" s="7"/>
      <c r="MAY15" s="7"/>
      <c r="MAZ15" s="7"/>
      <c r="MBA15" s="7"/>
      <c r="MBB15" s="7"/>
      <c r="MBC15" s="7"/>
      <c r="MBD15" s="7"/>
      <c r="MBE15" s="7"/>
      <c r="MBF15" s="7"/>
      <c r="MBG15" s="7"/>
      <c r="MBH15" s="7"/>
      <c r="MBI15" s="7"/>
      <c r="MBJ15" s="7"/>
      <c r="MBK15" s="7"/>
      <c r="MBL15" s="7"/>
      <c r="MBM15" s="7"/>
      <c r="MBN15" s="7"/>
      <c r="MBO15" s="7"/>
      <c r="MBP15" s="7"/>
      <c r="MBQ15" s="7"/>
      <c r="MBR15" s="7"/>
      <c r="MBS15" s="7"/>
      <c r="MBT15" s="7"/>
      <c r="MBU15" s="7"/>
      <c r="MBV15" s="7"/>
      <c r="MBW15" s="7"/>
      <c r="MBX15" s="7"/>
      <c r="MBY15" s="7"/>
      <c r="MBZ15" s="7"/>
      <c r="MCA15" s="7"/>
      <c r="MCB15" s="7"/>
      <c r="MCC15" s="7"/>
      <c r="MCD15" s="7"/>
      <c r="MCE15" s="7"/>
      <c r="MCF15" s="7"/>
      <c r="MCG15" s="7"/>
      <c r="MCH15" s="7"/>
      <c r="MCI15" s="7"/>
      <c r="MCJ15" s="7"/>
      <c r="MCK15" s="7"/>
      <c r="MCL15" s="7"/>
      <c r="MCM15" s="7"/>
      <c r="MCN15" s="7"/>
      <c r="MCO15" s="7"/>
      <c r="MCP15" s="7"/>
      <c r="MCQ15" s="7"/>
      <c r="MCR15" s="7"/>
      <c r="MCS15" s="7"/>
      <c r="MCT15" s="7"/>
      <c r="MCU15" s="7"/>
      <c r="MCV15" s="7"/>
      <c r="MCW15" s="7"/>
      <c r="MCX15" s="7"/>
      <c r="MCY15" s="7"/>
      <c r="MCZ15" s="7"/>
      <c r="MDA15" s="7"/>
      <c r="MDB15" s="7"/>
      <c r="MDC15" s="7"/>
      <c r="MDD15" s="7"/>
      <c r="MDE15" s="7"/>
      <c r="MDF15" s="7"/>
      <c r="MDG15" s="7"/>
      <c r="MDH15" s="7"/>
      <c r="MDI15" s="7"/>
      <c r="MDJ15" s="7"/>
      <c r="MDK15" s="7"/>
      <c r="MDL15" s="7"/>
      <c r="MDM15" s="7"/>
      <c r="MDN15" s="7"/>
      <c r="MDO15" s="7"/>
      <c r="MDP15" s="7"/>
      <c r="MDQ15" s="7"/>
      <c r="MDR15" s="7"/>
      <c r="MDS15" s="7"/>
      <c r="MDT15" s="7"/>
      <c r="MDU15" s="7"/>
      <c r="MDV15" s="7"/>
      <c r="MDW15" s="7"/>
      <c r="MDX15" s="7"/>
      <c r="MDY15" s="7"/>
      <c r="MDZ15" s="7"/>
      <c r="MEA15" s="7"/>
      <c r="MEB15" s="7"/>
      <c r="MEC15" s="7"/>
      <c r="MED15" s="7"/>
      <c r="MEE15" s="7"/>
      <c r="MEF15" s="7"/>
      <c r="MEG15" s="7"/>
      <c r="MEH15" s="7"/>
      <c r="MEI15" s="7"/>
      <c r="MEJ15" s="7"/>
      <c r="MEK15" s="7"/>
      <c r="MEL15" s="7"/>
      <c r="MEM15" s="7"/>
      <c r="MEN15" s="7"/>
      <c r="MEO15" s="7"/>
      <c r="MEP15" s="7"/>
      <c r="MEQ15" s="7"/>
      <c r="MER15" s="7"/>
      <c r="MES15" s="7"/>
      <c r="MET15" s="7"/>
      <c r="MEU15" s="7"/>
      <c r="MEV15" s="7"/>
      <c r="MEW15" s="7"/>
      <c r="MEX15" s="7"/>
      <c r="MEY15" s="7"/>
      <c r="MEZ15" s="7"/>
      <c r="MFA15" s="7"/>
      <c r="MFB15" s="7"/>
      <c r="MFC15" s="7"/>
      <c r="MFD15" s="7"/>
      <c r="MFE15" s="7"/>
      <c r="MFF15" s="7"/>
      <c r="MFG15" s="7"/>
      <c r="MFH15" s="7"/>
      <c r="MFI15" s="7"/>
      <c r="MFJ15" s="7"/>
      <c r="MFK15" s="7"/>
      <c r="MFL15" s="7"/>
      <c r="MFM15" s="7"/>
      <c r="MFN15" s="7"/>
      <c r="MFO15" s="7"/>
      <c r="MFP15" s="7"/>
      <c r="MFQ15" s="7"/>
      <c r="MFR15" s="7"/>
      <c r="MFS15" s="7"/>
      <c r="MFT15" s="7"/>
      <c r="MFU15" s="7"/>
      <c r="MFV15" s="7"/>
      <c r="MFW15" s="7"/>
      <c r="MFX15" s="7"/>
      <c r="MFY15" s="7"/>
      <c r="MFZ15" s="7"/>
      <c r="MGA15" s="7"/>
      <c r="MGB15" s="7"/>
      <c r="MGC15" s="7"/>
      <c r="MGD15" s="7"/>
      <c r="MGE15" s="7"/>
      <c r="MGF15" s="7"/>
      <c r="MGG15" s="7"/>
      <c r="MGH15" s="7"/>
      <c r="MGI15" s="7"/>
      <c r="MGJ15" s="7"/>
      <c r="MGK15" s="7"/>
      <c r="MGL15" s="7"/>
      <c r="MGM15" s="7"/>
      <c r="MGN15" s="7"/>
      <c r="MGO15" s="7"/>
      <c r="MGP15" s="7"/>
      <c r="MGQ15" s="7"/>
      <c r="MGR15" s="7"/>
      <c r="MGS15" s="7"/>
      <c r="MGT15" s="7"/>
      <c r="MGU15" s="7"/>
      <c r="MGV15" s="7"/>
      <c r="MGW15" s="7"/>
      <c r="MGX15" s="7"/>
      <c r="MGY15" s="7"/>
      <c r="MGZ15" s="7"/>
      <c r="MHA15" s="7"/>
      <c r="MHB15" s="7"/>
      <c r="MHC15" s="7"/>
      <c r="MHD15" s="7"/>
      <c r="MHE15" s="7"/>
      <c r="MHF15" s="7"/>
      <c r="MHG15" s="7"/>
      <c r="MHH15" s="7"/>
      <c r="MHI15" s="7"/>
      <c r="MHJ15" s="7"/>
      <c r="MHK15" s="7"/>
      <c r="MHL15" s="7"/>
      <c r="MHM15" s="7"/>
      <c r="MHN15" s="7"/>
      <c r="MHO15" s="7"/>
      <c r="MHP15" s="7"/>
      <c r="MHQ15" s="7"/>
      <c r="MHR15" s="7"/>
      <c r="MHS15" s="7"/>
      <c r="MHT15" s="7"/>
      <c r="MHU15" s="7"/>
      <c r="MHV15" s="7"/>
      <c r="MHW15" s="7"/>
      <c r="MHX15" s="7"/>
      <c r="MHY15" s="7"/>
      <c r="MHZ15" s="7"/>
      <c r="MIA15" s="7"/>
      <c r="MIB15" s="7"/>
      <c r="MIC15" s="7"/>
      <c r="MID15" s="7"/>
      <c r="MIE15" s="7"/>
      <c r="MIF15" s="7"/>
      <c r="MIG15" s="7"/>
      <c r="MIH15" s="7"/>
      <c r="MII15" s="7"/>
      <c r="MIJ15" s="7"/>
      <c r="MIK15" s="7"/>
      <c r="MIL15" s="7"/>
      <c r="MIM15" s="7"/>
      <c r="MIN15" s="7"/>
      <c r="MIO15" s="7"/>
      <c r="MIP15" s="7"/>
      <c r="MIQ15" s="7"/>
      <c r="MIR15" s="7"/>
      <c r="MIS15" s="7"/>
      <c r="MIT15" s="7"/>
      <c r="MIU15" s="7"/>
      <c r="MIV15" s="7"/>
      <c r="MIW15" s="7"/>
      <c r="MIX15" s="7"/>
      <c r="MIY15" s="7"/>
      <c r="MIZ15" s="7"/>
      <c r="MJA15" s="7"/>
      <c r="MJB15" s="7"/>
      <c r="MJC15" s="7"/>
      <c r="MJD15" s="7"/>
      <c r="MJE15" s="7"/>
      <c r="MJF15" s="7"/>
      <c r="MJG15" s="7"/>
      <c r="MJH15" s="7"/>
      <c r="MJI15" s="7"/>
      <c r="MJJ15" s="7"/>
      <c r="MJK15" s="7"/>
      <c r="MJL15" s="7"/>
      <c r="MJM15" s="7"/>
      <c r="MJN15" s="7"/>
      <c r="MJO15" s="7"/>
      <c r="MJP15" s="7"/>
      <c r="MJQ15" s="7"/>
      <c r="MJR15" s="7"/>
      <c r="MJS15" s="7"/>
      <c r="MJT15" s="7"/>
      <c r="MJU15" s="7"/>
      <c r="MJV15" s="7"/>
      <c r="MJW15" s="7"/>
      <c r="MJX15" s="7"/>
      <c r="MJY15" s="7"/>
      <c r="MJZ15" s="7"/>
      <c r="MKA15" s="7"/>
      <c r="MKB15" s="7"/>
      <c r="MKC15" s="7"/>
      <c r="MKD15" s="7"/>
      <c r="MKE15" s="7"/>
      <c r="MKF15" s="7"/>
      <c r="MKG15" s="7"/>
      <c r="MKH15" s="7"/>
      <c r="MKI15" s="7"/>
      <c r="MKJ15" s="7"/>
      <c r="MKK15" s="7"/>
      <c r="MKL15" s="7"/>
      <c r="MKM15" s="7"/>
      <c r="MKN15" s="7"/>
      <c r="MKO15" s="7"/>
      <c r="MKP15" s="7"/>
      <c r="MKQ15" s="7"/>
      <c r="MKR15" s="7"/>
      <c r="MKS15" s="7"/>
      <c r="MKT15" s="7"/>
      <c r="MKU15" s="7"/>
      <c r="MKV15" s="7"/>
      <c r="MKW15" s="7"/>
      <c r="MKX15" s="7"/>
      <c r="MKY15" s="7"/>
      <c r="MKZ15" s="7"/>
      <c r="MLA15" s="7"/>
      <c r="MLB15" s="7"/>
      <c r="MLC15" s="7"/>
      <c r="MLD15" s="7"/>
      <c r="MLE15" s="7"/>
      <c r="MLF15" s="7"/>
      <c r="MLG15" s="7"/>
      <c r="MLH15" s="7"/>
      <c r="MLI15" s="7"/>
      <c r="MLJ15" s="7"/>
      <c r="MLK15" s="7"/>
      <c r="MLL15" s="7"/>
      <c r="MLM15" s="7"/>
      <c r="MLN15" s="7"/>
      <c r="MLO15" s="7"/>
      <c r="MLP15" s="7"/>
      <c r="MLQ15" s="7"/>
      <c r="MLR15" s="7"/>
      <c r="MLS15" s="7"/>
      <c r="MLT15" s="7"/>
      <c r="MLU15" s="7"/>
      <c r="MLV15" s="7"/>
      <c r="MLW15" s="7"/>
      <c r="MLX15" s="7"/>
      <c r="MLY15" s="7"/>
      <c r="MLZ15" s="7"/>
      <c r="MMA15" s="7"/>
      <c r="MMB15" s="7"/>
      <c r="MMC15" s="7"/>
      <c r="MMD15" s="7"/>
      <c r="MME15" s="7"/>
      <c r="MMF15" s="7"/>
      <c r="MMG15" s="7"/>
      <c r="MMH15" s="7"/>
      <c r="MMI15" s="7"/>
      <c r="MMJ15" s="7"/>
      <c r="MMK15" s="7"/>
      <c r="MML15" s="7"/>
      <c r="MMM15" s="7"/>
      <c r="MMN15" s="7"/>
      <c r="MMO15" s="7"/>
      <c r="MMP15" s="7"/>
      <c r="MMQ15" s="7"/>
      <c r="MMR15" s="7"/>
      <c r="MMS15" s="7"/>
      <c r="MMT15" s="7"/>
      <c r="MMU15" s="7"/>
      <c r="MMV15" s="7"/>
      <c r="MMW15" s="7"/>
      <c r="MMX15" s="7"/>
      <c r="MMY15" s="7"/>
      <c r="MMZ15" s="7"/>
      <c r="MNA15" s="7"/>
      <c r="MNB15" s="7"/>
      <c r="MNC15" s="7"/>
      <c r="MND15" s="7"/>
      <c r="MNE15" s="7"/>
      <c r="MNF15" s="7"/>
      <c r="MNG15" s="7"/>
      <c r="MNH15" s="7"/>
      <c r="MNI15" s="7"/>
      <c r="MNJ15" s="7"/>
      <c r="MNK15" s="7"/>
      <c r="MNL15" s="7"/>
      <c r="MNM15" s="7"/>
      <c r="MNN15" s="7"/>
      <c r="MNO15" s="7"/>
      <c r="MNP15" s="7"/>
      <c r="MNQ15" s="7"/>
      <c r="MNR15" s="7"/>
      <c r="MNS15" s="7"/>
      <c r="MNT15" s="7"/>
      <c r="MNU15" s="7"/>
      <c r="MNV15" s="7"/>
      <c r="MNW15" s="7"/>
      <c r="MNX15" s="7"/>
      <c r="MNY15" s="7"/>
      <c r="MNZ15" s="7"/>
      <c r="MOA15" s="7"/>
      <c r="MOB15" s="7"/>
      <c r="MOC15" s="7"/>
      <c r="MOD15" s="7"/>
      <c r="MOE15" s="7"/>
      <c r="MOF15" s="7"/>
      <c r="MOG15" s="7"/>
      <c r="MOH15" s="7"/>
      <c r="MOI15" s="7"/>
      <c r="MOJ15" s="7"/>
      <c r="MOK15" s="7"/>
      <c r="MOL15" s="7"/>
      <c r="MOM15" s="7"/>
      <c r="MON15" s="7"/>
      <c r="MOO15" s="7"/>
      <c r="MOP15" s="7"/>
      <c r="MOQ15" s="7"/>
      <c r="MOR15" s="7"/>
      <c r="MOS15" s="7"/>
      <c r="MOT15" s="7"/>
      <c r="MOU15" s="7"/>
      <c r="MOV15" s="7"/>
      <c r="MOW15" s="7"/>
      <c r="MOX15" s="7"/>
      <c r="MOY15" s="7"/>
      <c r="MOZ15" s="7"/>
      <c r="MPA15" s="7"/>
      <c r="MPB15" s="7"/>
      <c r="MPC15" s="7"/>
      <c r="MPD15" s="7"/>
      <c r="MPE15" s="7"/>
      <c r="MPF15" s="7"/>
      <c r="MPG15" s="7"/>
      <c r="MPH15" s="7"/>
      <c r="MPI15" s="7"/>
      <c r="MPJ15" s="7"/>
      <c r="MPK15" s="7"/>
      <c r="MPL15" s="7"/>
      <c r="MPM15" s="7"/>
      <c r="MPN15" s="7"/>
      <c r="MPO15" s="7"/>
      <c r="MPP15" s="7"/>
      <c r="MPQ15" s="7"/>
      <c r="MPR15" s="7"/>
      <c r="MPS15" s="7"/>
      <c r="MPT15" s="7"/>
      <c r="MPU15" s="7"/>
      <c r="MPV15" s="7"/>
      <c r="MPW15" s="7"/>
      <c r="MPX15" s="7"/>
      <c r="MPY15" s="7"/>
      <c r="MPZ15" s="7"/>
      <c r="MQA15" s="7"/>
      <c r="MQB15" s="7"/>
      <c r="MQC15" s="7"/>
      <c r="MQD15" s="7"/>
      <c r="MQE15" s="7"/>
      <c r="MQF15" s="7"/>
      <c r="MQG15" s="7"/>
      <c r="MQH15" s="7"/>
      <c r="MQI15" s="7"/>
      <c r="MQJ15" s="7"/>
      <c r="MQK15" s="7"/>
      <c r="MQL15" s="7"/>
      <c r="MQM15" s="7"/>
      <c r="MQN15" s="7"/>
      <c r="MQO15" s="7"/>
      <c r="MQP15" s="7"/>
      <c r="MQQ15" s="7"/>
      <c r="MQR15" s="7"/>
      <c r="MQS15" s="7"/>
      <c r="MQT15" s="7"/>
      <c r="MQU15" s="7"/>
      <c r="MQV15" s="7"/>
      <c r="MQW15" s="7"/>
      <c r="MQX15" s="7"/>
      <c r="MQY15" s="7"/>
      <c r="MQZ15" s="7"/>
      <c r="MRA15" s="7"/>
      <c r="MRB15" s="7"/>
      <c r="MRC15" s="7"/>
      <c r="MRD15" s="7"/>
      <c r="MRE15" s="7"/>
      <c r="MRF15" s="7"/>
      <c r="MRG15" s="7"/>
      <c r="MRH15" s="7"/>
      <c r="MRI15" s="7"/>
      <c r="MRJ15" s="7"/>
      <c r="MRK15" s="7"/>
      <c r="MRL15" s="7"/>
      <c r="MRM15" s="7"/>
      <c r="MRN15" s="7"/>
      <c r="MRO15" s="7"/>
      <c r="MRP15" s="7"/>
      <c r="MRQ15" s="7"/>
      <c r="MRR15" s="7"/>
      <c r="MRS15" s="7"/>
      <c r="MRT15" s="7"/>
      <c r="MRU15" s="7"/>
      <c r="MRV15" s="7"/>
      <c r="MRW15" s="7"/>
      <c r="MRX15" s="7"/>
      <c r="MRY15" s="7"/>
      <c r="MRZ15" s="7"/>
      <c r="MSA15" s="7"/>
      <c r="MSB15" s="7"/>
      <c r="MSC15" s="7"/>
      <c r="MSD15" s="7"/>
      <c r="MSE15" s="7"/>
      <c r="MSF15" s="7"/>
      <c r="MSG15" s="7"/>
      <c r="MSH15" s="7"/>
      <c r="MSI15" s="7"/>
      <c r="MSJ15" s="7"/>
      <c r="MSK15" s="7"/>
      <c r="MSL15" s="7"/>
      <c r="MSM15" s="7"/>
      <c r="MSN15" s="7"/>
      <c r="MSO15" s="7"/>
      <c r="MSP15" s="7"/>
      <c r="MSQ15" s="7"/>
      <c r="MSR15" s="7"/>
      <c r="MSS15" s="7"/>
      <c r="MST15" s="7"/>
      <c r="MSU15" s="7"/>
      <c r="MSV15" s="7"/>
      <c r="MSW15" s="7"/>
      <c r="MSX15" s="7"/>
      <c r="MSY15" s="7"/>
      <c r="MSZ15" s="7"/>
      <c r="MTA15" s="7"/>
      <c r="MTB15" s="7"/>
      <c r="MTC15" s="7"/>
      <c r="MTD15" s="7"/>
      <c r="MTE15" s="7"/>
      <c r="MTF15" s="7"/>
      <c r="MTG15" s="7"/>
      <c r="MTH15" s="7"/>
      <c r="MTI15" s="7"/>
      <c r="MTJ15" s="7"/>
      <c r="MTK15" s="7"/>
      <c r="MTL15" s="7"/>
      <c r="MTM15" s="7"/>
      <c r="MTN15" s="7"/>
      <c r="MTO15" s="7"/>
      <c r="MTP15" s="7"/>
      <c r="MTQ15" s="7"/>
      <c r="MTR15" s="7"/>
      <c r="MTS15" s="7"/>
      <c r="MTT15" s="7"/>
      <c r="MTU15" s="7"/>
      <c r="MTV15" s="7"/>
      <c r="MTW15" s="7"/>
      <c r="MTX15" s="7"/>
      <c r="MTY15" s="7"/>
      <c r="MTZ15" s="7"/>
      <c r="MUA15" s="7"/>
      <c r="MUB15" s="7"/>
      <c r="MUC15" s="7"/>
      <c r="MUD15" s="7"/>
      <c r="MUE15" s="7"/>
      <c r="MUF15" s="7"/>
      <c r="MUG15" s="7"/>
      <c r="MUH15" s="7"/>
      <c r="MUI15" s="7"/>
      <c r="MUJ15" s="7"/>
      <c r="MUK15" s="7"/>
      <c r="MUL15" s="7"/>
      <c r="MUM15" s="7"/>
      <c r="MUN15" s="7"/>
      <c r="MUO15" s="7"/>
      <c r="MUP15" s="7"/>
      <c r="MUQ15" s="7"/>
      <c r="MUR15" s="7"/>
      <c r="MUS15" s="7"/>
      <c r="MUT15" s="7"/>
      <c r="MUU15" s="7"/>
      <c r="MUV15" s="7"/>
      <c r="MUW15" s="7"/>
      <c r="MUX15" s="7"/>
      <c r="MUY15" s="7"/>
      <c r="MUZ15" s="7"/>
      <c r="MVA15" s="7"/>
      <c r="MVB15" s="7"/>
      <c r="MVC15" s="7"/>
      <c r="MVD15" s="7"/>
      <c r="MVE15" s="7"/>
      <c r="MVF15" s="7"/>
      <c r="MVG15" s="7"/>
      <c r="MVH15" s="7"/>
      <c r="MVI15" s="7"/>
      <c r="MVJ15" s="7"/>
      <c r="MVK15" s="7"/>
      <c r="MVL15" s="7"/>
      <c r="MVM15" s="7"/>
      <c r="MVN15" s="7"/>
      <c r="MVO15" s="7"/>
      <c r="MVP15" s="7"/>
      <c r="MVQ15" s="7"/>
      <c r="MVR15" s="7"/>
      <c r="MVS15" s="7"/>
      <c r="MVT15" s="7"/>
      <c r="MVU15" s="7"/>
      <c r="MVV15" s="7"/>
      <c r="MVW15" s="7"/>
      <c r="MVX15" s="7"/>
      <c r="MVY15" s="7"/>
      <c r="MVZ15" s="7"/>
      <c r="MWA15" s="7"/>
      <c r="MWB15" s="7"/>
      <c r="MWC15" s="7"/>
      <c r="MWD15" s="7"/>
      <c r="MWE15" s="7"/>
      <c r="MWF15" s="7"/>
      <c r="MWG15" s="7"/>
      <c r="MWH15" s="7"/>
      <c r="MWI15" s="7"/>
      <c r="MWJ15" s="7"/>
      <c r="MWK15" s="7"/>
      <c r="MWL15" s="7"/>
      <c r="MWM15" s="7"/>
      <c r="MWN15" s="7"/>
      <c r="MWO15" s="7"/>
      <c r="MWP15" s="7"/>
      <c r="MWQ15" s="7"/>
      <c r="MWR15" s="7"/>
      <c r="MWS15" s="7"/>
      <c r="MWT15" s="7"/>
      <c r="MWU15" s="7"/>
      <c r="MWV15" s="7"/>
      <c r="MWW15" s="7"/>
      <c r="MWX15" s="7"/>
      <c r="MWY15" s="7"/>
      <c r="MWZ15" s="7"/>
      <c r="MXA15" s="7"/>
      <c r="MXB15" s="7"/>
      <c r="MXC15" s="7"/>
      <c r="MXD15" s="7"/>
      <c r="MXE15" s="7"/>
      <c r="MXF15" s="7"/>
      <c r="MXG15" s="7"/>
      <c r="MXH15" s="7"/>
      <c r="MXI15" s="7"/>
      <c r="MXJ15" s="7"/>
      <c r="MXK15" s="7"/>
      <c r="MXL15" s="7"/>
      <c r="MXM15" s="7"/>
      <c r="MXN15" s="7"/>
      <c r="MXO15" s="7"/>
      <c r="MXP15" s="7"/>
      <c r="MXQ15" s="7"/>
      <c r="MXR15" s="7"/>
      <c r="MXS15" s="7"/>
      <c r="MXT15" s="7"/>
      <c r="MXU15" s="7"/>
      <c r="MXV15" s="7"/>
      <c r="MXW15" s="7"/>
      <c r="MXX15" s="7"/>
      <c r="MXY15" s="7"/>
      <c r="MXZ15" s="7"/>
      <c r="MYA15" s="7"/>
      <c r="MYB15" s="7"/>
      <c r="MYC15" s="7"/>
      <c r="MYD15" s="7"/>
      <c r="MYE15" s="7"/>
      <c r="MYF15" s="7"/>
      <c r="MYG15" s="7"/>
      <c r="MYH15" s="7"/>
      <c r="MYI15" s="7"/>
      <c r="MYJ15" s="7"/>
      <c r="MYK15" s="7"/>
      <c r="MYL15" s="7"/>
      <c r="MYM15" s="7"/>
      <c r="MYN15" s="7"/>
      <c r="MYO15" s="7"/>
      <c r="MYP15" s="7"/>
      <c r="MYQ15" s="7"/>
      <c r="MYR15" s="7"/>
      <c r="MYS15" s="7"/>
      <c r="MYT15" s="7"/>
      <c r="MYU15" s="7"/>
      <c r="MYV15" s="7"/>
      <c r="MYW15" s="7"/>
      <c r="MYX15" s="7"/>
      <c r="MYY15" s="7"/>
      <c r="MYZ15" s="7"/>
      <c r="MZA15" s="7"/>
      <c r="MZB15" s="7"/>
      <c r="MZC15" s="7"/>
      <c r="MZD15" s="7"/>
      <c r="MZE15" s="7"/>
      <c r="MZF15" s="7"/>
      <c r="MZG15" s="7"/>
      <c r="MZH15" s="7"/>
      <c r="MZI15" s="7"/>
      <c r="MZJ15" s="7"/>
      <c r="MZK15" s="7"/>
      <c r="MZL15" s="7"/>
      <c r="MZM15" s="7"/>
      <c r="MZN15" s="7"/>
      <c r="MZO15" s="7"/>
      <c r="MZP15" s="7"/>
      <c r="MZQ15" s="7"/>
      <c r="MZR15" s="7"/>
      <c r="MZS15" s="7"/>
      <c r="MZT15" s="7"/>
      <c r="MZU15" s="7"/>
      <c r="MZV15" s="7"/>
      <c r="MZW15" s="7"/>
      <c r="MZX15" s="7"/>
      <c r="MZY15" s="7"/>
      <c r="MZZ15" s="7"/>
      <c r="NAA15" s="7"/>
      <c r="NAB15" s="7"/>
      <c r="NAC15" s="7"/>
      <c r="NAD15" s="7"/>
      <c r="NAE15" s="7"/>
      <c r="NAF15" s="7"/>
      <c r="NAG15" s="7"/>
      <c r="NAH15" s="7"/>
      <c r="NAI15" s="7"/>
      <c r="NAJ15" s="7"/>
      <c r="NAK15" s="7"/>
      <c r="NAL15" s="7"/>
      <c r="NAM15" s="7"/>
      <c r="NAN15" s="7"/>
      <c r="NAO15" s="7"/>
      <c r="NAP15" s="7"/>
      <c r="NAQ15" s="7"/>
      <c r="NAR15" s="7"/>
      <c r="NAS15" s="7"/>
      <c r="NAT15" s="7"/>
      <c r="NAU15" s="7"/>
      <c r="NAV15" s="7"/>
      <c r="NAW15" s="7"/>
      <c r="NAX15" s="7"/>
      <c r="NAY15" s="7"/>
      <c r="NAZ15" s="7"/>
      <c r="NBA15" s="7"/>
      <c r="NBB15" s="7"/>
      <c r="NBC15" s="7"/>
      <c r="NBD15" s="7"/>
      <c r="NBE15" s="7"/>
      <c r="NBF15" s="7"/>
      <c r="NBG15" s="7"/>
      <c r="NBH15" s="7"/>
      <c r="NBI15" s="7"/>
      <c r="NBJ15" s="7"/>
      <c r="NBK15" s="7"/>
      <c r="NBL15" s="7"/>
      <c r="NBM15" s="7"/>
      <c r="NBN15" s="7"/>
      <c r="NBO15" s="7"/>
      <c r="NBP15" s="7"/>
      <c r="NBQ15" s="7"/>
      <c r="NBR15" s="7"/>
      <c r="NBS15" s="7"/>
      <c r="NBT15" s="7"/>
      <c r="NBU15" s="7"/>
      <c r="NBV15" s="7"/>
      <c r="NBW15" s="7"/>
      <c r="NBX15" s="7"/>
      <c r="NBY15" s="7"/>
      <c r="NBZ15" s="7"/>
      <c r="NCA15" s="7"/>
      <c r="NCB15" s="7"/>
      <c r="NCC15" s="7"/>
      <c r="NCD15" s="7"/>
      <c r="NCE15" s="7"/>
      <c r="NCF15" s="7"/>
      <c r="NCG15" s="7"/>
      <c r="NCH15" s="7"/>
      <c r="NCI15" s="7"/>
      <c r="NCJ15" s="7"/>
      <c r="NCK15" s="7"/>
      <c r="NCL15" s="7"/>
      <c r="NCM15" s="7"/>
      <c r="NCN15" s="7"/>
      <c r="NCO15" s="7"/>
      <c r="NCP15" s="7"/>
      <c r="NCQ15" s="7"/>
      <c r="NCR15" s="7"/>
      <c r="NCS15" s="7"/>
      <c r="NCT15" s="7"/>
      <c r="NCU15" s="7"/>
      <c r="NCV15" s="7"/>
      <c r="NCW15" s="7"/>
      <c r="NCX15" s="7"/>
      <c r="NCY15" s="7"/>
      <c r="NCZ15" s="7"/>
      <c r="NDA15" s="7"/>
      <c r="NDB15" s="7"/>
      <c r="NDC15" s="7"/>
      <c r="NDD15" s="7"/>
      <c r="NDE15" s="7"/>
      <c r="NDF15" s="7"/>
      <c r="NDG15" s="7"/>
      <c r="NDH15" s="7"/>
      <c r="NDI15" s="7"/>
      <c r="NDJ15" s="7"/>
      <c r="NDK15" s="7"/>
      <c r="NDL15" s="7"/>
      <c r="NDM15" s="7"/>
      <c r="NDN15" s="7"/>
      <c r="NDO15" s="7"/>
      <c r="NDP15" s="7"/>
      <c r="NDQ15" s="7"/>
      <c r="NDR15" s="7"/>
      <c r="NDS15" s="7"/>
      <c r="NDT15" s="7"/>
      <c r="NDU15" s="7"/>
      <c r="NDV15" s="7"/>
      <c r="NDW15" s="7"/>
      <c r="NDX15" s="7"/>
      <c r="NDY15" s="7"/>
      <c r="NDZ15" s="7"/>
      <c r="NEA15" s="7"/>
      <c r="NEB15" s="7"/>
      <c r="NEC15" s="7"/>
      <c r="NED15" s="7"/>
      <c r="NEE15" s="7"/>
      <c r="NEF15" s="7"/>
      <c r="NEG15" s="7"/>
      <c r="NEH15" s="7"/>
      <c r="NEI15" s="7"/>
      <c r="NEJ15" s="7"/>
      <c r="NEK15" s="7"/>
      <c r="NEL15" s="7"/>
      <c r="NEM15" s="7"/>
      <c r="NEN15" s="7"/>
      <c r="NEO15" s="7"/>
      <c r="NEP15" s="7"/>
      <c r="NEQ15" s="7"/>
      <c r="NER15" s="7"/>
      <c r="NES15" s="7"/>
      <c r="NET15" s="7"/>
      <c r="NEU15" s="7"/>
      <c r="NEV15" s="7"/>
      <c r="NEW15" s="7"/>
      <c r="NEX15" s="7"/>
      <c r="NEY15" s="7"/>
      <c r="NEZ15" s="7"/>
      <c r="NFA15" s="7"/>
      <c r="NFB15" s="7"/>
      <c r="NFC15" s="7"/>
      <c r="NFD15" s="7"/>
      <c r="NFE15" s="7"/>
      <c r="NFF15" s="7"/>
      <c r="NFG15" s="7"/>
      <c r="NFH15" s="7"/>
      <c r="NFI15" s="7"/>
      <c r="NFJ15" s="7"/>
      <c r="NFK15" s="7"/>
      <c r="NFL15" s="7"/>
      <c r="NFM15" s="7"/>
      <c r="NFN15" s="7"/>
      <c r="NFO15" s="7"/>
      <c r="NFP15" s="7"/>
      <c r="NFQ15" s="7"/>
      <c r="NFR15" s="7"/>
      <c r="NFS15" s="7"/>
      <c r="NFT15" s="7"/>
      <c r="NFU15" s="7"/>
      <c r="NFV15" s="7"/>
      <c r="NFW15" s="7"/>
      <c r="NFX15" s="7"/>
      <c r="NFY15" s="7"/>
      <c r="NFZ15" s="7"/>
      <c r="NGA15" s="7"/>
      <c r="NGB15" s="7"/>
      <c r="NGC15" s="7"/>
      <c r="NGD15" s="7"/>
      <c r="NGE15" s="7"/>
      <c r="NGF15" s="7"/>
      <c r="NGG15" s="7"/>
      <c r="NGH15" s="7"/>
      <c r="NGI15" s="7"/>
      <c r="NGJ15" s="7"/>
      <c r="NGK15" s="7"/>
      <c r="NGL15" s="7"/>
      <c r="NGM15" s="7"/>
      <c r="NGN15" s="7"/>
      <c r="NGO15" s="7"/>
      <c r="NGP15" s="7"/>
      <c r="NGQ15" s="7"/>
      <c r="NGR15" s="7"/>
      <c r="NGS15" s="7"/>
      <c r="NGT15" s="7"/>
      <c r="NGU15" s="7"/>
      <c r="NGV15" s="7"/>
      <c r="NGW15" s="7"/>
      <c r="NGX15" s="7"/>
      <c r="NGY15" s="7"/>
      <c r="NGZ15" s="7"/>
      <c r="NHA15" s="7"/>
      <c r="NHB15" s="7"/>
      <c r="NHC15" s="7"/>
      <c r="NHD15" s="7"/>
      <c r="NHE15" s="7"/>
      <c r="NHF15" s="7"/>
      <c r="NHG15" s="7"/>
      <c r="NHH15" s="7"/>
      <c r="NHI15" s="7"/>
      <c r="NHJ15" s="7"/>
      <c r="NHK15" s="7"/>
      <c r="NHL15" s="7"/>
      <c r="NHM15" s="7"/>
      <c r="NHN15" s="7"/>
      <c r="NHO15" s="7"/>
      <c r="NHP15" s="7"/>
      <c r="NHQ15" s="7"/>
      <c r="NHR15" s="7"/>
      <c r="NHS15" s="7"/>
      <c r="NHT15" s="7"/>
      <c r="NHU15" s="7"/>
      <c r="NHV15" s="7"/>
      <c r="NHW15" s="7"/>
      <c r="NHX15" s="7"/>
      <c r="NHY15" s="7"/>
      <c r="NHZ15" s="7"/>
      <c r="NIA15" s="7"/>
      <c r="NIB15" s="7"/>
      <c r="NIC15" s="7"/>
      <c r="NID15" s="7"/>
      <c r="NIE15" s="7"/>
      <c r="NIF15" s="7"/>
      <c r="NIG15" s="7"/>
      <c r="NIH15" s="7"/>
      <c r="NII15" s="7"/>
      <c r="NIJ15" s="7"/>
      <c r="NIK15" s="7"/>
      <c r="NIL15" s="7"/>
      <c r="NIM15" s="7"/>
      <c r="NIN15" s="7"/>
      <c r="NIO15" s="7"/>
      <c r="NIP15" s="7"/>
      <c r="NIQ15" s="7"/>
      <c r="NIR15" s="7"/>
      <c r="NIS15" s="7"/>
      <c r="NIT15" s="7"/>
      <c r="NIU15" s="7"/>
      <c r="NIV15" s="7"/>
      <c r="NIW15" s="7"/>
      <c r="NIX15" s="7"/>
      <c r="NIY15" s="7"/>
      <c r="NIZ15" s="7"/>
      <c r="NJA15" s="7"/>
      <c r="NJB15" s="7"/>
      <c r="NJC15" s="7"/>
      <c r="NJD15" s="7"/>
      <c r="NJE15" s="7"/>
      <c r="NJF15" s="7"/>
      <c r="NJG15" s="7"/>
      <c r="NJH15" s="7"/>
      <c r="NJI15" s="7"/>
      <c r="NJJ15" s="7"/>
      <c r="NJK15" s="7"/>
      <c r="NJL15" s="7"/>
      <c r="NJM15" s="7"/>
      <c r="NJN15" s="7"/>
      <c r="NJO15" s="7"/>
      <c r="NJP15" s="7"/>
      <c r="NJQ15" s="7"/>
      <c r="NJR15" s="7"/>
      <c r="NJS15" s="7"/>
      <c r="NJT15" s="7"/>
      <c r="NJU15" s="7"/>
      <c r="NJV15" s="7"/>
      <c r="NJW15" s="7"/>
      <c r="NJX15" s="7"/>
      <c r="NJY15" s="7"/>
      <c r="NJZ15" s="7"/>
      <c r="NKA15" s="7"/>
      <c r="NKB15" s="7"/>
      <c r="NKC15" s="7"/>
      <c r="NKD15" s="7"/>
      <c r="NKE15" s="7"/>
      <c r="NKF15" s="7"/>
      <c r="NKG15" s="7"/>
      <c r="NKH15" s="7"/>
      <c r="NKI15" s="7"/>
      <c r="NKJ15" s="7"/>
      <c r="NKK15" s="7"/>
      <c r="NKL15" s="7"/>
      <c r="NKM15" s="7"/>
      <c r="NKN15" s="7"/>
      <c r="NKO15" s="7"/>
      <c r="NKP15" s="7"/>
      <c r="NKQ15" s="7"/>
      <c r="NKR15" s="7"/>
      <c r="NKS15" s="7"/>
      <c r="NKT15" s="7"/>
      <c r="NKU15" s="7"/>
      <c r="NKV15" s="7"/>
      <c r="NKW15" s="7"/>
      <c r="NKX15" s="7"/>
      <c r="NKY15" s="7"/>
      <c r="NKZ15" s="7"/>
      <c r="NLA15" s="7"/>
      <c r="NLB15" s="7"/>
      <c r="NLC15" s="7"/>
      <c r="NLD15" s="7"/>
      <c r="NLE15" s="7"/>
      <c r="NLF15" s="7"/>
      <c r="NLG15" s="7"/>
      <c r="NLH15" s="7"/>
      <c r="NLI15" s="7"/>
      <c r="NLJ15" s="7"/>
      <c r="NLK15" s="7"/>
      <c r="NLL15" s="7"/>
      <c r="NLM15" s="7"/>
      <c r="NLN15" s="7"/>
      <c r="NLO15" s="7"/>
      <c r="NLP15" s="7"/>
      <c r="NLQ15" s="7"/>
      <c r="NLR15" s="7"/>
      <c r="NLS15" s="7"/>
      <c r="NLT15" s="7"/>
      <c r="NLU15" s="7"/>
      <c r="NLV15" s="7"/>
      <c r="NLW15" s="7"/>
      <c r="NLX15" s="7"/>
      <c r="NLY15" s="7"/>
      <c r="NLZ15" s="7"/>
      <c r="NMA15" s="7"/>
      <c r="NMB15" s="7"/>
      <c r="NMC15" s="7"/>
      <c r="NMD15" s="7"/>
      <c r="NME15" s="7"/>
      <c r="NMF15" s="7"/>
      <c r="NMG15" s="7"/>
      <c r="NMH15" s="7"/>
      <c r="NMI15" s="7"/>
      <c r="NMJ15" s="7"/>
      <c r="NMK15" s="7"/>
      <c r="NML15" s="7"/>
      <c r="NMM15" s="7"/>
      <c r="NMN15" s="7"/>
      <c r="NMO15" s="7"/>
      <c r="NMP15" s="7"/>
      <c r="NMQ15" s="7"/>
      <c r="NMR15" s="7"/>
      <c r="NMS15" s="7"/>
      <c r="NMT15" s="7"/>
      <c r="NMU15" s="7"/>
      <c r="NMV15" s="7"/>
      <c r="NMW15" s="7"/>
      <c r="NMX15" s="7"/>
      <c r="NMY15" s="7"/>
      <c r="NMZ15" s="7"/>
      <c r="NNA15" s="7"/>
      <c r="NNB15" s="7"/>
      <c r="NNC15" s="7"/>
      <c r="NND15" s="7"/>
      <c r="NNE15" s="7"/>
      <c r="NNF15" s="7"/>
      <c r="NNG15" s="7"/>
      <c r="NNH15" s="7"/>
      <c r="NNI15" s="7"/>
      <c r="NNJ15" s="7"/>
      <c r="NNK15" s="7"/>
      <c r="NNL15" s="7"/>
      <c r="NNM15" s="7"/>
      <c r="NNN15" s="7"/>
      <c r="NNO15" s="7"/>
      <c r="NNP15" s="7"/>
      <c r="NNQ15" s="7"/>
      <c r="NNR15" s="7"/>
      <c r="NNS15" s="7"/>
      <c r="NNT15" s="7"/>
      <c r="NNU15" s="7"/>
      <c r="NNV15" s="7"/>
      <c r="NNW15" s="7"/>
      <c r="NNX15" s="7"/>
      <c r="NNY15" s="7"/>
      <c r="NNZ15" s="7"/>
      <c r="NOA15" s="7"/>
      <c r="NOB15" s="7"/>
      <c r="NOC15" s="7"/>
      <c r="NOD15" s="7"/>
      <c r="NOE15" s="7"/>
      <c r="NOF15" s="7"/>
      <c r="NOG15" s="7"/>
      <c r="NOH15" s="7"/>
      <c r="NOI15" s="7"/>
      <c r="NOJ15" s="7"/>
      <c r="NOK15" s="7"/>
      <c r="NOL15" s="7"/>
      <c r="NOM15" s="7"/>
      <c r="NON15" s="7"/>
      <c r="NOO15" s="7"/>
      <c r="NOP15" s="7"/>
      <c r="NOQ15" s="7"/>
      <c r="NOR15" s="7"/>
      <c r="NOS15" s="7"/>
      <c r="NOT15" s="7"/>
      <c r="NOU15" s="7"/>
      <c r="NOV15" s="7"/>
      <c r="NOW15" s="7"/>
      <c r="NOX15" s="7"/>
      <c r="NOY15" s="7"/>
      <c r="NOZ15" s="7"/>
      <c r="NPA15" s="7"/>
      <c r="NPB15" s="7"/>
      <c r="NPC15" s="7"/>
      <c r="NPD15" s="7"/>
      <c r="NPE15" s="7"/>
      <c r="NPF15" s="7"/>
      <c r="NPG15" s="7"/>
      <c r="NPH15" s="7"/>
      <c r="NPI15" s="7"/>
      <c r="NPJ15" s="7"/>
      <c r="NPK15" s="7"/>
      <c r="NPL15" s="7"/>
      <c r="NPM15" s="7"/>
      <c r="NPN15" s="7"/>
      <c r="NPO15" s="7"/>
      <c r="NPP15" s="7"/>
      <c r="NPQ15" s="7"/>
      <c r="NPR15" s="7"/>
      <c r="NPS15" s="7"/>
      <c r="NPT15" s="7"/>
      <c r="NPU15" s="7"/>
      <c r="NPV15" s="7"/>
      <c r="NPW15" s="7"/>
      <c r="NPX15" s="7"/>
      <c r="NPY15" s="7"/>
      <c r="NPZ15" s="7"/>
      <c r="NQA15" s="7"/>
      <c r="NQB15" s="7"/>
      <c r="NQC15" s="7"/>
      <c r="NQD15" s="7"/>
      <c r="NQE15" s="7"/>
      <c r="NQF15" s="7"/>
      <c r="NQG15" s="7"/>
      <c r="NQH15" s="7"/>
      <c r="NQI15" s="7"/>
      <c r="NQJ15" s="7"/>
      <c r="NQK15" s="7"/>
      <c r="NQL15" s="7"/>
      <c r="NQM15" s="7"/>
      <c r="NQN15" s="7"/>
      <c r="NQO15" s="7"/>
      <c r="NQP15" s="7"/>
      <c r="NQQ15" s="7"/>
      <c r="NQR15" s="7"/>
      <c r="NQS15" s="7"/>
      <c r="NQT15" s="7"/>
      <c r="NQU15" s="7"/>
      <c r="NQV15" s="7"/>
      <c r="NQW15" s="7"/>
      <c r="NQX15" s="7"/>
      <c r="NQY15" s="7"/>
      <c r="NQZ15" s="7"/>
      <c r="NRA15" s="7"/>
      <c r="NRB15" s="7"/>
      <c r="NRC15" s="7"/>
      <c r="NRD15" s="7"/>
      <c r="NRE15" s="7"/>
      <c r="NRF15" s="7"/>
      <c r="NRG15" s="7"/>
      <c r="NRH15" s="7"/>
      <c r="NRI15" s="7"/>
      <c r="NRJ15" s="7"/>
      <c r="NRK15" s="7"/>
      <c r="NRL15" s="7"/>
      <c r="NRM15" s="7"/>
      <c r="NRN15" s="7"/>
      <c r="NRO15" s="7"/>
      <c r="NRP15" s="7"/>
      <c r="NRQ15" s="7"/>
      <c r="NRR15" s="7"/>
      <c r="NRS15" s="7"/>
      <c r="NRT15" s="7"/>
      <c r="NRU15" s="7"/>
      <c r="NRV15" s="7"/>
      <c r="NRW15" s="7"/>
      <c r="NRX15" s="7"/>
      <c r="NRY15" s="7"/>
      <c r="NRZ15" s="7"/>
      <c r="NSA15" s="7"/>
      <c r="NSB15" s="7"/>
      <c r="NSC15" s="7"/>
      <c r="NSD15" s="7"/>
      <c r="NSE15" s="7"/>
      <c r="NSF15" s="7"/>
      <c r="NSG15" s="7"/>
      <c r="NSH15" s="7"/>
      <c r="NSI15" s="7"/>
      <c r="NSJ15" s="7"/>
      <c r="NSK15" s="7"/>
      <c r="NSL15" s="7"/>
      <c r="NSM15" s="7"/>
      <c r="NSN15" s="7"/>
      <c r="NSO15" s="7"/>
      <c r="NSP15" s="7"/>
      <c r="NSQ15" s="7"/>
      <c r="NSR15" s="7"/>
      <c r="NSS15" s="7"/>
      <c r="NST15" s="7"/>
      <c r="NSU15" s="7"/>
      <c r="NSV15" s="7"/>
      <c r="NSW15" s="7"/>
      <c r="NSX15" s="7"/>
      <c r="NSY15" s="7"/>
      <c r="NSZ15" s="7"/>
      <c r="NTA15" s="7"/>
      <c r="NTB15" s="7"/>
      <c r="NTC15" s="7"/>
      <c r="NTD15" s="7"/>
      <c r="NTE15" s="7"/>
      <c r="NTF15" s="7"/>
      <c r="NTG15" s="7"/>
      <c r="NTH15" s="7"/>
      <c r="NTI15" s="7"/>
      <c r="NTJ15" s="7"/>
      <c r="NTK15" s="7"/>
      <c r="NTL15" s="7"/>
      <c r="NTM15" s="7"/>
      <c r="NTN15" s="7"/>
      <c r="NTO15" s="7"/>
      <c r="NTP15" s="7"/>
      <c r="NTQ15" s="7"/>
      <c r="NTR15" s="7"/>
      <c r="NTS15" s="7"/>
      <c r="NTT15" s="7"/>
      <c r="NTU15" s="7"/>
      <c r="NTV15" s="7"/>
      <c r="NTW15" s="7"/>
      <c r="NTX15" s="7"/>
      <c r="NTY15" s="7"/>
      <c r="NTZ15" s="7"/>
      <c r="NUA15" s="7"/>
      <c r="NUB15" s="7"/>
      <c r="NUC15" s="7"/>
      <c r="NUD15" s="7"/>
      <c r="NUE15" s="7"/>
      <c r="NUF15" s="7"/>
      <c r="NUG15" s="7"/>
      <c r="NUH15" s="7"/>
      <c r="NUI15" s="7"/>
      <c r="NUJ15" s="7"/>
      <c r="NUK15" s="7"/>
      <c r="NUL15" s="7"/>
      <c r="NUM15" s="7"/>
      <c r="NUN15" s="7"/>
      <c r="NUO15" s="7"/>
      <c r="NUP15" s="7"/>
      <c r="NUQ15" s="7"/>
      <c r="NUR15" s="7"/>
      <c r="NUS15" s="7"/>
      <c r="NUT15" s="7"/>
      <c r="NUU15" s="7"/>
      <c r="NUV15" s="7"/>
      <c r="NUW15" s="7"/>
      <c r="NUX15" s="7"/>
      <c r="NUY15" s="7"/>
      <c r="NUZ15" s="7"/>
      <c r="NVA15" s="7"/>
      <c r="NVB15" s="7"/>
      <c r="NVC15" s="7"/>
      <c r="NVD15" s="7"/>
      <c r="NVE15" s="7"/>
      <c r="NVF15" s="7"/>
      <c r="NVG15" s="7"/>
      <c r="NVH15" s="7"/>
      <c r="NVI15" s="7"/>
      <c r="NVJ15" s="7"/>
      <c r="NVK15" s="7"/>
      <c r="NVL15" s="7"/>
      <c r="NVM15" s="7"/>
      <c r="NVN15" s="7"/>
      <c r="NVO15" s="7"/>
      <c r="NVP15" s="7"/>
      <c r="NVQ15" s="7"/>
      <c r="NVR15" s="7"/>
      <c r="NVS15" s="7"/>
      <c r="NVT15" s="7"/>
      <c r="NVU15" s="7"/>
      <c r="NVV15" s="7"/>
      <c r="NVW15" s="7"/>
      <c r="NVX15" s="7"/>
      <c r="NVY15" s="7"/>
      <c r="NVZ15" s="7"/>
      <c r="NWA15" s="7"/>
      <c r="NWB15" s="7"/>
      <c r="NWC15" s="7"/>
      <c r="NWD15" s="7"/>
      <c r="NWE15" s="7"/>
      <c r="NWF15" s="7"/>
      <c r="NWG15" s="7"/>
      <c r="NWH15" s="7"/>
      <c r="NWI15" s="7"/>
      <c r="NWJ15" s="7"/>
      <c r="NWK15" s="7"/>
      <c r="NWL15" s="7"/>
      <c r="NWM15" s="7"/>
      <c r="NWN15" s="7"/>
      <c r="NWO15" s="7"/>
      <c r="NWP15" s="7"/>
      <c r="NWQ15" s="7"/>
      <c r="NWR15" s="7"/>
      <c r="NWS15" s="7"/>
      <c r="NWT15" s="7"/>
      <c r="NWU15" s="7"/>
      <c r="NWV15" s="7"/>
      <c r="NWW15" s="7"/>
      <c r="NWX15" s="7"/>
      <c r="NWY15" s="7"/>
      <c r="NWZ15" s="7"/>
      <c r="NXA15" s="7"/>
      <c r="NXB15" s="7"/>
      <c r="NXC15" s="7"/>
      <c r="NXD15" s="7"/>
      <c r="NXE15" s="7"/>
      <c r="NXF15" s="7"/>
      <c r="NXG15" s="7"/>
      <c r="NXH15" s="7"/>
      <c r="NXI15" s="7"/>
      <c r="NXJ15" s="7"/>
      <c r="NXK15" s="7"/>
      <c r="NXL15" s="7"/>
      <c r="NXM15" s="7"/>
      <c r="NXN15" s="7"/>
      <c r="NXO15" s="7"/>
      <c r="NXP15" s="7"/>
      <c r="NXQ15" s="7"/>
      <c r="NXR15" s="7"/>
      <c r="NXS15" s="7"/>
      <c r="NXT15" s="7"/>
      <c r="NXU15" s="7"/>
      <c r="NXV15" s="7"/>
      <c r="NXW15" s="7"/>
      <c r="NXX15" s="7"/>
      <c r="NXY15" s="7"/>
      <c r="NXZ15" s="7"/>
      <c r="NYA15" s="7"/>
      <c r="NYB15" s="7"/>
      <c r="NYC15" s="7"/>
      <c r="NYD15" s="7"/>
      <c r="NYE15" s="7"/>
      <c r="NYF15" s="7"/>
      <c r="NYG15" s="7"/>
      <c r="NYH15" s="7"/>
      <c r="NYI15" s="7"/>
      <c r="NYJ15" s="7"/>
      <c r="NYK15" s="7"/>
      <c r="NYL15" s="7"/>
      <c r="NYM15" s="7"/>
      <c r="NYN15" s="7"/>
      <c r="NYO15" s="7"/>
      <c r="NYP15" s="7"/>
      <c r="NYQ15" s="7"/>
      <c r="NYR15" s="7"/>
      <c r="NYS15" s="7"/>
      <c r="NYT15" s="7"/>
      <c r="NYU15" s="7"/>
      <c r="NYV15" s="7"/>
      <c r="NYW15" s="7"/>
      <c r="NYX15" s="7"/>
      <c r="NYY15" s="7"/>
      <c r="NYZ15" s="7"/>
      <c r="NZA15" s="7"/>
      <c r="NZB15" s="7"/>
      <c r="NZC15" s="7"/>
      <c r="NZD15" s="7"/>
      <c r="NZE15" s="7"/>
      <c r="NZF15" s="7"/>
      <c r="NZG15" s="7"/>
      <c r="NZH15" s="7"/>
      <c r="NZI15" s="7"/>
      <c r="NZJ15" s="7"/>
      <c r="NZK15" s="7"/>
      <c r="NZL15" s="7"/>
      <c r="NZM15" s="7"/>
      <c r="NZN15" s="7"/>
      <c r="NZO15" s="7"/>
      <c r="NZP15" s="7"/>
      <c r="NZQ15" s="7"/>
      <c r="NZR15" s="7"/>
      <c r="NZS15" s="7"/>
      <c r="NZT15" s="7"/>
      <c r="NZU15" s="7"/>
      <c r="NZV15" s="7"/>
      <c r="NZW15" s="7"/>
      <c r="NZX15" s="7"/>
      <c r="NZY15" s="7"/>
      <c r="NZZ15" s="7"/>
      <c r="OAA15" s="7"/>
      <c r="OAB15" s="7"/>
      <c r="OAC15" s="7"/>
      <c r="OAD15" s="7"/>
      <c r="OAE15" s="7"/>
      <c r="OAF15" s="7"/>
      <c r="OAG15" s="7"/>
      <c r="OAH15" s="7"/>
      <c r="OAI15" s="7"/>
      <c r="OAJ15" s="7"/>
      <c r="OAK15" s="7"/>
      <c r="OAL15" s="7"/>
      <c r="OAM15" s="7"/>
      <c r="OAN15" s="7"/>
      <c r="OAO15" s="7"/>
      <c r="OAP15" s="7"/>
      <c r="OAQ15" s="7"/>
      <c r="OAR15" s="7"/>
      <c r="OAS15" s="7"/>
      <c r="OAT15" s="7"/>
      <c r="OAU15" s="7"/>
      <c r="OAV15" s="7"/>
      <c r="OAW15" s="7"/>
      <c r="OAX15" s="7"/>
      <c r="OAY15" s="7"/>
      <c r="OAZ15" s="7"/>
      <c r="OBA15" s="7"/>
      <c r="OBB15" s="7"/>
      <c r="OBC15" s="7"/>
      <c r="OBD15" s="7"/>
      <c r="OBE15" s="7"/>
      <c r="OBF15" s="7"/>
      <c r="OBG15" s="7"/>
      <c r="OBH15" s="7"/>
      <c r="OBI15" s="7"/>
      <c r="OBJ15" s="7"/>
      <c r="OBK15" s="7"/>
      <c r="OBL15" s="7"/>
      <c r="OBM15" s="7"/>
      <c r="OBN15" s="7"/>
      <c r="OBO15" s="7"/>
      <c r="OBP15" s="7"/>
      <c r="OBQ15" s="7"/>
      <c r="OBR15" s="7"/>
      <c r="OBS15" s="7"/>
      <c r="OBT15" s="7"/>
      <c r="OBU15" s="7"/>
      <c r="OBV15" s="7"/>
      <c r="OBW15" s="7"/>
      <c r="OBX15" s="7"/>
      <c r="OBY15" s="7"/>
      <c r="OBZ15" s="7"/>
      <c r="OCA15" s="7"/>
      <c r="OCB15" s="7"/>
      <c r="OCC15" s="7"/>
      <c r="OCD15" s="7"/>
      <c r="OCE15" s="7"/>
      <c r="OCF15" s="7"/>
      <c r="OCG15" s="7"/>
      <c r="OCH15" s="7"/>
      <c r="OCI15" s="7"/>
      <c r="OCJ15" s="7"/>
      <c r="OCK15" s="7"/>
      <c r="OCL15" s="7"/>
      <c r="OCM15" s="7"/>
      <c r="OCN15" s="7"/>
      <c r="OCO15" s="7"/>
      <c r="OCP15" s="7"/>
      <c r="OCQ15" s="7"/>
      <c r="OCR15" s="7"/>
      <c r="OCS15" s="7"/>
      <c r="OCT15" s="7"/>
      <c r="OCU15" s="7"/>
      <c r="OCV15" s="7"/>
      <c r="OCW15" s="7"/>
      <c r="OCX15" s="7"/>
      <c r="OCY15" s="7"/>
      <c r="OCZ15" s="7"/>
      <c r="ODA15" s="7"/>
      <c r="ODB15" s="7"/>
      <c r="ODC15" s="7"/>
      <c r="ODD15" s="7"/>
      <c r="ODE15" s="7"/>
      <c r="ODF15" s="7"/>
      <c r="ODG15" s="7"/>
      <c r="ODH15" s="7"/>
      <c r="ODI15" s="7"/>
      <c r="ODJ15" s="7"/>
      <c r="ODK15" s="7"/>
      <c r="ODL15" s="7"/>
      <c r="ODM15" s="7"/>
      <c r="ODN15" s="7"/>
      <c r="ODO15" s="7"/>
      <c r="ODP15" s="7"/>
      <c r="ODQ15" s="7"/>
      <c r="ODR15" s="7"/>
      <c r="ODS15" s="7"/>
      <c r="ODT15" s="7"/>
      <c r="ODU15" s="7"/>
      <c r="ODV15" s="7"/>
      <c r="ODW15" s="7"/>
      <c r="ODX15" s="7"/>
      <c r="ODY15" s="7"/>
      <c r="ODZ15" s="7"/>
      <c r="OEA15" s="7"/>
      <c r="OEB15" s="7"/>
      <c r="OEC15" s="7"/>
      <c r="OED15" s="7"/>
      <c r="OEE15" s="7"/>
      <c r="OEF15" s="7"/>
      <c r="OEG15" s="7"/>
      <c r="OEH15" s="7"/>
      <c r="OEI15" s="7"/>
      <c r="OEJ15" s="7"/>
      <c r="OEK15" s="7"/>
      <c r="OEL15" s="7"/>
      <c r="OEM15" s="7"/>
      <c r="OEN15" s="7"/>
      <c r="OEO15" s="7"/>
      <c r="OEP15" s="7"/>
      <c r="OEQ15" s="7"/>
      <c r="OER15" s="7"/>
      <c r="OES15" s="7"/>
      <c r="OET15" s="7"/>
      <c r="OEU15" s="7"/>
      <c r="OEV15" s="7"/>
      <c r="OEW15" s="7"/>
      <c r="OEX15" s="7"/>
      <c r="OEY15" s="7"/>
      <c r="OEZ15" s="7"/>
      <c r="OFA15" s="7"/>
      <c r="OFB15" s="7"/>
      <c r="OFC15" s="7"/>
      <c r="OFD15" s="7"/>
      <c r="OFE15" s="7"/>
      <c r="OFF15" s="7"/>
      <c r="OFG15" s="7"/>
      <c r="OFH15" s="7"/>
      <c r="OFI15" s="7"/>
      <c r="OFJ15" s="7"/>
      <c r="OFK15" s="7"/>
      <c r="OFL15" s="7"/>
      <c r="OFM15" s="7"/>
      <c r="OFN15" s="7"/>
      <c r="OFO15" s="7"/>
      <c r="OFP15" s="7"/>
      <c r="OFQ15" s="7"/>
      <c r="OFR15" s="7"/>
      <c r="OFS15" s="7"/>
      <c r="OFT15" s="7"/>
      <c r="OFU15" s="7"/>
      <c r="OFV15" s="7"/>
      <c r="OFW15" s="7"/>
      <c r="OFX15" s="7"/>
      <c r="OFY15" s="7"/>
      <c r="OFZ15" s="7"/>
      <c r="OGA15" s="7"/>
      <c r="OGB15" s="7"/>
      <c r="OGC15" s="7"/>
      <c r="OGD15" s="7"/>
      <c r="OGE15" s="7"/>
      <c r="OGF15" s="7"/>
      <c r="OGG15" s="7"/>
      <c r="OGH15" s="7"/>
      <c r="OGI15" s="7"/>
      <c r="OGJ15" s="7"/>
      <c r="OGK15" s="7"/>
      <c r="OGL15" s="7"/>
      <c r="OGM15" s="7"/>
      <c r="OGN15" s="7"/>
      <c r="OGO15" s="7"/>
      <c r="OGP15" s="7"/>
      <c r="OGQ15" s="7"/>
      <c r="OGR15" s="7"/>
      <c r="OGS15" s="7"/>
      <c r="OGT15" s="7"/>
      <c r="OGU15" s="7"/>
      <c r="OGV15" s="7"/>
      <c r="OGW15" s="7"/>
      <c r="OGX15" s="7"/>
      <c r="OGY15" s="7"/>
      <c r="OGZ15" s="7"/>
      <c r="OHA15" s="7"/>
      <c r="OHB15" s="7"/>
      <c r="OHC15" s="7"/>
      <c r="OHD15" s="7"/>
      <c r="OHE15" s="7"/>
      <c r="OHF15" s="7"/>
      <c r="OHG15" s="7"/>
      <c r="OHH15" s="7"/>
      <c r="OHI15" s="7"/>
      <c r="OHJ15" s="7"/>
      <c r="OHK15" s="7"/>
      <c r="OHL15" s="7"/>
      <c r="OHM15" s="7"/>
      <c r="OHN15" s="7"/>
      <c r="OHO15" s="7"/>
      <c r="OHP15" s="7"/>
      <c r="OHQ15" s="7"/>
      <c r="OHR15" s="7"/>
      <c r="OHS15" s="7"/>
      <c r="OHT15" s="7"/>
      <c r="OHU15" s="7"/>
      <c r="OHV15" s="7"/>
      <c r="OHW15" s="7"/>
      <c r="OHX15" s="7"/>
      <c r="OHY15" s="7"/>
      <c r="OHZ15" s="7"/>
      <c r="OIA15" s="7"/>
      <c r="OIB15" s="7"/>
      <c r="OIC15" s="7"/>
      <c r="OID15" s="7"/>
      <c r="OIE15" s="7"/>
      <c r="OIF15" s="7"/>
      <c r="OIG15" s="7"/>
      <c r="OIH15" s="7"/>
      <c r="OII15" s="7"/>
      <c r="OIJ15" s="7"/>
      <c r="OIK15" s="7"/>
      <c r="OIL15" s="7"/>
      <c r="OIM15" s="7"/>
      <c r="OIN15" s="7"/>
      <c r="OIO15" s="7"/>
      <c r="OIP15" s="7"/>
      <c r="OIQ15" s="7"/>
      <c r="OIR15" s="7"/>
      <c r="OIS15" s="7"/>
      <c r="OIT15" s="7"/>
      <c r="OIU15" s="7"/>
      <c r="OIV15" s="7"/>
      <c r="OIW15" s="7"/>
      <c r="OIX15" s="7"/>
      <c r="OIY15" s="7"/>
      <c r="OIZ15" s="7"/>
      <c r="OJA15" s="7"/>
      <c r="OJB15" s="7"/>
      <c r="OJC15" s="7"/>
      <c r="OJD15" s="7"/>
      <c r="OJE15" s="7"/>
      <c r="OJF15" s="7"/>
      <c r="OJG15" s="7"/>
      <c r="OJH15" s="7"/>
      <c r="OJI15" s="7"/>
      <c r="OJJ15" s="7"/>
      <c r="OJK15" s="7"/>
      <c r="OJL15" s="7"/>
      <c r="OJM15" s="7"/>
      <c r="OJN15" s="7"/>
      <c r="OJO15" s="7"/>
      <c r="OJP15" s="7"/>
      <c r="OJQ15" s="7"/>
      <c r="OJR15" s="7"/>
      <c r="OJS15" s="7"/>
      <c r="OJT15" s="7"/>
      <c r="OJU15" s="7"/>
      <c r="OJV15" s="7"/>
      <c r="OJW15" s="7"/>
      <c r="OJX15" s="7"/>
      <c r="OJY15" s="7"/>
      <c r="OJZ15" s="7"/>
      <c r="OKA15" s="7"/>
      <c r="OKB15" s="7"/>
      <c r="OKC15" s="7"/>
      <c r="OKD15" s="7"/>
      <c r="OKE15" s="7"/>
      <c r="OKF15" s="7"/>
      <c r="OKG15" s="7"/>
      <c r="OKH15" s="7"/>
      <c r="OKI15" s="7"/>
      <c r="OKJ15" s="7"/>
      <c r="OKK15" s="7"/>
      <c r="OKL15" s="7"/>
      <c r="OKM15" s="7"/>
      <c r="OKN15" s="7"/>
      <c r="OKO15" s="7"/>
      <c r="OKP15" s="7"/>
      <c r="OKQ15" s="7"/>
      <c r="OKR15" s="7"/>
      <c r="OKS15" s="7"/>
      <c r="OKT15" s="7"/>
      <c r="OKU15" s="7"/>
      <c r="OKV15" s="7"/>
      <c r="OKW15" s="7"/>
      <c r="OKX15" s="7"/>
      <c r="OKY15" s="7"/>
      <c r="OKZ15" s="7"/>
      <c r="OLA15" s="7"/>
      <c r="OLB15" s="7"/>
      <c r="OLC15" s="7"/>
      <c r="OLD15" s="7"/>
      <c r="OLE15" s="7"/>
      <c r="OLF15" s="7"/>
      <c r="OLG15" s="7"/>
      <c r="OLH15" s="7"/>
      <c r="OLI15" s="7"/>
      <c r="OLJ15" s="7"/>
      <c r="OLK15" s="7"/>
      <c r="OLL15" s="7"/>
      <c r="OLM15" s="7"/>
      <c r="OLN15" s="7"/>
      <c r="OLO15" s="7"/>
      <c r="OLP15" s="7"/>
      <c r="OLQ15" s="7"/>
      <c r="OLR15" s="7"/>
      <c r="OLS15" s="7"/>
      <c r="OLT15" s="7"/>
      <c r="OLU15" s="7"/>
      <c r="OLV15" s="7"/>
      <c r="OLW15" s="7"/>
      <c r="OLX15" s="7"/>
      <c r="OLY15" s="7"/>
      <c r="OLZ15" s="7"/>
      <c r="OMA15" s="7"/>
      <c r="OMB15" s="7"/>
      <c r="OMC15" s="7"/>
      <c r="OMD15" s="7"/>
      <c r="OME15" s="7"/>
      <c r="OMF15" s="7"/>
      <c r="OMG15" s="7"/>
      <c r="OMH15" s="7"/>
      <c r="OMI15" s="7"/>
      <c r="OMJ15" s="7"/>
      <c r="OMK15" s="7"/>
      <c r="OML15" s="7"/>
      <c r="OMM15" s="7"/>
      <c r="OMN15" s="7"/>
      <c r="OMO15" s="7"/>
      <c r="OMP15" s="7"/>
      <c r="OMQ15" s="7"/>
      <c r="OMR15" s="7"/>
      <c r="OMS15" s="7"/>
      <c r="OMT15" s="7"/>
      <c r="OMU15" s="7"/>
      <c r="OMV15" s="7"/>
      <c r="OMW15" s="7"/>
      <c r="OMX15" s="7"/>
      <c r="OMY15" s="7"/>
      <c r="OMZ15" s="7"/>
      <c r="ONA15" s="7"/>
      <c r="ONB15" s="7"/>
      <c r="ONC15" s="7"/>
      <c r="OND15" s="7"/>
      <c r="ONE15" s="7"/>
      <c r="ONF15" s="7"/>
      <c r="ONG15" s="7"/>
      <c r="ONH15" s="7"/>
      <c r="ONI15" s="7"/>
      <c r="ONJ15" s="7"/>
      <c r="ONK15" s="7"/>
      <c r="ONL15" s="7"/>
      <c r="ONM15" s="7"/>
      <c r="ONN15" s="7"/>
      <c r="ONO15" s="7"/>
      <c r="ONP15" s="7"/>
      <c r="ONQ15" s="7"/>
      <c r="ONR15" s="7"/>
      <c r="ONS15" s="7"/>
      <c r="ONT15" s="7"/>
      <c r="ONU15" s="7"/>
      <c r="ONV15" s="7"/>
      <c r="ONW15" s="7"/>
      <c r="ONX15" s="7"/>
      <c r="ONY15" s="7"/>
      <c r="ONZ15" s="7"/>
      <c r="OOA15" s="7"/>
      <c r="OOB15" s="7"/>
      <c r="OOC15" s="7"/>
      <c r="OOD15" s="7"/>
      <c r="OOE15" s="7"/>
      <c r="OOF15" s="7"/>
      <c r="OOG15" s="7"/>
      <c r="OOH15" s="7"/>
      <c r="OOI15" s="7"/>
      <c r="OOJ15" s="7"/>
      <c r="OOK15" s="7"/>
      <c r="OOL15" s="7"/>
      <c r="OOM15" s="7"/>
      <c r="OON15" s="7"/>
      <c r="OOO15" s="7"/>
      <c r="OOP15" s="7"/>
      <c r="OOQ15" s="7"/>
      <c r="OOR15" s="7"/>
      <c r="OOS15" s="7"/>
      <c r="OOT15" s="7"/>
      <c r="OOU15" s="7"/>
      <c r="OOV15" s="7"/>
      <c r="OOW15" s="7"/>
      <c r="OOX15" s="7"/>
      <c r="OOY15" s="7"/>
      <c r="OOZ15" s="7"/>
      <c r="OPA15" s="7"/>
      <c r="OPB15" s="7"/>
      <c r="OPC15" s="7"/>
      <c r="OPD15" s="7"/>
      <c r="OPE15" s="7"/>
      <c r="OPF15" s="7"/>
      <c r="OPG15" s="7"/>
      <c r="OPH15" s="7"/>
      <c r="OPI15" s="7"/>
      <c r="OPJ15" s="7"/>
      <c r="OPK15" s="7"/>
      <c r="OPL15" s="7"/>
      <c r="OPM15" s="7"/>
      <c r="OPN15" s="7"/>
      <c r="OPO15" s="7"/>
      <c r="OPP15" s="7"/>
      <c r="OPQ15" s="7"/>
      <c r="OPR15" s="7"/>
      <c r="OPS15" s="7"/>
      <c r="OPT15" s="7"/>
      <c r="OPU15" s="7"/>
      <c r="OPV15" s="7"/>
      <c r="OPW15" s="7"/>
      <c r="OPX15" s="7"/>
      <c r="OPY15" s="7"/>
      <c r="OPZ15" s="7"/>
      <c r="OQA15" s="7"/>
      <c r="OQB15" s="7"/>
      <c r="OQC15" s="7"/>
      <c r="OQD15" s="7"/>
      <c r="OQE15" s="7"/>
      <c r="OQF15" s="7"/>
      <c r="OQG15" s="7"/>
      <c r="OQH15" s="7"/>
      <c r="OQI15" s="7"/>
      <c r="OQJ15" s="7"/>
      <c r="OQK15" s="7"/>
      <c r="OQL15" s="7"/>
      <c r="OQM15" s="7"/>
      <c r="OQN15" s="7"/>
      <c r="OQO15" s="7"/>
      <c r="OQP15" s="7"/>
      <c r="OQQ15" s="7"/>
      <c r="OQR15" s="7"/>
      <c r="OQS15" s="7"/>
      <c r="OQT15" s="7"/>
      <c r="OQU15" s="7"/>
      <c r="OQV15" s="7"/>
      <c r="OQW15" s="7"/>
      <c r="OQX15" s="7"/>
      <c r="OQY15" s="7"/>
      <c r="OQZ15" s="7"/>
      <c r="ORA15" s="7"/>
      <c r="ORB15" s="7"/>
      <c r="ORC15" s="7"/>
      <c r="ORD15" s="7"/>
      <c r="ORE15" s="7"/>
      <c r="ORF15" s="7"/>
      <c r="ORG15" s="7"/>
      <c r="ORH15" s="7"/>
      <c r="ORI15" s="7"/>
      <c r="ORJ15" s="7"/>
      <c r="ORK15" s="7"/>
      <c r="ORL15" s="7"/>
      <c r="ORM15" s="7"/>
      <c r="ORN15" s="7"/>
      <c r="ORO15" s="7"/>
      <c r="ORP15" s="7"/>
      <c r="ORQ15" s="7"/>
      <c r="ORR15" s="7"/>
      <c r="ORS15" s="7"/>
      <c r="ORT15" s="7"/>
      <c r="ORU15" s="7"/>
      <c r="ORV15" s="7"/>
      <c r="ORW15" s="7"/>
      <c r="ORX15" s="7"/>
      <c r="ORY15" s="7"/>
      <c r="ORZ15" s="7"/>
      <c r="OSA15" s="7"/>
      <c r="OSB15" s="7"/>
      <c r="OSC15" s="7"/>
      <c r="OSD15" s="7"/>
      <c r="OSE15" s="7"/>
      <c r="OSF15" s="7"/>
      <c r="OSG15" s="7"/>
      <c r="OSH15" s="7"/>
      <c r="OSI15" s="7"/>
      <c r="OSJ15" s="7"/>
      <c r="OSK15" s="7"/>
      <c r="OSL15" s="7"/>
      <c r="OSM15" s="7"/>
      <c r="OSN15" s="7"/>
      <c r="OSO15" s="7"/>
      <c r="OSP15" s="7"/>
      <c r="OSQ15" s="7"/>
      <c r="OSR15" s="7"/>
      <c r="OSS15" s="7"/>
      <c r="OST15" s="7"/>
      <c r="OSU15" s="7"/>
      <c r="OSV15" s="7"/>
      <c r="OSW15" s="7"/>
      <c r="OSX15" s="7"/>
      <c r="OSY15" s="7"/>
      <c r="OSZ15" s="7"/>
      <c r="OTA15" s="7"/>
      <c r="OTB15" s="7"/>
      <c r="OTC15" s="7"/>
      <c r="OTD15" s="7"/>
      <c r="OTE15" s="7"/>
      <c r="OTF15" s="7"/>
      <c r="OTG15" s="7"/>
      <c r="OTH15" s="7"/>
      <c r="OTI15" s="7"/>
      <c r="OTJ15" s="7"/>
      <c r="OTK15" s="7"/>
      <c r="OTL15" s="7"/>
      <c r="OTM15" s="7"/>
      <c r="OTN15" s="7"/>
      <c r="OTO15" s="7"/>
      <c r="OTP15" s="7"/>
      <c r="OTQ15" s="7"/>
      <c r="OTR15" s="7"/>
      <c r="OTS15" s="7"/>
      <c r="OTT15" s="7"/>
      <c r="OTU15" s="7"/>
      <c r="OTV15" s="7"/>
      <c r="OTW15" s="7"/>
      <c r="OTX15" s="7"/>
      <c r="OTY15" s="7"/>
      <c r="OTZ15" s="7"/>
      <c r="OUA15" s="7"/>
      <c r="OUB15" s="7"/>
      <c r="OUC15" s="7"/>
      <c r="OUD15" s="7"/>
      <c r="OUE15" s="7"/>
      <c r="OUF15" s="7"/>
      <c r="OUG15" s="7"/>
      <c r="OUH15" s="7"/>
      <c r="OUI15" s="7"/>
      <c r="OUJ15" s="7"/>
      <c r="OUK15" s="7"/>
      <c r="OUL15" s="7"/>
      <c r="OUM15" s="7"/>
      <c r="OUN15" s="7"/>
      <c r="OUO15" s="7"/>
      <c r="OUP15" s="7"/>
      <c r="OUQ15" s="7"/>
      <c r="OUR15" s="7"/>
      <c r="OUS15" s="7"/>
      <c r="OUT15" s="7"/>
      <c r="OUU15" s="7"/>
      <c r="OUV15" s="7"/>
      <c r="OUW15" s="7"/>
      <c r="OUX15" s="7"/>
      <c r="OUY15" s="7"/>
      <c r="OUZ15" s="7"/>
      <c r="OVA15" s="7"/>
      <c r="OVB15" s="7"/>
      <c r="OVC15" s="7"/>
      <c r="OVD15" s="7"/>
      <c r="OVE15" s="7"/>
      <c r="OVF15" s="7"/>
      <c r="OVG15" s="7"/>
      <c r="OVH15" s="7"/>
      <c r="OVI15" s="7"/>
      <c r="OVJ15" s="7"/>
      <c r="OVK15" s="7"/>
      <c r="OVL15" s="7"/>
      <c r="OVM15" s="7"/>
      <c r="OVN15" s="7"/>
      <c r="OVO15" s="7"/>
      <c r="OVP15" s="7"/>
      <c r="OVQ15" s="7"/>
      <c r="OVR15" s="7"/>
      <c r="OVS15" s="7"/>
      <c r="OVT15" s="7"/>
      <c r="OVU15" s="7"/>
      <c r="OVV15" s="7"/>
      <c r="OVW15" s="7"/>
      <c r="OVX15" s="7"/>
      <c r="OVY15" s="7"/>
      <c r="OVZ15" s="7"/>
      <c r="OWA15" s="7"/>
      <c r="OWB15" s="7"/>
      <c r="OWC15" s="7"/>
      <c r="OWD15" s="7"/>
      <c r="OWE15" s="7"/>
      <c r="OWF15" s="7"/>
      <c r="OWG15" s="7"/>
      <c r="OWH15" s="7"/>
      <c r="OWI15" s="7"/>
      <c r="OWJ15" s="7"/>
      <c r="OWK15" s="7"/>
      <c r="OWL15" s="7"/>
      <c r="OWM15" s="7"/>
      <c r="OWN15" s="7"/>
      <c r="OWO15" s="7"/>
      <c r="OWP15" s="7"/>
      <c r="OWQ15" s="7"/>
      <c r="OWR15" s="7"/>
      <c r="OWS15" s="7"/>
      <c r="OWT15" s="7"/>
      <c r="OWU15" s="7"/>
      <c r="OWV15" s="7"/>
      <c r="OWW15" s="7"/>
      <c r="OWX15" s="7"/>
      <c r="OWY15" s="7"/>
      <c r="OWZ15" s="7"/>
      <c r="OXA15" s="7"/>
      <c r="OXB15" s="7"/>
      <c r="OXC15" s="7"/>
      <c r="OXD15" s="7"/>
      <c r="OXE15" s="7"/>
      <c r="OXF15" s="7"/>
      <c r="OXG15" s="7"/>
      <c r="OXH15" s="7"/>
      <c r="OXI15" s="7"/>
      <c r="OXJ15" s="7"/>
      <c r="OXK15" s="7"/>
      <c r="OXL15" s="7"/>
      <c r="OXM15" s="7"/>
      <c r="OXN15" s="7"/>
      <c r="OXO15" s="7"/>
      <c r="OXP15" s="7"/>
      <c r="OXQ15" s="7"/>
      <c r="OXR15" s="7"/>
      <c r="OXS15" s="7"/>
      <c r="OXT15" s="7"/>
      <c r="OXU15" s="7"/>
      <c r="OXV15" s="7"/>
      <c r="OXW15" s="7"/>
      <c r="OXX15" s="7"/>
      <c r="OXY15" s="7"/>
      <c r="OXZ15" s="7"/>
      <c r="OYA15" s="7"/>
      <c r="OYB15" s="7"/>
      <c r="OYC15" s="7"/>
      <c r="OYD15" s="7"/>
      <c r="OYE15" s="7"/>
      <c r="OYF15" s="7"/>
      <c r="OYG15" s="7"/>
      <c r="OYH15" s="7"/>
      <c r="OYI15" s="7"/>
      <c r="OYJ15" s="7"/>
      <c r="OYK15" s="7"/>
      <c r="OYL15" s="7"/>
      <c r="OYM15" s="7"/>
      <c r="OYN15" s="7"/>
      <c r="OYO15" s="7"/>
      <c r="OYP15" s="7"/>
      <c r="OYQ15" s="7"/>
      <c r="OYR15" s="7"/>
      <c r="OYS15" s="7"/>
      <c r="OYT15" s="7"/>
      <c r="OYU15" s="7"/>
      <c r="OYV15" s="7"/>
      <c r="OYW15" s="7"/>
      <c r="OYX15" s="7"/>
      <c r="OYY15" s="7"/>
      <c r="OYZ15" s="7"/>
      <c r="OZA15" s="7"/>
      <c r="OZB15" s="7"/>
      <c r="OZC15" s="7"/>
      <c r="OZD15" s="7"/>
      <c r="OZE15" s="7"/>
      <c r="OZF15" s="7"/>
      <c r="OZG15" s="7"/>
      <c r="OZH15" s="7"/>
      <c r="OZI15" s="7"/>
      <c r="OZJ15" s="7"/>
      <c r="OZK15" s="7"/>
      <c r="OZL15" s="7"/>
      <c r="OZM15" s="7"/>
      <c r="OZN15" s="7"/>
      <c r="OZO15" s="7"/>
      <c r="OZP15" s="7"/>
      <c r="OZQ15" s="7"/>
      <c r="OZR15" s="7"/>
      <c r="OZS15" s="7"/>
      <c r="OZT15" s="7"/>
      <c r="OZU15" s="7"/>
      <c r="OZV15" s="7"/>
      <c r="OZW15" s="7"/>
      <c r="OZX15" s="7"/>
      <c r="OZY15" s="7"/>
      <c r="OZZ15" s="7"/>
      <c r="PAA15" s="7"/>
      <c r="PAB15" s="7"/>
      <c r="PAC15" s="7"/>
      <c r="PAD15" s="7"/>
      <c r="PAE15" s="7"/>
      <c r="PAF15" s="7"/>
      <c r="PAG15" s="7"/>
      <c r="PAH15" s="7"/>
      <c r="PAI15" s="7"/>
      <c r="PAJ15" s="7"/>
      <c r="PAK15" s="7"/>
      <c r="PAL15" s="7"/>
      <c r="PAM15" s="7"/>
      <c r="PAN15" s="7"/>
      <c r="PAO15" s="7"/>
      <c r="PAP15" s="7"/>
      <c r="PAQ15" s="7"/>
      <c r="PAR15" s="7"/>
      <c r="PAS15" s="7"/>
      <c r="PAT15" s="7"/>
      <c r="PAU15" s="7"/>
      <c r="PAV15" s="7"/>
      <c r="PAW15" s="7"/>
      <c r="PAX15" s="7"/>
      <c r="PAY15" s="7"/>
      <c r="PAZ15" s="7"/>
      <c r="PBA15" s="7"/>
      <c r="PBB15" s="7"/>
      <c r="PBC15" s="7"/>
      <c r="PBD15" s="7"/>
      <c r="PBE15" s="7"/>
      <c r="PBF15" s="7"/>
      <c r="PBG15" s="7"/>
      <c r="PBH15" s="7"/>
      <c r="PBI15" s="7"/>
      <c r="PBJ15" s="7"/>
      <c r="PBK15" s="7"/>
      <c r="PBL15" s="7"/>
      <c r="PBM15" s="7"/>
      <c r="PBN15" s="7"/>
      <c r="PBO15" s="7"/>
      <c r="PBP15" s="7"/>
      <c r="PBQ15" s="7"/>
      <c r="PBR15" s="7"/>
      <c r="PBS15" s="7"/>
      <c r="PBT15" s="7"/>
      <c r="PBU15" s="7"/>
      <c r="PBV15" s="7"/>
      <c r="PBW15" s="7"/>
      <c r="PBX15" s="7"/>
      <c r="PBY15" s="7"/>
      <c r="PBZ15" s="7"/>
      <c r="PCA15" s="7"/>
      <c r="PCB15" s="7"/>
      <c r="PCC15" s="7"/>
      <c r="PCD15" s="7"/>
      <c r="PCE15" s="7"/>
      <c r="PCF15" s="7"/>
      <c r="PCG15" s="7"/>
      <c r="PCH15" s="7"/>
      <c r="PCI15" s="7"/>
      <c r="PCJ15" s="7"/>
      <c r="PCK15" s="7"/>
      <c r="PCL15" s="7"/>
      <c r="PCM15" s="7"/>
      <c r="PCN15" s="7"/>
      <c r="PCO15" s="7"/>
      <c r="PCP15" s="7"/>
      <c r="PCQ15" s="7"/>
      <c r="PCR15" s="7"/>
      <c r="PCS15" s="7"/>
      <c r="PCT15" s="7"/>
      <c r="PCU15" s="7"/>
      <c r="PCV15" s="7"/>
      <c r="PCW15" s="7"/>
      <c r="PCX15" s="7"/>
      <c r="PCY15" s="7"/>
      <c r="PCZ15" s="7"/>
      <c r="PDA15" s="7"/>
      <c r="PDB15" s="7"/>
      <c r="PDC15" s="7"/>
      <c r="PDD15" s="7"/>
      <c r="PDE15" s="7"/>
      <c r="PDF15" s="7"/>
      <c r="PDG15" s="7"/>
      <c r="PDH15" s="7"/>
      <c r="PDI15" s="7"/>
      <c r="PDJ15" s="7"/>
      <c r="PDK15" s="7"/>
      <c r="PDL15" s="7"/>
      <c r="PDM15" s="7"/>
      <c r="PDN15" s="7"/>
      <c r="PDO15" s="7"/>
      <c r="PDP15" s="7"/>
      <c r="PDQ15" s="7"/>
      <c r="PDR15" s="7"/>
      <c r="PDS15" s="7"/>
      <c r="PDT15" s="7"/>
      <c r="PDU15" s="7"/>
      <c r="PDV15" s="7"/>
      <c r="PDW15" s="7"/>
      <c r="PDX15" s="7"/>
      <c r="PDY15" s="7"/>
      <c r="PDZ15" s="7"/>
      <c r="PEA15" s="7"/>
      <c r="PEB15" s="7"/>
      <c r="PEC15" s="7"/>
      <c r="PED15" s="7"/>
      <c r="PEE15" s="7"/>
      <c r="PEF15" s="7"/>
      <c r="PEG15" s="7"/>
      <c r="PEH15" s="7"/>
      <c r="PEI15" s="7"/>
      <c r="PEJ15" s="7"/>
      <c r="PEK15" s="7"/>
      <c r="PEL15" s="7"/>
      <c r="PEM15" s="7"/>
      <c r="PEN15" s="7"/>
      <c r="PEO15" s="7"/>
      <c r="PEP15" s="7"/>
      <c r="PEQ15" s="7"/>
      <c r="PER15" s="7"/>
      <c r="PES15" s="7"/>
      <c r="PET15" s="7"/>
      <c r="PEU15" s="7"/>
      <c r="PEV15" s="7"/>
      <c r="PEW15" s="7"/>
      <c r="PEX15" s="7"/>
      <c r="PEY15" s="7"/>
      <c r="PEZ15" s="7"/>
      <c r="PFA15" s="7"/>
      <c r="PFB15" s="7"/>
      <c r="PFC15" s="7"/>
      <c r="PFD15" s="7"/>
      <c r="PFE15" s="7"/>
      <c r="PFF15" s="7"/>
      <c r="PFG15" s="7"/>
      <c r="PFH15" s="7"/>
      <c r="PFI15" s="7"/>
      <c r="PFJ15" s="7"/>
      <c r="PFK15" s="7"/>
      <c r="PFL15" s="7"/>
      <c r="PFM15" s="7"/>
      <c r="PFN15" s="7"/>
      <c r="PFO15" s="7"/>
      <c r="PFP15" s="7"/>
      <c r="PFQ15" s="7"/>
      <c r="PFR15" s="7"/>
      <c r="PFS15" s="7"/>
      <c r="PFT15" s="7"/>
      <c r="PFU15" s="7"/>
      <c r="PFV15" s="7"/>
      <c r="PFW15" s="7"/>
      <c r="PFX15" s="7"/>
      <c r="PFY15" s="7"/>
      <c r="PFZ15" s="7"/>
      <c r="PGA15" s="7"/>
      <c r="PGB15" s="7"/>
      <c r="PGC15" s="7"/>
      <c r="PGD15" s="7"/>
      <c r="PGE15" s="7"/>
      <c r="PGF15" s="7"/>
      <c r="PGG15" s="7"/>
      <c r="PGH15" s="7"/>
      <c r="PGI15" s="7"/>
      <c r="PGJ15" s="7"/>
      <c r="PGK15" s="7"/>
      <c r="PGL15" s="7"/>
      <c r="PGM15" s="7"/>
      <c r="PGN15" s="7"/>
      <c r="PGO15" s="7"/>
      <c r="PGP15" s="7"/>
      <c r="PGQ15" s="7"/>
      <c r="PGR15" s="7"/>
      <c r="PGS15" s="7"/>
      <c r="PGT15" s="7"/>
      <c r="PGU15" s="7"/>
      <c r="PGV15" s="7"/>
      <c r="PGW15" s="7"/>
      <c r="PGX15" s="7"/>
      <c r="PGY15" s="7"/>
      <c r="PGZ15" s="7"/>
      <c r="PHA15" s="7"/>
      <c r="PHB15" s="7"/>
      <c r="PHC15" s="7"/>
      <c r="PHD15" s="7"/>
      <c r="PHE15" s="7"/>
      <c r="PHF15" s="7"/>
      <c r="PHG15" s="7"/>
      <c r="PHH15" s="7"/>
      <c r="PHI15" s="7"/>
      <c r="PHJ15" s="7"/>
      <c r="PHK15" s="7"/>
      <c r="PHL15" s="7"/>
      <c r="PHM15" s="7"/>
      <c r="PHN15" s="7"/>
      <c r="PHO15" s="7"/>
      <c r="PHP15" s="7"/>
      <c r="PHQ15" s="7"/>
      <c r="PHR15" s="7"/>
      <c r="PHS15" s="7"/>
      <c r="PHT15" s="7"/>
      <c r="PHU15" s="7"/>
      <c r="PHV15" s="7"/>
      <c r="PHW15" s="7"/>
      <c r="PHX15" s="7"/>
      <c r="PHY15" s="7"/>
      <c r="PHZ15" s="7"/>
      <c r="PIA15" s="7"/>
      <c r="PIB15" s="7"/>
      <c r="PIC15" s="7"/>
      <c r="PID15" s="7"/>
      <c r="PIE15" s="7"/>
      <c r="PIF15" s="7"/>
      <c r="PIG15" s="7"/>
      <c r="PIH15" s="7"/>
      <c r="PII15" s="7"/>
      <c r="PIJ15" s="7"/>
      <c r="PIK15" s="7"/>
      <c r="PIL15" s="7"/>
      <c r="PIM15" s="7"/>
      <c r="PIN15" s="7"/>
      <c r="PIO15" s="7"/>
      <c r="PIP15" s="7"/>
      <c r="PIQ15" s="7"/>
      <c r="PIR15" s="7"/>
      <c r="PIS15" s="7"/>
      <c r="PIT15" s="7"/>
      <c r="PIU15" s="7"/>
      <c r="PIV15" s="7"/>
      <c r="PIW15" s="7"/>
      <c r="PIX15" s="7"/>
      <c r="PIY15" s="7"/>
      <c r="PIZ15" s="7"/>
      <c r="PJA15" s="7"/>
      <c r="PJB15" s="7"/>
      <c r="PJC15" s="7"/>
      <c r="PJD15" s="7"/>
      <c r="PJE15" s="7"/>
      <c r="PJF15" s="7"/>
      <c r="PJG15" s="7"/>
      <c r="PJH15" s="7"/>
      <c r="PJI15" s="7"/>
      <c r="PJJ15" s="7"/>
      <c r="PJK15" s="7"/>
      <c r="PJL15" s="7"/>
      <c r="PJM15" s="7"/>
      <c r="PJN15" s="7"/>
      <c r="PJO15" s="7"/>
      <c r="PJP15" s="7"/>
      <c r="PJQ15" s="7"/>
      <c r="PJR15" s="7"/>
      <c r="PJS15" s="7"/>
      <c r="PJT15" s="7"/>
      <c r="PJU15" s="7"/>
      <c r="PJV15" s="7"/>
      <c r="PJW15" s="7"/>
      <c r="PJX15" s="7"/>
      <c r="PJY15" s="7"/>
      <c r="PJZ15" s="7"/>
      <c r="PKA15" s="7"/>
      <c r="PKB15" s="7"/>
      <c r="PKC15" s="7"/>
      <c r="PKD15" s="7"/>
      <c r="PKE15" s="7"/>
      <c r="PKF15" s="7"/>
      <c r="PKG15" s="7"/>
      <c r="PKH15" s="7"/>
      <c r="PKI15" s="7"/>
      <c r="PKJ15" s="7"/>
      <c r="PKK15" s="7"/>
      <c r="PKL15" s="7"/>
      <c r="PKM15" s="7"/>
      <c r="PKN15" s="7"/>
      <c r="PKO15" s="7"/>
      <c r="PKP15" s="7"/>
      <c r="PKQ15" s="7"/>
      <c r="PKR15" s="7"/>
      <c r="PKS15" s="7"/>
      <c r="PKT15" s="7"/>
      <c r="PKU15" s="7"/>
      <c r="PKV15" s="7"/>
      <c r="PKW15" s="7"/>
      <c r="PKX15" s="7"/>
      <c r="PKY15" s="7"/>
      <c r="PKZ15" s="7"/>
      <c r="PLA15" s="7"/>
      <c r="PLB15" s="7"/>
      <c r="PLC15" s="7"/>
      <c r="PLD15" s="7"/>
      <c r="PLE15" s="7"/>
      <c r="PLF15" s="7"/>
      <c r="PLG15" s="7"/>
      <c r="PLH15" s="7"/>
      <c r="PLI15" s="7"/>
      <c r="PLJ15" s="7"/>
      <c r="PLK15" s="7"/>
      <c r="PLL15" s="7"/>
      <c r="PLM15" s="7"/>
      <c r="PLN15" s="7"/>
      <c r="PLO15" s="7"/>
      <c r="PLP15" s="7"/>
      <c r="PLQ15" s="7"/>
      <c r="PLR15" s="7"/>
      <c r="PLS15" s="7"/>
      <c r="PLT15" s="7"/>
      <c r="PLU15" s="7"/>
      <c r="PLV15" s="7"/>
      <c r="PLW15" s="7"/>
      <c r="PLX15" s="7"/>
      <c r="PLY15" s="7"/>
      <c r="PLZ15" s="7"/>
      <c r="PMA15" s="7"/>
      <c r="PMB15" s="7"/>
      <c r="PMC15" s="7"/>
      <c r="PMD15" s="7"/>
      <c r="PME15" s="7"/>
      <c r="PMF15" s="7"/>
      <c r="PMG15" s="7"/>
      <c r="PMH15" s="7"/>
      <c r="PMI15" s="7"/>
      <c r="PMJ15" s="7"/>
      <c r="PMK15" s="7"/>
      <c r="PML15" s="7"/>
      <c r="PMM15" s="7"/>
      <c r="PMN15" s="7"/>
      <c r="PMO15" s="7"/>
      <c r="PMP15" s="7"/>
      <c r="PMQ15" s="7"/>
      <c r="PMR15" s="7"/>
      <c r="PMS15" s="7"/>
      <c r="PMT15" s="7"/>
      <c r="PMU15" s="7"/>
      <c r="PMV15" s="7"/>
      <c r="PMW15" s="7"/>
      <c r="PMX15" s="7"/>
      <c r="PMY15" s="7"/>
      <c r="PMZ15" s="7"/>
      <c r="PNA15" s="7"/>
      <c r="PNB15" s="7"/>
      <c r="PNC15" s="7"/>
      <c r="PND15" s="7"/>
      <c r="PNE15" s="7"/>
      <c r="PNF15" s="7"/>
      <c r="PNG15" s="7"/>
      <c r="PNH15" s="7"/>
      <c r="PNI15" s="7"/>
      <c r="PNJ15" s="7"/>
      <c r="PNK15" s="7"/>
      <c r="PNL15" s="7"/>
      <c r="PNM15" s="7"/>
      <c r="PNN15" s="7"/>
      <c r="PNO15" s="7"/>
      <c r="PNP15" s="7"/>
      <c r="PNQ15" s="7"/>
      <c r="PNR15" s="7"/>
      <c r="PNS15" s="7"/>
      <c r="PNT15" s="7"/>
      <c r="PNU15" s="7"/>
      <c r="PNV15" s="7"/>
      <c r="PNW15" s="7"/>
      <c r="PNX15" s="7"/>
      <c r="PNY15" s="7"/>
      <c r="PNZ15" s="7"/>
      <c r="POA15" s="7"/>
      <c r="POB15" s="7"/>
      <c r="POC15" s="7"/>
      <c r="POD15" s="7"/>
      <c r="POE15" s="7"/>
      <c r="POF15" s="7"/>
      <c r="POG15" s="7"/>
      <c r="POH15" s="7"/>
      <c r="POI15" s="7"/>
      <c r="POJ15" s="7"/>
      <c r="POK15" s="7"/>
      <c r="POL15" s="7"/>
      <c r="POM15" s="7"/>
      <c r="PON15" s="7"/>
      <c r="POO15" s="7"/>
      <c r="POP15" s="7"/>
      <c r="POQ15" s="7"/>
      <c r="POR15" s="7"/>
      <c r="POS15" s="7"/>
      <c r="POT15" s="7"/>
      <c r="POU15" s="7"/>
      <c r="POV15" s="7"/>
      <c r="POW15" s="7"/>
      <c r="POX15" s="7"/>
      <c r="POY15" s="7"/>
      <c r="POZ15" s="7"/>
      <c r="PPA15" s="7"/>
      <c r="PPB15" s="7"/>
      <c r="PPC15" s="7"/>
      <c r="PPD15" s="7"/>
      <c r="PPE15" s="7"/>
      <c r="PPF15" s="7"/>
      <c r="PPG15" s="7"/>
      <c r="PPH15" s="7"/>
      <c r="PPI15" s="7"/>
      <c r="PPJ15" s="7"/>
      <c r="PPK15" s="7"/>
      <c r="PPL15" s="7"/>
      <c r="PPM15" s="7"/>
      <c r="PPN15" s="7"/>
      <c r="PPO15" s="7"/>
      <c r="PPP15" s="7"/>
      <c r="PPQ15" s="7"/>
      <c r="PPR15" s="7"/>
      <c r="PPS15" s="7"/>
      <c r="PPT15" s="7"/>
      <c r="PPU15" s="7"/>
      <c r="PPV15" s="7"/>
      <c r="PPW15" s="7"/>
      <c r="PPX15" s="7"/>
      <c r="PPY15" s="7"/>
      <c r="PPZ15" s="7"/>
      <c r="PQA15" s="7"/>
      <c r="PQB15" s="7"/>
      <c r="PQC15" s="7"/>
      <c r="PQD15" s="7"/>
      <c r="PQE15" s="7"/>
      <c r="PQF15" s="7"/>
      <c r="PQG15" s="7"/>
      <c r="PQH15" s="7"/>
      <c r="PQI15" s="7"/>
      <c r="PQJ15" s="7"/>
      <c r="PQK15" s="7"/>
      <c r="PQL15" s="7"/>
      <c r="PQM15" s="7"/>
      <c r="PQN15" s="7"/>
      <c r="PQO15" s="7"/>
      <c r="PQP15" s="7"/>
      <c r="PQQ15" s="7"/>
      <c r="PQR15" s="7"/>
      <c r="PQS15" s="7"/>
      <c r="PQT15" s="7"/>
      <c r="PQU15" s="7"/>
      <c r="PQV15" s="7"/>
      <c r="PQW15" s="7"/>
      <c r="PQX15" s="7"/>
      <c r="PQY15" s="7"/>
      <c r="PQZ15" s="7"/>
      <c r="PRA15" s="7"/>
      <c r="PRB15" s="7"/>
      <c r="PRC15" s="7"/>
      <c r="PRD15" s="7"/>
      <c r="PRE15" s="7"/>
      <c r="PRF15" s="7"/>
      <c r="PRG15" s="7"/>
      <c r="PRH15" s="7"/>
      <c r="PRI15" s="7"/>
      <c r="PRJ15" s="7"/>
      <c r="PRK15" s="7"/>
      <c r="PRL15" s="7"/>
      <c r="PRM15" s="7"/>
      <c r="PRN15" s="7"/>
      <c r="PRO15" s="7"/>
      <c r="PRP15" s="7"/>
      <c r="PRQ15" s="7"/>
      <c r="PRR15" s="7"/>
      <c r="PRS15" s="7"/>
      <c r="PRT15" s="7"/>
      <c r="PRU15" s="7"/>
      <c r="PRV15" s="7"/>
      <c r="PRW15" s="7"/>
      <c r="PRX15" s="7"/>
      <c r="PRY15" s="7"/>
      <c r="PRZ15" s="7"/>
      <c r="PSA15" s="7"/>
      <c r="PSB15" s="7"/>
      <c r="PSC15" s="7"/>
      <c r="PSD15" s="7"/>
      <c r="PSE15" s="7"/>
      <c r="PSF15" s="7"/>
      <c r="PSG15" s="7"/>
      <c r="PSH15" s="7"/>
      <c r="PSI15" s="7"/>
      <c r="PSJ15" s="7"/>
      <c r="PSK15" s="7"/>
      <c r="PSL15" s="7"/>
      <c r="PSM15" s="7"/>
      <c r="PSN15" s="7"/>
      <c r="PSO15" s="7"/>
      <c r="PSP15" s="7"/>
      <c r="PSQ15" s="7"/>
      <c r="PSR15" s="7"/>
      <c r="PSS15" s="7"/>
      <c r="PST15" s="7"/>
      <c r="PSU15" s="7"/>
      <c r="PSV15" s="7"/>
      <c r="PSW15" s="7"/>
      <c r="PSX15" s="7"/>
      <c r="PSY15" s="7"/>
      <c r="PSZ15" s="7"/>
      <c r="PTA15" s="7"/>
      <c r="PTB15" s="7"/>
      <c r="PTC15" s="7"/>
      <c r="PTD15" s="7"/>
      <c r="PTE15" s="7"/>
      <c r="PTF15" s="7"/>
      <c r="PTG15" s="7"/>
      <c r="PTH15" s="7"/>
      <c r="PTI15" s="7"/>
      <c r="PTJ15" s="7"/>
      <c r="PTK15" s="7"/>
      <c r="PTL15" s="7"/>
      <c r="PTM15" s="7"/>
      <c r="PTN15" s="7"/>
      <c r="PTO15" s="7"/>
      <c r="PTP15" s="7"/>
      <c r="PTQ15" s="7"/>
      <c r="PTR15" s="7"/>
      <c r="PTS15" s="7"/>
      <c r="PTT15" s="7"/>
      <c r="PTU15" s="7"/>
      <c r="PTV15" s="7"/>
      <c r="PTW15" s="7"/>
      <c r="PTX15" s="7"/>
      <c r="PTY15" s="7"/>
      <c r="PTZ15" s="7"/>
      <c r="PUA15" s="7"/>
      <c r="PUB15" s="7"/>
      <c r="PUC15" s="7"/>
      <c r="PUD15" s="7"/>
      <c r="PUE15" s="7"/>
      <c r="PUF15" s="7"/>
      <c r="PUG15" s="7"/>
      <c r="PUH15" s="7"/>
      <c r="PUI15" s="7"/>
      <c r="PUJ15" s="7"/>
      <c r="PUK15" s="7"/>
      <c r="PUL15" s="7"/>
      <c r="PUM15" s="7"/>
      <c r="PUN15" s="7"/>
      <c r="PUO15" s="7"/>
      <c r="PUP15" s="7"/>
      <c r="PUQ15" s="7"/>
      <c r="PUR15" s="7"/>
      <c r="PUS15" s="7"/>
      <c r="PUT15" s="7"/>
      <c r="PUU15" s="7"/>
      <c r="PUV15" s="7"/>
      <c r="PUW15" s="7"/>
      <c r="PUX15" s="7"/>
      <c r="PUY15" s="7"/>
      <c r="PUZ15" s="7"/>
      <c r="PVA15" s="7"/>
      <c r="PVB15" s="7"/>
      <c r="PVC15" s="7"/>
      <c r="PVD15" s="7"/>
      <c r="PVE15" s="7"/>
      <c r="PVF15" s="7"/>
      <c r="PVG15" s="7"/>
      <c r="PVH15" s="7"/>
      <c r="PVI15" s="7"/>
      <c r="PVJ15" s="7"/>
      <c r="PVK15" s="7"/>
      <c r="PVL15" s="7"/>
      <c r="PVM15" s="7"/>
      <c r="PVN15" s="7"/>
      <c r="PVO15" s="7"/>
      <c r="PVP15" s="7"/>
      <c r="PVQ15" s="7"/>
      <c r="PVR15" s="7"/>
      <c r="PVS15" s="7"/>
      <c r="PVT15" s="7"/>
      <c r="PVU15" s="7"/>
      <c r="PVV15" s="7"/>
      <c r="PVW15" s="7"/>
      <c r="PVX15" s="7"/>
      <c r="PVY15" s="7"/>
      <c r="PVZ15" s="7"/>
      <c r="PWA15" s="7"/>
      <c r="PWB15" s="7"/>
      <c r="PWC15" s="7"/>
      <c r="PWD15" s="7"/>
      <c r="PWE15" s="7"/>
      <c r="PWF15" s="7"/>
      <c r="PWG15" s="7"/>
      <c r="PWH15" s="7"/>
      <c r="PWI15" s="7"/>
      <c r="PWJ15" s="7"/>
      <c r="PWK15" s="7"/>
      <c r="PWL15" s="7"/>
      <c r="PWM15" s="7"/>
      <c r="PWN15" s="7"/>
      <c r="PWO15" s="7"/>
      <c r="PWP15" s="7"/>
      <c r="PWQ15" s="7"/>
      <c r="PWR15" s="7"/>
      <c r="PWS15" s="7"/>
      <c r="PWT15" s="7"/>
      <c r="PWU15" s="7"/>
      <c r="PWV15" s="7"/>
      <c r="PWW15" s="7"/>
      <c r="PWX15" s="7"/>
      <c r="PWY15" s="7"/>
      <c r="PWZ15" s="7"/>
      <c r="PXA15" s="7"/>
      <c r="PXB15" s="7"/>
      <c r="PXC15" s="7"/>
      <c r="PXD15" s="7"/>
      <c r="PXE15" s="7"/>
      <c r="PXF15" s="7"/>
      <c r="PXG15" s="7"/>
      <c r="PXH15" s="7"/>
      <c r="PXI15" s="7"/>
      <c r="PXJ15" s="7"/>
      <c r="PXK15" s="7"/>
      <c r="PXL15" s="7"/>
      <c r="PXM15" s="7"/>
      <c r="PXN15" s="7"/>
      <c r="PXO15" s="7"/>
      <c r="PXP15" s="7"/>
      <c r="PXQ15" s="7"/>
      <c r="PXR15" s="7"/>
      <c r="PXS15" s="7"/>
      <c r="PXT15" s="7"/>
      <c r="PXU15" s="7"/>
      <c r="PXV15" s="7"/>
      <c r="PXW15" s="7"/>
      <c r="PXX15" s="7"/>
      <c r="PXY15" s="7"/>
      <c r="PXZ15" s="7"/>
      <c r="PYA15" s="7"/>
      <c r="PYB15" s="7"/>
      <c r="PYC15" s="7"/>
      <c r="PYD15" s="7"/>
      <c r="PYE15" s="7"/>
      <c r="PYF15" s="7"/>
      <c r="PYG15" s="7"/>
      <c r="PYH15" s="7"/>
      <c r="PYI15" s="7"/>
      <c r="PYJ15" s="7"/>
      <c r="PYK15" s="7"/>
      <c r="PYL15" s="7"/>
      <c r="PYM15" s="7"/>
      <c r="PYN15" s="7"/>
      <c r="PYO15" s="7"/>
      <c r="PYP15" s="7"/>
      <c r="PYQ15" s="7"/>
      <c r="PYR15" s="7"/>
      <c r="PYS15" s="7"/>
      <c r="PYT15" s="7"/>
      <c r="PYU15" s="7"/>
      <c r="PYV15" s="7"/>
      <c r="PYW15" s="7"/>
      <c r="PYX15" s="7"/>
      <c r="PYY15" s="7"/>
      <c r="PYZ15" s="7"/>
      <c r="PZA15" s="7"/>
      <c r="PZB15" s="7"/>
      <c r="PZC15" s="7"/>
      <c r="PZD15" s="7"/>
      <c r="PZE15" s="7"/>
      <c r="PZF15" s="7"/>
      <c r="PZG15" s="7"/>
      <c r="PZH15" s="7"/>
      <c r="PZI15" s="7"/>
      <c r="PZJ15" s="7"/>
      <c r="PZK15" s="7"/>
      <c r="PZL15" s="7"/>
      <c r="PZM15" s="7"/>
      <c r="PZN15" s="7"/>
      <c r="PZO15" s="7"/>
      <c r="PZP15" s="7"/>
      <c r="PZQ15" s="7"/>
      <c r="PZR15" s="7"/>
      <c r="PZS15" s="7"/>
      <c r="PZT15" s="7"/>
      <c r="PZU15" s="7"/>
      <c r="PZV15" s="7"/>
      <c r="PZW15" s="7"/>
      <c r="PZX15" s="7"/>
      <c r="PZY15" s="7"/>
      <c r="PZZ15" s="7"/>
      <c r="QAA15" s="7"/>
      <c r="QAB15" s="7"/>
      <c r="QAC15" s="7"/>
      <c r="QAD15" s="7"/>
      <c r="QAE15" s="7"/>
      <c r="QAF15" s="7"/>
      <c r="QAG15" s="7"/>
      <c r="QAH15" s="7"/>
      <c r="QAI15" s="7"/>
      <c r="QAJ15" s="7"/>
      <c r="QAK15" s="7"/>
      <c r="QAL15" s="7"/>
      <c r="QAM15" s="7"/>
      <c r="QAN15" s="7"/>
      <c r="QAO15" s="7"/>
      <c r="QAP15" s="7"/>
      <c r="QAQ15" s="7"/>
      <c r="QAR15" s="7"/>
      <c r="QAS15" s="7"/>
      <c r="QAT15" s="7"/>
      <c r="QAU15" s="7"/>
      <c r="QAV15" s="7"/>
      <c r="QAW15" s="7"/>
      <c r="QAX15" s="7"/>
      <c r="QAY15" s="7"/>
      <c r="QAZ15" s="7"/>
      <c r="QBA15" s="7"/>
      <c r="QBB15" s="7"/>
      <c r="QBC15" s="7"/>
      <c r="QBD15" s="7"/>
      <c r="QBE15" s="7"/>
      <c r="QBF15" s="7"/>
      <c r="QBG15" s="7"/>
      <c r="QBH15" s="7"/>
      <c r="QBI15" s="7"/>
      <c r="QBJ15" s="7"/>
      <c r="QBK15" s="7"/>
      <c r="QBL15" s="7"/>
      <c r="QBM15" s="7"/>
      <c r="QBN15" s="7"/>
      <c r="QBO15" s="7"/>
      <c r="QBP15" s="7"/>
      <c r="QBQ15" s="7"/>
      <c r="QBR15" s="7"/>
      <c r="QBS15" s="7"/>
      <c r="QBT15" s="7"/>
      <c r="QBU15" s="7"/>
      <c r="QBV15" s="7"/>
      <c r="QBW15" s="7"/>
      <c r="QBX15" s="7"/>
      <c r="QBY15" s="7"/>
      <c r="QBZ15" s="7"/>
      <c r="QCA15" s="7"/>
      <c r="QCB15" s="7"/>
      <c r="QCC15" s="7"/>
      <c r="QCD15" s="7"/>
      <c r="QCE15" s="7"/>
      <c r="QCF15" s="7"/>
      <c r="QCG15" s="7"/>
      <c r="QCH15" s="7"/>
      <c r="QCI15" s="7"/>
      <c r="QCJ15" s="7"/>
      <c r="QCK15" s="7"/>
      <c r="QCL15" s="7"/>
      <c r="QCM15" s="7"/>
      <c r="QCN15" s="7"/>
      <c r="QCO15" s="7"/>
      <c r="QCP15" s="7"/>
      <c r="QCQ15" s="7"/>
      <c r="QCR15" s="7"/>
      <c r="QCS15" s="7"/>
      <c r="QCT15" s="7"/>
      <c r="QCU15" s="7"/>
      <c r="QCV15" s="7"/>
      <c r="QCW15" s="7"/>
      <c r="QCX15" s="7"/>
      <c r="QCY15" s="7"/>
      <c r="QCZ15" s="7"/>
      <c r="QDA15" s="7"/>
      <c r="QDB15" s="7"/>
      <c r="QDC15" s="7"/>
      <c r="QDD15" s="7"/>
      <c r="QDE15" s="7"/>
      <c r="QDF15" s="7"/>
      <c r="QDG15" s="7"/>
      <c r="QDH15" s="7"/>
      <c r="QDI15" s="7"/>
      <c r="QDJ15" s="7"/>
      <c r="QDK15" s="7"/>
      <c r="QDL15" s="7"/>
      <c r="QDM15" s="7"/>
      <c r="QDN15" s="7"/>
      <c r="QDO15" s="7"/>
      <c r="QDP15" s="7"/>
      <c r="QDQ15" s="7"/>
      <c r="QDR15" s="7"/>
      <c r="QDS15" s="7"/>
      <c r="QDT15" s="7"/>
      <c r="QDU15" s="7"/>
      <c r="QDV15" s="7"/>
      <c r="QDW15" s="7"/>
      <c r="QDX15" s="7"/>
      <c r="QDY15" s="7"/>
      <c r="QDZ15" s="7"/>
      <c r="QEA15" s="7"/>
      <c r="QEB15" s="7"/>
      <c r="QEC15" s="7"/>
      <c r="QED15" s="7"/>
      <c r="QEE15" s="7"/>
      <c r="QEF15" s="7"/>
      <c r="QEG15" s="7"/>
      <c r="QEH15" s="7"/>
      <c r="QEI15" s="7"/>
      <c r="QEJ15" s="7"/>
      <c r="QEK15" s="7"/>
      <c r="QEL15" s="7"/>
      <c r="QEM15" s="7"/>
      <c r="QEN15" s="7"/>
      <c r="QEO15" s="7"/>
      <c r="QEP15" s="7"/>
      <c r="QEQ15" s="7"/>
      <c r="QER15" s="7"/>
      <c r="QES15" s="7"/>
      <c r="QET15" s="7"/>
      <c r="QEU15" s="7"/>
      <c r="QEV15" s="7"/>
      <c r="QEW15" s="7"/>
      <c r="QEX15" s="7"/>
      <c r="QEY15" s="7"/>
      <c r="QEZ15" s="7"/>
      <c r="QFA15" s="7"/>
      <c r="QFB15" s="7"/>
      <c r="QFC15" s="7"/>
      <c r="QFD15" s="7"/>
      <c r="QFE15" s="7"/>
      <c r="QFF15" s="7"/>
      <c r="QFG15" s="7"/>
      <c r="QFH15" s="7"/>
      <c r="QFI15" s="7"/>
      <c r="QFJ15" s="7"/>
      <c r="QFK15" s="7"/>
      <c r="QFL15" s="7"/>
      <c r="QFM15" s="7"/>
      <c r="QFN15" s="7"/>
      <c r="QFO15" s="7"/>
      <c r="QFP15" s="7"/>
      <c r="QFQ15" s="7"/>
      <c r="QFR15" s="7"/>
      <c r="QFS15" s="7"/>
      <c r="QFT15" s="7"/>
      <c r="QFU15" s="7"/>
      <c r="QFV15" s="7"/>
      <c r="QFW15" s="7"/>
      <c r="QFX15" s="7"/>
      <c r="QFY15" s="7"/>
      <c r="QFZ15" s="7"/>
      <c r="QGA15" s="7"/>
      <c r="QGB15" s="7"/>
      <c r="QGC15" s="7"/>
      <c r="QGD15" s="7"/>
      <c r="QGE15" s="7"/>
      <c r="QGF15" s="7"/>
      <c r="QGG15" s="7"/>
      <c r="QGH15" s="7"/>
      <c r="QGI15" s="7"/>
      <c r="QGJ15" s="7"/>
      <c r="QGK15" s="7"/>
      <c r="QGL15" s="7"/>
      <c r="QGM15" s="7"/>
      <c r="QGN15" s="7"/>
      <c r="QGO15" s="7"/>
      <c r="QGP15" s="7"/>
      <c r="QGQ15" s="7"/>
      <c r="QGR15" s="7"/>
      <c r="QGS15" s="7"/>
      <c r="QGT15" s="7"/>
      <c r="QGU15" s="7"/>
      <c r="QGV15" s="7"/>
      <c r="QGW15" s="7"/>
      <c r="QGX15" s="7"/>
      <c r="QGY15" s="7"/>
      <c r="QGZ15" s="7"/>
      <c r="QHA15" s="7"/>
      <c r="QHB15" s="7"/>
      <c r="QHC15" s="7"/>
      <c r="QHD15" s="7"/>
      <c r="QHE15" s="7"/>
      <c r="QHF15" s="7"/>
      <c r="QHG15" s="7"/>
      <c r="QHH15" s="7"/>
      <c r="QHI15" s="7"/>
      <c r="QHJ15" s="7"/>
      <c r="QHK15" s="7"/>
      <c r="QHL15" s="7"/>
      <c r="QHM15" s="7"/>
      <c r="QHN15" s="7"/>
      <c r="QHO15" s="7"/>
      <c r="QHP15" s="7"/>
      <c r="QHQ15" s="7"/>
      <c r="QHR15" s="7"/>
      <c r="QHS15" s="7"/>
      <c r="QHT15" s="7"/>
      <c r="QHU15" s="7"/>
      <c r="QHV15" s="7"/>
      <c r="QHW15" s="7"/>
      <c r="QHX15" s="7"/>
      <c r="QHY15" s="7"/>
      <c r="QHZ15" s="7"/>
      <c r="QIA15" s="7"/>
      <c r="QIB15" s="7"/>
      <c r="QIC15" s="7"/>
      <c r="QID15" s="7"/>
      <c r="QIE15" s="7"/>
      <c r="QIF15" s="7"/>
      <c r="QIG15" s="7"/>
      <c r="QIH15" s="7"/>
      <c r="QII15" s="7"/>
      <c r="QIJ15" s="7"/>
      <c r="QIK15" s="7"/>
      <c r="QIL15" s="7"/>
      <c r="QIM15" s="7"/>
      <c r="QIN15" s="7"/>
      <c r="QIO15" s="7"/>
      <c r="QIP15" s="7"/>
      <c r="QIQ15" s="7"/>
      <c r="QIR15" s="7"/>
      <c r="QIS15" s="7"/>
      <c r="QIT15" s="7"/>
      <c r="QIU15" s="7"/>
      <c r="QIV15" s="7"/>
      <c r="QIW15" s="7"/>
      <c r="QIX15" s="7"/>
      <c r="QIY15" s="7"/>
      <c r="QIZ15" s="7"/>
      <c r="QJA15" s="7"/>
      <c r="QJB15" s="7"/>
      <c r="QJC15" s="7"/>
      <c r="QJD15" s="7"/>
      <c r="QJE15" s="7"/>
      <c r="QJF15" s="7"/>
      <c r="QJG15" s="7"/>
      <c r="QJH15" s="7"/>
      <c r="QJI15" s="7"/>
      <c r="QJJ15" s="7"/>
      <c r="QJK15" s="7"/>
      <c r="QJL15" s="7"/>
      <c r="QJM15" s="7"/>
      <c r="QJN15" s="7"/>
      <c r="QJO15" s="7"/>
      <c r="QJP15" s="7"/>
      <c r="QJQ15" s="7"/>
      <c r="QJR15" s="7"/>
      <c r="QJS15" s="7"/>
      <c r="QJT15" s="7"/>
      <c r="QJU15" s="7"/>
      <c r="QJV15" s="7"/>
      <c r="QJW15" s="7"/>
      <c r="QJX15" s="7"/>
      <c r="QJY15" s="7"/>
      <c r="QJZ15" s="7"/>
      <c r="QKA15" s="7"/>
      <c r="QKB15" s="7"/>
      <c r="QKC15" s="7"/>
      <c r="QKD15" s="7"/>
      <c r="QKE15" s="7"/>
      <c r="QKF15" s="7"/>
      <c r="QKG15" s="7"/>
      <c r="QKH15" s="7"/>
      <c r="QKI15" s="7"/>
      <c r="QKJ15" s="7"/>
      <c r="QKK15" s="7"/>
      <c r="QKL15" s="7"/>
      <c r="QKM15" s="7"/>
      <c r="QKN15" s="7"/>
      <c r="QKO15" s="7"/>
      <c r="QKP15" s="7"/>
      <c r="QKQ15" s="7"/>
      <c r="QKR15" s="7"/>
      <c r="QKS15" s="7"/>
      <c r="QKT15" s="7"/>
      <c r="QKU15" s="7"/>
      <c r="QKV15" s="7"/>
      <c r="QKW15" s="7"/>
      <c r="QKX15" s="7"/>
      <c r="QKY15" s="7"/>
      <c r="QKZ15" s="7"/>
      <c r="QLA15" s="7"/>
      <c r="QLB15" s="7"/>
      <c r="QLC15" s="7"/>
      <c r="QLD15" s="7"/>
      <c r="QLE15" s="7"/>
      <c r="QLF15" s="7"/>
      <c r="QLG15" s="7"/>
      <c r="QLH15" s="7"/>
      <c r="QLI15" s="7"/>
      <c r="QLJ15" s="7"/>
      <c r="QLK15" s="7"/>
      <c r="QLL15" s="7"/>
      <c r="QLM15" s="7"/>
      <c r="QLN15" s="7"/>
      <c r="QLO15" s="7"/>
      <c r="QLP15" s="7"/>
      <c r="QLQ15" s="7"/>
      <c r="QLR15" s="7"/>
      <c r="QLS15" s="7"/>
      <c r="QLT15" s="7"/>
      <c r="QLU15" s="7"/>
      <c r="QLV15" s="7"/>
      <c r="QLW15" s="7"/>
      <c r="QLX15" s="7"/>
      <c r="QLY15" s="7"/>
      <c r="QLZ15" s="7"/>
      <c r="QMA15" s="7"/>
      <c r="QMB15" s="7"/>
      <c r="QMC15" s="7"/>
      <c r="QMD15" s="7"/>
      <c r="QME15" s="7"/>
      <c r="QMF15" s="7"/>
      <c r="QMG15" s="7"/>
      <c r="QMH15" s="7"/>
      <c r="QMI15" s="7"/>
      <c r="QMJ15" s="7"/>
      <c r="QMK15" s="7"/>
      <c r="QML15" s="7"/>
      <c r="QMM15" s="7"/>
      <c r="QMN15" s="7"/>
      <c r="QMO15" s="7"/>
      <c r="QMP15" s="7"/>
      <c r="QMQ15" s="7"/>
      <c r="QMR15" s="7"/>
      <c r="QMS15" s="7"/>
      <c r="QMT15" s="7"/>
      <c r="QMU15" s="7"/>
      <c r="QMV15" s="7"/>
      <c r="QMW15" s="7"/>
      <c r="QMX15" s="7"/>
      <c r="QMY15" s="7"/>
      <c r="QMZ15" s="7"/>
      <c r="QNA15" s="7"/>
      <c r="QNB15" s="7"/>
      <c r="QNC15" s="7"/>
      <c r="QND15" s="7"/>
      <c r="QNE15" s="7"/>
      <c r="QNF15" s="7"/>
      <c r="QNG15" s="7"/>
      <c r="QNH15" s="7"/>
      <c r="QNI15" s="7"/>
      <c r="QNJ15" s="7"/>
      <c r="QNK15" s="7"/>
      <c r="QNL15" s="7"/>
      <c r="QNM15" s="7"/>
      <c r="QNN15" s="7"/>
      <c r="QNO15" s="7"/>
      <c r="QNP15" s="7"/>
      <c r="QNQ15" s="7"/>
      <c r="QNR15" s="7"/>
      <c r="QNS15" s="7"/>
      <c r="QNT15" s="7"/>
      <c r="QNU15" s="7"/>
      <c r="QNV15" s="7"/>
      <c r="QNW15" s="7"/>
      <c r="QNX15" s="7"/>
      <c r="QNY15" s="7"/>
      <c r="QNZ15" s="7"/>
      <c r="QOA15" s="7"/>
      <c r="QOB15" s="7"/>
      <c r="QOC15" s="7"/>
      <c r="QOD15" s="7"/>
      <c r="QOE15" s="7"/>
      <c r="QOF15" s="7"/>
      <c r="QOG15" s="7"/>
      <c r="QOH15" s="7"/>
      <c r="QOI15" s="7"/>
      <c r="QOJ15" s="7"/>
      <c r="QOK15" s="7"/>
      <c r="QOL15" s="7"/>
      <c r="QOM15" s="7"/>
      <c r="QON15" s="7"/>
      <c r="QOO15" s="7"/>
      <c r="QOP15" s="7"/>
      <c r="QOQ15" s="7"/>
      <c r="QOR15" s="7"/>
      <c r="QOS15" s="7"/>
      <c r="QOT15" s="7"/>
      <c r="QOU15" s="7"/>
      <c r="QOV15" s="7"/>
      <c r="QOW15" s="7"/>
      <c r="QOX15" s="7"/>
      <c r="QOY15" s="7"/>
      <c r="QOZ15" s="7"/>
      <c r="QPA15" s="7"/>
      <c r="QPB15" s="7"/>
      <c r="QPC15" s="7"/>
      <c r="QPD15" s="7"/>
      <c r="QPE15" s="7"/>
      <c r="QPF15" s="7"/>
      <c r="QPG15" s="7"/>
      <c r="QPH15" s="7"/>
      <c r="QPI15" s="7"/>
      <c r="QPJ15" s="7"/>
      <c r="QPK15" s="7"/>
      <c r="QPL15" s="7"/>
      <c r="QPM15" s="7"/>
      <c r="QPN15" s="7"/>
      <c r="QPO15" s="7"/>
      <c r="QPP15" s="7"/>
      <c r="QPQ15" s="7"/>
      <c r="QPR15" s="7"/>
      <c r="QPS15" s="7"/>
      <c r="QPT15" s="7"/>
      <c r="QPU15" s="7"/>
      <c r="QPV15" s="7"/>
      <c r="QPW15" s="7"/>
      <c r="QPX15" s="7"/>
      <c r="QPY15" s="7"/>
      <c r="QPZ15" s="7"/>
      <c r="QQA15" s="7"/>
      <c r="QQB15" s="7"/>
      <c r="QQC15" s="7"/>
      <c r="QQD15" s="7"/>
      <c r="QQE15" s="7"/>
      <c r="QQF15" s="7"/>
      <c r="QQG15" s="7"/>
      <c r="QQH15" s="7"/>
      <c r="QQI15" s="7"/>
      <c r="QQJ15" s="7"/>
      <c r="QQK15" s="7"/>
      <c r="QQL15" s="7"/>
      <c r="QQM15" s="7"/>
      <c r="QQN15" s="7"/>
      <c r="QQO15" s="7"/>
      <c r="QQP15" s="7"/>
      <c r="QQQ15" s="7"/>
      <c r="QQR15" s="7"/>
      <c r="QQS15" s="7"/>
      <c r="QQT15" s="7"/>
      <c r="QQU15" s="7"/>
      <c r="QQV15" s="7"/>
      <c r="QQW15" s="7"/>
      <c r="QQX15" s="7"/>
      <c r="QQY15" s="7"/>
      <c r="QQZ15" s="7"/>
      <c r="QRA15" s="7"/>
      <c r="QRB15" s="7"/>
      <c r="QRC15" s="7"/>
      <c r="QRD15" s="7"/>
      <c r="QRE15" s="7"/>
      <c r="QRF15" s="7"/>
      <c r="QRG15" s="7"/>
      <c r="QRH15" s="7"/>
      <c r="QRI15" s="7"/>
      <c r="QRJ15" s="7"/>
      <c r="QRK15" s="7"/>
      <c r="QRL15" s="7"/>
      <c r="QRM15" s="7"/>
      <c r="QRN15" s="7"/>
      <c r="QRO15" s="7"/>
      <c r="QRP15" s="7"/>
      <c r="QRQ15" s="7"/>
      <c r="QRR15" s="7"/>
      <c r="QRS15" s="7"/>
      <c r="QRT15" s="7"/>
      <c r="QRU15" s="7"/>
      <c r="QRV15" s="7"/>
      <c r="QRW15" s="7"/>
      <c r="QRX15" s="7"/>
      <c r="QRY15" s="7"/>
      <c r="QRZ15" s="7"/>
      <c r="QSA15" s="7"/>
      <c r="QSB15" s="7"/>
      <c r="QSC15" s="7"/>
      <c r="QSD15" s="7"/>
      <c r="QSE15" s="7"/>
      <c r="QSF15" s="7"/>
      <c r="QSG15" s="7"/>
      <c r="QSH15" s="7"/>
      <c r="QSI15" s="7"/>
      <c r="QSJ15" s="7"/>
      <c r="QSK15" s="7"/>
      <c r="QSL15" s="7"/>
      <c r="QSM15" s="7"/>
      <c r="QSN15" s="7"/>
      <c r="QSO15" s="7"/>
      <c r="QSP15" s="7"/>
      <c r="QSQ15" s="7"/>
      <c r="QSR15" s="7"/>
      <c r="QSS15" s="7"/>
      <c r="QST15" s="7"/>
      <c r="QSU15" s="7"/>
      <c r="QSV15" s="7"/>
      <c r="QSW15" s="7"/>
      <c r="QSX15" s="7"/>
      <c r="QSY15" s="7"/>
      <c r="QSZ15" s="7"/>
      <c r="QTA15" s="7"/>
      <c r="QTB15" s="7"/>
      <c r="QTC15" s="7"/>
      <c r="QTD15" s="7"/>
      <c r="QTE15" s="7"/>
      <c r="QTF15" s="7"/>
      <c r="QTG15" s="7"/>
      <c r="QTH15" s="7"/>
      <c r="QTI15" s="7"/>
      <c r="QTJ15" s="7"/>
      <c r="QTK15" s="7"/>
      <c r="QTL15" s="7"/>
      <c r="QTM15" s="7"/>
      <c r="QTN15" s="7"/>
      <c r="QTO15" s="7"/>
      <c r="QTP15" s="7"/>
      <c r="QTQ15" s="7"/>
      <c r="QTR15" s="7"/>
      <c r="QTS15" s="7"/>
      <c r="QTT15" s="7"/>
      <c r="QTU15" s="7"/>
      <c r="QTV15" s="7"/>
      <c r="QTW15" s="7"/>
      <c r="QTX15" s="7"/>
      <c r="QTY15" s="7"/>
      <c r="QTZ15" s="7"/>
      <c r="QUA15" s="7"/>
      <c r="QUB15" s="7"/>
      <c r="QUC15" s="7"/>
      <c r="QUD15" s="7"/>
      <c r="QUE15" s="7"/>
      <c r="QUF15" s="7"/>
      <c r="QUG15" s="7"/>
      <c r="QUH15" s="7"/>
      <c r="QUI15" s="7"/>
      <c r="QUJ15" s="7"/>
      <c r="QUK15" s="7"/>
      <c r="QUL15" s="7"/>
      <c r="QUM15" s="7"/>
      <c r="QUN15" s="7"/>
      <c r="QUO15" s="7"/>
      <c r="QUP15" s="7"/>
      <c r="QUQ15" s="7"/>
      <c r="QUR15" s="7"/>
      <c r="QUS15" s="7"/>
      <c r="QUT15" s="7"/>
      <c r="QUU15" s="7"/>
      <c r="QUV15" s="7"/>
      <c r="QUW15" s="7"/>
      <c r="QUX15" s="7"/>
      <c r="QUY15" s="7"/>
      <c r="QUZ15" s="7"/>
      <c r="QVA15" s="7"/>
      <c r="QVB15" s="7"/>
      <c r="QVC15" s="7"/>
      <c r="QVD15" s="7"/>
      <c r="QVE15" s="7"/>
      <c r="QVF15" s="7"/>
      <c r="QVG15" s="7"/>
      <c r="QVH15" s="7"/>
      <c r="QVI15" s="7"/>
      <c r="QVJ15" s="7"/>
      <c r="QVK15" s="7"/>
      <c r="QVL15" s="7"/>
      <c r="QVM15" s="7"/>
      <c r="QVN15" s="7"/>
      <c r="QVO15" s="7"/>
      <c r="QVP15" s="7"/>
      <c r="QVQ15" s="7"/>
      <c r="QVR15" s="7"/>
      <c r="QVS15" s="7"/>
      <c r="QVT15" s="7"/>
      <c r="QVU15" s="7"/>
      <c r="QVV15" s="7"/>
      <c r="QVW15" s="7"/>
      <c r="QVX15" s="7"/>
      <c r="QVY15" s="7"/>
      <c r="QVZ15" s="7"/>
      <c r="QWA15" s="7"/>
      <c r="QWB15" s="7"/>
      <c r="QWC15" s="7"/>
      <c r="QWD15" s="7"/>
      <c r="QWE15" s="7"/>
      <c r="QWF15" s="7"/>
      <c r="QWG15" s="7"/>
      <c r="QWH15" s="7"/>
      <c r="QWI15" s="7"/>
      <c r="QWJ15" s="7"/>
      <c r="QWK15" s="7"/>
      <c r="QWL15" s="7"/>
      <c r="QWM15" s="7"/>
      <c r="QWN15" s="7"/>
      <c r="QWO15" s="7"/>
      <c r="QWP15" s="7"/>
      <c r="QWQ15" s="7"/>
      <c r="QWR15" s="7"/>
      <c r="QWS15" s="7"/>
      <c r="QWT15" s="7"/>
      <c r="QWU15" s="7"/>
      <c r="QWV15" s="7"/>
      <c r="QWW15" s="7"/>
      <c r="QWX15" s="7"/>
      <c r="QWY15" s="7"/>
      <c r="QWZ15" s="7"/>
      <c r="QXA15" s="7"/>
      <c r="QXB15" s="7"/>
      <c r="QXC15" s="7"/>
      <c r="QXD15" s="7"/>
      <c r="QXE15" s="7"/>
      <c r="QXF15" s="7"/>
      <c r="QXG15" s="7"/>
      <c r="QXH15" s="7"/>
      <c r="QXI15" s="7"/>
      <c r="QXJ15" s="7"/>
      <c r="QXK15" s="7"/>
      <c r="QXL15" s="7"/>
      <c r="QXM15" s="7"/>
      <c r="QXN15" s="7"/>
      <c r="QXO15" s="7"/>
      <c r="QXP15" s="7"/>
      <c r="QXQ15" s="7"/>
      <c r="QXR15" s="7"/>
      <c r="QXS15" s="7"/>
      <c r="QXT15" s="7"/>
      <c r="QXU15" s="7"/>
      <c r="QXV15" s="7"/>
      <c r="QXW15" s="7"/>
      <c r="QXX15" s="7"/>
      <c r="QXY15" s="7"/>
      <c r="QXZ15" s="7"/>
      <c r="QYA15" s="7"/>
      <c r="QYB15" s="7"/>
      <c r="QYC15" s="7"/>
      <c r="QYD15" s="7"/>
      <c r="QYE15" s="7"/>
      <c r="QYF15" s="7"/>
      <c r="QYG15" s="7"/>
      <c r="QYH15" s="7"/>
      <c r="QYI15" s="7"/>
      <c r="QYJ15" s="7"/>
      <c r="QYK15" s="7"/>
      <c r="QYL15" s="7"/>
      <c r="QYM15" s="7"/>
      <c r="QYN15" s="7"/>
      <c r="QYO15" s="7"/>
      <c r="QYP15" s="7"/>
      <c r="QYQ15" s="7"/>
      <c r="QYR15" s="7"/>
      <c r="QYS15" s="7"/>
      <c r="QYT15" s="7"/>
      <c r="QYU15" s="7"/>
      <c r="QYV15" s="7"/>
      <c r="QYW15" s="7"/>
      <c r="QYX15" s="7"/>
      <c r="QYY15" s="7"/>
      <c r="QYZ15" s="7"/>
      <c r="QZA15" s="7"/>
      <c r="QZB15" s="7"/>
      <c r="QZC15" s="7"/>
      <c r="QZD15" s="7"/>
      <c r="QZE15" s="7"/>
      <c r="QZF15" s="7"/>
      <c r="QZG15" s="7"/>
      <c r="QZH15" s="7"/>
      <c r="QZI15" s="7"/>
      <c r="QZJ15" s="7"/>
      <c r="QZK15" s="7"/>
      <c r="QZL15" s="7"/>
      <c r="QZM15" s="7"/>
      <c r="QZN15" s="7"/>
      <c r="QZO15" s="7"/>
      <c r="QZP15" s="7"/>
      <c r="QZQ15" s="7"/>
      <c r="QZR15" s="7"/>
      <c r="QZS15" s="7"/>
      <c r="QZT15" s="7"/>
      <c r="QZU15" s="7"/>
      <c r="QZV15" s="7"/>
      <c r="QZW15" s="7"/>
      <c r="QZX15" s="7"/>
      <c r="QZY15" s="7"/>
      <c r="QZZ15" s="7"/>
      <c r="RAA15" s="7"/>
      <c r="RAB15" s="7"/>
      <c r="RAC15" s="7"/>
      <c r="RAD15" s="7"/>
      <c r="RAE15" s="7"/>
      <c r="RAF15" s="7"/>
      <c r="RAG15" s="7"/>
      <c r="RAH15" s="7"/>
      <c r="RAI15" s="7"/>
      <c r="RAJ15" s="7"/>
      <c r="RAK15" s="7"/>
      <c r="RAL15" s="7"/>
      <c r="RAM15" s="7"/>
      <c r="RAN15" s="7"/>
      <c r="RAO15" s="7"/>
      <c r="RAP15" s="7"/>
      <c r="RAQ15" s="7"/>
      <c r="RAR15" s="7"/>
      <c r="RAS15" s="7"/>
      <c r="RAT15" s="7"/>
      <c r="RAU15" s="7"/>
      <c r="RAV15" s="7"/>
      <c r="RAW15" s="7"/>
      <c r="RAX15" s="7"/>
      <c r="RAY15" s="7"/>
      <c r="RAZ15" s="7"/>
      <c r="RBA15" s="7"/>
      <c r="RBB15" s="7"/>
      <c r="RBC15" s="7"/>
      <c r="RBD15" s="7"/>
      <c r="RBE15" s="7"/>
      <c r="RBF15" s="7"/>
      <c r="RBG15" s="7"/>
      <c r="RBH15" s="7"/>
      <c r="RBI15" s="7"/>
      <c r="RBJ15" s="7"/>
      <c r="RBK15" s="7"/>
      <c r="RBL15" s="7"/>
      <c r="RBM15" s="7"/>
      <c r="RBN15" s="7"/>
      <c r="RBO15" s="7"/>
      <c r="RBP15" s="7"/>
      <c r="RBQ15" s="7"/>
      <c r="RBR15" s="7"/>
      <c r="RBS15" s="7"/>
      <c r="RBT15" s="7"/>
      <c r="RBU15" s="7"/>
      <c r="RBV15" s="7"/>
      <c r="RBW15" s="7"/>
      <c r="RBX15" s="7"/>
      <c r="RBY15" s="7"/>
      <c r="RBZ15" s="7"/>
      <c r="RCA15" s="7"/>
      <c r="RCB15" s="7"/>
      <c r="RCC15" s="7"/>
      <c r="RCD15" s="7"/>
      <c r="RCE15" s="7"/>
      <c r="RCF15" s="7"/>
      <c r="RCG15" s="7"/>
      <c r="RCH15" s="7"/>
      <c r="RCI15" s="7"/>
      <c r="RCJ15" s="7"/>
      <c r="RCK15" s="7"/>
      <c r="RCL15" s="7"/>
      <c r="RCM15" s="7"/>
      <c r="RCN15" s="7"/>
      <c r="RCO15" s="7"/>
      <c r="RCP15" s="7"/>
      <c r="RCQ15" s="7"/>
      <c r="RCR15" s="7"/>
      <c r="RCS15" s="7"/>
      <c r="RCT15" s="7"/>
      <c r="RCU15" s="7"/>
      <c r="RCV15" s="7"/>
      <c r="RCW15" s="7"/>
      <c r="RCX15" s="7"/>
      <c r="RCY15" s="7"/>
      <c r="RCZ15" s="7"/>
      <c r="RDA15" s="7"/>
      <c r="RDB15" s="7"/>
      <c r="RDC15" s="7"/>
      <c r="RDD15" s="7"/>
      <c r="RDE15" s="7"/>
      <c r="RDF15" s="7"/>
      <c r="RDG15" s="7"/>
      <c r="RDH15" s="7"/>
      <c r="RDI15" s="7"/>
      <c r="RDJ15" s="7"/>
      <c r="RDK15" s="7"/>
      <c r="RDL15" s="7"/>
      <c r="RDM15" s="7"/>
      <c r="RDN15" s="7"/>
      <c r="RDO15" s="7"/>
      <c r="RDP15" s="7"/>
      <c r="RDQ15" s="7"/>
      <c r="RDR15" s="7"/>
      <c r="RDS15" s="7"/>
      <c r="RDT15" s="7"/>
      <c r="RDU15" s="7"/>
      <c r="RDV15" s="7"/>
      <c r="RDW15" s="7"/>
      <c r="RDX15" s="7"/>
      <c r="RDY15" s="7"/>
      <c r="RDZ15" s="7"/>
      <c r="REA15" s="7"/>
      <c r="REB15" s="7"/>
      <c r="REC15" s="7"/>
      <c r="RED15" s="7"/>
      <c r="REE15" s="7"/>
      <c r="REF15" s="7"/>
      <c r="REG15" s="7"/>
      <c r="REH15" s="7"/>
      <c r="REI15" s="7"/>
      <c r="REJ15" s="7"/>
      <c r="REK15" s="7"/>
      <c r="REL15" s="7"/>
      <c r="REM15" s="7"/>
      <c r="REN15" s="7"/>
      <c r="REO15" s="7"/>
      <c r="REP15" s="7"/>
      <c r="REQ15" s="7"/>
      <c r="RER15" s="7"/>
      <c r="RES15" s="7"/>
      <c r="RET15" s="7"/>
      <c r="REU15" s="7"/>
      <c r="REV15" s="7"/>
      <c r="REW15" s="7"/>
      <c r="REX15" s="7"/>
      <c r="REY15" s="7"/>
      <c r="REZ15" s="7"/>
      <c r="RFA15" s="7"/>
      <c r="RFB15" s="7"/>
      <c r="RFC15" s="7"/>
      <c r="RFD15" s="7"/>
      <c r="RFE15" s="7"/>
      <c r="RFF15" s="7"/>
      <c r="RFG15" s="7"/>
      <c r="RFH15" s="7"/>
      <c r="RFI15" s="7"/>
      <c r="RFJ15" s="7"/>
      <c r="RFK15" s="7"/>
      <c r="RFL15" s="7"/>
      <c r="RFM15" s="7"/>
      <c r="RFN15" s="7"/>
      <c r="RFO15" s="7"/>
      <c r="RFP15" s="7"/>
      <c r="RFQ15" s="7"/>
      <c r="RFR15" s="7"/>
      <c r="RFS15" s="7"/>
      <c r="RFT15" s="7"/>
      <c r="RFU15" s="7"/>
      <c r="RFV15" s="7"/>
      <c r="RFW15" s="7"/>
      <c r="RFX15" s="7"/>
      <c r="RFY15" s="7"/>
      <c r="RFZ15" s="7"/>
      <c r="RGA15" s="7"/>
      <c r="RGB15" s="7"/>
      <c r="RGC15" s="7"/>
      <c r="RGD15" s="7"/>
      <c r="RGE15" s="7"/>
      <c r="RGF15" s="7"/>
      <c r="RGG15" s="7"/>
      <c r="RGH15" s="7"/>
      <c r="RGI15" s="7"/>
      <c r="RGJ15" s="7"/>
      <c r="RGK15" s="7"/>
      <c r="RGL15" s="7"/>
      <c r="RGM15" s="7"/>
      <c r="RGN15" s="7"/>
      <c r="RGO15" s="7"/>
      <c r="RGP15" s="7"/>
      <c r="RGQ15" s="7"/>
      <c r="RGR15" s="7"/>
      <c r="RGS15" s="7"/>
      <c r="RGT15" s="7"/>
      <c r="RGU15" s="7"/>
      <c r="RGV15" s="7"/>
      <c r="RGW15" s="7"/>
      <c r="RGX15" s="7"/>
      <c r="RGY15" s="7"/>
      <c r="RGZ15" s="7"/>
      <c r="RHA15" s="7"/>
      <c r="RHB15" s="7"/>
      <c r="RHC15" s="7"/>
      <c r="RHD15" s="7"/>
      <c r="RHE15" s="7"/>
      <c r="RHF15" s="7"/>
      <c r="RHG15" s="7"/>
      <c r="RHH15" s="7"/>
      <c r="RHI15" s="7"/>
      <c r="RHJ15" s="7"/>
      <c r="RHK15" s="7"/>
      <c r="RHL15" s="7"/>
      <c r="RHM15" s="7"/>
      <c r="RHN15" s="7"/>
      <c r="RHO15" s="7"/>
      <c r="RHP15" s="7"/>
      <c r="RHQ15" s="7"/>
      <c r="RHR15" s="7"/>
      <c r="RHS15" s="7"/>
      <c r="RHT15" s="7"/>
      <c r="RHU15" s="7"/>
      <c r="RHV15" s="7"/>
      <c r="RHW15" s="7"/>
      <c r="RHX15" s="7"/>
      <c r="RHY15" s="7"/>
      <c r="RHZ15" s="7"/>
      <c r="RIA15" s="7"/>
      <c r="RIB15" s="7"/>
      <c r="RIC15" s="7"/>
      <c r="RID15" s="7"/>
      <c r="RIE15" s="7"/>
      <c r="RIF15" s="7"/>
      <c r="RIG15" s="7"/>
      <c r="RIH15" s="7"/>
      <c r="RII15" s="7"/>
      <c r="RIJ15" s="7"/>
      <c r="RIK15" s="7"/>
      <c r="RIL15" s="7"/>
      <c r="RIM15" s="7"/>
      <c r="RIN15" s="7"/>
      <c r="RIO15" s="7"/>
      <c r="RIP15" s="7"/>
      <c r="RIQ15" s="7"/>
      <c r="RIR15" s="7"/>
      <c r="RIS15" s="7"/>
      <c r="RIT15" s="7"/>
      <c r="RIU15" s="7"/>
      <c r="RIV15" s="7"/>
      <c r="RIW15" s="7"/>
      <c r="RIX15" s="7"/>
      <c r="RIY15" s="7"/>
      <c r="RIZ15" s="7"/>
      <c r="RJA15" s="7"/>
      <c r="RJB15" s="7"/>
      <c r="RJC15" s="7"/>
      <c r="RJD15" s="7"/>
      <c r="RJE15" s="7"/>
      <c r="RJF15" s="7"/>
      <c r="RJG15" s="7"/>
      <c r="RJH15" s="7"/>
      <c r="RJI15" s="7"/>
      <c r="RJJ15" s="7"/>
      <c r="RJK15" s="7"/>
      <c r="RJL15" s="7"/>
      <c r="RJM15" s="7"/>
      <c r="RJN15" s="7"/>
      <c r="RJO15" s="7"/>
      <c r="RJP15" s="7"/>
      <c r="RJQ15" s="7"/>
      <c r="RJR15" s="7"/>
      <c r="RJS15" s="7"/>
      <c r="RJT15" s="7"/>
      <c r="RJU15" s="7"/>
      <c r="RJV15" s="7"/>
      <c r="RJW15" s="7"/>
      <c r="RJX15" s="7"/>
      <c r="RJY15" s="7"/>
      <c r="RJZ15" s="7"/>
      <c r="RKA15" s="7"/>
      <c r="RKB15" s="7"/>
      <c r="RKC15" s="7"/>
      <c r="RKD15" s="7"/>
      <c r="RKE15" s="7"/>
      <c r="RKF15" s="7"/>
      <c r="RKG15" s="7"/>
      <c r="RKH15" s="7"/>
      <c r="RKI15" s="7"/>
      <c r="RKJ15" s="7"/>
      <c r="RKK15" s="7"/>
      <c r="RKL15" s="7"/>
      <c r="RKM15" s="7"/>
      <c r="RKN15" s="7"/>
      <c r="RKO15" s="7"/>
      <c r="RKP15" s="7"/>
      <c r="RKQ15" s="7"/>
      <c r="RKR15" s="7"/>
      <c r="RKS15" s="7"/>
      <c r="RKT15" s="7"/>
      <c r="RKU15" s="7"/>
      <c r="RKV15" s="7"/>
      <c r="RKW15" s="7"/>
      <c r="RKX15" s="7"/>
      <c r="RKY15" s="7"/>
      <c r="RKZ15" s="7"/>
      <c r="RLA15" s="7"/>
      <c r="RLB15" s="7"/>
      <c r="RLC15" s="7"/>
      <c r="RLD15" s="7"/>
      <c r="RLE15" s="7"/>
      <c r="RLF15" s="7"/>
      <c r="RLG15" s="7"/>
      <c r="RLH15" s="7"/>
      <c r="RLI15" s="7"/>
      <c r="RLJ15" s="7"/>
      <c r="RLK15" s="7"/>
      <c r="RLL15" s="7"/>
      <c r="RLM15" s="7"/>
      <c r="RLN15" s="7"/>
      <c r="RLO15" s="7"/>
      <c r="RLP15" s="7"/>
      <c r="RLQ15" s="7"/>
      <c r="RLR15" s="7"/>
      <c r="RLS15" s="7"/>
      <c r="RLT15" s="7"/>
      <c r="RLU15" s="7"/>
      <c r="RLV15" s="7"/>
      <c r="RLW15" s="7"/>
      <c r="RLX15" s="7"/>
      <c r="RLY15" s="7"/>
      <c r="RLZ15" s="7"/>
      <c r="RMA15" s="7"/>
      <c r="RMB15" s="7"/>
      <c r="RMC15" s="7"/>
      <c r="RMD15" s="7"/>
      <c r="RME15" s="7"/>
      <c r="RMF15" s="7"/>
      <c r="RMG15" s="7"/>
      <c r="RMH15" s="7"/>
      <c r="RMI15" s="7"/>
      <c r="RMJ15" s="7"/>
      <c r="RMK15" s="7"/>
      <c r="RML15" s="7"/>
      <c r="RMM15" s="7"/>
      <c r="RMN15" s="7"/>
      <c r="RMO15" s="7"/>
      <c r="RMP15" s="7"/>
      <c r="RMQ15" s="7"/>
      <c r="RMR15" s="7"/>
      <c r="RMS15" s="7"/>
      <c r="RMT15" s="7"/>
      <c r="RMU15" s="7"/>
      <c r="RMV15" s="7"/>
      <c r="RMW15" s="7"/>
      <c r="RMX15" s="7"/>
      <c r="RMY15" s="7"/>
      <c r="RMZ15" s="7"/>
      <c r="RNA15" s="7"/>
      <c r="RNB15" s="7"/>
      <c r="RNC15" s="7"/>
      <c r="RND15" s="7"/>
      <c r="RNE15" s="7"/>
      <c r="RNF15" s="7"/>
      <c r="RNG15" s="7"/>
      <c r="RNH15" s="7"/>
      <c r="RNI15" s="7"/>
      <c r="RNJ15" s="7"/>
      <c r="RNK15" s="7"/>
      <c r="RNL15" s="7"/>
      <c r="RNM15" s="7"/>
      <c r="RNN15" s="7"/>
      <c r="RNO15" s="7"/>
      <c r="RNP15" s="7"/>
      <c r="RNQ15" s="7"/>
      <c r="RNR15" s="7"/>
      <c r="RNS15" s="7"/>
      <c r="RNT15" s="7"/>
      <c r="RNU15" s="7"/>
      <c r="RNV15" s="7"/>
      <c r="RNW15" s="7"/>
      <c r="RNX15" s="7"/>
      <c r="RNY15" s="7"/>
      <c r="RNZ15" s="7"/>
      <c r="ROA15" s="7"/>
      <c r="ROB15" s="7"/>
      <c r="ROC15" s="7"/>
      <c r="ROD15" s="7"/>
      <c r="ROE15" s="7"/>
      <c r="ROF15" s="7"/>
      <c r="ROG15" s="7"/>
      <c r="ROH15" s="7"/>
      <c r="ROI15" s="7"/>
      <c r="ROJ15" s="7"/>
      <c r="ROK15" s="7"/>
      <c r="ROL15" s="7"/>
      <c r="ROM15" s="7"/>
      <c r="RON15" s="7"/>
      <c r="ROO15" s="7"/>
      <c r="ROP15" s="7"/>
      <c r="ROQ15" s="7"/>
      <c r="ROR15" s="7"/>
      <c r="ROS15" s="7"/>
      <c r="ROT15" s="7"/>
      <c r="ROU15" s="7"/>
      <c r="ROV15" s="7"/>
      <c r="ROW15" s="7"/>
      <c r="ROX15" s="7"/>
      <c r="ROY15" s="7"/>
      <c r="ROZ15" s="7"/>
      <c r="RPA15" s="7"/>
      <c r="RPB15" s="7"/>
      <c r="RPC15" s="7"/>
      <c r="RPD15" s="7"/>
      <c r="RPE15" s="7"/>
      <c r="RPF15" s="7"/>
      <c r="RPG15" s="7"/>
      <c r="RPH15" s="7"/>
      <c r="RPI15" s="7"/>
      <c r="RPJ15" s="7"/>
      <c r="RPK15" s="7"/>
      <c r="RPL15" s="7"/>
      <c r="RPM15" s="7"/>
      <c r="RPN15" s="7"/>
      <c r="RPO15" s="7"/>
      <c r="RPP15" s="7"/>
      <c r="RPQ15" s="7"/>
      <c r="RPR15" s="7"/>
      <c r="RPS15" s="7"/>
      <c r="RPT15" s="7"/>
      <c r="RPU15" s="7"/>
      <c r="RPV15" s="7"/>
      <c r="RPW15" s="7"/>
      <c r="RPX15" s="7"/>
      <c r="RPY15" s="7"/>
      <c r="RPZ15" s="7"/>
      <c r="RQA15" s="7"/>
      <c r="RQB15" s="7"/>
      <c r="RQC15" s="7"/>
      <c r="RQD15" s="7"/>
      <c r="RQE15" s="7"/>
      <c r="RQF15" s="7"/>
      <c r="RQG15" s="7"/>
      <c r="RQH15" s="7"/>
      <c r="RQI15" s="7"/>
      <c r="RQJ15" s="7"/>
      <c r="RQK15" s="7"/>
      <c r="RQL15" s="7"/>
      <c r="RQM15" s="7"/>
      <c r="RQN15" s="7"/>
      <c r="RQO15" s="7"/>
      <c r="RQP15" s="7"/>
      <c r="RQQ15" s="7"/>
      <c r="RQR15" s="7"/>
      <c r="RQS15" s="7"/>
      <c r="RQT15" s="7"/>
      <c r="RQU15" s="7"/>
      <c r="RQV15" s="7"/>
      <c r="RQW15" s="7"/>
      <c r="RQX15" s="7"/>
      <c r="RQY15" s="7"/>
      <c r="RQZ15" s="7"/>
      <c r="RRA15" s="7"/>
      <c r="RRB15" s="7"/>
      <c r="RRC15" s="7"/>
      <c r="RRD15" s="7"/>
      <c r="RRE15" s="7"/>
      <c r="RRF15" s="7"/>
      <c r="RRG15" s="7"/>
      <c r="RRH15" s="7"/>
      <c r="RRI15" s="7"/>
      <c r="RRJ15" s="7"/>
      <c r="RRK15" s="7"/>
      <c r="RRL15" s="7"/>
      <c r="RRM15" s="7"/>
      <c r="RRN15" s="7"/>
      <c r="RRO15" s="7"/>
      <c r="RRP15" s="7"/>
      <c r="RRQ15" s="7"/>
      <c r="RRR15" s="7"/>
      <c r="RRS15" s="7"/>
      <c r="RRT15" s="7"/>
      <c r="RRU15" s="7"/>
      <c r="RRV15" s="7"/>
      <c r="RRW15" s="7"/>
      <c r="RRX15" s="7"/>
      <c r="RRY15" s="7"/>
      <c r="RRZ15" s="7"/>
      <c r="RSA15" s="7"/>
      <c r="RSB15" s="7"/>
      <c r="RSC15" s="7"/>
      <c r="RSD15" s="7"/>
      <c r="RSE15" s="7"/>
      <c r="RSF15" s="7"/>
      <c r="RSG15" s="7"/>
      <c r="RSH15" s="7"/>
      <c r="RSI15" s="7"/>
      <c r="RSJ15" s="7"/>
      <c r="RSK15" s="7"/>
      <c r="RSL15" s="7"/>
      <c r="RSM15" s="7"/>
      <c r="RSN15" s="7"/>
      <c r="RSO15" s="7"/>
      <c r="RSP15" s="7"/>
      <c r="RSQ15" s="7"/>
      <c r="RSR15" s="7"/>
      <c r="RSS15" s="7"/>
      <c r="RST15" s="7"/>
      <c r="RSU15" s="7"/>
      <c r="RSV15" s="7"/>
      <c r="RSW15" s="7"/>
      <c r="RSX15" s="7"/>
      <c r="RSY15" s="7"/>
      <c r="RSZ15" s="7"/>
      <c r="RTA15" s="7"/>
      <c r="RTB15" s="7"/>
      <c r="RTC15" s="7"/>
      <c r="RTD15" s="7"/>
      <c r="RTE15" s="7"/>
      <c r="RTF15" s="7"/>
      <c r="RTG15" s="7"/>
      <c r="RTH15" s="7"/>
      <c r="RTI15" s="7"/>
      <c r="RTJ15" s="7"/>
      <c r="RTK15" s="7"/>
      <c r="RTL15" s="7"/>
      <c r="RTM15" s="7"/>
      <c r="RTN15" s="7"/>
      <c r="RTO15" s="7"/>
      <c r="RTP15" s="7"/>
      <c r="RTQ15" s="7"/>
      <c r="RTR15" s="7"/>
      <c r="RTS15" s="7"/>
      <c r="RTT15" s="7"/>
      <c r="RTU15" s="7"/>
      <c r="RTV15" s="7"/>
      <c r="RTW15" s="7"/>
      <c r="RTX15" s="7"/>
      <c r="RTY15" s="7"/>
      <c r="RTZ15" s="7"/>
      <c r="RUA15" s="7"/>
      <c r="RUB15" s="7"/>
      <c r="RUC15" s="7"/>
      <c r="RUD15" s="7"/>
      <c r="RUE15" s="7"/>
      <c r="RUF15" s="7"/>
      <c r="RUG15" s="7"/>
      <c r="RUH15" s="7"/>
      <c r="RUI15" s="7"/>
      <c r="RUJ15" s="7"/>
      <c r="RUK15" s="7"/>
      <c r="RUL15" s="7"/>
      <c r="RUM15" s="7"/>
      <c r="RUN15" s="7"/>
      <c r="RUO15" s="7"/>
      <c r="RUP15" s="7"/>
      <c r="RUQ15" s="7"/>
      <c r="RUR15" s="7"/>
      <c r="RUS15" s="7"/>
      <c r="RUT15" s="7"/>
      <c r="RUU15" s="7"/>
      <c r="RUV15" s="7"/>
      <c r="RUW15" s="7"/>
      <c r="RUX15" s="7"/>
      <c r="RUY15" s="7"/>
      <c r="RUZ15" s="7"/>
      <c r="RVA15" s="7"/>
      <c r="RVB15" s="7"/>
      <c r="RVC15" s="7"/>
      <c r="RVD15" s="7"/>
      <c r="RVE15" s="7"/>
      <c r="RVF15" s="7"/>
      <c r="RVG15" s="7"/>
      <c r="RVH15" s="7"/>
      <c r="RVI15" s="7"/>
      <c r="RVJ15" s="7"/>
      <c r="RVK15" s="7"/>
      <c r="RVL15" s="7"/>
      <c r="RVM15" s="7"/>
      <c r="RVN15" s="7"/>
      <c r="RVO15" s="7"/>
      <c r="RVP15" s="7"/>
      <c r="RVQ15" s="7"/>
      <c r="RVR15" s="7"/>
      <c r="RVS15" s="7"/>
      <c r="RVT15" s="7"/>
      <c r="RVU15" s="7"/>
      <c r="RVV15" s="7"/>
      <c r="RVW15" s="7"/>
      <c r="RVX15" s="7"/>
      <c r="RVY15" s="7"/>
      <c r="RVZ15" s="7"/>
      <c r="RWA15" s="7"/>
      <c r="RWB15" s="7"/>
      <c r="RWC15" s="7"/>
      <c r="RWD15" s="7"/>
      <c r="RWE15" s="7"/>
      <c r="RWF15" s="7"/>
      <c r="RWG15" s="7"/>
      <c r="RWH15" s="7"/>
      <c r="RWI15" s="7"/>
      <c r="RWJ15" s="7"/>
      <c r="RWK15" s="7"/>
      <c r="RWL15" s="7"/>
      <c r="RWM15" s="7"/>
      <c r="RWN15" s="7"/>
      <c r="RWO15" s="7"/>
      <c r="RWP15" s="7"/>
      <c r="RWQ15" s="7"/>
      <c r="RWR15" s="7"/>
      <c r="RWS15" s="7"/>
      <c r="RWT15" s="7"/>
      <c r="RWU15" s="7"/>
      <c r="RWV15" s="7"/>
      <c r="RWW15" s="7"/>
      <c r="RWX15" s="7"/>
      <c r="RWY15" s="7"/>
      <c r="RWZ15" s="7"/>
      <c r="RXA15" s="7"/>
      <c r="RXB15" s="7"/>
      <c r="RXC15" s="7"/>
      <c r="RXD15" s="7"/>
      <c r="RXE15" s="7"/>
      <c r="RXF15" s="7"/>
      <c r="RXG15" s="7"/>
      <c r="RXH15" s="7"/>
      <c r="RXI15" s="7"/>
      <c r="RXJ15" s="7"/>
      <c r="RXK15" s="7"/>
      <c r="RXL15" s="7"/>
      <c r="RXM15" s="7"/>
      <c r="RXN15" s="7"/>
      <c r="RXO15" s="7"/>
      <c r="RXP15" s="7"/>
      <c r="RXQ15" s="7"/>
      <c r="RXR15" s="7"/>
      <c r="RXS15" s="7"/>
      <c r="RXT15" s="7"/>
      <c r="RXU15" s="7"/>
      <c r="RXV15" s="7"/>
      <c r="RXW15" s="7"/>
      <c r="RXX15" s="7"/>
      <c r="RXY15" s="7"/>
      <c r="RXZ15" s="7"/>
      <c r="RYA15" s="7"/>
      <c r="RYB15" s="7"/>
      <c r="RYC15" s="7"/>
      <c r="RYD15" s="7"/>
      <c r="RYE15" s="7"/>
      <c r="RYF15" s="7"/>
      <c r="RYG15" s="7"/>
      <c r="RYH15" s="7"/>
      <c r="RYI15" s="7"/>
      <c r="RYJ15" s="7"/>
      <c r="RYK15" s="7"/>
      <c r="RYL15" s="7"/>
      <c r="RYM15" s="7"/>
      <c r="RYN15" s="7"/>
      <c r="RYO15" s="7"/>
      <c r="RYP15" s="7"/>
      <c r="RYQ15" s="7"/>
      <c r="RYR15" s="7"/>
      <c r="RYS15" s="7"/>
      <c r="RYT15" s="7"/>
      <c r="RYU15" s="7"/>
      <c r="RYV15" s="7"/>
      <c r="RYW15" s="7"/>
      <c r="RYX15" s="7"/>
      <c r="RYY15" s="7"/>
      <c r="RYZ15" s="7"/>
      <c r="RZA15" s="7"/>
      <c r="RZB15" s="7"/>
      <c r="RZC15" s="7"/>
      <c r="RZD15" s="7"/>
      <c r="RZE15" s="7"/>
      <c r="RZF15" s="7"/>
      <c r="RZG15" s="7"/>
      <c r="RZH15" s="7"/>
      <c r="RZI15" s="7"/>
      <c r="RZJ15" s="7"/>
      <c r="RZK15" s="7"/>
      <c r="RZL15" s="7"/>
      <c r="RZM15" s="7"/>
      <c r="RZN15" s="7"/>
      <c r="RZO15" s="7"/>
      <c r="RZP15" s="7"/>
      <c r="RZQ15" s="7"/>
      <c r="RZR15" s="7"/>
      <c r="RZS15" s="7"/>
      <c r="RZT15" s="7"/>
      <c r="RZU15" s="7"/>
      <c r="RZV15" s="7"/>
      <c r="RZW15" s="7"/>
      <c r="RZX15" s="7"/>
      <c r="RZY15" s="7"/>
      <c r="RZZ15" s="7"/>
      <c r="SAA15" s="7"/>
      <c r="SAB15" s="7"/>
      <c r="SAC15" s="7"/>
      <c r="SAD15" s="7"/>
      <c r="SAE15" s="7"/>
      <c r="SAF15" s="7"/>
      <c r="SAG15" s="7"/>
      <c r="SAH15" s="7"/>
      <c r="SAI15" s="7"/>
      <c r="SAJ15" s="7"/>
      <c r="SAK15" s="7"/>
      <c r="SAL15" s="7"/>
      <c r="SAM15" s="7"/>
      <c r="SAN15" s="7"/>
      <c r="SAO15" s="7"/>
      <c r="SAP15" s="7"/>
      <c r="SAQ15" s="7"/>
      <c r="SAR15" s="7"/>
      <c r="SAS15" s="7"/>
      <c r="SAT15" s="7"/>
      <c r="SAU15" s="7"/>
      <c r="SAV15" s="7"/>
      <c r="SAW15" s="7"/>
      <c r="SAX15" s="7"/>
      <c r="SAY15" s="7"/>
      <c r="SAZ15" s="7"/>
      <c r="SBA15" s="7"/>
      <c r="SBB15" s="7"/>
      <c r="SBC15" s="7"/>
      <c r="SBD15" s="7"/>
      <c r="SBE15" s="7"/>
      <c r="SBF15" s="7"/>
      <c r="SBG15" s="7"/>
      <c r="SBH15" s="7"/>
      <c r="SBI15" s="7"/>
      <c r="SBJ15" s="7"/>
      <c r="SBK15" s="7"/>
      <c r="SBL15" s="7"/>
      <c r="SBM15" s="7"/>
      <c r="SBN15" s="7"/>
      <c r="SBO15" s="7"/>
      <c r="SBP15" s="7"/>
      <c r="SBQ15" s="7"/>
      <c r="SBR15" s="7"/>
      <c r="SBS15" s="7"/>
      <c r="SBT15" s="7"/>
      <c r="SBU15" s="7"/>
      <c r="SBV15" s="7"/>
      <c r="SBW15" s="7"/>
      <c r="SBX15" s="7"/>
      <c r="SBY15" s="7"/>
      <c r="SBZ15" s="7"/>
      <c r="SCA15" s="7"/>
      <c r="SCB15" s="7"/>
      <c r="SCC15" s="7"/>
      <c r="SCD15" s="7"/>
      <c r="SCE15" s="7"/>
      <c r="SCF15" s="7"/>
      <c r="SCG15" s="7"/>
      <c r="SCH15" s="7"/>
      <c r="SCI15" s="7"/>
      <c r="SCJ15" s="7"/>
      <c r="SCK15" s="7"/>
      <c r="SCL15" s="7"/>
      <c r="SCM15" s="7"/>
      <c r="SCN15" s="7"/>
      <c r="SCO15" s="7"/>
      <c r="SCP15" s="7"/>
      <c r="SCQ15" s="7"/>
      <c r="SCR15" s="7"/>
      <c r="SCS15" s="7"/>
      <c r="SCT15" s="7"/>
      <c r="SCU15" s="7"/>
      <c r="SCV15" s="7"/>
      <c r="SCW15" s="7"/>
      <c r="SCX15" s="7"/>
      <c r="SCY15" s="7"/>
      <c r="SCZ15" s="7"/>
      <c r="SDA15" s="7"/>
      <c r="SDB15" s="7"/>
      <c r="SDC15" s="7"/>
      <c r="SDD15" s="7"/>
      <c r="SDE15" s="7"/>
      <c r="SDF15" s="7"/>
      <c r="SDG15" s="7"/>
      <c r="SDH15" s="7"/>
      <c r="SDI15" s="7"/>
      <c r="SDJ15" s="7"/>
      <c r="SDK15" s="7"/>
      <c r="SDL15" s="7"/>
      <c r="SDM15" s="7"/>
      <c r="SDN15" s="7"/>
      <c r="SDO15" s="7"/>
      <c r="SDP15" s="7"/>
      <c r="SDQ15" s="7"/>
      <c r="SDR15" s="7"/>
      <c r="SDS15" s="7"/>
      <c r="SDT15" s="7"/>
      <c r="SDU15" s="7"/>
      <c r="SDV15" s="7"/>
      <c r="SDW15" s="7"/>
      <c r="SDX15" s="7"/>
      <c r="SDY15" s="7"/>
      <c r="SDZ15" s="7"/>
      <c r="SEA15" s="7"/>
      <c r="SEB15" s="7"/>
      <c r="SEC15" s="7"/>
      <c r="SED15" s="7"/>
      <c r="SEE15" s="7"/>
      <c r="SEF15" s="7"/>
      <c r="SEG15" s="7"/>
      <c r="SEH15" s="7"/>
      <c r="SEI15" s="7"/>
      <c r="SEJ15" s="7"/>
      <c r="SEK15" s="7"/>
      <c r="SEL15" s="7"/>
      <c r="SEM15" s="7"/>
      <c r="SEN15" s="7"/>
      <c r="SEO15" s="7"/>
      <c r="SEP15" s="7"/>
      <c r="SEQ15" s="7"/>
      <c r="SER15" s="7"/>
      <c r="SES15" s="7"/>
      <c r="SET15" s="7"/>
      <c r="SEU15" s="7"/>
      <c r="SEV15" s="7"/>
      <c r="SEW15" s="7"/>
      <c r="SEX15" s="7"/>
      <c r="SEY15" s="7"/>
      <c r="SEZ15" s="7"/>
      <c r="SFA15" s="7"/>
      <c r="SFB15" s="7"/>
      <c r="SFC15" s="7"/>
      <c r="SFD15" s="7"/>
      <c r="SFE15" s="7"/>
      <c r="SFF15" s="7"/>
      <c r="SFG15" s="7"/>
      <c r="SFH15" s="7"/>
      <c r="SFI15" s="7"/>
      <c r="SFJ15" s="7"/>
      <c r="SFK15" s="7"/>
      <c r="SFL15" s="7"/>
      <c r="SFM15" s="7"/>
      <c r="SFN15" s="7"/>
      <c r="SFO15" s="7"/>
      <c r="SFP15" s="7"/>
      <c r="SFQ15" s="7"/>
      <c r="SFR15" s="7"/>
      <c r="SFS15" s="7"/>
      <c r="SFT15" s="7"/>
      <c r="SFU15" s="7"/>
      <c r="SFV15" s="7"/>
      <c r="SFW15" s="7"/>
      <c r="SFX15" s="7"/>
      <c r="SFY15" s="7"/>
      <c r="SFZ15" s="7"/>
      <c r="SGA15" s="7"/>
      <c r="SGB15" s="7"/>
      <c r="SGC15" s="7"/>
      <c r="SGD15" s="7"/>
      <c r="SGE15" s="7"/>
      <c r="SGF15" s="7"/>
      <c r="SGG15" s="7"/>
      <c r="SGH15" s="7"/>
      <c r="SGI15" s="7"/>
      <c r="SGJ15" s="7"/>
      <c r="SGK15" s="7"/>
      <c r="SGL15" s="7"/>
      <c r="SGM15" s="7"/>
      <c r="SGN15" s="7"/>
      <c r="SGO15" s="7"/>
      <c r="SGP15" s="7"/>
      <c r="SGQ15" s="7"/>
      <c r="SGR15" s="7"/>
      <c r="SGS15" s="7"/>
      <c r="SGT15" s="7"/>
      <c r="SGU15" s="7"/>
      <c r="SGV15" s="7"/>
      <c r="SGW15" s="7"/>
      <c r="SGX15" s="7"/>
      <c r="SGY15" s="7"/>
      <c r="SGZ15" s="7"/>
      <c r="SHA15" s="7"/>
      <c r="SHB15" s="7"/>
      <c r="SHC15" s="7"/>
      <c r="SHD15" s="7"/>
      <c r="SHE15" s="7"/>
      <c r="SHF15" s="7"/>
      <c r="SHG15" s="7"/>
      <c r="SHH15" s="7"/>
      <c r="SHI15" s="7"/>
      <c r="SHJ15" s="7"/>
      <c r="SHK15" s="7"/>
      <c r="SHL15" s="7"/>
      <c r="SHM15" s="7"/>
      <c r="SHN15" s="7"/>
      <c r="SHO15" s="7"/>
      <c r="SHP15" s="7"/>
      <c r="SHQ15" s="7"/>
      <c r="SHR15" s="7"/>
      <c r="SHS15" s="7"/>
      <c r="SHT15" s="7"/>
      <c r="SHU15" s="7"/>
      <c r="SHV15" s="7"/>
      <c r="SHW15" s="7"/>
      <c r="SHX15" s="7"/>
      <c r="SHY15" s="7"/>
      <c r="SHZ15" s="7"/>
      <c r="SIA15" s="7"/>
      <c r="SIB15" s="7"/>
      <c r="SIC15" s="7"/>
      <c r="SID15" s="7"/>
      <c r="SIE15" s="7"/>
      <c r="SIF15" s="7"/>
      <c r="SIG15" s="7"/>
      <c r="SIH15" s="7"/>
      <c r="SII15" s="7"/>
      <c r="SIJ15" s="7"/>
      <c r="SIK15" s="7"/>
      <c r="SIL15" s="7"/>
      <c r="SIM15" s="7"/>
      <c r="SIN15" s="7"/>
      <c r="SIO15" s="7"/>
      <c r="SIP15" s="7"/>
      <c r="SIQ15" s="7"/>
      <c r="SIR15" s="7"/>
      <c r="SIS15" s="7"/>
      <c r="SIT15" s="7"/>
      <c r="SIU15" s="7"/>
      <c r="SIV15" s="7"/>
      <c r="SIW15" s="7"/>
      <c r="SIX15" s="7"/>
      <c r="SIY15" s="7"/>
      <c r="SIZ15" s="7"/>
      <c r="SJA15" s="7"/>
      <c r="SJB15" s="7"/>
      <c r="SJC15" s="7"/>
      <c r="SJD15" s="7"/>
      <c r="SJE15" s="7"/>
      <c r="SJF15" s="7"/>
      <c r="SJG15" s="7"/>
      <c r="SJH15" s="7"/>
      <c r="SJI15" s="7"/>
      <c r="SJJ15" s="7"/>
      <c r="SJK15" s="7"/>
      <c r="SJL15" s="7"/>
      <c r="SJM15" s="7"/>
      <c r="SJN15" s="7"/>
      <c r="SJO15" s="7"/>
      <c r="SJP15" s="7"/>
      <c r="SJQ15" s="7"/>
      <c r="SJR15" s="7"/>
      <c r="SJS15" s="7"/>
      <c r="SJT15" s="7"/>
      <c r="SJU15" s="7"/>
      <c r="SJV15" s="7"/>
      <c r="SJW15" s="7"/>
      <c r="SJX15" s="7"/>
      <c r="SJY15" s="7"/>
      <c r="SJZ15" s="7"/>
      <c r="SKA15" s="7"/>
      <c r="SKB15" s="7"/>
      <c r="SKC15" s="7"/>
      <c r="SKD15" s="7"/>
      <c r="SKE15" s="7"/>
      <c r="SKF15" s="7"/>
      <c r="SKG15" s="7"/>
      <c r="SKH15" s="7"/>
      <c r="SKI15" s="7"/>
      <c r="SKJ15" s="7"/>
      <c r="SKK15" s="7"/>
      <c r="SKL15" s="7"/>
      <c r="SKM15" s="7"/>
      <c r="SKN15" s="7"/>
      <c r="SKO15" s="7"/>
      <c r="SKP15" s="7"/>
      <c r="SKQ15" s="7"/>
      <c r="SKR15" s="7"/>
      <c r="SKS15" s="7"/>
      <c r="SKT15" s="7"/>
      <c r="SKU15" s="7"/>
      <c r="SKV15" s="7"/>
      <c r="SKW15" s="7"/>
      <c r="SKX15" s="7"/>
      <c r="SKY15" s="7"/>
      <c r="SKZ15" s="7"/>
      <c r="SLA15" s="7"/>
      <c r="SLB15" s="7"/>
      <c r="SLC15" s="7"/>
      <c r="SLD15" s="7"/>
      <c r="SLE15" s="7"/>
      <c r="SLF15" s="7"/>
      <c r="SLG15" s="7"/>
      <c r="SLH15" s="7"/>
      <c r="SLI15" s="7"/>
      <c r="SLJ15" s="7"/>
      <c r="SLK15" s="7"/>
      <c r="SLL15" s="7"/>
      <c r="SLM15" s="7"/>
      <c r="SLN15" s="7"/>
      <c r="SLO15" s="7"/>
      <c r="SLP15" s="7"/>
      <c r="SLQ15" s="7"/>
      <c r="SLR15" s="7"/>
      <c r="SLS15" s="7"/>
      <c r="SLT15" s="7"/>
      <c r="SLU15" s="7"/>
      <c r="SLV15" s="7"/>
      <c r="SLW15" s="7"/>
      <c r="SLX15" s="7"/>
      <c r="SLY15" s="7"/>
      <c r="SLZ15" s="7"/>
      <c r="SMA15" s="7"/>
      <c r="SMB15" s="7"/>
      <c r="SMC15" s="7"/>
      <c r="SMD15" s="7"/>
      <c r="SME15" s="7"/>
      <c r="SMF15" s="7"/>
      <c r="SMG15" s="7"/>
      <c r="SMH15" s="7"/>
      <c r="SMI15" s="7"/>
      <c r="SMJ15" s="7"/>
      <c r="SMK15" s="7"/>
      <c r="SML15" s="7"/>
      <c r="SMM15" s="7"/>
      <c r="SMN15" s="7"/>
      <c r="SMO15" s="7"/>
      <c r="SMP15" s="7"/>
      <c r="SMQ15" s="7"/>
      <c r="SMR15" s="7"/>
      <c r="SMS15" s="7"/>
      <c r="SMT15" s="7"/>
      <c r="SMU15" s="7"/>
      <c r="SMV15" s="7"/>
      <c r="SMW15" s="7"/>
      <c r="SMX15" s="7"/>
      <c r="SMY15" s="7"/>
      <c r="SMZ15" s="7"/>
      <c r="SNA15" s="7"/>
      <c r="SNB15" s="7"/>
      <c r="SNC15" s="7"/>
      <c r="SND15" s="7"/>
      <c r="SNE15" s="7"/>
      <c r="SNF15" s="7"/>
      <c r="SNG15" s="7"/>
      <c r="SNH15" s="7"/>
      <c r="SNI15" s="7"/>
      <c r="SNJ15" s="7"/>
      <c r="SNK15" s="7"/>
      <c r="SNL15" s="7"/>
      <c r="SNM15" s="7"/>
      <c r="SNN15" s="7"/>
      <c r="SNO15" s="7"/>
      <c r="SNP15" s="7"/>
      <c r="SNQ15" s="7"/>
      <c r="SNR15" s="7"/>
      <c r="SNS15" s="7"/>
      <c r="SNT15" s="7"/>
      <c r="SNU15" s="7"/>
      <c r="SNV15" s="7"/>
      <c r="SNW15" s="7"/>
      <c r="SNX15" s="7"/>
      <c r="SNY15" s="7"/>
      <c r="SNZ15" s="7"/>
      <c r="SOA15" s="7"/>
      <c r="SOB15" s="7"/>
      <c r="SOC15" s="7"/>
      <c r="SOD15" s="7"/>
      <c r="SOE15" s="7"/>
      <c r="SOF15" s="7"/>
      <c r="SOG15" s="7"/>
      <c r="SOH15" s="7"/>
      <c r="SOI15" s="7"/>
      <c r="SOJ15" s="7"/>
      <c r="SOK15" s="7"/>
      <c r="SOL15" s="7"/>
      <c r="SOM15" s="7"/>
      <c r="SON15" s="7"/>
      <c r="SOO15" s="7"/>
      <c r="SOP15" s="7"/>
      <c r="SOQ15" s="7"/>
      <c r="SOR15" s="7"/>
      <c r="SOS15" s="7"/>
      <c r="SOT15" s="7"/>
      <c r="SOU15" s="7"/>
      <c r="SOV15" s="7"/>
      <c r="SOW15" s="7"/>
      <c r="SOX15" s="7"/>
      <c r="SOY15" s="7"/>
      <c r="SOZ15" s="7"/>
      <c r="SPA15" s="7"/>
      <c r="SPB15" s="7"/>
      <c r="SPC15" s="7"/>
      <c r="SPD15" s="7"/>
      <c r="SPE15" s="7"/>
      <c r="SPF15" s="7"/>
      <c r="SPG15" s="7"/>
      <c r="SPH15" s="7"/>
      <c r="SPI15" s="7"/>
      <c r="SPJ15" s="7"/>
      <c r="SPK15" s="7"/>
      <c r="SPL15" s="7"/>
      <c r="SPM15" s="7"/>
      <c r="SPN15" s="7"/>
      <c r="SPO15" s="7"/>
      <c r="SPP15" s="7"/>
      <c r="SPQ15" s="7"/>
      <c r="SPR15" s="7"/>
      <c r="SPS15" s="7"/>
      <c r="SPT15" s="7"/>
      <c r="SPU15" s="7"/>
      <c r="SPV15" s="7"/>
      <c r="SPW15" s="7"/>
      <c r="SPX15" s="7"/>
      <c r="SPY15" s="7"/>
      <c r="SPZ15" s="7"/>
      <c r="SQA15" s="7"/>
      <c r="SQB15" s="7"/>
      <c r="SQC15" s="7"/>
      <c r="SQD15" s="7"/>
      <c r="SQE15" s="7"/>
      <c r="SQF15" s="7"/>
      <c r="SQG15" s="7"/>
      <c r="SQH15" s="7"/>
      <c r="SQI15" s="7"/>
      <c r="SQJ15" s="7"/>
      <c r="SQK15" s="7"/>
      <c r="SQL15" s="7"/>
      <c r="SQM15" s="7"/>
      <c r="SQN15" s="7"/>
      <c r="SQO15" s="7"/>
      <c r="SQP15" s="7"/>
      <c r="SQQ15" s="7"/>
      <c r="SQR15" s="7"/>
      <c r="SQS15" s="7"/>
      <c r="SQT15" s="7"/>
      <c r="SQU15" s="7"/>
      <c r="SQV15" s="7"/>
      <c r="SQW15" s="7"/>
      <c r="SQX15" s="7"/>
      <c r="SQY15" s="7"/>
      <c r="SQZ15" s="7"/>
      <c r="SRA15" s="7"/>
      <c r="SRB15" s="7"/>
      <c r="SRC15" s="7"/>
      <c r="SRD15" s="7"/>
      <c r="SRE15" s="7"/>
      <c r="SRF15" s="7"/>
      <c r="SRG15" s="7"/>
      <c r="SRH15" s="7"/>
      <c r="SRI15" s="7"/>
      <c r="SRJ15" s="7"/>
      <c r="SRK15" s="7"/>
      <c r="SRL15" s="7"/>
      <c r="SRM15" s="7"/>
      <c r="SRN15" s="7"/>
      <c r="SRO15" s="7"/>
      <c r="SRP15" s="7"/>
      <c r="SRQ15" s="7"/>
      <c r="SRR15" s="7"/>
      <c r="SRS15" s="7"/>
      <c r="SRT15" s="7"/>
      <c r="SRU15" s="7"/>
      <c r="SRV15" s="7"/>
      <c r="SRW15" s="7"/>
      <c r="SRX15" s="7"/>
      <c r="SRY15" s="7"/>
      <c r="SRZ15" s="7"/>
      <c r="SSA15" s="7"/>
      <c r="SSB15" s="7"/>
      <c r="SSC15" s="7"/>
      <c r="SSD15" s="7"/>
      <c r="SSE15" s="7"/>
      <c r="SSF15" s="7"/>
      <c r="SSG15" s="7"/>
      <c r="SSH15" s="7"/>
      <c r="SSI15" s="7"/>
      <c r="SSJ15" s="7"/>
      <c r="SSK15" s="7"/>
      <c r="SSL15" s="7"/>
      <c r="SSM15" s="7"/>
      <c r="SSN15" s="7"/>
      <c r="SSO15" s="7"/>
      <c r="SSP15" s="7"/>
      <c r="SSQ15" s="7"/>
      <c r="SSR15" s="7"/>
      <c r="SSS15" s="7"/>
      <c r="SST15" s="7"/>
      <c r="SSU15" s="7"/>
      <c r="SSV15" s="7"/>
      <c r="SSW15" s="7"/>
      <c r="SSX15" s="7"/>
      <c r="SSY15" s="7"/>
      <c r="SSZ15" s="7"/>
      <c r="STA15" s="7"/>
      <c r="STB15" s="7"/>
      <c r="STC15" s="7"/>
      <c r="STD15" s="7"/>
      <c r="STE15" s="7"/>
      <c r="STF15" s="7"/>
      <c r="STG15" s="7"/>
      <c r="STH15" s="7"/>
      <c r="STI15" s="7"/>
      <c r="STJ15" s="7"/>
      <c r="STK15" s="7"/>
      <c r="STL15" s="7"/>
      <c r="STM15" s="7"/>
      <c r="STN15" s="7"/>
      <c r="STO15" s="7"/>
      <c r="STP15" s="7"/>
      <c r="STQ15" s="7"/>
      <c r="STR15" s="7"/>
      <c r="STS15" s="7"/>
      <c r="STT15" s="7"/>
      <c r="STU15" s="7"/>
      <c r="STV15" s="7"/>
      <c r="STW15" s="7"/>
      <c r="STX15" s="7"/>
      <c r="STY15" s="7"/>
      <c r="STZ15" s="7"/>
      <c r="SUA15" s="7"/>
      <c r="SUB15" s="7"/>
      <c r="SUC15" s="7"/>
      <c r="SUD15" s="7"/>
      <c r="SUE15" s="7"/>
      <c r="SUF15" s="7"/>
      <c r="SUG15" s="7"/>
      <c r="SUH15" s="7"/>
      <c r="SUI15" s="7"/>
      <c r="SUJ15" s="7"/>
      <c r="SUK15" s="7"/>
      <c r="SUL15" s="7"/>
      <c r="SUM15" s="7"/>
      <c r="SUN15" s="7"/>
      <c r="SUO15" s="7"/>
      <c r="SUP15" s="7"/>
      <c r="SUQ15" s="7"/>
      <c r="SUR15" s="7"/>
      <c r="SUS15" s="7"/>
      <c r="SUT15" s="7"/>
      <c r="SUU15" s="7"/>
      <c r="SUV15" s="7"/>
      <c r="SUW15" s="7"/>
      <c r="SUX15" s="7"/>
      <c r="SUY15" s="7"/>
      <c r="SUZ15" s="7"/>
      <c r="SVA15" s="7"/>
      <c r="SVB15" s="7"/>
      <c r="SVC15" s="7"/>
      <c r="SVD15" s="7"/>
      <c r="SVE15" s="7"/>
      <c r="SVF15" s="7"/>
      <c r="SVG15" s="7"/>
      <c r="SVH15" s="7"/>
      <c r="SVI15" s="7"/>
      <c r="SVJ15" s="7"/>
      <c r="SVK15" s="7"/>
      <c r="SVL15" s="7"/>
      <c r="SVM15" s="7"/>
      <c r="SVN15" s="7"/>
      <c r="SVO15" s="7"/>
      <c r="SVP15" s="7"/>
      <c r="SVQ15" s="7"/>
      <c r="SVR15" s="7"/>
      <c r="SVS15" s="7"/>
      <c r="SVT15" s="7"/>
      <c r="SVU15" s="7"/>
      <c r="SVV15" s="7"/>
      <c r="SVW15" s="7"/>
      <c r="SVX15" s="7"/>
      <c r="SVY15" s="7"/>
      <c r="SVZ15" s="7"/>
      <c r="SWA15" s="7"/>
      <c r="SWB15" s="7"/>
      <c r="SWC15" s="7"/>
      <c r="SWD15" s="7"/>
      <c r="SWE15" s="7"/>
      <c r="SWF15" s="7"/>
      <c r="SWG15" s="7"/>
      <c r="SWH15" s="7"/>
      <c r="SWI15" s="7"/>
      <c r="SWJ15" s="7"/>
      <c r="SWK15" s="7"/>
      <c r="SWL15" s="7"/>
      <c r="SWM15" s="7"/>
      <c r="SWN15" s="7"/>
      <c r="SWO15" s="7"/>
      <c r="SWP15" s="7"/>
      <c r="SWQ15" s="7"/>
      <c r="SWR15" s="7"/>
      <c r="SWS15" s="7"/>
      <c r="SWT15" s="7"/>
      <c r="SWU15" s="7"/>
      <c r="SWV15" s="7"/>
      <c r="SWW15" s="7"/>
      <c r="SWX15" s="7"/>
      <c r="SWY15" s="7"/>
      <c r="SWZ15" s="7"/>
      <c r="SXA15" s="7"/>
      <c r="SXB15" s="7"/>
      <c r="SXC15" s="7"/>
      <c r="SXD15" s="7"/>
      <c r="SXE15" s="7"/>
      <c r="SXF15" s="7"/>
      <c r="SXG15" s="7"/>
      <c r="SXH15" s="7"/>
      <c r="SXI15" s="7"/>
      <c r="SXJ15" s="7"/>
      <c r="SXK15" s="7"/>
      <c r="SXL15" s="7"/>
      <c r="SXM15" s="7"/>
      <c r="SXN15" s="7"/>
      <c r="SXO15" s="7"/>
      <c r="SXP15" s="7"/>
      <c r="SXQ15" s="7"/>
      <c r="SXR15" s="7"/>
      <c r="SXS15" s="7"/>
      <c r="SXT15" s="7"/>
      <c r="SXU15" s="7"/>
      <c r="SXV15" s="7"/>
      <c r="SXW15" s="7"/>
      <c r="SXX15" s="7"/>
      <c r="SXY15" s="7"/>
      <c r="SXZ15" s="7"/>
      <c r="SYA15" s="7"/>
      <c r="SYB15" s="7"/>
      <c r="SYC15" s="7"/>
      <c r="SYD15" s="7"/>
      <c r="SYE15" s="7"/>
      <c r="SYF15" s="7"/>
      <c r="SYG15" s="7"/>
      <c r="SYH15" s="7"/>
      <c r="SYI15" s="7"/>
      <c r="SYJ15" s="7"/>
      <c r="SYK15" s="7"/>
      <c r="SYL15" s="7"/>
      <c r="SYM15" s="7"/>
      <c r="SYN15" s="7"/>
      <c r="SYO15" s="7"/>
      <c r="SYP15" s="7"/>
      <c r="SYQ15" s="7"/>
      <c r="SYR15" s="7"/>
      <c r="SYS15" s="7"/>
      <c r="SYT15" s="7"/>
      <c r="SYU15" s="7"/>
      <c r="SYV15" s="7"/>
      <c r="SYW15" s="7"/>
      <c r="SYX15" s="7"/>
      <c r="SYY15" s="7"/>
      <c r="SYZ15" s="7"/>
      <c r="SZA15" s="7"/>
      <c r="SZB15" s="7"/>
      <c r="SZC15" s="7"/>
      <c r="SZD15" s="7"/>
      <c r="SZE15" s="7"/>
      <c r="SZF15" s="7"/>
      <c r="SZG15" s="7"/>
      <c r="SZH15" s="7"/>
      <c r="SZI15" s="7"/>
      <c r="SZJ15" s="7"/>
      <c r="SZK15" s="7"/>
      <c r="SZL15" s="7"/>
      <c r="SZM15" s="7"/>
      <c r="SZN15" s="7"/>
      <c r="SZO15" s="7"/>
      <c r="SZP15" s="7"/>
      <c r="SZQ15" s="7"/>
      <c r="SZR15" s="7"/>
      <c r="SZS15" s="7"/>
      <c r="SZT15" s="7"/>
      <c r="SZU15" s="7"/>
      <c r="SZV15" s="7"/>
      <c r="SZW15" s="7"/>
      <c r="SZX15" s="7"/>
      <c r="SZY15" s="7"/>
      <c r="SZZ15" s="7"/>
      <c r="TAA15" s="7"/>
      <c r="TAB15" s="7"/>
      <c r="TAC15" s="7"/>
      <c r="TAD15" s="7"/>
      <c r="TAE15" s="7"/>
      <c r="TAF15" s="7"/>
      <c r="TAG15" s="7"/>
      <c r="TAH15" s="7"/>
      <c r="TAI15" s="7"/>
      <c r="TAJ15" s="7"/>
      <c r="TAK15" s="7"/>
      <c r="TAL15" s="7"/>
      <c r="TAM15" s="7"/>
      <c r="TAN15" s="7"/>
      <c r="TAO15" s="7"/>
      <c r="TAP15" s="7"/>
      <c r="TAQ15" s="7"/>
      <c r="TAR15" s="7"/>
      <c r="TAS15" s="7"/>
      <c r="TAT15" s="7"/>
      <c r="TAU15" s="7"/>
      <c r="TAV15" s="7"/>
      <c r="TAW15" s="7"/>
      <c r="TAX15" s="7"/>
      <c r="TAY15" s="7"/>
      <c r="TAZ15" s="7"/>
      <c r="TBA15" s="7"/>
      <c r="TBB15" s="7"/>
      <c r="TBC15" s="7"/>
      <c r="TBD15" s="7"/>
      <c r="TBE15" s="7"/>
      <c r="TBF15" s="7"/>
      <c r="TBG15" s="7"/>
      <c r="TBH15" s="7"/>
      <c r="TBI15" s="7"/>
      <c r="TBJ15" s="7"/>
      <c r="TBK15" s="7"/>
      <c r="TBL15" s="7"/>
      <c r="TBM15" s="7"/>
      <c r="TBN15" s="7"/>
      <c r="TBO15" s="7"/>
      <c r="TBP15" s="7"/>
      <c r="TBQ15" s="7"/>
      <c r="TBR15" s="7"/>
      <c r="TBS15" s="7"/>
      <c r="TBT15" s="7"/>
      <c r="TBU15" s="7"/>
      <c r="TBV15" s="7"/>
      <c r="TBW15" s="7"/>
      <c r="TBX15" s="7"/>
      <c r="TBY15" s="7"/>
      <c r="TBZ15" s="7"/>
      <c r="TCA15" s="7"/>
      <c r="TCB15" s="7"/>
      <c r="TCC15" s="7"/>
      <c r="TCD15" s="7"/>
      <c r="TCE15" s="7"/>
      <c r="TCF15" s="7"/>
      <c r="TCG15" s="7"/>
      <c r="TCH15" s="7"/>
      <c r="TCI15" s="7"/>
      <c r="TCJ15" s="7"/>
      <c r="TCK15" s="7"/>
      <c r="TCL15" s="7"/>
      <c r="TCM15" s="7"/>
      <c r="TCN15" s="7"/>
      <c r="TCO15" s="7"/>
      <c r="TCP15" s="7"/>
      <c r="TCQ15" s="7"/>
      <c r="TCR15" s="7"/>
      <c r="TCS15" s="7"/>
      <c r="TCT15" s="7"/>
      <c r="TCU15" s="7"/>
      <c r="TCV15" s="7"/>
      <c r="TCW15" s="7"/>
      <c r="TCX15" s="7"/>
      <c r="TCY15" s="7"/>
      <c r="TCZ15" s="7"/>
      <c r="TDA15" s="7"/>
      <c r="TDB15" s="7"/>
      <c r="TDC15" s="7"/>
      <c r="TDD15" s="7"/>
      <c r="TDE15" s="7"/>
      <c r="TDF15" s="7"/>
      <c r="TDG15" s="7"/>
      <c r="TDH15" s="7"/>
      <c r="TDI15" s="7"/>
      <c r="TDJ15" s="7"/>
      <c r="TDK15" s="7"/>
      <c r="TDL15" s="7"/>
      <c r="TDM15" s="7"/>
      <c r="TDN15" s="7"/>
      <c r="TDO15" s="7"/>
      <c r="TDP15" s="7"/>
      <c r="TDQ15" s="7"/>
      <c r="TDR15" s="7"/>
      <c r="TDS15" s="7"/>
      <c r="TDT15" s="7"/>
      <c r="TDU15" s="7"/>
      <c r="TDV15" s="7"/>
      <c r="TDW15" s="7"/>
      <c r="TDX15" s="7"/>
      <c r="TDY15" s="7"/>
      <c r="TDZ15" s="7"/>
      <c r="TEA15" s="7"/>
      <c r="TEB15" s="7"/>
      <c r="TEC15" s="7"/>
      <c r="TED15" s="7"/>
      <c r="TEE15" s="7"/>
      <c r="TEF15" s="7"/>
      <c r="TEG15" s="7"/>
      <c r="TEH15" s="7"/>
      <c r="TEI15" s="7"/>
      <c r="TEJ15" s="7"/>
      <c r="TEK15" s="7"/>
      <c r="TEL15" s="7"/>
      <c r="TEM15" s="7"/>
      <c r="TEN15" s="7"/>
      <c r="TEO15" s="7"/>
      <c r="TEP15" s="7"/>
      <c r="TEQ15" s="7"/>
      <c r="TER15" s="7"/>
      <c r="TES15" s="7"/>
      <c r="TET15" s="7"/>
      <c r="TEU15" s="7"/>
      <c r="TEV15" s="7"/>
      <c r="TEW15" s="7"/>
      <c r="TEX15" s="7"/>
      <c r="TEY15" s="7"/>
      <c r="TEZ15" s="7"/>
      <c r="TFA15" s="7"/>
      <c r="TFB15" s="7"/>
      <c r="TFC15" s="7"/>
      <c r="TFD15" s="7"/>
      <c r="TFE15" s="7"/>
      <c r="TFF15" s="7"/>
      <c r="TFG15" s="7"/>
      <c r="TFH15" s="7"/>
      <c r="TFI15" s="7"/>
      <c r="TFJ15" s="7"/>
      <c r="TFK15" s="7"/>
      <c r="TFL15" s="7"/>
      <c r="TFM15" s="7"/>
      <c r="TFN15" s="7"/>
      <c r="TFO15" s="7"/>
      <c r="TFP15" s="7"/>
      <c r="TFQ15" s="7"/>
      <c r="TFR15" s="7"/>
      <c r="TFS15" s="7"/>
      <c r="TFT15" s="7"/>
      <c r="TFU15" s="7"/>
      <c r="TFV15" s="7"/>
      <c r="TFW15" s="7"/>
      <c r="TFX15" s="7"/>
      <c r="TFY15" s="7"/>
      <c r="TFZ15" s="7"/>
      <c r="TGA15" s="7"/>
      <c r="TGB15" s="7"/>
      <c r="TGC15" s="7"/>
      <c r="TGD15" s="7"/>
      <c r="TGE15" s="7"/>
      <c r="TGF15" s="7"/>
      <c r="TGG15" s="7"/>
      <c r="TGH15" s="7"/>
      <c r="TGI15" s="7"/>
      <c r="TGJ15" s="7"/>
      <c r="TGK15" s="7"/>
      <c r="TGL15" s="7"/>
      <c r="TGM15" s="7"/>
      <c r="TGN15" s="7"/>
      <c r="TGO15" s="7"/>
      <c r="TGP15" s="7"/>
      <c r="TGQ15" s="7"/>
      <c r="TGR15" s="7"/>
      <c r="TGS15" s="7"/>
      <c r="TGT15" s="7"/>
      <c r="TGU15" s="7"/>
      <c r="TGV15" s="7"/>
      <c r="TGW15" s="7"/>
      <c r="TGX15" s="7"/>
      <c r="TGY15" s="7"/>
      <c r="TGZ15" s="7"/>
      <c r="THA15" s="7"/>
      <c r="THB15" s="7"/>
      <c r="THC15" s="7"/>
      <c r="THD15" s="7"/>
      <c r="THE15" s="7"/>
      <c r="THF15" s="7"/>
      <c r="THG15" s="7"/>
      <c r="THH15" s="7"/>
      <c r="THI15" s="7"/>
      <c r="THJ15" s="7"/>
      <c r="THK15" s="7"/>
      <c r="THL15" s="7"/>
      <c r="THM15" s="7"/>
      <c r="THN15" s="7"/>
      <c r="THO15" s="7"/>
      <c r="THP15" s="7"/>
      <c r="THQ15" s="7"/>
      <c r="THR15" s="7"/>
      <c r="THS15" s="7"/>
      <c r="THT15" s="7"/>
      <c r="THU15" s="7"/>
      <c r="THV15" s="7"/>
      <c r="THW15" s="7"/>
      <c r="THX15" s="7"/>
      <c r="THY15" s="7"/>
      <c r="THZ15" s="7"/>
      <c r="TIA15" s="7"/>
      <c r="TIB15" s="7"/>
      <c r="TIC15" s="7"/>
      <c r="TID15" s="7"/>
      <c r="TIE15" s="7"/>
      <c r="TIF15" s="7"/>
      <c r="TIG15" s="7"/>
      <c r="TIH15" s="7"/>
      <c r="TII15" s="7"/>
      <c r="TIJ15" s="7"/>
      <c r="TIK15" s="7"/>
      <c r="TIL15" s="7"/>
      <c r="TIM15" s="7"/>
      <c r="TIN15" s="7"/>
      <c r="TIO15" s="7"/>
      <c r="TIP15" s="7"/>
      <c r="TIQ15" s="7"/>
      <c r="TIR15" s="7"/>
      <c r="TIS15" s="7"/>
      <c r="TIT15" s="7"/>
      <c r="TIU15" s="7"/>
      <c r="TIV15" s="7"/>
      <c r="TIW15" s="7"/>
      <c r="TIX15" s="7"/>
      <c r="TIY15" s="7"/>
      <c r="TIZ15" s="7"/>
      <c r="TJA15" s="7"/>
      <c r="TJB15" s="7"/>
      <c r="TJC15" s="7"/>
      <c r="TJD15" s="7"/>
      <c r="TJE15" s="7"/>
      <c r="TJF15" s="7"/>
      <c r="TJG15" s="7"/>
      <c r="TJH15" s="7"/>
      <c r="TJI15" s="7"/>
      <c r="TJJ15" s="7"/>
      <c r="TJK15" s="7"/>
      <c r="TJL15" s="7"/>
      <c r="TJM15" s="7"/>
      <c r="TJN15" s="7"/>
      <c r="TJO15" s="7"/>
      <c r="TJP15" s="7"/>
      <c r="TJQ15" s="7"/>
      <c r="TJR15" s="7"/>
      <c r="TJS15" s="7"/>
      <c r="TJT15" s="7"/>
      <c r="TJU15" s="7"/>
      <c r="TJV15" s="7"/>
      <c r="TJW15" s="7"/>
      <c r="TJX15" s="7"/>
      <c r="TJY15" s="7"/>
      <c r="TJZ15" s="7"/>
      <c r="TKA15" s="7"/>
      <c r="TKB15" s="7"/>
      <c r="TKC15" s="7"/>
      <c r="TKD15" s="7"/>
      <c r="TKE15" s="7"/>
      <c r="TKF15" s="7"/>
      <c r="TKG15" s="7"/>
      <c r="TKH15" s="7"/>
      <c r="TKI15" s="7"/>
      <c r="TKJ15" s="7"/>
      <c r="TKK15" s="7"/>
      <c r="TKL15" s="7"/>
      <c r="TKM15" s="7"/>
      <c r="TKN15" s="7"/>
      <c r="TKO15" s="7"/>
      <c r="TKP15" s="7"/>
      <c r="TKQ15" s="7"/>
      <c r="TKR15" s="7"/>
      <c r="TKS15" s="7"/>
      <c r="TKT15" s="7"/>
      <c r="TKU15" s="7"/>
      <c r="TKV15" s="7"/>
      <c r="TKW15" s="7"/>
      <c r="TKX15" s="7"/>
      <c r="TKY15" s="7"/>
      <c r="TKZ15" s="7"/>
      <c r="TLA15" s="7"/>
      <c r="TLB15" s="7"/>
      <c r="TLC15" s="7"/>
      <c r="TLD15" s="7"/>
      <c r="TLE15" s="7"/>
      <c r="TLF15" s="7"/>
      <c r="TLG15" s="7"/>
      <c r="TLH15" s="7"/>
      <c r="TLI15" s="7"/>
      <c r="TLJ15" s="7"/>
      <c r="TLK15" s="7"/>
      <c r="TLL15" s="7"/>
      <c r="TLM15" s="7"/>
      <c r="TLN15" s="7"/>
      <c r="TLO15" s="7"/>
      <c r="TLP15" s="7"/>
      <c r="TLQ15" s="7"/>
      <c r="TLR15" s="7"/>
      <c r="TLS15" s="7"/>
      <c r="TLT15" s="7"/>
      <c r="TLU15" s="7"/>
      <c r="TLV15" s="7"/>
      <c r="TLW15" s="7"/>
      <c r="TLX15" s="7"/>
      <c r="TLY15" s="7"/>
      <c r="TLZ15" s="7"/>
      <c r="TMA15" s="7"/>
      <c r="TMB15" s="7"/>
      <c r="TMC15" s="7"/>
      <c r="TMD15" s="7"/>
      <c r="TME15" s="7"/>
      <c r="TMF15" s="7"/>
      <c r="TMG15" s="7"/>
      <c r="TMH15" s="7"/>
      <c r="TMI15" s="7"/>
      <c r="TMJ15" s="7"/>
      <c r="TMK15" s="7"/>
      <c r="TML15" s="7"/>
      <c r="TMM15" s="7"/>
      <c r="TMN15" s="7"/>
      <c r="TMO15" s="7"/>
      <c r="TMP15" s="7"/>
      <c r="TMQ15" s="7"/>
      <c r="TMR15" s="7"/>
      <c r="TMS15" s="7"/>
      <c r="TMT15" s="7"/>
      <c r="TMU15" s="7"/>
      <c r="TMV15" s="7"/>
      <c r="TMW15" s="7"/>
      <c r="TMX15" s="7"/>
      <c r="TMY15" s="7"/>
      <c r="TMZ15" s="7"/>
      <c r="TNA15" s="7"/>
      <c r="TNB15" s="7"/>
      <c r="TNC15" s="7"/>
      <c r="TND15" s="7"/>
      <c r="TNE15" s="7"/>
      <c r="TNF15" s="7"/>
      <c r="TNG15" s="7"/>
      <c r="TNH15" s="7"/>
      <c r="TNI15" s="7"/>
      <c r="TNJ15" s="7"/>
      <c r="TNK15" s="7"/>
      <c r="TNL15" s="7"/>
      <c r="TNM15" s="7"/>
      <c r="TNN15" s="7"/>
      <c r="TNO15" s="7"/>
      <c r="TNP15" s="7"/>
      <c r="TNQ15" s="7"/>
      <c r="TNR15" s="7"/>
      <c r="TNS15" s="7"/>
      <c r="TNT15" s="7"/>
      <c r="TNU15" s="7"/>
      <c r="TNV15" s="7"/>
      <c r="TNW15" s="7"/>
      <c r="TNX15" s="7"/>
      <c r="TNY15" s="7"/>
      <c r="TNZ15" s="7"/>
      <c r="TOA15" s="7"/>
      <c r="TOB15" s="7"/>
      <c r="TOC15" s="7"/>
      <c r="TOD15" s="7"/>
      <c r="TOE15" s="7"/>
      <c r="TOF15" s="7"/>
      <c r="TOG15" s="7"/>
      <c r="TOH15" s="7"/>
      <c r="TOI15" s="7"/>
      <c r="TOJ15" s="7"/>
      <c r="TOK15" s="7"/>
      <c r="TOL15" s="7"/>
      <c r="TOM15" s="7"/>
      <c r="TON15" s="7"/>
      <c r="TOO15" s="7"/>
      <c r="TOP15" s="7"/>
      <c r="TOQ15" s="7"/>
      <c r="TOR15" s="7"/>
      <c r="TOS15" s="7"/>
      <c r="TOT15" s="7"/>
      <c r="TOU15" s="7"/>
      <c r="TOV15" s="7"/>
      <c r="TOW15" s="7"/>
      <c r="TOX15" s="7"/>
      <c r="TOY15" s="7"/>
      <c r="TOZ15" s="7"/>
      <c r="TPA15" s="7"/>
      <c r="TPB15" s="7"/>
      <c r="TPC15" s="7"/>
      <c r="TPD15" s="7"/>
      <c r="TPE15" s="7"/>
      <c r="TPF15" s="7"/>
      <c r="TPG15" s="7"/>
      <c r="TPH15" s="7"/>
      <c r="TPI15" s="7"/>
      <c r="TPJ15" s="7"/>
      <c r="TPK15" s="7"/>
      <c r="TPL15" s="7"/>
      <c r="TPM15" s="7"/>
      <c r="TPN15" s="7"/>
      <c r="TPO15" s="7"/>
      <c r="TPP15" s="7"/>
      <c r="TPQ15" s="7"/>
      <c r="TPR15" s="7"/>
      <c r="TPS15" s="7"/>
      <c r="TPT15" s="7"/>
      <c r="TPU15" s="7"/>
      <c r="TPV15" s="7"/>
      <c r="TPW15" s="7"/>
      <c r="TPX15" s="7"/>
      <c r="TPY15" s="7"/>
      <c r="TPZ15" s="7"/>
      <c r="TQA15" s="7"/>
      <c r="TQB15" s="7"/>
      <c r="TQC15" s="7"/>
      <c r="TQD15" s="7"/>
      <c r="TQE15" s="7"/>
      <c r="TQF15" s="7"/>
      <c r="TQG15" s="7"/>
      <c r="TQH15" s="7"/>
      <c r="TQI15" s="7"/>
      <c r="TQJ15" s="7"/>
      <c r="TQK15" s="7"/>
      <c r="TQL15" s="7"/>
      <c r="TQM15" s="7"/>
      <c r="TQN15" s="7"/>
      <c r="TQO15" s="7"/>
      <c r="TQP15" s="7"/>
      <c r="TQQ15" s="7"/>
      <c r="TQR15" s="7"/>
      <c r="TQS15" s="7"/>
      <c r="TQT15" s="7"/>
      <c r="TQU15" s="7"/>
      <c r="TQV15" s="7"/>
      <c r="TQW15" s="7"/>
      <c r="TQX15" s="7"/>
      <c r="TQY15" s="7"/>
      <c r="TQZ15" s="7"/>
      <c r="TRA15" s="7"/>
      <c r="TRB15" s="7"/>
      <c r="TRC15" s="7"/>
      <c r="TRD15" s="7"/>
      <c r="TRE15" s="7"/>
      <c r="TRF15" s="7"/>
      <c r="TRG15" s="7"/>
      <c r="TRH15" s="7"/>
      <c r="TRI15" s="7"/>
      <c r="TRJ15" s="7"/>
      <c r="TRK15" s="7"/>
      <c r="TRL15" s="7"/>
      <c r="TRM15" s="7"/>
      <c r="TRN15" s="7"/>
      <c r="TRO15" s="7"/>
      <c r="TRP15" s="7"/>
      <c r="TRQ15" s="7"/>
      <c r="TRR15" s="7"/>
      <c r="TRS15" s="7"/>
      <c r="TRT15" s="7"/>
      <c r="TRU15" s="7"/>
      <c r="TRV15" s="7"/>
      <c r="TRW15" s="7"/>
      <c r="TRX15" s="7"/>
      <c r="TRY15" s="7"/>
      <c r="TRZ15" s="7"/>
      <c r="TSA15" s="7"/>
      <c r="TSB15" s="7"/>
      <c r="TSC15" s="7"/>
      <c r="TSD15" s="7"/>
      <c r="TSE15" s="7"/>
      <c r="TSF15" s="7"/>
      <c r="TSG15" s="7"/>
      <c r="TSH15" s="7"/>
      <c r="TSI15" s="7"/>
      <c r="TSJ15" s="7"/>
      <c r="TSK15" s="7"/>
      <c r="TSL15" s="7"/>
      <c r="TSM15" s="7"/>
      <c r="TSN15" s="7"/>
      <c r="TSO15" s="7"/>
      <c r="TSP15" s="7"/>
      <c r="TSQ15" s="7"/>
      <c r="TSR15" s="7"/>
      <c r="TSS15" s="7"/>
      <c r="TST15" s="7"/>
      <c r="TSU15" s="7"/>
      <c r="TSV15" s="7"/>
      <c r="TSW15" s="7"/>
      <c r="TSX15" s="7"/>
      <c r="TSY15" s="7"/>
      <c r="TSZ15" s="7"/>
      <c r="TTA15" s="7"/>
      <c r="TTB15" s="7"/>
      <c r="TTC15" s="7"/>
      <c r="TTD15" s="7"/>
      <c r="TTE15" s="7"/>
      <c r="TTF15" s="7"/>
      <c r="TTG15" s="7"/>
      <c r="TTH15" s="7"/>
      <c r="TTI15" s="7"/>
      <c r="TTJ15" s="7"/>
      <c r="TTK15" s="7"/>
      <c r="TTL15" s="7"/>
      <c r="TTM15" s="7"/>
      <c r="TTN15" s="7"/>
      <c r="TTO15" s="7"/>
      <c r="TTP15" s="7"/>
      <c r="TTQ15" s="7"/>
      <c r="TTR15" s="7"/>
      <c r="TTS15" s="7"/>
      <c r="TTT15" s="7"/>
      <c r="TTU15" s="7"/>
      <c r="TTV15" s="7"/>
      <c r="TTW15" s="7"/>
      <c r="TTX15" s="7"/>
      <c r="TTY15" s="7"/>
      <c r="TTZ15" s="7"/>
      <c r="TUA15" s="7"/>
      <c r="TUB15" s="7"/>
      <c r="TUC15" s="7"/>
      <c r="TUD15" s="7"/>
      <c r="TUE15" s="7"/>
      <c r="TUF15" s="7"/>
      <c r="TUG15" s="7"/>
      <c r="TUH15" s="7"/>
      <c r="TUI15" s="7"/>
      <c r="TUJ15" s="7"/>
      <c r="TUK15" s="7"/>
      <c r="TUL15" s="7"/>
      <c r="TUM15" s="7"/>
      <c r="TUN15" s="7"/>
      <c r="TUO15" s="7"/>
      <c r="TUP15" s="7"/>
      <c r="TUQ15" s="7"/>
      <c r="TUR15" s="7"/>
      <c r="TUS15" s="7"/>
      <c r="TUT15" s="7"/>
      <c r="TUU15" s="7"/>
      <c r="TUV15" s="7"/>
      <c r="TUW15" s="7"/>
      <c r="TUX15" s="7"/>
      <c r="TUY15" s="7"/>
      <c r="TUZ15" s="7"/>
      <c r="TVA15" s="7"/>
      <c r="TVB15" s="7"/>
      <c r="TVC15" s="7"/>
      <c r="TVD15" s="7"/>
      <c r="TVE15" s="7"/>
      <c r="TVF15" s="7"/>
      <c r="TVG15" s="7"/>
      <c r="TVH15" s="7"/>
      <c r="TVI15" s="7"/>
      <c r="TVJ15" s="7"/>
      <c r="TVK15" s="7"/>
      <c r="TVL15" s="7"/>
      <c r="TVM15" s="7"/>
      <c r="TVN15" s="7"/>
      <c r="TVO15" s="7"/>
      <c r="TVP15" s="7"/>
      <c r="TVQ15" s="7"/>
      <c r="TVR15" s="7"/>
      <c r="TVS15" s="7"/>
      <c r="TVT15" s="7"/>
      <c r="TVU15" s="7"/>
      <c r="TVV15" s="7"/>
      <c r="TVW15" s="7"/>
      <c r="TVX15" s="7"/>
      <c r="TVY15" s="7"/>
      <c r="TVZ15" s="7"/>
      <c r="TWA15" s="7"/>
      <c r="TWB15" s="7"/>
      <c r="TWC15" s="7"/>
      <c r="TWD15" s="7"/>
      <c r="TWE15" s="7"/>
      <c r="TWF15" s="7"/>
      <c r="TWG15" s="7"/>
      <c r="TWH15" s="7"/>
      <c r="TWI15" s="7"/>
      <c r="TWJ15" s="7"/>
      <c r="TWK15" s="7"/>
      <c r="TWL15" s="7"/>
      <c r="TWM15" s="7"/>
      <c r="TWN15" s="7"/>
      <c r="TWO15" s="7"/>
      <c r="TWP15" s="7"/>
      <c r="TWQ15" s="7"/>
      <c r="TWR15" s="7"/>
      <c r="TWS15" s="7"/>
      <c r="TWT15" s="7"/>
      <c r="TWU15" s="7"/>
      <c r="TWV15" s="7"/>
      <c r="TWW15" s="7"/>
      <c r="TWX15" s="7"/>
      <c r="TWY15" s="7"/>
      <c r="TWZ15" s="7"/>
      <c r="TXA15" s="7"/>
      <c r="TXB15" s="7"/>
      <c r="TXC15" s="7"/>
      <c r="TXD15" s="7"/>
      <c r="TXE15" s="7"/>
      <c r="TXF15" s="7"/>
      <c r="TXG15" s="7"/>
      <c r="TXH15" s="7"/>
      <c r="TXI15" s="7"/>
      <c r="TXJ15" s="7"/>
      <c r="TXK15" s="7"/>
      <c r="TXL15" s="7"/>
      <c r="TXM15" s="7"/>
      <c r="TXN15" s="7"/>
      <c r="TXO15" s="7"/>
      <c r="TXP15" s="7"/>
      <c r="TXQ15" s="7"/>
      <c r="TXR15" s="7"/>
      <c r="TXS15" s="7"/>
      <c r="TXT15" s="7"/>
      <c r="TXU15" s="7"/>
      <c r="TXV15" s="7"/>
      <c r="TXW15" s="7"/>
      <c r="TXX15" s="7"/>
      <c r="TXY15" s="7"/>
      <c r="TXZ15" s="7"/>
      <c r="TYA15" s="7"/>
      <c r="TYB15" s="7"/>
      <c r="TYC15" s="7"/>
      <c r="TYD15" s="7"/>
      <c r="TYE15" s="7"/>
      <c r="TYF15" s="7"/>
      <c r="TYG15" s="7"/>
      <c r="TYH15" s="7"/>
      <c r="TYI15" s="7"/>
      <c r="TYJ15" s="7"/>
      <c r="TYK15" s="7"/>
      <c r="TYL15" s="7"/>
      <c r="TYM15" s="7"/>
      <c r="TYN15" s="7"/>
      <c r="TYO15" s="7"/>
      <c r="TYP15" s="7"/>
      <c r="TYQ15" s="7"/>
      <c r="TYR15" s="7"/>
      <c r="TYS15" s="7"/>
      <c r="TYT15" s="7"/>
      <c r="TYU15" s="7"/>
      <c r="TYV15" s="7"/>
      <c r="TYW15" s="7"/>
      <c r="TYX15" s="7"/>
      <c r="TYY15" s="7"/>
      <c r="TYZ15" s="7"/>
      <c r="TZA15" s="7"/>
      <c r="TZB15" s="7"/>
      <c r="TZC15" s="7"/>
      <c r="TZD15" s="7"/>
      <c r="TZE15" s="7"/>
      <c r="TZF15" s="7"/>
      <c r="TZG15" s="7"/>
      <c r="TZH15" s="7"/>
      <c r="TZI15" s="7"/>
      <c r="TZJ15" s="7"/>
      <c r="TZK15" s="7"/>
      <c r="TZL15" s="7"/>
      <c r="TZM15" s="7"/>
      <c r="TZN15" s="7"/>
      <c r="TZO15" s="7"/>
      <c r="TZP15" s="7"/>
      <c r="TZQ15" s="7"/>
      <c r="TZR15" s="7"/>
      <c r="TZS15" s="7"/>
      <c r="TZT15" s="7"/>
      <c r="TZU15" s="7"/>
      <c r="TZV15" s="7"/>
      <c r="TZW15" s="7"/>
      <c r="TZX15" s="7"/>
      <c r="TZY15" s="7"/>
      <c r="TZZ15" s="7"/>
      <c r="UAA15" s="7"/>
      <c r="UAB15" s="7"/>
      <c r="UAC15" s="7"/>
      <c r="UAD15" s="7"/>
      <c r="UAE15" s="7"/>
      <c r="UAF15" s="7"/>
      <c r="UAG15" s="7"/>
      <c r="UAH15" s="7"/>
      <c r="UAI15" s="7"/>
      <c r="UAJ15" s="7"/>
      <c r="UAK15" s="7"/>
      <c r="UAL15" s="7"/>
      <c r="UAM15" s="7"/>
      <c r="UAN15" s="7"/>
      <c r="UAO15" s="7"/>
      <c r="UAP15" s="7"/>
      <c r="UAQ15" s="7"/>
      <c r="UAR15" s="7"/>
      <c r="UAS15" s="7"/>
      <c r="UAT15" s="7"/>
      <c r="UAU15" s="7"/>
      <c r="UAV15" s="7"/>
      <c r="UAW15" s="7"/>
      <c r="UAX15" s="7"/>
      <c r="UAY15" s="7"/>
      <c r="UAZ15" s="7"/>
      <c r="UBA15" s="7"/>
      <c r="UBB15" s="7"/>
      <c r="UBC15" s="7"/>
      <c r="UBD15" s="7"/>
      <c r="UBE15" s="7"/>
      <c r="UBF15" s="7"/>
      <c r="UBG15" s="7"/>
      <c r="UBH15" s="7"/>
      <c r="UBI15" s="7"/>
      <c r="UBJ15" s="7"/>
      <c r="UBK15" s="7"/>
      <c r="UBL15" s="7"/>
      <c r="UBM15" s="7"/>
      <c r="UBN15" s="7"/>
      <c r="UBO15" s="7"/>
      <c r="UBP15" s="7"/>
      <c r="UBQ15" s="7"/>
      <c r="UBR15" s="7"/>
      <c r="UBS15" s="7"/>
      <c r="UBT15" s="7"/>
      <c r="UBU15" s="7"/>
      <c r="UBV15" s="7"/>
      <c r="UBW15" s="7"/>
      <c r="UBX15" s="7"/>
      <c r="UBY15" s="7"/>
      <c r="UBZ15" s="7"/>
      <c r="UCA15" s="7"/>
      <c r="UCB15" s="7"/>
      <c r="UCC15" s="7"/>
      <c r="UCD15" s="7"/>
      <c r="UCE15" s="7"/>
      <c r="UCF15" s="7"/>
      <c r="UCG15" s="7"/>
      <c r="UCH15" s="7"/>
      <c r="UCI15" s="7"/>
      <c r="UCJ15" s="7"/>
      <c r="UCK15" s="7"/>
      <c r="UCL15" s="7"/>
      <c r="UCM15" s="7"/>
      <c r="UCN15" s="7"/>
      <c r="UCO15" s="7"/>
      <c r="UCP15" s="7"/>
      <c r="UCQ15" s="7"/>
      <c r="UCR15" s="7"/>
      <c r="UCS15" s="7"/>
      <c r="UCT15" s="7"/>
      <c r="UCU15" s="7"/>
      <c r="UCV15" s="7"/>
      <c r="UCW15" s="7"/>
      <c r="UCX15" s="7"/>
      <c r="UCY15" s="7"/>
      <c r="UCZ15" s="7"/>
      <c r="UDA15" s="7"/>
      <c r="UDB15" s="7"/>
      <c r="UDC15" s="7"/>
      <c r="UDD15" s="7"/>
      <c r="UDE15" s="7"/>
      <c r="UDF15" s="7"/>
      <c r="UDG15" s="7"/>
      <c r="UDH15" s="7"/>
      <c r="UDI15" s="7"/>
      <c r="UDJ15" s="7"/>
      <c r="UDK15" s="7"/>
      <c r="UDL15" s="7"/>
      <c r="UDM15" s="7"/>
      <c r="UDN15" s="7"/>
      <c r="UDO15" s="7"/>
      <c r="UDP15" s="7"/>
      <c r="UDQ15" s="7"/>
      <c r="UDR15" s="7"/>
      <c r="UDS15" s="7"/>
      <c r="UDT15" s="7"/>
      <c r="UDU15" s="7"/>
      <c r="UDV15" s="7"/>
      <c r="UDW15" s="7"/>
      <c r="UDX15" s="7"/>
      <c r="UDY15" s="7"/>
      <c r="UDZ15" s="7"/>
      <c r="UEA15" s="7"/>
      <c r="UEB15" s="7"/>
      <c r="UEC15" s="7"/>
      <c r="UED15" s="7"/>
      <c r="UEE15" s="7"/>
      <c r="UEF15" s="7"/>
      <c r="UEG15" s="7"/>
      <c r="UEH15" s="7"/>
      <c r="UEI15" s="7"/>
      <c r="UEJ15" s="7"/>
      <c r="UEK15" s="7"/>
      <c r="UEL15" s="7"/>
      <c r="UEM15" s="7"/>
      <c r="UEN15" s="7"/>
      <c r="UEO15" s="7"/>
      <c r="UEP15" s="7"/>
      <c r="UEQ15" s="7"/>
      <c r="UER15" s="7"/>
      <c r="UES15" s="7"/>
      <c r="UET15" s="7"/>
      <c r="UEU15" s="7"/>
      <c r="UEV15" s="7"/>
      <c r="UEW15" s="7"/>
      <c r="UEX15" s="7"/>
      <c r="UEY15" s="7"/>
      <c r="UEZ15" s="7"/>
      <c r="UFA15" s="7"/>
      <c r="UFB15" s="7"/>
      <c r="UFC15" s="7"/>
      <c r="UFD15" s="7"/>
      <c r="UFE15" s="7"/>
      <c r="UFF15" s="7"/>
      <c r="UFG15" s="7"/>
      <c r="UFH15" s="7"/>
      <c r="UFI15" s="7"/>
      <c r="UFJ15" s="7"/>
      <c r="UFK15" s="7"/>
      <c r="UFL15" s="7"/>
      <c r="UFM15" s="7"/>
      <c r="UFN15" s="7"/>
      <c r="UFO15" s="7"/>
      <c r="UFP15" s="7"/>
      <c r="UFQ15" s="7"/>
      <c r="UFR15" s="7"/>
      <c r="UFS15" s="7"/>
      <c r="UFT15" s="7"/>
      <c r="UFU15" s="7"/>
      <c r="UFV15" s="7"/>
      <c r="UFW15" s="7"/>
      <c r="UFX15" s="7"/>
      <c r="UFY15" s="7"/>
      <c r="UFZ15" s="7"/>
      <c r="UGA15" s="7"/>
      <c r="UGB15" s="7"/>
      <c r="UGC15" s="7"/>
      <c r="UGD15" s="7"/>
      <c r="UGE15" s="7"/>
      <c r="UGF15" s="7"/>
      <c r="UGG15" s="7"/>
      <c r="UGH15" s="7"/>
      <c r="UGI15" s="7"/>
      <c r="UGJ15" s="7"/>
      <c r="UGK15" s="7"/>
      <c r="UGL15" s="7"/>
      <c r="UGM15" s="7"/>
      <c r="UGN15" s="7"/>
      <c r="UGO15" s="7"/>
      <c r="UGP15" s="7"/>
      <c r="UGQ15" s="7"/>
      <c r="UGR15" s="7"/>
      <c r="UGS15" s="7"/>
      <c r="UGT15" s="7"/>
      <c r="UGU15" s="7"/>
      <c r="UGV15" s="7"/>
      <c r="UGW15" s="7"/>
      <c r="UGX15" s="7"/>
      <c r="UGY15" s="7"/>
      <c r="UGZ15" s="7"/>
      <c r="UHA15" s="7"/>
      <c r="UHB15" s="7"/>
      <c r="UHC15" s="7"/>
      <c r="UHD15" s="7"/>
      <c r="UHE15" s="7"/>
      <c r="UHF15" s="7"/>
      <c r="UHG15" s="7"/>
      <c r="UHH15" s="7"/>
      <c r="UHI15" s="7"/>
      <c r="UHJ15" s="7"/>
      <c r="UHK15" s="7"/>
      <c r="UHL15" s="7"/>
      <c r="UHM15" s="7"/>
      <c r="UHN15" s="7"/>
      <c r="UHO15" s="7"/>
      <c r="UHP15" s="7"/>
      <c r="UHQ15" s="7"/>
      <c r="UHR15" s="7"/>
      <c r="UHS15" s="7"/>
      <c r="UHT15" s="7"/>
      <c r="UHU15" s="7"/>
      <c r="UHV15" s="7"/>
      <c r="UHW15" s="7"/>
      <c r="UHX15" s="7"/>
      <c r="UHY15" s="7"/>
      <c r="UHZ15" s="7"/>
      <c r="UIA15" s="7"/>
      <c r="UIB15" s="7"/>
      <c r="UIC15" s="7"/>
      <c r="UID15" s="7"/>
      <c r="UIE15" s="7"/>
      <c r="UIF15" s="7"/>
      <c r="UIG15" s="7"/>
      <c r="UIH15" s="7"/>
      <c r="UII15" s="7"/>
      <c r="UIJ15" s="7"/>
      <c r="UIK15" s="7"/>
      <c r="UIL15" s="7"/>
      <c r="UIM15" s="7"/>
      <c r="UIN15" s="7"/>
      <c r="UIO15" s="7"/>
      <c r="UIP15" s="7"/>
      <c r="UIQ15" s="7"/>
      <c r="UIR15" s="7"/>
      <c r="UIS15" s="7"/>
      <c r="UIT15" s="7"/>
      <c r="UIU15" s="7"/>
      <c r="UIV15" s="7"/>
      <c r="UIW15" s="7"/>
      <c r="UIX15" s="7"/>
      <c r="UIY15" s="7"/>
      <c r="UIZ15" s="7"/>
      <c r="UJA15" s="7"/>
      <c r="UJB15" s="7"/>
      <c r="UJC15" s="7"/>
      <c r="UJD15" s="7"/>
      <c r="UJE15" s="7"/>
      <c r="UJF15" s="7"/>
      <c r="UJG15" s="7"/>
      <c r="UJH15" s="7"/>
      <c r="UJI15" s="7"/>
      <c r="UJJ15" s="7"/>
      <c r="UJK15" s="7"/>
      <c r="UJL15" s="7"/>
      <c r="UJM15" s="7"/>
      <c r="UJN15" s="7"/>
      <c r="UJO15" s="7"/>
      <c r="UJP15" s="7"/>
      <c r="UJQ15" s="7"/>
      <c r="UJR15" s="7"/>
      <c r="UJS15" s="7"/>
      <c r="UJT15" s="7"/>
      <c r="UJU15" s="7"/>
      <c r="UJV15" s="7"/>
      <c r="UJW15" s="7"/>
      <c r="UJX15" s="7"/>
      <c r="UJY15" s="7"/>
      <c r="UJZ15" s="7"/>
      <c r="UKA15" s="7"/>
      <c r="UKB15" s="7"/>
      <c r="UKC15" s="7"/>
      <c r="UKD15" s="7"/>
      <c r="UKE15" s="7"/>
      <c r="UKF15" s="7"/>
      <c r="UKG15" s="7"/>
      <c r="UKH15" s="7"/>
      <c r="UKI15" s="7"/>
      <c r="UKJ15" s="7"/>
      <c r="UKK15" s="7"/>
      <c r="UKL15" s="7"/>
      <c r="UKM15" s="7"/>
      <c r="UKN15" s="7"/>
      <c r="UKO15" s="7"/>
      <c r="UKP15" s="7"/>
      <c r="UKQ15" s="7"/>
      <c r="UKR15" s="7"/>
      <c r="UKS15" s="7"/>
      <c r="UKT15" s="7"/>
      <c r="UKU15" s="7"/>
      <c r="UKV15" s="7"/>
      <c r="UKW15" s="7"/>
      <c r="UKX15" s="7"/>
      <c r="UKY15" s="7"/>
      <c r="UKZ15" s="7"/>
      <c r="ULA15" s="7"/>
      <c r="ULB15" s="7"/>
      <c r="ULC15" s="7"/>
      <c r="ULD15" s="7"/>
      <c r="ULE15" s="7"/>
      <c r="ULF15" s="7"/>
      <c r="ULG15" s="7"/>
      <c r="ULH15" s="7"/>
      <c r="ULI15" s="7"/>
      <c r="ULJ15" s="7"/>
      <c r="ULK15" s="7"/>
      <c r="ULL15" s="7"/>
      <c r="ULM15" s="7"/>
      <c r="ULN15" s="7"/>
      <c r="ULO15" s="7"/>
      <c r="ULP15" s="7"/>
      <c r="ULQ15" s="7"/>
      <c r="ULR15" s="7"/>
      <c r="ULS15" s="7"/>
      <c r="ULT15" s="7"/>
      <c r="ULU15" s="7"/>
      <c r="ULV15" s="7"/>
      <c r="ULW15" s="7"/>
      <c r="ULX15" s="7"/>
      <c r="ULY15" s="7"/>
      <c r="ULZ15" s="7"/>
      <c r="UMA15" s="7"/>
      <c r="UMB15" s="7"/>
      <c r="UMC15" s="7"/>
      <c r="UMD15" s="7"/>
      <c r="UME15" s="7"/>
      <c r="UMF15" s="7"/>
      <c r="UMG15" s="7"/>
      <c r="UMH15" s="7"/>
      <c r="UMI15" s="7"/>
      <c r="UMJ15" s="7"/>
      <c r="UMK15" s="7"/>
      <c r="UML15" s="7"/>
      <c r="UMM15" s="7"/>
      <c r="UMN15" s="7"/>
      <c r="UMO15" s="7"/>
      <c r="UMP15" s="7"/>
      <c r="UMQ15" s="7"/>
      <c r="UMR15" s="7"/>
      <c r="UMS15" s="7"/>
      <c r="UMT15" s="7"/>
      <c r="UMU15" s="7"/>
      <c r="UMV15" s="7"/>
      <c r="UMW15" s="7"/>
      <c r="UMX15" s="7"/>
      <c r="UMY15" s="7"/>
      <c r="UMZ15" s="7"/>
      <c r="UNA15" s="7"/>
      <c r="UNB15" s="7"/>
      <c r="UNC15" s="7"/>
      <c r="UND15" s="7"/>
      <c r="UNE15" s="7"/>
      <c r="UNF15" s="7"/>
      <c r="UNG15" s="7"/>
      <c r="UNH15" s="7"/>
      <c r="UNI15" s="7"/>
      <c r="UNJ15" s="7"/>
      <c r="UNK15" s="7"/>
      <c r="UNL15" s="7"/>
      <c r="UNM15" s="7"/>
      <c r="UNN15" s="7"/>
      <c r="UNO15" s="7"/>
      <c r="UNP15" s="7"/>
      <c r="UNQ15" s="7"/>
      <c r="UNR15" s="7"/>
      <c r="UNS15" s="7"/>
      <c r="UNT15" s="7"/>
      <c r="UNU15" s="7"/>
      <c r="UNV15" s="7"/>
      <c r="UNW15" s="7"/>
      <c r="UNX15" s="7"/>
      <c r="UNY15" s="7"/>
      <c r="UNZ15" s="7"/>
      <c r="UOA15" s="7"/>
      <c r="UOB15" s="7"/>
      <c r="UOC15" s="7"/>
      <c r="UOD15" s="7"/>
      <c r="UOE15" s="7"/>
      <c r="UOF15" s="7"/>
      <c r="UOG15" s="7"/>
      <c r="UOH15" s="7"/>
      <c r="UOI15" s="7"/>
      <c r="UOJ15" s="7"/>
      <c r="UOK15" s="7"/>
      <c r="UOL15" s="7"/>
      <c r="UOM15" s="7"/>
      <c r="UON15" s="7"/>
      <c r="UOO15" s="7"/>
      <c r="UOP15" s="7"/>
      <c r="UOQ15" s="7"/>
      <c r="UOR15" s="7"/>
      <c r="UOS15" s="7"/>
      <c r="UOT15" s="7"/>
      <c r="UOU15" s="7"/>
      <c r="UOV15" s="7"/>
      <c r="UOW15" s="7"/>
      <c r="UOX15" s="7"/>
      <c r="UOY15" s="7"/>
      <c r="UOZ15" s="7"/>
      <c r="UPA15" s="7"/>
      <c r="UPB15" s="7"/>
      <c r="UPC15" s="7"/>
      <c r="UPD15" s="7"/>
      <c r="UPE15" s="7"/>
      <c r="UPF15" s="7"/>
      <c r="UPG15" s="7"/>
      <c r="UPH15" s="7"/>
      <c r="UPI15" s="7"/>
      <c r="UPJ15" s="7"/>
      <c r="UPK15" s="7"/>
      <c r="UPL15" s="7"/>
      <c r="UPM15" s="7"/>
      <c r="UPN15" s="7"/>
      <c r="UPO15" s="7"/>
      <c r="UPP15" s="7"/>
      <c r="UPQ15" s="7"/>
      <c r="UPR15" s="7"/>
      <c r="UPS15" s="7"/>
      <c r="UPT15" s="7"/>
      <c r="UPU15" s="7"/>
      <c r="UPV15" s="7"/>
      <c r="UPW15" s="7"/>
      <c r="UPX15" s="7"/>
      <c r="UPY15" s="7"/>
      <c r="UPZ15" s="7"/>
      <c r="UQA15" s="7"/>
      <c r="UQB15" s="7"/>
      <c r="UQC15" s="7"/>
      <c r="UQD15" s="7"/>
      <c r="UQE15" s="7"/>
      <c r="UQF15" s="7"/>
      <c r="UQG15" s="7"/>
      <c r="UQH15" s="7"/>
      <c r="UQI15" s="7"/>
      <c r="UQJ15" s="7"/>
      <c r="UQK15" s="7"/>
      <c r="UQL15" s="7"/>
      <c r="UQM15" s="7"/>
      <c r="UQN15" s="7"/>
      <c r="UQO15" s="7"/>
      <c r="UQP15" s="7"/>
      <c r="UQQ15" s="7"/>
      <c r="UQR15" s="7"/>
      <c r="UQS15" s="7"/>
      <c r="UQT15" s="7"/>
      <c r="UQU15" s="7"/>
      <c r="UQV15" s="7"/>
      <c r="UQW15" s="7"/>
      <c r="UQX15" s="7"/>
      <c r="UQY15" s="7"/>
      <c r="UQZ15" s="7"/>
      <c r="URA15" s="7"/>
      <c r="URB15" s="7"/>
      <c r="URC15" s="7"/>
      <c r="URD15" s="7"/>
      <c r="URE15" s="7"/>
      <c r="URF15" s="7"/>
      <c r="URG15" s="7"/>
      <c r="URH15" s="7"/>
      <c r="URI15" s="7"/>
      <c r="URJ15" s="7"/>
      <c r="URK15" s="7"/>
      <c r="URL15" s="7"/>
      <c r="URM15" s="7"/>
      <c r="URN15" s="7"/>
      <c r="URO15" s="7"/>
      <c r="URP15" s="7"/>
      <c r="URQ15" s="7"/>
      <c r="URR15" s="7"/>
      <c r="URS15" s="7"/>
      <c r="URT15" s="7"/>
      <c r="URU15" s="7"/>
      <c r="URV15" s="7"/>
      <c r="URW15" s="7"/>
      <c r="URX15" s="7"/>
      <c r="URY15" s="7"/>
      <c r="URZ15" s="7"/>
      <c r="USA15" s="7"/>
      <c r="USB15" s="7"/>
      <c r="USC15" s="7"/>
      <c r="USD15" s="7"/>
      <c r="USE15" s="7"/>
      <c r="USF15" s="7"/>
      <c r="USG15" s="7"/>
      <c r="USH15" s="7"/>
      <c r="USI15" s="7"/>
      <c r="USJ15" s="7"/>
      <c r="USK15" s="7"/>
      <c r="USL15" s="7"/>
      <c r="USM15" s="7"/>
      <c r="USN15" s="7"/>
      <c r="USO15" s="7"/>
      <c r="USP15" s="7"/>
      <c r="USQ15" s="7"/>
      <c r="USR15" s="7"/>
      <c r="USS15" s="7"/>
      <c r="UST15" s="7"/>
      <c r="USU15" s="7"/>
      <c r="USV15" s="7"/>
      <c r="USW15" s="7"/>
      <c r="USX15" s="7"/>
      <c r="USY15" s="7"/>
      <c r="USZ15" s="7"/>
      <c r="UTA15" s="7"/>
      <c r="UTB15" s="7"/>
      <c r="UTC15" s="7"/>
      <c r="UTD15" s="7"/>
      <c r="UTE15" s="7"/>
      <c r="UTF15" s="7"/>
      <c r="UTG15" s="7"/>
      <c r="UTH15" s="7"/>
      <c r="UTI15" s="7"/>
      <c r="UTJ15" s="7"/>
      <c r="UTK15" s="7"/>
      <c r="UTL15" s="7"/>
      <c r="UTM15" s="7"/>
      <c r="UTN15" s="7"/>
      <c r="UTO15" s="7"/>
      <c r="UTP15" s="7"/>
      <c r="UTQ15" s="7"/>
      <c r="UTR15" s="7"/>
      <c r="UTS15" s="7"/>
      <c r="UTT15" s="7"/>
      <c r="UTU15" s="7"/>
      <c r="UTV15" s="7"/>
      <c r="UTW15" s="7"/>
      <c r="UTX15" s="7"/>
      <c r="UTY15" s="7"/>
      <c r="UTZ15" s="7"/>
      <c r="UUA15" s="7"/>
      <c r="UUB15" s="7"/>
      <c r="UUC15" s="7"/>
      <c r="UUD15" s="7"/>
      <c r="UUE15" s="7"/>
      <c r="UUF15" s="7"/>
      <c r="UUG15" s="7"/>
      <c r="UUH15" s="7"/>
      <c r="UUI15" s="7"/>
      <c r="UUJ15" s="7"/>
      <c r="UUK15" s="7"/>
      <c r="UUL15" s="7"/>
      <c r="UUM15" s="7"/>
      <c r="UUN15" s="7"/>
      <c r="UUO15" s="7"/>
      <c r="UUP15" s="7"/>
      <c r="UUQ15" s="7"/>
      <c r="UUR15" s="7"/>
      <c r="UUS15" s="7"/>
      <c r="UUT15" s="7"/>
      <c r="UUU15" s="7"/>
      <c r="UUV15" s="7"/>
      <c r="UUW15" s="7"/>
      <c r="UUX15" s="7"/>
      <c r="UUY15" s="7"/>
      <c r="UUZ15" s="7"/>
      <c r="UVA15" s="7"/>
      <c r="UVB15" s="7"/>
      <c r="UVC15" s="7"/>
      <c r="UVD15" s="7"/>
      <c r="UVE15" s="7"/>
      <c r="UVF15" s="7"/>
      <c r="UVG15" s="7"/>
      <c r="UVH15" s="7"/>
      <c r="UVI15" s="7"/>
      <c r="UVJ15" s="7"/>
      <c r="UVK15" s="7"/>
      <c r="UVL15" s="7"/>
      <c r="UVM15" s="7"/>
      <c r="UVN15" s="7"/>
      <c r="UVO15" s="7"/>
      <c r="UVP15" s="7"/>
      <c r="UVQ15" s="7"/>
      <c r="UVR15" s="7"/>
      <c r="UVS15" s="7"/>
      <c r="UVT15" s="7"/>
      <c r="UVU15" s="7"/>
      <c r="UVV15" s="7"/>
      <c r="UVW15" s="7"/>
      <c r="UVX15" s="7"/>
      <c r="UVY15" s="7"/>
      <c r="UVZ15" s="7"/>
      <c r="UWA15" s="7"/>
      <c r="UWB15" s="7"/>
      <c r="UWC15" s="7"/>
      <c r="UWD15" s="7"/>
      <c r="UWE15" s="7"/>
      <c r="UWF15" s="7"/>
      <c r="UWG15" s="7"/>
      <c r="UWH15" s="7"/>
      <c r="UWI15" s="7"/>
      <c r="UWJ15" s="7"/>
      <c r="UWK15" s="7"/>
      <c r="UWL15" s="7"/>
      <c r="UWM15" s="7"/>
      <c r="UWN15" s="7"/>
      <c r="UWO15" s="7"/>
      <c r="UWP15" s="7"/>
      <c r="UWQ15" s="7"/>
      <c r="UWR15" s="7"/>
      <c r="UWS15" s="7"/>
      <c r="UWT15" s="7"/>
      <c r="UWU15" s="7"/>
      <c r="UWV15" s="7"/>
      <c r="UWW15" s="7"/>
      <c r="UWX15" s="7"/>
      <c r="UWY15" s="7"/>
      <c r="UWZ15" s="7"/>
      <c r="UXA15" s="7"/>
      <c r="UXB15" s="7"/>
      <c r="UXC15" s="7"/>
      <c r="UXD15" s="7"/>
      <c r="UXE15" s="7"/>
      <c r="UXF15" s="7"/>
      <c r="UXG15" s="7"/>
      <c r="UXH15" s="7"/>
      <c r="UXI15" s="7"/>
      <c r="UXJ15" s="7"/>
      <c r="UXK15" s="7"/>
      <c r="UXL15" s="7"/>
      <c r="UXM15" s="7"/>
      <c r="UXN15" s="7"/>
      <c r="UXO15" s="7"/>
      <c r="UXP15" s="7"/>
      <c r="UXQ15" s="7"/>
      <c r="UXR15" s="7"/>
      <c r="UXS15" s="7"/>
      <c r="UXT15" s="7"/>
      <c r="UXU15" s="7"/>
      <c r="UXV15" s="7"/>
      <c r="UXW15" s="7"/>
      <c r="UXX15" s="7"/>
      <c r="UXY15" s="7"/>
      <c r="UXZ15" s="7"/>
      <c r="UYA15" s="7"/>
      <c r="UYB15" s="7"/>
      <c r="UYC15" s="7"/>
      <c r="UYD15" s="7"/>
      <c r="UYE15" s="7"/>
      <c r="UYF15" s="7"/>
      <c r="UYG15" s="7"/>
      <c r="UYH15" s="7"/>
      <c r="UYI15" s="7"/>
      <c r="UYJ15" s="7"/>
      <c r="UYK15" s="7"/>
      <c r="UYL15" s="7"/>
      <c r="UYM15" s="7"/>
      <c r="UYN15" s="7"/>
      <c r="UYO15" s="7"/>
      <c r="UYP15" s="7"/>
      <c r="UYQ15" s="7"/>
      <c r="UYR15" s="7"/>
      <c r="UYS15" s="7"/>
      <c r="UYT15" s="7"/>
      <c r="UYU15" s="7"/>
      <c r="UYV15" s="7"/>
      <c r="UYW15" s="7"/>
      <c r="UYX15" s="7"/>
      <c r="UYY15" s="7"/>
      <c r="UYZ15" s="7"/>
      <c r="UZA15" s="7"/>
      <c r="UZB15" s="7"/>
      <c r="UZC15" s="7"/>
      <c r="UZD15" s="7"/>
      <c r="UZE15" s="7"/>
      <c r="UZF15" s="7"/>
      <c r="UZG15" s="7"/>
      <c r="UZH15" s="7"/>
      <c r="UZI15" s="7"/>
      <c r="UZJ15" s="7"/>
      <c r="UZK15" s="7"/>
      <c r="UZL15" s="7"/>
      <c r="UZM15" s="7"/>
      <c r="UZN15" s="7"/>
      <c r="UZO15" s="7"/>
      <c r="UZP15" s="7"/>
      <c r="UZQ15" s="7"/>
      <c r="UZR15" s="7"/>
      <c r="UZS15" s="7"/>
      <c r="UZT15" s="7"/>
      <c r="UZU15" s="7"/>
      <c r="UZV15" s="7"/>
      <c r="UZW15" s="7"/>
      <c r="UZX15" s="7"/>
      <c r="UZY15" s="7"/>
      <c r="UZZ15" s="7"/>
      <c r="VAA15" s="7"/>
      <c r="VAB15" s="7"/>
      <c r="VAC15" s="7"/>
      <c r="VAD15" s="7"/>
      <c r="VAE15" s="7"/>
      <c r="VAF15" s="7"/>
      <c r="VAG15" s="7"/>
      <c r="VAH15" s="7"/>
      <c r="VAI15" s="7"/>
      <c r="VAJ15" s="7"/>
      <c r="VAK15" s="7"/>
      <c r="VAL15" s="7"/>
      <c r="VAM15" s="7"/>
      <c r="VAN15" s="7"/>
      <c r="VAO15" s="7"/>
      <c r="VAP15" s="7"/>
      <c r="VAQ15" s="7"/>
      <c r="VAR15" s="7"/>
      <c r="VAS15" s="7"/>
      <c r="VAT15" s="7"/>
      <c r="VAU15" s="7"/>
      <c r="VAV15" s="7"/>
      <c r="VAW15" s="7"/>
      <c r="VAX15" s="7"/>
      <c r="VAY15" s="7"/>
      <c r="VAZ15" s="7"/>
      <c r="VBA15" s="7"/>
      <c r="VBB15" s="7"/>
      <c r="VBC15" s="7"/>
      <c r="VBD15" s="7"/>
      <c r="VBE15" s="7"/>
      <c r="VBF15" s="7"/>
      <c r="VBG15" s="7"/>
      <c r="VBH15" s="7"/>
      <c r="VBI15" s="7"/>
      <c r="VBJ15" s="7"/>
      <c r="VBK15" s="7"/>
      <c r="VBL15" s="7"/>
      <c r="VBM15" s="7"/>
      <c r="VBN15" s="7"/>
      <c r="VBO15" s="7"/>
      <c r="VBP15" s="7"/>
      <c r="VBQ15" s="7"/>
      <c r="VBR15" s="7"/>
      <c r="VBS15" s="7"/>
      <c r="VBT15" s="7"/>
      <c r="VBU15" s="7"/>
      <c r="VBV15" s="7"/>
      <c r="VBW15" s="7"/>
      <c r="VBX15" s="7"/>
      <c r="VBY15" s="7"/>
      <c r="VBZ15" s="7"/>
      <c r="VCA15" s="7"/>
      <c r="VCB15" s="7"/>
      <c r="VCC15" s="7"/>
      <c r="VCD15" s="7"/>
      <c r="VCE15" s="7"/>
      <c r="VCF15" s="7"/>
      <c r="VCG15" s="7"/>
      <c r="VCH15" s="7"/>
      <c r="VCI15" s="7"/>
      <c r="VCJ15" s="7"/>
      <c r="VCK15" s="7"/>
      <c r="VCL15" s="7"/>
      <c r="VCM15" s="7"/>
      <c r="VCN15" s="7"/>
      <c r="VCO15" s="7"/>
      <c r="VCP15" s="7"/>
      <c r="VCQ15" s="7"/>
      <c r="VCR15" s="7"/>
      <c r="VCS15" s="7"/>
      <c r="VCT15" s="7"/>
      <c r="VCU15" s="7"/>
      <c r="VCV15" s="7"/>
      <c r="VCW15" s="7"/>
      <c r="VCX15" s="7"/>
      <c r="VCY15" s="7"/>
      <c r="VCZ15" s="7"/>
      <c r="VDA15" s="7"/>
      <c r="VDB15" s="7"/>
      <c r="VDC15" s="7"/>
      <c r="VDD15" s="7"/>
      <c r="VDE15" s="7"/>
      <c r="VDF15" s="7"/>
      <c r="VDG15" s="7"/>
      <c r="VDH15" s="7"/>
      <c r="VDI15" s="7"/>
      <c r="VDJ15" s="7"/>
      <c r="VDK15" s="7"/>
      <c r="VDL15" s="7"/>
      <c r="VDM15" s="7"/>
      <c r="VDN15" s="7"/>
      <c r="VDO15" s="7"/>
      <c r="VDP15" s="7"/>
      <c r="VDQ15" s="7"/>
      <c r="VDR15" s="7"/>
      <c r="VDS15" s="7"/>
      <c r="VDT15" s="7"/>
      <c r="VDU15" s="7"/>
      <c r="VDV15" s="7"/>
      <c r="VDW15" s="7"/>
      <c r="VDX15" s="7"/>
      <c r="VDY15" s="7"/>
      <c r="VDZ15" s="7"/>
      <c r="VEA15" s="7"/>
      <c r="VEB15" s="7"/>
      <c r="VEC15" s="7"/>
      <c r="VED15" s="7"/>
      <c r="VEE15" s="7"/>
      <c r="VEF15" s="7"/>
      <c r="VEG15" s="7"/>
      <c r="VEH15" s="7"/>
      <c r="VEI15" s="7"/>
      <c r="VEJ15" s="7"/>
      <c r="VEK15" s="7"/>
      <c r="VEL15" s="7"/>
      <c r="VEM15" s="7"/>
      <c r="VEN15" s="7"/>
      <c r="VEO15" s="7"/>
      <c r="VEP15" s="7"/>
      <c r="VEQ15" s="7"/>
      <c r="VER15" s="7"/>
      <c r="VES15" s="7"/>
      <c r="VET15" s="7"/>
      <c r="VEU15" s="7"/>
      <c r="VEV15" s="7"/>
      <c r="VEW15" s="7"/>
      <c r="VEX15" s="7"/>
      <c r="VEY15" s="7"/>
      <c r="VEZ15" s="7"/>
      <c r="VFA15" s="7"/>
      <c r="VFB15" s="7"/>
      <c r="VFC15" s="7"/>
      <c r="VFD15" s="7"/>
      <c r="VFE15" s="7"/>
      <c r="VFF15" s="7"/>
      <c r="VFG15" s="7"/>
      <c r="VFH15" s="7"/>
      <c r="VFI15" s="7"/>
      <c r="VFJ15" s="7"/>
      <c r="VFK15" s="7"/>
      <c r="VFL15" s="7"/>
      <c r="VFM15" s="7"/>
      <c r="VFN15" s="7"/>
      <c r="VFO15" s="7"/>
      <c r="VFP15" s="7"/>
      <c r="VFQ15" s="7"/>
      <c r="VFR15" s="7"/>
      <c r="VFS15" s="7"/>
      <c r="VFT15" s="7"/>
      <c r="VFU15" s="7"/>
      <c r="VFV15" s="7"/>
      <c r="VFW15" s="7"/>
      <c r="VFX15" s="7"/>
      <c r="VFY15" s="7"/>
      <c r="VFZ15" s="7"/>
      <c r="VGA15" s="7"/>
      <c r="VGB15" s="7"/>
      <c r="VGC15" s="7"/>
      <c r="VGD15" s="7"/>
      <c r="VGE15" s="7"/>
      <c r="VGF15" s="7"/>
      <c r="VGG15" s="7"/>
      <c r="VGH15" s="7"/>
      <c r="VGI15" s="7"/>
      <c r="VGJ15" s="7"/>
      <c r="VGK15" s="7"/>
      <c r="VGL15" s="7"/>
      <c r="VGM15" s="7"/>
      <c r="VGN15" s="7"/>
      <c r="VGO15" s="7"/>
      <c r="VGP15" s="7"/>
      <c r="VGQ15" s="7"/>
      <c r="VGR15" s="7"/>
      <c r="VGS15" s="7"/>
      <c r="VGT15" s="7"/>
      <c r="VGU15" s="7"/>
      <c r="VGV15" s="7"/>
      <c r="VGW15" s="7"/>
      <c r="VGX15" s="7"/>
      <c r="VGY15" s="7"/>
      <c r="VGZ15" s="7"/>
      <c r="VHA15" s="7"/>
      <c r="VHB15" s="7"/>
      <c r="VHC15" s="7"/>
      <c r="VHD15" s="7"/>
      <c r="VHE15" s="7"/>
      <c r="VHF15" s="7"/>
      <c r="VHG15" s="7"/>
      <c r="VHH15" s="7"/>
      <c r="VHI15" s="7"/>
      <c r="VHJ15" s="7"/>
      <c r="VHK15" s="7"/>
      <c r="VHL15" s="7"/>
      <c r="VHM15" s="7"/>
      <c r="VHN15" s="7"/>
      <c r="VHO15" s="7"/>
      <c r="VHP15" s="7"/>
      <c r="VHQ15" s="7"/>
      <c r="VHR15" s="7"/>
      <c r="VHS15" s="7"/>
      <c r="VHT15" s="7"/>
      <c r="VHU15" s="7"/>
      <c r="VHV15" s="7"/>
      <c r="VHW15" s="7"/>
      <c r="VHX15" s="7"/>
      <c r="VHY15" s="7"/>
      <c r="VHZ15" s="7"/>
      <c r="VIA15" s="7"/>
      <c r="VIB15" s="7"/>
      <c r="VIC15" s="7"/>
      <c r="VID15" s="7"/>
      <c r="VIE15" s="7"/>
      <c r="VIF15" s="7"/>
      <c r="VIG15" s="7"/>
      <c r="VIH15" s="7"/>
      <c r="VII15" s="7"/>
      <c r="VIJ15" s="7"/>
      <c r="VIK15" s="7"/>
      <c r="VIL15" s="7"/>
      <c r="VIM15" s="7"/>
      <c r="VIN15" s="7"/>
      <c r="VIO15" s="7"/>
      <c r="VIP15" s="7"/>
      <c r="VIQ15" s="7"/>
      <c r="VIR15" s="7"/>
      <c r="VIS15" s="7"/>
      <c r="VIT15" s="7"/>
      <c r="VIU15" s="7"/>
      <c r="VIV15" s="7"/>
      <c r="VIW15" s="7"/>
      <c r="VIX15" s="7"/>
      <c r="VIY15" s="7"/>
      <c r="VIZ15" s="7"/>
      <c r="VJA15" s="7"/>
      <c r="VJB15" s="7"/>
      <c r="VJC15" s="7"/>
      <c r="VJD15" s="7"/>
      <c r="VJE15" s="7"/>
      <c r="VJF15" s="7"/>
      <c r="VJG15" s="7"/>
      <c r="VJH15" s="7"/>
      <c r="VJI15" s="7"/>
      <c r="VJJ15" s="7"/>
      <c r="VJK15" s="7"/>
      <c r="VJL15" s="7"/>
      <c r="VJM15" s="7"/>
      <c r="VJN15" s="7"/>
      <c r="VJO15" s="7"/>
      <c r="VJP15" s="7"/>
      <c r="VJQ15" s="7"/>
      <c r="VJR15" s="7"/>
      <c r="VJS15" s="7"/>
      <c r="VJT15" s="7"/>
      <c r="VJU15" s="7"/>
      <c r="VJV15" s="7"/>
      <c r="VJW15" s="7"/>
      <c r="VJX15" s="7"/>
      <c r="VJY15" s="7"/>
      <c r="VJZ15" s="7"/>
      <c r="VKA15" s="7"/>
      <c r="VKB15" s="7"/>
      <c r="VKC15" s="7"/>
      <c r="VKD15" s="7"/>
      <c r="VKE15" s="7"/>
      <c r="VKF15" s="7"/>
      <c r="VKG15" s="7"/>
      <c r="VKH15" s="7"/>
      <c r="VKI15" s="7"/>
      <c r="VKJ15" s="7"/>
      <c r="VKK15" s="7"/>
      <c r="VKL15" s="7"/>
      <c r="VKM15" s="7"/>
      <c r="VKN15" s="7"/>
      <c r="VKO15" s="7"/>
      <c r="VKP15" s="7"/>
      <c r="VKQ15" s="7"/>
      <c r="VKR15" s="7"/>
      <c r="VKS15" s="7"/>
      <c r="VKT15" s="7"/>
      <c r="VKU15" s="7"/>
      <c r="VKV15" s="7"/>
      <c r="VKW15" s="7"/>
      <c r="VKX15" s="7"/>
      <c r="VKY15" s="7"/>
      <c r="VKZ15" s="7"/>
      <c r="VLA15" s="7"/>
      <c r="VLB15" s="7"/>
      <c r="VLC15" s="7"/>
      <c r="VLD15" s="7"/>
      <c r="VLE15" s="7"/>
      <c r="VLF15" s="7"/>
      <c r="VLG15" s="7"/>
      <c r="VLH15" s="7"/>
      <c r="VLI15" s="7"/>
      <c r="VLJ15" s="7"/>
      <c r="VLK15" s="7"/>
      <c r="VLL15" s="7"/>
      <c r="VLM15" s="7"/>
      <c r="VLN15" s="7"/>
      <c r="VLO15" s="7"/>
      <c r="VLP15" s="7"/>
      <c r="VLQ15" s="7"/>
      <c r="VLR15" s="7"/>
      <c r="VLS15" s="7"/>
      <c r="VLT15" s="7"/>
      <c r="VLU15" s="7"/>
      <c r="VLV15" s="7"/>
      <c r="VLW15" s="7"/>
      <c r="VLX15" s="7"/>
      <c r="VLY15" s="7"/>
      <c r="VLZ15" s="7"/>
      <c r="VMA15" s="7"/>
      <c r="VMB15" s="7"/>
      <c r="VMC15" s="7"/>
      <c r="VMD15" s="7"/>
      <c r="VME15" s="7"/>
      <c r="VMF15" s="7"/>
      <c r="VMG15" s="7"/>
      <c r="VMH15" s="7"/>
      <c r="VMI15" s="7"/>
      <c r="VMJ15" s="7"/>
      <c r="VMK15" s="7"/>
      <c r="VML15" s="7"/>
      <c r="VMM15" s="7"/>
      <c r="VMN15" s="7"/>
      <c r="VMO15" s="7"/>
      <c r="VMP15" s="7"/>
      <c r="VMQ15" s="7"/>
      <c r="VMR15" s="7"/>
      <c r="VMS15" s="7"/>
      <c r="VMT15" s="7"/>
      <c r="VMU15" s="7"/>
      <c r="VMV15" s="7"/>
      <c r="VMW15" s="7"/>
      <c r="VMX15" s="7"/>
      <c r="VMY15" s="7"/>
      <c r="VMZ15" s="7"/>
      <c r="VNA15" s="7"/>
      <c r="VNB15" s="7"/>
      <c r="VNC15" s="7"/>
      <c r="VND15" s="7"/>
      <c r="VNE15" s="7"/>
      <c r="VNF15" s="7"/>
      <c r="VNG15" s="7"/>
      <c r="VNH15" s="7"/>
      <c r="VNI15" s="7"/>
      <c r="VNJ15" s="7"/>
      <c r="VNK15" s="7"/>
      <c r="VNL15" s="7"/>
      <c r="VNM15" s="7"/>
      <c r="VNN15" s="7"/>
      <c r="VNO15" s="7"/>
      <c r="VNP15" s="7"/>
      <c r="VNQ15" s="7"/>
      <c r="VNR15" s="7"/>
      <c r="VNS15" s="7"/>
      <c r="VNT15" s="7"/>
      <c r="VNU15" s="7"/>
      <c r="VNV15" s="7"/>
      <c r="VNW15" s="7"/>
      <c r="VNX15" s="7"/>
      <c r="VNY15" s="7"/>
      <c r="VNZ15" s="7"/>
      <c r="VOA15" s="7"/>
      <c r="VOB15" s="7"/>
      <c r="VOC15" s="7"/>
      <c r="VOD15" s="7"/>
      <c r="VOE15" s="7"/>
      <c r="VOF15" s="7"/>
      <c r="VOG15" s="7"/>
      <c r="VOH15" s="7"/>
      <c r="VOI15" s="7"/>
      <c r="VOJ15" s="7"/>
      <c r="VOK15" s="7"/>
      <c r="VOL15" s="7"/>
      <c r="VOM15" s="7"/>
      <c r="VON15" s="7"/>
      <c r="VOO15" s="7"/>
      <c r="VOP15" s="7"/>
      <c r="VOQ15" s="7"/>
      <c r="VOR15" s="7"/>
      <c r="VOS15" s="7"/>
      <c r="VOT15" s="7"/>
      <c r="VOU15" s="7"/>
      <c r="VOV15" s="7"/>
      <c r="VOW15" s="7"/>
      <c r="VOX15" s="7"/>
      <c r="VOY15" s="7"/>
      <c r="VOZ15" s="7"/>
      <c r="VPA15" s="7"/>
      <c r="VPB15" s="7"/>
      <c r="VPC15" s="7"/>
      <c r="VPD15" s="7"/>
      <c r="VPE15" s="7"/>
      <c r="VPF15" s="7"/>
      <c r="VPG15" s="7"/>
      <c r="VPH15" s="7"/>
      <c r="VPI15" s="7"/>
      <c r="VPJ15" s="7"/>
      <c r="VPK15" s="7"/>
      <c r="VPL15" s="7"/>
      <c r="VPM15" s="7"/>
      <c r="VPN15" s="7"/>
      <c r="VPO15" s="7"/>
      <c r="VPP15" s="7"/>
      <c r="VPQ15" s="7"/>
      <c r="VPR15" s="7"/>
      <c r="VPS15" s="7"/>
      <c r="VPT15" s="7"/>
      <c r="VPU15" s="7"/>
      <c r="VPV15" s="7"/>
      <c r="VPW15" s="7"/>
      <c r="VPX15" s="7"/>
      <c r="VPY15" s="7"/>
      <c r="VPZ15" s="7"/>
      <c r="VQA15" s="7"/>
      <c r="VQB15" s="7"/>
      <c r="VQC15" s="7"/>
      <c r="VQD15" s="7"/>
      <c r="VQE15" s="7"/>
      <c r="VQF15" s="7"/>
      <c r="VQG15" s="7"/>
      <c r="VQH15" s="7"/>
      <c r="VQI15" s="7"/>
      <c r="VQJ15" s="7"/>
      <c r="VQK15" s="7"/>
      <c r="VQL15" s="7"/>
      <c r="VQM15" s="7"/>
      <c r="VQN15" s="7"/>
      <c r="VQO15" s="7"/>
      <c r="VQP15" s="7"/>
      <c r="VQQ15" s="7"/>
      <c r="VQR15" s="7"/>
      <c r="VQS15" s="7"/>
      <c r="VQT15" s="7"/>
      <c r="VQU15" s="7"/>
      <c r="VQV15" s="7"/>
      <c r="VQW15" s="7"/>
      <c r="VQX15" s="7"/>
      <c r="VQY15" s="7"/>
      <c r="VQZ15" s="7"/>
      <c r="VRA15" s="7"/>
      <c r="VRB15" s="7"/>
      <c r="VRC15" s="7"/>
      <c r="VRD15" s="7"/>
      <c r="VRE15" s="7"/>
      <c r="VRF15" s="7"/>
      <c r="VRG15" s="7"/>
      <c r="VRH15" s="7"/>
      <c r="VRI15" s="7"/>
      <c r="VRJ15" s="7"/>
      <c r="VRK15" s="7"/>
      <c r="VRL15" s="7"/>
      <c r="VRM15" s="7"/>
      <c r="VRN15" s="7"/>
      <c r="VRO15" s="7"/>
      <c r="VRP15" s="7"/>
      <c r="VRQ15" s="7"/>
      <c r="VRR15" s="7"/>
      <c r="VRS15" s="7"/>
      <c r="VRT15" s="7"/>
      <c r="VRU15" s="7"/>
      <c r="VRV15" s="7"/>
      <c r="VRW15" s="7"/>
      <c r="VRX15" s="7"/>
      <c r="VRY15" s="7"/>
      <c r="VRZ15" s="7"/>
      <c r="VSA15" s="7"/>
      <c r="VSB15" s="7"/>
      <c r="VSC15" s="7"/>
      <c r="VSD15" s="7"/>
      <c r="VSE15" s="7"/>
      <c r="VSF15" s="7"/>
      <c r="VSG15" s="7"/>
      <c r="VSH15" s="7"/>
      <c r="VSI15" s="7"/>
      <c r="VSJ15" s="7"/>
      <c r="VSK15" s="7"/>
      <c r="VSL15" s="7"/>
      <c r="VSM15" s="7"/>
      <c r="VSN15" s="7"/>
      <c r="VSO15" s="7"/>
      <c r="VSP15" s="7"/>
      <c r="VSQ15" s="7"/>
      <c r="VSR15" s="7"/>
      <c r="VSS15" s="7"/>
      <c r="VST15" s="7"/>
      <c r="VSU15" s="7"/>
      <c r="VSV15" s="7"/>
      <c r="VSW15" s="7"/>
      <c r="VSX15" s="7"/>
      <c r="VSY15" s="7"/>
      <c r="VSZ15" s="7"/>
      <c r="VTA15" s="7"/>
      <c r="VTB15" s="7"/>
      <c r="VTC15" s="7"/>
      <c r="VTD15" s="7"/>
      <c r="VTE15" s="7"/>
      <c r="VTF15" s="7"/>
      <c r="VTG15" s="7"/>
      <c r="VTH15" s="7"/>
      <c r="VTI15" s="7"/>
      <c r="VTJ15" s="7"/>
      <c r="VTK15" s="7"/>
      <c r="VTL15" s="7"/>
      <c r="VTM15" s="7"/>
      <c r="VTN15" s="7"/>
      <c r="VTO15" s="7"/>
      <c r="VTP15" s="7"/>
      <c r="VTQ15" s="7"/>
      <c r="VTR15" s="7"/>
      <c r="VTS15" s="7"/>
      <c r="VTT15" s="7"/>
      <c r="VTU15" s="7"/>
      <c r="VTV15" s="7"/>
      <c r="VTW15" s="7"/>
      <c r="VTX15" s="7"/>
      <c r="VTY15" s="7"/>
      <c r="VTZ15" s="7"/>
      <c r="VUA15" s="7"/>
      <c r="VUB15" s="7"/>
      <c r="VUC15" s="7"/>
      <c r="VUD15" s="7"/>
      <c r="VUE15" s="7"/>
      <c r="VUF15" s="7"/>
      <c r="VUG15" s="7"/>
      <c r="VUH15" s="7"/>
      <c r="VUI15" s="7"/>
      <c r="VUJ15" s="7"/>
      <c r="VUK15" s="7"/>
      <c r="VUL15" s="7"/>
      <c r="VUM15" s="7"/>
      <c r="VUN15" s="7"/>
      <c r="VUO15" s="7"/>
      <c r="VUP15" s="7"/>
      <c r="VUQ15" s="7"/>
      <c r="VUR15" s="7"/>
      <c r="VUS15" s="7"/>
      <c r="VUT15" s="7"/>
      <c r="VUU15" s="7"/>
      <c r="VUV15" s="7"/>
      <c r="VUW15" s="7"/>
      <c r="VUX15" s="7"/>
      <c r="VUY15" s="7"/>
      <c r="VUZ15" s="7"/>
      <c r="VVA15" s="7"/>
      <c r="VVB15" s="7"/>
      <c r="VVC15" s="7"/>
      <c r="VVD15" s="7"/>
      <c r="VVE15" s="7"/>
      <c r="VVF15" s="7"/>
      <c r="VVG15" s="7"/>
      <c r="VVH15" s="7"/>
      <c r="VVI15" s="7"/>
      <c r="VVJ15" s="7"/>
      <c r="VVK15" s="7"/>
      <c r="VVL15" s="7"/>
      <c r="VVM15" s="7"/>
      <c r="VVN15" s="7"/>
      <c r="VVO15" s="7"/>
      <c r="VVP15" s="7"/>
      <c r="VVQ15" s="7"/>
      <c r="VVR15" s="7"/>
      <c r="VVS15" s="7"/>
      <c r="VVT15" s="7"/>
      <c r="VVU15" s="7"/>
      <c r="VVV15" s="7"/>
      <c r="VVW15" s="7"/>
      <c r="VVX15" s="7"/>
      <c r="VVY15" s="7"/>
      <c r="VVZ15" s="7"/>
      <c r="VWA15" s="7"/>
      <c r="VWB15" s="7"/>
      <c r="VWC15" s="7"/>
      <c r="VWD15" s="7"/>
      <c r="VWE15" s="7"/>
      <c r="VWF15" s="7"/>
      <c r="VWG15" s="7"/>
      <c r="VWH15" s="7"/>
      <c r="VWI15" s="7"/>
      <c r="VWJ15" s="7"/>
      <c r="VWK15" s="7"/>
      <c r="VWL15" s="7"/>
      <c r="VWM15" s="7"/>
      <c r="VWN15" s="7"/>
      <c r="VWO15" s="7"/>
      <c r="VWP15" s="7"/>
      <c r="VWQ15" s="7"/>
      <c r="VWR15" s="7"/>
      <c r="VWS15" s="7"/>
      <c r="VWT15" s="7"/>
      <c r="VWU15" s="7"/>
      <c r="VWV15" s="7"/>
      <c r="VWW15" s="7"/>
      <c r="VWX15" s="7"/>
      <c r="VWY15" s="7"/>
      <c r="VWZ15" s="7"/>
      <c r="VXA15" s="7"/>
      <c r="VXB15" s="7"/>
      <c r="VXC15" s="7"/>
      <c r="VXD15" s="7"/>
      <c r="VXE15" s="7"/>
      <c r="VXF15" s="7"/>
      <c r="VXG15" s="7"/>
      <c r="VXH15" s="7"/>
      <c r="VXI15" s="7"/>
      <c r="VXJ15" s="7"/>
      <c r="VXK15" s="7"/>
      <c r="VXL15" s="7"/>
      <c r="VXM15" s="7"/>
      <c r="VXN15" s="7"/>
      <c r="VXO15" s="7"/>
      <c r="VXP15" s="7"/>
      <c r="VXQ15" s="7"/>
      <c r="VXR15" s="7"/>
      <c r="VXS15" s="7"/>
      <c r="VXT15" s="7"/>
      <c r="VXU15" s="7"/>
      <c r="VXV15" s="7"/>
      <c r="VXW15" s="7"/>
      <c r="VXX15" s="7"/>
      <c r="VXY15" s="7"/>
      <c r="VXZ15" s="7"/>
      <c r="VYA15" s="7"/>
      <c r="VYB15" s="7"/>
      <c r="VYC15" s="7"/>
      <c r="VYD15" s="7"/>
      <c r="VYE15" s="7"/>
      <c r="VYF15" s="7"/>
      <c r="VYG15" s="7"/>
      <c r="VYH15" s="7"/>
      <c r="VYI15" s="7"/>
      <c r="VYJ15" s="7"/>
      <c r="VYK15" s="7"/>
      <c r="VYL15" s="7"/>
      <c r="VYM15" s="7"/>
      <c r="VYN15" s="7"/>
      <c r="VYO15" s="7"/>
      <c r="VYP15" s="7"/>
      <c r="VYQ15" s="7"/>
      <c r="VYR15" s="7"/>
      <c r="VYS15" s="7"/>
      <c r="VYT15" s="7"/>
      <c r="VYU15" s="7"/>
      <c r="VYV15" s="7"/>
      <c r="VYW15" s="7"/>
      <c r="VYX15" s="7"/>
      <c r="VYY15" s="7"/>
      <c r="VYZ15" s="7"/>
      <c r="VZA15" s="7"/>
      <c r="VZB15" s="7"/>
      <c r="VZC15" s="7"/>
      <c r="VZD15" s="7"/>
      <c r="VZE15" s="7"/>
      <c r="VZF15" s="7"/>
      <c r="VZG15" s="7"/>
      <c r="VZH15" s="7"/>
      <c r="VZI15" s="7"/>
      <c r="VZJ15" s="7"/>
      <c r="VZK15" s="7"/>
      <c r="VZL15" s="7"/>
      <c r="VZM15" s="7"/>
      <c r="VZN15" s="7"/>
      <c r="VZO15" s="7"/>
      <c r="VZP15" s="7"/>
      <c r="VZQ15" s="7"/>
      <c r="VZR15" s="7"/>
      <c r="VZS15" s="7"/>
      <c r="VZT15" s="7"/>
      <c r="VZU15" s="7"/>
      <c r="VZV15" s="7"/>
      <c r="VZW15" s="7"/>
      <c r="VZX15" s="7"/>
      <c r="VZY15" s="7"/>
      <c r="VZZ15" s="7"/>
      <c r="WAA15" s="7"/>
      <c r="WAB15" s="7"/>
      <c r="WAC15" s="7"/>
      <c r="WAD15" s="7"/>
      <c r="WAE15" s="7"/>
      <c r="WAF15" s="7"/>
      <c r="WAG15" s="7"/>
      <c r="WAH15" s="7"/>
      <c r="WAI15" s="7"/>
      <c r="WAJ15" s="7"/>
      <c r="WAK15" s="7"/>
      <c r="WAL15" s="7"/>
      <c r="WAM15" s="7"/>
      <c r="WAN15" s="7"/>
      <c r="WAO15" s="7"/>
      <c r="WAP15" s="7"/>
      <c r="WAQ15" s="7"/>
      <c r="WAR15" s="7"/>
      <c r="WAS15" s="7"/>
      <c r="WAT15" s="7"/>
      <c r="WAU15" s="7"/>
      <c r="WAV15" s="7"/>
      <c r="WAW15" s="7"/>
      <c r="WAX15" s="7"/>
      <c r="WAY15" s="7"/>
      <c r="WAZ15" s="7"/>
      <c r="WBA15" s="7"/>
      <c r="WBB15" s="7"/>
      <c r="WBC15" s="7"/>
      <c r="WBD15" s="7"/>
      <c r="WBE15" s="7"/>
      <c r="WBF15" s="7"/>
      <c r="WBG15" s="7"/>
      <c r="WBH15" s="7"/>
      <c r="WBI15" s="7"/>
      <c r="WBJ15" s="7"/>
      <c r="WBK15" s="7"/>
      <c r="WBL15" s="7"/>
      <c r="WBM15" s="7"/>
      <c r="WBN15" s="7"/>
      <c r="WBO15" s="7"/>
      <c r="WBP15" s="7"/>
      <c r="WBQ15" s="7"/>
      <c r="WBR15" s="7"/>
      <c r="WBS15" s="7"/>
      <c r="WBT15" s="7"/>
      <c r="WBU15" s="7"/>
      <c r="WBV15" s="7"/>
      <c r="WBW15" s="7"/>
      <c r="WBX15" s="7"/>
      <c r="WBY15" s="7"/>
      <c r="WBZ15" s="7"/>
      <c r="WCA15" s="7"/>
      <c r="WCB15" s="7"/>
      <c r="WCC15" s="7"/>
      <c r="WCD15" s="7"/>
      <c r="WCE15" s="7"/>
      <c r="WCF15" s="7"/>
      <c r="WCG15" s="7"/>
      <c r="WCH15" s="7"/>
      <c r="WCI15" s="7"/>
      <c r="WCJ15" s="7"/>
      <c r="WCK15" s="7"/>
      <c r="WCL15" s="7"/>
      <c r="WCM15" s="7"/>
      <c r="WCN15" s="7"/>
      <c r="WCO15" s="7"/>
      <c r="WCP15" s="7"/>
      <c r="WCQ15" s="7"/>
      <c r="WCR15" s="7"/>
      <c r="WCS15" s="7"/>
      <c r="WCT15" s="7"/>
      <c r="WCU15" s="7"/>
      <c r="WCV15" s="7"/>
      <c r="WCW15" s="7"/>
      <c r="WCX15" s="7"/>
      <c r="WCY15" s="7"/>
      <c r="WCZ15" s="7"/>
      <c r="WDA15" s="7"/>
      <c r="WDB15" s="7"/>
      <c r="WDC15" s="7"/>
      <c r="WDD15" s="7"/>
      <c r="WDE15" s="7"/>
      <c r="WDF15" s="7"/>
      <c r="WDG15" s="7"/>
      <c r="WDH15" s="7"/>
      <c r="WDI15" s="7"/>
      <c r="WDJ15" s="7"/>
      <c r="WDK15" s="7"/>
      <c r="WDL15" s="7"/>
      <c r="WDM15" s="7"/>
      <c r="WDN15" s="7"/>
      <c r="WDO15" s="7"/>
      <c r="WDP15" s="7"/>
      <c r="WDQ15" s="7"/>
      <c r="WDR15" s="7"/>
      <c r="WDS15" s="7"/>
      <c r="WDT15" s="7"/>
      <c r="WDU15" s="7"/>
      <c r="WDV15" s="7"/>
      <c r="WDW15" s="7"/>
      <c r="WDX15" s="7"/>
      <c r="WDY15" s="7"/>
      <c r="WDZ15" s="7"/>
      <c r="WEA15" s="7"/>
      <c r="WEB15" s="7"/>
      <c r="WEC15" s="7"/>
      <c r="WED15" s="7"/>
      <c r="WEE15" s="7"/>
      <c r="WEF15" s="7"/>
      <c r="WEG15" s="7"/>
      <c r="WEH15" s="7"/>
      <c r="WEI15" s="7"/>
      <c r="WEJ15" s="7"/>
      <c r="WEK15" s="7"/>
      <c r="WEL15" s="7"/>
      <c r="WEM15" s="7"/>
      <c r="WEN15" s="7"/>
      <c r="WEO15" s="7"/>
      <c r="WEP15" s="7"/>
      <c r="WEQ15" s="7"/>
      <c r="WER15" s="7"/>
      <c r="WES15" s="7"/>
      <c r="WET15" s="7"/>
      <c r="WEU15" s="7"/>
      <c r="WEV15" s="7"/>
      <c r="WEW15" s="7"/>
      <c r="WEX15" s="7"/>
      <c r="WEY15" s="7"/>
      <c r="WEZ15" s="7"/>
      <c r="WFA15" s="7"/>
      <c r="WFB15" s="7"/>
      <c r="WFC15" s="7"/>
      <c r="WFD15" s="7"/>
      <c r="WFE15" s="7"/>
      <c r="WFF15" s="7"/>
      <c r="WFG15" s="7"/>
      <c r="WFH15" s="7"/>
      <c r="WFI15" s="7"/>
      <c r="WFJ15" s="7"/>
      <c r="WFK15" s="7"/>
      <c r="WFL15" s="7"/>
      <c r="WFM15" s="7"/>
      <c r="WFN15" s="7"/>
      <c r="WFO15" s="7"/>
      <c r="WFP15" s="7"/>
      <c r="WFQ15" s="7"/>
      <c r="WFR15" s="7"/>
      <c r="WFS15" s="7"/>
      <c r="WFT15" s="7"/>
      <c r="WFU15" s="7"/>
      <c r="WFV15" s="7"/>
      <c r="WFW15" s="7"/>
      <c r="WFX15" s="7"/>
      <c r="WFY15" s="7"/>
      <c r="WFZ15" s="7"/>
      <c r="WGA15" s="7"/>
      <c r="WGB15" s="7"/>
      <c r="WGC15" s="7"/>
      <c r="WGD15" s="7"/>
      <c r="WGE15" s="7"/>
      <c r="WGF15" s="7"/>
      <c r="WGG15" s="7"/>
      <c r="WGH15" s="7"/>
      <c r="WGI15" s="7"/>
      <c r="WGJ15" s="7"/>
      <c r="WGK15" s="7"/>
      <c r="WGL15" s="7"/>
      <c r="WGM15" s="7"/>
      <c r="WGN15" s="7"/>
      <c r="WGO15" s="7"/>
      <c r="WGP15" s="7"/>
      <c r="WGQ15" s="7"/>
      <c r="WGR15" s="7"/>
      <c r="WGS15" s="7"/>
      <c r="WGT15" s="7"/>
      <c r="WGU15" s="7"/>
      <c r="WGV15" s="7"/>
      <c r="WGW15" s="7"/>
      <c r="WGX15" s="7"/>
      <c r="WGY15" s="7"/>
      <c r="WGZ15" s="7"/>
      <c r="WHA15" s="7"/>
      <c r="WHB15" s="7"/>
      <c r="WHC15" s="7"/>
      <c r="WHD15" s="7"/>
      <c r="WHE15" s="7"/>
      <c r="WHF15" s="7"/>
      <c r="WHG15" s="7"/>
      <c r="WHH15" s="7"/>
      <c r="WHI15" s="7"/>
      <c r="WHJ15" s="7"/>
      <c r="WHK15" s="7"/>
      <c r="WHL15" s="7"/>
      <c r="WHM15" s="7"/>
      <c r="WHN15" s="7"/>
      <c r="WHO15" s="7"/>
      <c r="WHP15" s="7"/>
      <c r="WHQ15" s="7"/>
      <c r="WHR15" s="7"/>
      <c r="WHS15" s="7"/>
      <c r="WHT15" s="7"/>
      <c r="WHU15" s="7"/>
      <c r="WHV15" s="7"/>
      <c r="WHW15" s="7"/>
      <c r="WHX15" s="7"/>
      <c r="WHY15" s="7"/>
      <c r="WHZ15" s="7"/>
      <c r="WIA15" s="7"/>
      <c r="WIB15" s="7"/>
      <c r="WIC15" s="7"/>
      <c r="WID15" s="7"/>
      <c r="WIE15" s="7"/>
      <c r="WIF15" s="7"/>
      <c r="WIG15" s="7"/>
      <c r="WIH15" s="7"/>
      <c r="WII15" s="7"/>
      <c r="WIJ15" s="7"/>
      <c r="WIK15" s="7"/>
      <c r="WIL15" s="7"/>
      <c r="WIM15" s="7"/>
      <c r="WIN15" s="7"/>
      <c r="WIO15" s="7"/>
      <c r="WIP15" s="7"/>
      <c r="WIQ15" s="7"/>
      <c r="WIR15" s="7"/>
      <c r="WIS15" s="7"/>
      <c r="WIT15" s="7"/>
      <c r="WIU15" s="7"/>
      <c r="WIV15" s="7"/>
      <c r="WIW15" s="7"/>
      <c r="WIX15" s="7"/>
      <c r="WIY15" s="7"/>
      <c r="WIZ15" s="7"/>
      <c r="WJA15" s="7"/>
      <c r="WJB15" s="7"/>
      <c r="WJC15" s="7"/>
      <c r="WJD15" s="7"/>
      <c r="WJE15" s="7"/>
      <c r="WJF15" s="7"/>
      <c r="WJG15" s="7"/>
      <c r="WJH15" s="7"/>
      <c r="WJI15" s="7"/>
      <c r="WJJ15" s="7"/>
      <c r="WJK15" s="7"/>
      <c r="WJL15" s="7"/>
      <c r="WJM15" s="7"/>
      <c r="WJN15" s="7"/>
      <c r="WJO15" s="7"/>
      <c r="WJP15" s="7"/>
      <c r="WJQ15" s="7"/>
      <c r="WJR15" s="7"/>
      <c r="WJS15" s="7"/>
      <c r="WJT15" s="7"/>
      <c r="WJU15" s="7"/>
      <c r="WJV15" s="7"/>
      <c r="WJW15" s="7"/>
      <c r="WJX15" s="7"/>
      <c r="WJY15" s="7"/>
      <c r="WJZ15" s="7"/>
      <c r="WKA15" s="7"/>
      <c r="WKB15" s="7"/>
      <c r="WKC15" s="7"/>
      <c r="WKD15" s="7"/>
      <c r="WKE15" s="7"/>
      <c r="WKF15" s="7"/>
      <c r="WKG15" s="7"/>
      <c r="WKH15" s="7"/>
      <c r="WKI15" s="7"/>
      <c r="WKJ15" s="7"/>
      <c r="WKK15" s="7"/>
      <c r="WKL15" s="7"/>
      <c r="WKM15" s="7"/>
      <c r="WKN15" s="7"/>
      <c r="WKO15" s="7"/>
      <c r="WKP15" s="7"/>
      <c r="WKQ15" s="7"/>
      <c r="WKR15" s="7"/>
      <c r="WKS15" s="7"/>
      <c r="WKT15" s="7"/>
      <c r="WKU15" s="7"/>
      <c r="WKV15" s="7"/>
      <c r="WKW15" s="7"/>
      <c r="WKX15" s="7"/>
      <c r="WKY15" s="7"/>
      <c r="WKZ15" s="7"/>
      <c r="WLA15" s="7"/>
      <c r="WLB15" s="7"/>
      <c r="WLC15" s="7"/>
      <c r="WLD15" s="7"/>
      <c r="WLE15" s="7"/>
      <c r="WLF15" s="7"/>
      <c r="WLG15" s="7"/>
      <c r="WLH15" s="7"/>
      <c r="WLI15" s="7"/>
      <c r="WLJ15" s="7"/>
      <c r="WLK15" s="7"/>
      <c r="WLL15" s="7"/>
      <c r="WLM15" s="7"/>
      <c r="WLN15" s="7"/>
      <c r="WLO15" s="7"/>
      <c r="WLP15" s="7"/>
      <c r="WLQ15" s="7"/>
      <c r="WLR15" s="7"/>
      <c r="WLS15" s="7"/>
      <c r="WLT15" s="7"/>
      <c r="WLU15" s="7"/>
      <c r="WLV15" s="7"/>
      <c r="WLW15" s="7"/>
      <c r="WLX15" s="7"/>
      <c r="WLY15" s="7"/>
      <c r="WLZ15" s="7"/>
      <c r="WMA15" s="7"/>
      <c r="WMB15" s="7"/>
      <c r="WMC15" s="7"/>
      <c r="WMD15" s="7"/>
      <c r="WME15" s="7"/>
      <c r="WMF15" s="7"/>
      <c r="WMG15" s="7"/>
      <c r="WMH15" s="7"/>
      <c r="WMI15" s="7"/>
      <c r="WMJ15" s="7"/>
      <c r="WMK15" s="7"/>
      <c r="WML15" s="7"/>
      <c r="WMM15" s="7"/>
      <c r="WMN15" s="7"/>
      <c r="WMO15" s="7"/>
      <c r="WMP15" s="7"/>
      <c r="WMQ15" s="7"/>
      <c r="WMR15" s="7"/>
      <c r="WMS15" s="7"/>
      <c r="WMT15" s="7"/>
      <c r="WMU15" s="7"/>
      <c r="WMV15" s="7"/>
      <c r="WMW15" s="7"/>
      <c r="WMX15" s="7"/>
      <c r="WMY15" s="7"/>
      <c r="WMZ15" s="7"/>
      <c r="WNA15" s="7"/>
      <c r="WNB15" s="7"/>
      <c r="WNC15" s="7"/>
      <c r="WND15" s="7"/>
      <c r="WNE15" s="7"/>
      <c r="WNF15" s="7"/>
      <c r="WNG15" s="7"/>
      <c r="WNH15" s="7"/>
      <c r="WNI15" s="7"/>
      <c r="WNJ15" s="7"/>
      <c r="WNK15" s="7"/>
      <c r="WNL15" s="7"/>
      <c r="WNM15" s="7"/>
      <c r="WNN15" s="7"/>
      <c r="WNO15" s="7"/>
      <c r="WNP15" s="7"/>
      <c r="WNQ15" s="7"/>
      <c r="WNR15" s="7"/>
      <c r="WNS15" s="7"/>
      <c r="WNT15" s="7"/>
      <c r="WNU15" s="7"/>
      <c r="WNV15" s="7"/>
      <c r="WNW15" s="7"/>
      <c r="WNX15" s="7"/>
      <c r="WNY15" s="7"/>
      <c r="WNZ15" s="7"/>
      <c r="WOA15" s="7"/>
      <c r="WOB15" s="7"/>
      <c r="WOC15" s="7"/>
      <c r="WOD15" s="7"/>
      <c r="WOE15" s="7"/>
      <c r="WOF15" s="7"/>
      <c r="WOG15" s="7"/>
      <c r="WOH15" s="7"/>
      <c r="WOI15" s="7"/>
      <c r="WOJ15" s="7"/>
      <c r="WOK15" s="7"/>
      <c r="WOL15" s="7"/>
      <c r="WOM15" s="7"/>
      <c r="WON15" s="7"/>
      <c r="WOO15" s="7"/>
      <c r="WOP15" s="7"/>
      <c r="WOQ15" s="7"/>
      <c r="WOR15" s="7"/>
      <c r="WOS15" s="7"/>
      <c r="WOT15" s="7"/>
      <c r="WOU15" s="7"/>
      <c r="WOV15" s="7"/>
      <c r="WOW15" s="7"/>
      <c r="WOX15" s="7"/>
      <c r="WOY15" s="7"/>
      <c r="WOZ15" s="7"/>
      <c r="WPA15" s="7"/>
      <c r="WPB15" s="7"/>
      <c r="WPC15" s="7"/>
      <c r="WPD15" s="7"/>
      <c r="WPE15" s="7"/>
      <c r="WPF15" s="7"/>
      <c r="WPG15" s="7"/>
      <c r="WPH15" s="7"/>
      <c r="WPI15" s="7"/>
      <c r="WPJ15" s="7"/>
      <c r="WPK15" s="7"/>
      <c r="WPL15" s="7"/>
      <c r="WPM15" s="7"/>
      <c r="WPN15" s="7"/>
      <c r="WPO15" s="7"/>
      <c r="WPP15" s="7"/>
      <c r="WPQ15" s="7"/>
      <c r="WPR15" s="7"/>
      <c r="WPS15" s="7"/>
      <c r="WPT15" s="7"/>
      <c r="WPU15" s="7"/>
      <c r="WPV15" s="7"/>
      <c r="WPW15" s="7"/>
      <c r="WPX15" s="7"/>
      <c r="WPY15" s="7"/>
      <c r="WPZ15" s="7"/>
      <c r="WQA15" s="7"/>
      <c r="WQB15" s="7"/>
      <c r="WQC15" s="7"/>
      <c r="WQD15" s="7"/>
      <c r="WQE15" s="7"/>
      <c r="WQF15" s="7"/>
      <c r="WQG15" s="7"/>
      <c r="WQH15" s="7"/>
      <c r="WQI15" s="7"/>
      <c r="WQJ15" s="7"/>
      <c r="WQK15" s="7"/>
      <c r="WQL15" s="7"/>
      <c r="WQM15" s="7"/>
      <c r="WQN15" s="7"/>
      <c r="WQO15" s="7"/>
      <c r="WQP15" s="7"/>
      <c r="WQQ15" s="7"/>
      <c r="WQR15" s="7"/>
      <c r="WQS15" s="7"/>
      <c r="WQT15" s="7"/>
      <c r="WQU15" s="7"/>
      <c r="WQV15" s="7"/>
      <c r="WQW15" s="7"/>
      <c r="WQX15" s="7"/>
      <c r="WQY15" s="7"/>
      <c r="WQZ15" s="7"/>
      <c r="WRA15" s="7"/>
      <c r="WRB15" s="7"/>
      <c r="WRC15" s="7"/>
      <c r="WRD15" s="7"/>
      <c r="WRE15" s="7"/>
      <c r="WRF15" s="7"/>
      <c r="WRG15" s="7"/>
      <c r="WRH15" s="7"/>
      <c r="WRI15" s="7"/>
      <c r="WRJ15" s="7"/>
      <c r="WRK15" s="7"/>
      <c r="WRL15" s="7"/>
      <c r="WRM15" s="7"/>
      <c r="WRN15" s="7"/>
      <c r="WRO15" s="7"/>
      <c r="WRP15" s="7"/>
      <c r="WRQ15" s="7"/>
      <c r="WRR15" s="7"/>
      <c r="WRS15" s="7"/>
      <c r="WRT15" s="7"/>
      <c r="WRU15" s="7"/>
      <c r="WRV15" s="7"/>
      <c r="WRW15" s="7"/>
      <c r="WRX15" s="7"/>
      <c r="WRY15" s="7"/>
      <c r="WRZ15" s="7"/>
      <c r="WSA15" s="7"/>
      <c r="WSB15" s="7"/>
      <c r="WSC15" s="7"/>
      <c r="WSD15" s="7"/>
      <c r="WSE15" s="7"/>
      <c r="WSF15" s="7"/>
      <c r="WSG15" s="7"/>
      <c r="WSH15" s="7"/>
      <c r="WSI15" s="7"/>
      <c r="WSJ15" s="7"/>
      <c r="WSK15" s="7"/>
      <c r="WSL15" s="7"/>
      <c r="WSM15" s="7"/>
      <c r="WSN15" s="7"/>
      <c r="WSO15" s="7"/>
      <c r="WSP15" s="7"/>
      <c r="WSQ15" s="7"/>
      <c r="WSR15" s="7"/>
      <c r="WSS15" s="7"/>
      <c r="WST15" s="7"/>
      <c r="WSU15" s="7"/>
      <c r="WSV15" s="7"/>
      <c r="WSW15" s="7"/>
      <c r="WSX15" s="7"/>
      <c r="WSY15" s="7"/>
      <c r="WSZ15" s="7"/>
      <c r="WTA15" s="7"/>
      <c r="WTB15" s="7"/>
      <c r="WTC15" s="7"/>
      <c r="WTD15" s="7"/>
      <c r="WTE15" s="7"/>
      <c r="WTF15" s="7"/>
      <c r="WTG15" s="7"/>
      <c r="WTH15" s="7"/>
      <c r="WTI15" s="7"/>
      <c r="WTJ15" s="7"/>
      <c r="WTK15" s="7"/>
      <c r="WTL15" s="7"/>
      <c r="WTM15" s="7"/>
      <c r="WTN15" s="7"/>
      <c r="WTO15" s="7"/>
      <c r="WTP15" s="7"/>
      <c r="WTQ15" s="7"/>
      <c r="WTR15" s="7"/>
      <c r="WTS15" s="7"/>
      <c r="WTT15" s="7"/>
      <c r="WTU15" s="7"/>
      <c r="WTV15" s="7"/>
      <c r="WTW15" s="7"/>
      <c r="WTX15" s="7"/>
      <c r="WTY15" s="7"/>
      <c r="WTZ15" s="7"/>
      <c r="WUA15" s="7"/>
      <c r="WUB15" s="7"/>
      <c r="WUC15" s="7"/>
      <c r="WUD15" s="7"/>
      <c r="WUE15" s="7"/>
      <c r="WUF15" s="7"/>
      <c r="WUG15" s="7"/>
      <c r="WUH15" s="7"/>
      <c r="WUI15" s="7"/>
      <c r="WUJ15" s="7"/>
      <c r="WUK15" s="7"/>
      <c r="WUL15" s="7"/>
      <c r="WUM15" s="7"/>
      <c r="WUN15" s="7"/>
      <c r="WUO15" s="7"/>
      <c r="WUP15" s="7"/>
      <c r="WUQ15" s="7"/>
      <c r="WUR15" s="7"/>
      <c r="WUS15" s="7"/>
      <c r="WUT15" s="7"/>
      <c r="WUU15" s="7"/>
      <c r="WUV15" s="7"/>
      <c r="WUW15" s="7"/>
      <c r="WUX15" s="7"/>
      <c r="WUY15" s="7"/>
      <c r="WUZ15" s="7"/>
      <c r="WVA15" s="7"/>
      <c r="WVB15" s="7"/>
      <c r="WVC15" s="7"/>
      <c r="WVD15" s="7"/>
      <c r="WVE15" s="7"/>
      <c r="WVF15" s="7"/>
      <c r="WVG15" s="7"/>
      <c r="WVH15" s="7"/>
      <c r="WVI15" s="7"/>
      <c r="WVJ15" s="7"/>
      <c r="WVK15" s="7"/>
      <c r="WVL15" s="7"/>
      <c r="WVM15" s="7"/>
      <c r="WVN15" s="7"/>
      <c r="WVO15" s="7"/>
      <c r="WVP15" s="7"/>
      <c r="WVQ15" s="7"/>
      <c r="WVR15" s="7"/>
      <c r="WVS15" s="7"/>
      <c r="WVT15" s="7"/>
      <c r="WVU15" s="7"/>
      <c r="WVV15" s="7"/>
      <c r="WVW15" s="7"/>
      <c r="WVX15" s="7"/>
      <c r="WVY15" s="7"/>
      <c r="WVZ15" s="7"/>
      <c r="WWA15" s="7"/>
      <c r="WWB15" s="7"/>
      <c r="WWC15" s="7"/>
      <c r="WWD15" s="7"/>
      <c r="WWE15" s="7"/>
      <c r="WWF15" s="7"/>
      <c r="WWG15" s="7"/>
      <c r="WWH15" s="7"/>
      <c r="WWI15" s="7"/>
      <c r="WWJ15" s="7"/>
      <c r="WWK15" s="7"/>
      <c r="WWL15" s="7"/>
      <c r="WWM15" s="7"/>
      <c r="WWN15" s="7"/>
      <c r="WWO15" s="7"/>
      <c r="WWP15" s="7"/>
      <c r="WWQ15" s="7"/>
      <c r="WWR15" s="7"/>
      <c r="WWS15" s="7"/>
      <c r="WWT15" s="7"/>
      <c r="WWU15" s="7"/>
      <c r="WWV15" s="7"/>
      <c r="WWW15" s="7"/>
      <c r="WWX15" s="7"/>
      <c r="WWY15" s="7"/>
      <c r="WWZ15" s="7"/>
      <c r="WXA15" s="7"/>
      <c r="WXB15" s="7"/>
      <c r="WXC15" s="7"/>
      <c r="WXD15" s="7"/>
      <c r="WXE15" s="7"/>
      <c r="WXF15" s="7"/>
      <c r="WXG15" s="7"/>
      <c r="WXH15" s="7"/>
      <c r="WXI15" s="7"/>
      <c r="WXJ15" s="7"/>
      <c r="WXK15" s="7"/>
      <c r="WXL15" s="7"/>
      <c r="WXM15" s="7"/>
      <c r="WXN15" s="7"/>
      <c r="WXO15" s="7"/>
      <c r="WXP15" s="7"/>
      <c r="WXQ15" s="7"/>
      <c r="WXR15" s="7"/>
      <c r="WXS15" s="7"/>
      <c r="WXT15" s="7"/>
      <c r="WXU15" s="7"/>
      <c r="WXV15" s="7"/>
      <c r="WXW15" s="7"/>
      <c r="WXX15" s="7"/>
      <c r="WXY15" s="7"/>
      <c r="WXZ15" s="7"/>
      <c r="WYA15" s="7"/>
      <c r="WYB15" s="7"/>
      <c r="WYC15" s="7"/>
      <c r="WYD15" s="7"/>
      <c r="WYE15" s="7"/>
      <c r="WYF15" s="7"/>
      <c r="WYG15" s="7"/>
      <c r="WYH15" s="7"/>
      <c r="WYI15" s="7"/>
      <c r="WYJ15" s="7"/>
      <c r="WYK15" s="7"/>
      <c r="WYL15" s="7"/>
      <c r="WYM15" s="7"/>
      <c r="WYN15" s="7"/>
      <c r="WYO15" s="7"/>
      <c r="WYP15" s="7"/>
      <c r="WYQ15" s="7"/>
      <c r="WYR15" s="7"/>
      <c r="WYS15" s="7"/>
      <c r="WYT15" s="7"/>
      <c r="WYU15" s="7"/>
      <c r="WYV15" s="7"/>
      <c r="WYW15" s="7"/>
      <c r="WYX15" s="7"/>
      <c r="WYY15" s="7"/>
      <c r="WYZ15" s="7"/>
      <c r="WZA15" s="7"/>
      <c r="WZB15" s="7"/>
      <c r="WZC15" s="7"/>
      <c r="WZD15" s="7"/>
      <c r="WZE15" s="7"/>
      <c r="WZF15" s="7"/>
      <c r="WZG15" s="7"/>
      <c r="WZH15" s="7"/>
      <c r="WZI15" s="7"/>
      <c r="WZJ15" s="7"/>
      <c r="WZK15" s="7"/>
      <c r="WZL15" s="7"/>
      <c r="WZM15" s="7"/>
      <c r="WZN15" s="7"/>
      <c r="WZO15" s="7"/>
      <c r="WZP15" s="7"/>
      <c r="WZQ15" s="7"/>
      <c r="WZR15" s="7"/>
      <c r="WZS15" s="7"/>
      <c r="WZT15" s="7"/>
      <c r="WZU15" s="7"/>
      <c r="WZV15" s="7"/>
      <c r="WZW15" s="7"/>
      <c r="WZX15" s="7"/>
      <c r="WZY15" s="7"/>
      <c r="WZZ15" s="7"/>
      <c r="XAA15" s="7"/>
      <c r="XAB15" s="7"/>
      <c r="XAC15" s="7"/>
      <c r="XAD15" s="7"/>
      <c r="XAE15" s="7"/>
      <c r="XAF15" s="7"/>
      <c r="XAG15" s="7"/>
      <c r="XAH15" s="7"/>
      <c r="XAI15" s="7"/>
      <c r="XAJ15" s="7"/>
      <c r="XAK15" s="7"/>
      <c r="XAL15" s="7"/>
      <c r="XAM15" s="7"/>
      <c r="XAN15" s="7"/>
      <c r="XAO15" s="7"/>
      <c r="XAP15" s="7"/>
      <c r="XAQ15" s="7"/>
      <c r="XAR15" s="7"/>
      <c r="XAS15" s="7"/>
      <c r="XAT15" s="7"/>
      <c r="XAU15" s="7"/>
      <c r="XAV15" s="7"/>
      <c r="XAW15" s="7"/>
      <c r="XAX15" s="7"/>
      <c r="XAY15" s="7"/>
      <c r="XAZ15" s="7"/>
      <c r="XBA15" s="7"/>
      <c r="XBB15" s="7"/>
      <c r="XBC15" s="7"/>
      <c r="XBD15" s="7"/>
      <c r="XBE15" s="7"/>
      <c r="XBF15" s="7"/>
      <c r="XBG15" s="7"/>
      <c r="XBH15" s="7"/>
      <c r="XBI15" s="7"/>
      <c r="XBJ15" s="7"/>
      <c r="XBK15" s="7"/>
      <c r="XBL15" s="7"/>
      <c r="XBM15" s="7"/>
      <c r="XBN15" s="7"/>
      <c r="XBO15" s="7"/>
      <c r="XBP15" s="7"/>
      <c r="XBQ15" s="7"/>
      <c r="XBR15" s="7"/>
      <c r="XBS15" s="7"/>
      <c r="XBT15" s="7"/>
      <c r="XBU15" s="7"/>
      <c r="XBV15" s="7"/>
      <c r="XBW15" s="7"/>
      <c r="XBX15" s="7"/>
      <c r="XBY15" s="7"/>
      <c r="XBZ15" s="7"/>
      <c r="XCA15" s="7"/>
      <c r="XCB15" s="7"/>
      <c r="XCC15" s="7"/>
      <c r="XCD15" s="7"/>
      <c r="XCE15" s="7"/>
      <c r="XCF15" s="7"/>
      <c r="XCG15" s="7"/>
      <c r="XCH15" s="7"/>
      <c r="XCI15" s="7"/>
      <c r="XCJ15" s="7"/>
      <c r="XCK15" s="7"/>
      <c r="XCL15" s="7"/>
      <c r="XCM15" s="7"/>
      <c r="XCN15" s="7"/>
      <c r="XCO15" s="7"/>
      <c r="XCP15" s="7"/>
      <c r="XCQ15" s="7"/>
      <c r="XCR15" s="7"/>
      <c r="XCS15" s="7"/>
      <c r="XCT15" s="7"/>
      <c r="XCU15" s="7"/>
      <c r="XCV15" s="7"/>
      <c r="XCW15" s="7"/>
      <c r="XCX15" s="7"/>
      <c r="XCY15" s="7"/>
      <c r="XCZ15" s="7"/>
      <c r="XDA15" s="7"/>
      <c r="XDB15" s="7"/>
      <c r="XDC15" s="7"/>
      <c r="XDD15" s="7"/>
      <c r="XDE15" s="7"/>
      <c r="XDF15" s="7"/>
      <c r="XDG15" s="7"/>
      <c r="XDH15" s="7"/>
      <c r="XDI15" s="7"/>
      <c r="XDJ15" s="7"/>
      <c r="XDK15" s="7"/>
      <c r="XDL15" s="7"/>
      <c r="XDM15" s="7"/>
      <c r="XDN15" s="7"/>
      <c r="XDO15" s="7"/>
      <c r="XDP15" s="7"/>
      <c r="XDQ15" s="7"/>
      <c r="XDR15" s="7"/>
      <c r="XDS15" s="7"/>
      <c r="XDT15" s="7"/>
      <c r="XDU15" s="7"/>
      <c r="XDV15" s="7"/>
      <c r="XDW15" s="7"/>
      <c r="XDX15" s="7"/>
      <c r="XDY15" s="7"/>
      <c r="XDZ15" s="7"/>
      <c r="XEA15" s="7"/>
      <c r="XEB15" s="7"/>
      <c r="XEC15" s="7"/>
      <c r="XED15" s="7"/>
      <c r="XEE15" s="7"/>
      <c r="XEF15" s="7"/>
      <c r="XEG15" s="7"/>
      <c r="XEH15" s="7"/>
      <c r="XEI15" s="7"/>
      <c r="XEJ15" s="7"/>
      <c r="XEK15" s="7"/>
      <c r="XEL15" s="7"/>
      <c r="XEM15" s="7"/>
      <c r="XEN15" s="7"/>
      <c r="XEO15" s="7"/>
      <c r="XEP15" s="7"/>
      <c r="XEQ15" s="7"/>
      <c r="XER15" s="7"/>
      <c r="XES15" s="7"/>
      <c r="XET15" s="7"/>
      <c r="XEU15" s="7"/>
      <c r="XEV15" s="7"/>
      <c r="XEW15" s="7"/>
      <c r="XEX15" s="7"/>
      <c r="XEY15" s="7"/>
      <c r="XEZ15" s="7"/>
      <c r="XFA15" s="7"/>
      <c r="XFB15" s="7"/>
      <c r="XFC15" s="7"/>
      <c r="XFD15" s="7"/>
    </row>
    <row r="16" spans="1:16384" s="25" customFormat="1" ht="15" x14ac:dyDescent="0.35">
      <c r="A16" s="7"/>
      <c r="B16" s="7"/>
      <c r="C16" s="7"/>
      <c r="D16" s="11" t="str">
        <f>Input_Inflation!$B$1</f>
        <v>CPI Assumptions and Associated Indexes</v>
      </c>
      <c r="E16" s="7"/>
      <c r="F16" s="7"/>
      <c r="G16" s="7"/>
      <c r="H16" s="49">
        <f>Input_Inflation!$A$1</f>
        <v>0</v>
      </c>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c r="QC16" s="7"/>
      <c r="QD16" s="7"/>
      <c r="QE16" s="7"/>
      <c r="QF16" s="7"/>
      <c r="QG16" s="7"/>
      <c r="QH16" s="7"/>
      <c r="QI16" s="7"/>
      <c r="QJ16" s="7"/>
      <c r="QK16" s="7"/>
      <c r="QL16" s="7"/>
      <c r="QM16" s="7"/>
      <c r="QN16" s="7"/>
      <c r="QO16" s="7"/>
      <c r="QP16" s="7"/>
      <c r="QQ16" s="7"/>
      <c r="QR16" s="7"/>
      <c r="QS16" s="7"/>
      <c r="QT16" s="7"/>
      <c r="QU16" s="7"/>
      <c r="QV16" s="7"/>
      <c r="QW16" s="7"/>
      <c r="QX16" s="7"/>
      <c r="QY16" s="7"/>
      <c r="QZ16" s="7"/>
      <c r="RA16" s="7"/>
      <c r="RB16" s="7"/>
      <c r="RC16" s="7"/>
      <c r="RD16" s="7"/>
      <c r="RE16" s="7"/>
      <c r="RF16" s="7"/>
      <c r="RG16" s="7"/>
      <c r="RH16" s="7"/>
      <c r="RI16" s="7"/>
      <c r="RJ16" s="7"/>
      <c r="RK16" s="7"/>
      <c r="RL16" s="7"/>
      <c r="RM16" s="7"/>
      <c r="RN16" s="7"/>
      <c r="RO16" s="7"/>
      <c r="RP16" s="7"/>
      <c r="RQ16" s="7"/>
      <c r="RR16" s="7"/>
      <c r="RS16" s="7"/>
      <c r="RT16" s="7"/>
      <c r="RU16" s="7"/>
      <c r="RV16" s="7"/>
      <c r="RW16" s="7"/>
      <c r="RX16" s="7"/>
      <c r="RY16" s="7"/>
      <c r="RZ16" s="7"/>
      <c r="SA16" s="7"/>
      <c r="SB16" s="7"/>
      <c r="SC16" s="7"/>
      <c r="SD16" s="7"/>
      <c r="SE16" s="7"/>
      <c r="SF16" s="7"/>
      <c r="SG16" s="7"/>
      <c r="SH16" s="7"/>
      <c r="SI16" s="7"/>
      <c r="SJ16" s="7"/>
      <c r="SK16" s="7"/>
      <c r="SL16" s="7"/>
      <c r="SM16" s="7"/>
      <c r="SN16" s="7"/>
      <c r="SO16" s="7"/>
      <c r="SP16" s="7"/>
      <c r="SQ16" s="7"/>
      <c r="SR16" s="7"/>
      <c r="SS16" s="7"/>
      <c r="ST16" s="7"/>
      <c r="SU16" s="7"/>
      <c r="SV16" s="7"/>
      <c r="SW16" s="7"/>
      <c r="SX16" s="7"/>
      <c r="SY16" s="7"/>
      <c r="SZ16" s="7"/>
      <c r="TA16" s="7"/>
      <c r="TB16" s="7"/>
      <c r="TC16" s="7"/>
      <c r="TD16" s="7"/>
      <c r="TE16" s="7"/>
      <c r="TF16" s="7"/>
      <c r="TG16" s="7"/>
      <c r="TH16" s="7"/>
      <c r="TI16" s="7"/>
      <c r="TJ16" s="7"/>
      <c r="TK16" s="7"/>
      <c r="TL16" s="7"/>
      <c r="TM16" s="7"/>
      <c r="TN16" s="7"/>
      <c r="TO16" s="7"/>
      <c r="TP16" s="7"/>
      <c r="TQ16" s="7"/>
      <c r="TR16" s="7"/>
      <c r="TS16" s="7"/>
      <c r="TT16" s="7"/>
      <c r="TU16" s="7"/>
      <c r="TV16" s="7"/>
      <c r="TW16" s="7"/>
      <c r="TX16" s="7"/>
      <c r="TY16" s="7"/>
      <c r="TZ16" s="7"/>
      <c r="UA16" s="7"/>
      <c r="UB16" s="7"/>
      <c r="UC16" s="7"/>
      <c r="UD16" s="7"/>
      <c r="UE16" s="7"/>
      <c r="UF16" s="7"/>
      <c r="UG16" s="7"/>
      <c r="UH16" s="7"/>
      <c r="UI16" s="7"/>
      <c r="UJ16" s="7"/>
      <c r="UK16" s="7"/>
      <c r="UL16" s="7"/>
      <c r="UM16" s="7"/>
      <c r="UN16" s="7"/>
      <c r="UO16" s="7"/>
      <c r="UP16" s="7"/>
      <c r="UQ16" s="7"/>
      <c r="UR16" s="7"/>
      <c r="US16" s="7"/>
      <c r="UT16" s="7"/>
      <c r="UU16" s="7"/>
      <c r="UV16" s="7"/>
      <c r="UW16" s="7"/>
      <c r="UX16" s="7"/>
      <c r="UY16" s="7"/>
      <c r="UZ16" s="7"/>
      <c r="VA16" s="7"/>
      <c r="VB16" s="7"/>
      <c r="VC16" s="7"/>
      <c r="VD16" s="7"/>
      <c r="VE16" s="7"/>
      <c r="VF16" s="7"/>
      <c r="VG16" s="7"/>
      <c r="VH16" s="7"/>
      <c r="VI16" s="7"/>
      <c r="VJ16" s="7"/>
      <c r="VK16" s="7"/>
      <c r="VL16" s="7"/>
      <c r="VM16" s="7"/>
      <c r="VN16" s="7"/>
      <c r="VO16" s="7"/>
      <c r="VP16" s="7"/>
      <c r="VQ16" s="7"/>
      <c r="VR16" s="7"/>
      <c r="VS16" s="7"/>
      <c r="VT16" s="7"/>
      <c r="VU16" s="7"/>
      <c r="VV16" s="7"/>
      <c r="VW16" s="7"/>
      <c r="VX16" s="7"/>
      <c r="VY16" s="7"/>
      <c r="VZ16" s="7"/>
      <c r="WA16" s="7"/>
      <c r="WB16" s="7"/>
      <c r="WC16" s="7"/>
      <c r="WD16" s="7"/>
      <c r="WE16" s="7"/>
      <c r="WF16" s="7"/>
      <c r="WG16" s="7"/>
      <c r="WH16" s="7"/>
      <c r="WI16" s="7"/>
      <c r="WJ16" s="7"/>
      <c r="WK16" s="7"/>
      <c r="WL16" s="7"/>
      <c r="WM16" s="7"/>
      <c r="WN16" s="7"/>
      <c r="WO16" s="7"/>
      <c r="WP16" s="7"/>
      <c r="WQ16" s="7"/>
      <c r="WR16" s="7"/>
      <c r="WS16" s="7"/>
      <c r="WT16" s="7"/>
      <c r="WU16" s="7"/>
      <c r="WV16" s="7"/>
      <c r="WW16" s="7"/>
      <c r="WX16" s="7"/>
      <c r="WY16" s="7"/>
      <c r="WZ16" s="7"/>
      <c r="XA16" s="7"/>
      <c r="XB16" s="7"/>
      <c r="XC16" s="7"/>
      <c r="XD16" s="7"/>
      <c r="XE16" s="7"/>
      <c r="XF16" s="7"/>
      <c r="XG16" s="7"/>
      <c r="XH16" s="7"/>
      <c r="XI16" s="7"/>
      <c r="XJ16" s="7"/>
      <c r="XK16" s="7"/>
      <c r="XL16" s="7"/>
      <c r="XM16" s="7"/>
      <c r="XN16" s="7"/>
      <c r="XO16" s="7"/>
      <c r="XP16" s="7"/>
      <c r="XQ16" s="7"/>
      <c r="XR16" s="7"/>
      <c r="XS16" s="7"/>
      <c r="XT16" s="7"/>
      <c r="XU16" s="7"/>
      <c r="XV16" s="7"/>
      <c r="XW16" s="7"/>
      <c r="XX16" s="7"/>
      <c r="XY16" s="7"/>
      <c r="XZ16" s="7"/>
      <c r="YA16" s="7"/>
      <c r="YB16" s="7"/>
      <c r="YC16" s="7"/>
      <c r="YD16" s="7"/>
      <c r="YE16" s="7"/>
      <c r="YF16" s="7"/>
      <c r="YG16" s="7"/>
      <c r="YH16" s="7"/>
      <c r="YI16" s="7"/>
      <c r="YJ16" s="7"/>
      <c r="YK16" s="7"/>
      <c r="YL16" s="7"/>
      <c r="YM16" s="7"/>
      <c r="YN16" s="7"/>
      <c r="YO16" s="7"/>
      <c r="YP16" s="7"/>
      <c r="YQ16" s="7"/>
      <c r="YR16" s="7"/>
      <c r="YS16" s="7"/>
      <c r="YT16" s="7"/>
      <c r="YU16" s="7"/>
      <c r="YV16" s="7"/>
      <c r="YW16" s="7"/>
      <c r="YX16" s="7"/>
      <c r="YY16" s="7"/>
      <c r="YZ16" s="7"/>
      <c r="ZA16" s="7"/>
      <c r="ZB16" s="7"/>
      <c r="ZC16" s="7"/>
      <c r="ZD16" s="7"/>
      <c r="ZE16" s="7"/>
      <c r="ZF16" s="7"/>
      <c r="ZG16" s="7"/>
      <c r="ZH16" s="7"/>
      <c r="ZI16" s="7"/>
      <c r="ZJ16" s="7"/>
      <c r="ZK16" s="7"/>
      <c r="ZL16" s="7"/>
      <c r="ZM16" s="7"/>
      <c r="ZN16" s="7"/>
      <c r="ZO16" s="7"/>
      <c r="ZP16" s="7"/>
      <c r="ZQ16" s="7"/>
      <c r="ZR16" s="7"/>
      <c r="ZS16" s="7"/>
      <c r="ZT16" s="7"/>
      <c r="ZU16" s="7"/>
      <c r="ZV16" s="7"/>
      <c r="ZW16" s="7"/>
      <c r="ZX16" s="7"/>
      <c r="ZY16" s="7"/>
      <c r="ZZ16" s="7"/>
      <c r="AAA16" s="7"/>
      <c r="AAB16" s="7"/>
      <c r="AAC16" s="7"/>
      <c r="AAD16" s="7"/>
      <c r="AAE16" s="7"/>
      <c r="AAF16" s="7"/>
      <c r="AAG16" s="7"/>
      <c r="AAH16" s="7"/>
      <c r="AAI16" s="7"/>
      <c r="AAJ16" s="7"/>
      <c r="AAK16" s="7"/>
      <c r="AAL16" s="7"/>
      <c r="AAM16" s="7"/>
      <c r="AAN16" s="7"/>
      <c r="AAO16" s="7"/>
      <c r="AAP16" s="7"/>
      <c r="AAQ16" s="7"/>
      <c r="AAR16" s="7"/>
      <c r="AAS16" s="7"/>
      <c r="AAT16" s="7"/>
      <c r="AAU16" s="7"/>
      <c r="AAV16" s="7"/>
      <c r="AAW16" s="7"/>
      <c r="AAX16" s="7"/>
      <c r="AAY16" s="7"/>
      <c r="AAZ16" s="7"/>
      <c r="ABA16" s="7"/>
      <c r="ABB16" s="7"/>
      <c r="ABC16" s="7"/>
      <c r="ABD16" s="7"/>
      <c r="ABE16" s="7"/>
      <c r="ABF16" s="7"/>
      <c r="ABG16" s="7"/>
      <c r="ABH16" s="7"/>
      <c r="ABI16" s="7"/>
      <c r="ABJ16" s="7"/>
      <c r="ABK16" s="7"/>
      <c r="ABL16" s="7"/>
      <c r="ABM16" s="7"/>
      <c r="ABN16" s="7"/>
      <c r="ABO16" s="7"/>
      <c r="ABP16" s="7"/>
      <c r="ABQ16" s="7"/>
      <c r="ABR16" s="7"/>
      <c r="ABS16" s="7"/>
      <c r="ABT16" s="7"/>
      <c r="ABU16" s="7"/>
      <c r="ABV16" s="7"/>
      <c r="ABW16" s="7"/>
      <c r="ABX16" s="7"/>
      <c r="ABY16" s="7"/>
      <c r="ABZ16" s="7"/>
      <c r="ACA16" s="7"/>
      <c r="ACB16" s="7"/>
      <c r="ACC16" s="7"/>
      <c r="ACD16" s="7"/>
      <c r="ACE16" s="7"/>
      <c r="ACF16" s="7"/>
      <c r="ACG16" s="7"/>
      <c r="ACH16" s="7"/>
      <c r="ACI16" s="7"/>
      <c r="ACJ16" s="7"/>
      <c r="ACK16" s="7"/>
      <c r="ACL16" s="7"/>
      <c r="ACM16" s="7"/>
      <c r="ACN16" s="7"/>
      <c r="ACO16" s="7"/>
      <c r="ACP16" s="7"/>
      <c r="ACQ16" s="7"/>
      <c r="ACR16" s="7"/>
      <c r="ACS16" s="7"/>
      <c r="ACT16" s="7"/>
      <c r="ACU16" s="7"/>
      <c r="ACV16" s="7"/>
      <c r="ACW16" s="7"/>
      <c r="ACX16" s="7"/>
      <c r="ACY16" s="7"/>
      <c r="ACZ16" s="7"/>
      <c r="ADA16" s="7"/>
      <c r="ADB16" s="7"/>
      <c r="ADC16" s="7"/>
      <c r="ADD16" s="7"/>
      <c r="ADE16" s="7"/>
      <c r="ADF16" s="7"/>
      <c r="ADG16" s="7"/>
      <c r="ADH16" s="7"/>
      <c r="ADI16" s="7"/>
      <c r="ADJ16" s="7"/>
      <c r="ADK16" s="7"/>
      <c r="ADL16" s="7"/>
      <c r="ADM16" s="7"/>
      <c r="ADN16" s="7"/>
      <c r="ADO16" s="7"/>
      <c r="ADP16" s="7"/>
      <c r="ADQ16" s="7"/>
      <c r="ADR16" s="7"/>
      <c r="ADS16" s="7"/>
      <c r="ADT16" s="7"/>
      <c r="ADU16" s="7"/>
      <c r="ADV16" s="7"/>
      <c r="ADW16" s="7"/>
      <c r="ADX16" s="7"/>
      <c r="ADY16" s="7"/>
      <c r="ADZ16" s="7"/>
      <c r="AEA16" s="7"/>
      <c r="AEB16" s="7"/>
      <c r="AEC16" s="7"/>
      <c r="AED16" s="7"/>
      <c r="AEE16" s="7"/>
      <c r="AEF16" s="7"/>
      <c r="AEG16" s="7"/>
      <c r="AEH16" s="7"/>
      <c r="AEI16" s="7"/>
      <c r="AEJ16" s="7"/>
      <c r="AEK16" s="7"/>
      <c r="AEL16" s="7"/>
      <c r="AEM16" s="7"/>
      <c r="AEN16" s="7"/>
      <c r="AEO16" s="7"/>
      <c r="AEP16" s="7"/>
      <c r="AEQ16" s="7"/>
      <c r="AER16" s="7"/>
      <c r="AES16" s="7"/>
      <c r="AET16" s="7"/>
      <c r="AEU16" s="7"/>
      <c r="AEV16" s="7"/>
      <c r="AEW16" s="7"/>
      <c r="AEX16" s="7"/>
      <c r="AEY16" s="7"/>
      <c r="AEZ16" s="7"/>
      <c r="AFA16" s="7"/>
      <c r="AFB16" s="7"/>
      <c r="AFC16" s="7"/>
      <c r="AFD16" s="7"/>
      <c r="AFE16" s="7"/>
      <c r="AFF16" s="7"/>
      <c r="AFG16" s="7"/>
      <c r="AFH16" s="7"/>
      <c r="AFI16" s="7"/>
      <c r="AFJ16" s="7"/>
      <c r="AFK16" s="7"/>
      <c r="AFL16" s="7"/>
      <c r="AFM16" s="7"/>
      <c r="AFN16" s="7"/>
      <c r="AFO16" s="7"/>
      <c r="AFP16" s="7"/>
      <c r="AFQ16" s="7"/>
      <c r="AFR16" s="7"/>
      <c r="AFS16" s="7"/>
      <c r="AFT16" s="7"/>
      <c r="AFU16" s="7"/>
      <c r="AFV16" s="7"/>
      <c r="AFW16" s="7"/>
      <c r="AFX16" s="7"/>
      <c r="AFY16" s="7"/>
      <c r="AFZ16" s="7"/>
      <c r="AGA16" s="7"/>
      <c r="AGB16" s="7"/>
      <c r="AGC16" s="7"/>
      <c r="AGD16" s="7"/>
      <c r="AGE16" s="7"/>
      <c r="AGF16" s="7"/>
      <c r="AGG16" s="7"/>
      <c r="AGH16" s="7"/>
      <c r="AGI16" s="7"/>
      <c r="AGJ16" s="7"/>
      <c r="AGK16" s="7"/>
      <c r="AGL16" s="7"/>
      <c r="AGM16" s="7"/>
      <c r="AGN16" s="7"/>
      <c r="AGO16" s="7"/>
      <c r="AGP16" s="7"/>
      <c r="AGQ16" s="7"/>
      <c r="AGR16" s="7"/>
      <c r="AGS16" s="7"/>
      <c r="AGT16" s="7"/>
      <c r="AGU16" s="7"/>
      <c r="AGV16" s="7"/>
      <c r="AGW16" s="7"/>
      <c r="AGX16" s="7"/>
      <c r="AGY16" s="7"/>
      <c r="AGZ16" s="7"/>
      <c r="AHA16" s="7"/>
      <c r="AHB16" s="7"/>
      <c r="AHC16" s="7"/>
      <c r="AHD16" s="7"/>
      <c r="AHE16" s="7"/>
      <c r="AHF16" s="7"/>
      <c r="AHG16" s="7"/>
      <c r="AHH16" s="7"/>
      <c r="AHI16" s="7"/>
      <c r="AHJ16" s="7"/>
      <c r="AHK16" s="7"/>
      <c r="AHL16" s="7"/>
      <c r="AHM16" s="7"/>
      <c r="AHN16" s="7"/>
      <c r="AHO16" s="7"/>
      <c r="AHP16" s="7"/>
      <c r="AHQ16" s="7"/>
      <c r="AHR16" s="7"/>
      <c r="AHS16" s="7"/>
      <c r="AHT16" s="7"/>
      <c r="AHU16" s="7"/>
      <c r="AHV16" s="7"/>
      <c r="AHW16" s="7"/>
      <c r="AHX16" s="7"/>
      <c r="AHY16" s="7"/>
      <c r="AHZ16" s="7"/>
      <c r="AIA16" s="7"/>
      <c r="AIB16" s="7"/>
      <c r="AIC16" s="7"/>
      <c r="AID16" s="7"/>
      <c r="AIE16" s="7"/>
      <c r="AIF16" s="7"/>
      <c r="AIG16" s="7"/>
      <c r="AIH16" s="7"/>
      <c r="AII16" s="7"/>
      <c r="AIJ16" s="7"/>
      <c r="AIK16" s="7"/>
      <c r="AIL16" s="7"/>
      <c r="AIM16" s="7"/>
      <c r="AIN16" s="7"/>
      <c r="AIO16" s="7"/>
      <c r="AIP16" s="7"/>
      <c r="AIQ16" s="7"/>
      <c r="AIR16" s="7"/>
      <c r="AIS16" s="7"/>
      <c r="AIT16" s="7"/>
      <c r="AIU16" s="7"/>
      <c r="AIV16" s="7"/>
      <c r="AIW16" s="7"/>
      <c r="AIX16" s="7"/>
      <c r="AIY16" s="7"/>
      <c r="AIZ16" s="7"/>
      <c r="AJA16" s="7"/>
      <c r="AJB16" s="7"/>
      <c r="AJC16" s="7"/>
      <c r="AJD16" s="7"/>
      <c r="AJE16" s="7"/>
      <c r="AJF16" s="7"/>
      <c r="AJG16" s="7"/>
      <c r="AJH16" s="7"/>
      <c r="AJI16" s="7"/>
      <c r="AJJ16" s="7"/>
      <c r="AJK16" s="7"/>
      <c r="AJL16" s="7"/>
      <c r="AJM16" s="7"/>
      <c r="AJN16" s="7"/>
      <c r="AJO16" s="7"/>
      <c r="AJP16" s="7"/>
      <c r="AJQ16" s="7"/>
      <c r="AJR16" s="7"/>
      <c r="AJS16" s="7"/>
      <c r="AJT16" s="7"/>
      <c r="AJU16" s="7"/>
      <c r="AJV16" s="7"/>
      <c r="AJW16" s="7"/>
      <c r="AJX16" s="7"/>
      <c r="AJY16" s="7"/>
      <c r="AJZ16" s="7"/>
      <c r="AKA16" s="7"/>
      <c r="AKB16" s="7"/>
      <c r="AKC16" s="7"/>
      <c r="AKD16" s="7"/>
      <c r="AKE16" s="7"/>
      <c r="AKF16" s="7"/>
      <c r="AKG16" s="7"/>
      <c r="AKH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c r="BDU16" s="7"/>
      <c r="BDV16" s="7"/>
      <c r="BDW16" s="7"/>
      <c r="BDX16" s="7"/>
      <c r="BDY16" s="7"/>
      <c r="BDZ16" s="7"/>
      <c r="BEA16" s="7"/>
      <c r="BEB16" s="7"/>
      <c r="BEC16" s="7"/>
      <c r="BED16" s="7"/>
      <c r="BEE16" s="7"/>
      <c r="BEF16" s="7"/>
      <c r="BEG16" s="7"/>
      <c r="BEH16" s="7"/>
      <c r="BEI16" s="7"/>
      <c r="BEJ16" s="7"/>
      <c r="BEK16" s="7"/>
      <c r="BEL16" s="7"/>
      <c r="BEM16" s="7"/>
      <c r="BEN16" s="7"/>
      <c r="BEO16" s="7"/>
      <c r="BEP16" s="7"/>
      <c r="BEQ16" s="7"/>
      <c r="BER16" s="7"/>
      <c r="BES16" s="7"/>
      <c r="BET16" s="7"/>
      <c r="BEU16" s="7"/>
      <c r="BEV16" s="7"/>
      <c r="BEW16" s="7"/>
      <c r="BEX16" s="7"/>
      <c r="BEY16" s="7"/>
      <c r="BEZ16" s="7"/>
      <c r="BFA16" s="7"/>
      <c r="BFB16" s="7"/>
      <c r="BFC16" s="7"/>
      <c r="BFD16" s="7"/>
      <c r="BFE16" s="7"/>
      <c r="BFF16" s="7"/>
      <c r="BFG16" s="7"/>
      <c r="BFH16" s="7"/>
      <c r="BFI16" s="7"/>
      <c r="BFJ16" s="7"/>
      <c r="BFK16" s="7"/>
      <c r="BFL16" s="7"/>
      <c r="BFM16" s="7"/>
      <c r="BFN16" s="7"/>
      <c r="BFO16" s="7"/>
      <c r="BFP16" s="7"/>
      <c r="BFQ16" s="7"/>
      <c r="BFR16" s="7"/>
      <c r="BFS16" s="7"/>
      <c r="BFT16" s="7"/>
      <c r="BFU16" s="7"/>
      <c r="BFV16" s="7"/>
      <c r="BFW16" s="7"/>
      <c r="BFX16" s="7"/>
      <c r="BFY16" s="7"/>
      <c r="BFZ16" s="7"/>
      <c r="BGA16" s="7"/>
      <c r="BGB16" s="7"/>
      <c r="BGC16" s="7"/>
      <c r="BGD16" s="7"/>
      <c r="BGE16" s="7"/>
      <c r="BGF16" s="7"/>
      <c r="BGG16" s="7"/>
      <c r="BGH16" s="7"/>
      <c r="BGI16" s="7"/>
      <c r="BGJ16" s="7"/>
      <c r="BGK16" s="7"/>
      <c r="BGL16" s="7"/>
      <c r="BGM16" s="7"/>
      <c r="BGN16" s="7"/>
      <c r="BGO16" s="7"/>
      <c r="BGP16" s="7"/>
      <c r="BGQ16" s="7"/>
      <c r="BGR16" s="7"/>
      <c r="BGS16" s="7"/>
      <c r="BGT16" s="7"/>
      <c r="BGU16" s="7"/>
      <c r="BGV16" s="7"/>
      <c r="BGW16" s="7"/>
      <c r="BGX16" s="7"/>
      <c r="BGY16" s="7"/>
      <c r="BGZ16" s="7"/>
      <c r="BHA16" s="7"/>
      <c r="BHB16" s="7"/>
      <c r="BHC16" s="7"/>
      <c r="BHD16" s="7"/>
      <c r="BHE16" s="7"/>
      <c r="BHF16" s="7"/>
      <c r="BHG16" s="7"/>
      <c r="BHH16" s="7"/>
      <c r="BHI16" s="7"/>
      <c r="BHJ16" s="7"/>
      <c r="BHK16" s="7"/>
      <c r="BHL16" s="7"/>
      <c r="BHM16" s="7"/>
      <c r="BHN16" s="7"/>
      <c r="BHO16" s="7"/>
      <c r="BHP16" s="7"/>
      <c r="BHQ16" s="7"/>
      <c r="BHR16" s="7"/>
      <c r="BHS16" s="7"/>
      <c r="BHT16" s="7"/>
      <c r="BHU16" s="7"/>
      <c r="BHV16" s="7"/>
      <c r="BHW16" s="7"/>
      <c r="BHX16" s="7"/>
      <c r="BHY16" s="7"/>
      <c r="BHZ16" s="7"/>
      <c r="BIA16" s="7"/>
      <c r="BIB16" s="7"/>
      <c r="BIC16" s="7"/>
      <c r="BID16" s="7"/>
      <c r="BIE16" s="7"/>
      <c r="BIF16" s="7"/>
      <c r="BIG16" s="7"/>
      <c r="BIH16" s="7"/>
      <c r="BII16" s="7"/>
      <c r="BIJ16" s="7"/>
      <c r="BIK16" s="7"/>
      <c r="BIL16" s="7"/>
      <c r="BIM16" s="7"/>
      <c r="BIN16" s="7"/>
      <c r="BIO16" s="7"/>
      <c r="BIP16" s="7"/>
      <c r="BIQ16" s="7"/>
      <c r="BIR16" s="7"/>
      <c r="BIS16" s="7"/>
      <c r="BIT16" s="7"/>
      <c r="BIU16" s="7"/>
      <c r="BIV16" s="7"/>
      <c r="BIW16" s="7"/>
      <c r="BIX16" s="7"/>
      <c r="BIY16" s="7"/>
      <c r="BIZ16" s="7"/>
      <c r="BJA16" s="7"/>
      <c r="BJB16" s="7"/>
      <c r="BJC16" s="7"/>
      <c r="BJD16" s="7"/>
      <c r="BJE16" s="7"/>
      <c r="BJF16" s="7"/>
      <c r="BJG16" s="7"/>
      <c r="BJH16" s="7"/>
      <c r="BJI16" s="7"/>
      <c r="BJJ16" s="7"/>
      <c r="BJK16" s="7"/>
      <c r="BJL16" s="7"/>
      <c r="BJM16" s="7"/>
      <c r="BJN16" s="7"/>
      <c r="BJO16" s="7"/>
      <c r="BJP16" s="7"/>
      <c r="BJQ16" s="7"/>
      <c r="BJR16" s="7"/>
      <c r="BJS16" s="7"/>
      <c r="BJT16" s="7"/>
      <c r="BJU16" s="7"/>
      <c r="BJV16" s="7"/>
      <c r="BJW16" s="7"/>
      <c r="BJX16" s="7"/>
      <c r="BJY16" s="7"/>
      <c r="BJZ16" s="7"/>
      <c r="BKA16" s="7"/>
      <c r="BKB16" s="7"/>
      <c r="BKC16" s="7"/>
      <c r="BKD16" s="7"/>
      <c r="BKE16" s="7"/>
      <c r="BKF16" s="7"/>
      <c r="BKG16" s="7"/>
      <c r="BKH16" s="7"/>
      <c r="BKI16" s="7"/>
      <c r="BKJ16" s="7"/>
      <c r="BKK16" s="7"/>
      <c r="BKL16" s="7"/>
      <c r="BKM16" s="7"/>
      <c r="BKN16" s="7"/>
      <c r="BKO16" s="7"/>
      <c r="BKP16" s="7"/>
      <c r="BKQ16" s="7"/>
      <c r="BKR16" s="7"/>
      <c r="BKS16" s="7"/>
      <c r="BKT16" s="7"/>
      <c r="BKU16" s="7"/>
      <c r="BKV16" s="7"/>
      <c r="BKW16" s="7"/>
      <c r="BKX16" s="7"/>
      <c r="BKY16" s="7"/>
      <c r="BKZ16" s="7"/>
      <c r="BLA16" s="7"/>
      <c r="BLB16" s="7"/>
      <c r="BLC16" s="7"/>
      <c r="BLD16" s="7"/>
      <c r="BLE16" s="7"/>
      <c r="BLF16" s="7"/>
      <c r="BLG16" s="7"/>
      <c r="BLH16" s="7"/>
      <c r="BLI16" s="7"/>
      <c r="BLJ16" s="7"/>
      <c r="BLK16" s="7"/>
      <c r="BLL16" s="7"/>
      <c r="BLM16" s="7"/>
      <c r="BLN16" s="7"/>
      <c r="BLO16" s="7"/>
      <c r="BLP16" s="7"/>
      <c r="BLQ16" s="7"/>
      <c r="BLR16" s="7"/>
      <c r="BLS16" s="7"/>
      <c r="BLT16" s="7"/>
      <c r="BLU16" s="7"/>
      <c r="BLV16" s="7"/>
      <c r="BLW16" s="7"/>
      <c r="BLX16" s="7"/>
      <c r="BLY16" s="7"/>
      <c r="BLZ16" s="7"/>
      <c r="BMA16" s="7"/>
      <c r="BMB16" s="7"/>
      <c r="BMC16" s="7"/>
      <c r="BMD16" s="7"/>
      <c r="BME16" s="7"/>
      <c r="BMF16" s="7"/>
      <c r="BMG16" s="7"/>
      <c r="BMH16" s="7"/>
      <c r="BMI16" s="7"/>
      <c r="BMJ16" s="7"/>
      <c r="BMK16" s="7"/>
      <c r="BML16" s="7"/>
      <c r="BMM16" s="7"/>
      <c r="BMN16" s="7"/>
      <c r="BMO16" s="7"/>
      <c r="BMP16" s="7"/>
      <c r="BMQ16" s="7"/>
      <c r="BMR16" s="7"/>
      <c r="BMS16" s="7"/>
      <c r="BMT16" s="7"/>
      <c r="BMU16" s="7"/>
      <c r="BMV16" s="7"/>
      <c r="BMW16" s="7"/>
      <c r="BMX16" s="7"/>
      <c r="BMY16" s="7"/>
      <c r="BMZ16" s="7"/>
      <c r="BNA16" s="7"/>
      <c r="BNB16" s="7"/>
      <c r="BNC16" s="7"/>
      <c r="BND16" s="7"/>
      <c r="BNE16" s="7"/>
      <c r="BNF16" s="7"/>
      <c r="BNG16" s="7"/>
      <c r="BNH16" s="7"/>
      <c r="BNI16" s="7"/>
      <c r="BNJ16" s="7"/>
      <c r="BNK16" s="7"/>
      <c r="BNL16" s="7"/>
      <c r="BNM16" s="7"/>
      <c r="BNN16" s="7"/>
      <c r="BNO16" s="7"/>
      <c r="BNP16" s="7"/>
      <c r="BNQ16" s="7"/>
      <c r="BNR16" s="7"/>
      <c r="BNS16" s="7"/>
      <c r="BNT16" s="7"/>
      <c r="BNU16" s="7"/>
      <c r="BNV16" s="7"/>
      <c r="BNW16" s="7"/>
      <c r="BNX16" s="7"/>
      <c r="BNY16" s="7"/>
      <c r="BNZ16" s="7"/>
      <c r="BOA16" s="7"/>
      <c r="BOB16" s="7"/>
      <c r="BOC16" s="7"/>
      <c r="BOD16" s="7"/>
      <c r="BOE16" s="7"/>
      <c r="BOF16" s="7"/>
      <c r="BOG16" s="7"/>
      <c r="BOH16" s="7"/>
      <c r="BOI16" s="7"/>
      <c r="BOJ16" s="7"/>
      <c r="BOK16" s="7"/>
      <c r="BOL16" s="7"/>
      <c r="BOM16" s="7"/>
      <c r="BON16" s="7"/>
      <c r="BOO16" s="7"/>
      <c r="BOP16" s="7"/>
      <c r="BOQ16" s="7"/>
      <c r="BOR16" s="7"/>
      <c r="BOS16" s="7"/>
      <c r="BOT16" s="7"/>
      <c r="BOU16" s="7"/>
      <c r="BOV16" s="7"/>
      <c r="BOW16" s="7"/>
      <c r="BOX16" s="7"/>
      <c r="BOY16" s="7"/>
      <c r="BOZ16" s="7"/>
      <c r="BPA16" s="7"/>
      <c r="BPB16" s="7"/>
      <c r="BPC16" s="7"/>
      <c r="BPD16" s="7"/>
      <c r="BPE16" s="7"/>
      <c r="BPF16" s="7"/>
      <c r="BPG16" s="7"/>
      <c r="BPH16" s="7"/>
      <c r="BPI16" s="7"/>
      <c r="BPJ16" s="7"/>
      <c r="BPK16" s="7"/>
      <c r="BPL16" s="7"/>
      <c r="BPM16" s="7"/>
      <c r="BPN16" s="7"/>
      <c r="BPO16" s="7"/>
      <c r="BPP16" s="7"/>
      <c r="BPQ16" s="7"/>
      <c r="BPR16" s="7"/>
      <c r="BPS16" s="7"/>
      <c r="BPT16" s="7"/>
      <c r="BPU16" s="7"/>
      <c r="BPV16" s="7"/>
      <c r="BPW16" s="7"/>
      <c r="BPX16" s="7"/>
      <c r="BPY16" s="7"/>
      <c r="BPZ16" s="7"/>
      <c r="BQA16" s="7"/>
      <c r="BQB16" s="7"/>
      <c r="BQC16" s="7"/>
      <c r="BQD16" s="7"/>
      <c r="BQE16" s="7"/>
      <c r="BQF16" s="7"/>
      <c r="BQG16" s="7"/>
      <c r="BQH16" s="7"/>
      <c r="BQI16" s="7"/>
      <c r="BQJ16" s="7"/>
      <c r="BQK16" s="7"/>
      <c r="BQL16" s="7"/>
      <c r="BQM16" s="7"/>
      <c r="BQN16" s="7"/>
      <c r="BQO16" s="7"/>
      <c r="BQP16" s="7"/>
      <c r="BQQ16" s="7"/>
      <c r="BQR16" s="7"/>
      <c r="BQS16" s="7"/>
      <c r="BQT16" s="7"/>
      <c r="BQU16" s="7"/>
      <c r="BQV16" s="7"/>
      <c r="BQW16" s="7"/>
      <c r="BQX16" s="7"/>
      <c r="BQY16" s="7"/>
      <c r="BQZ16" s="7"/>
      <c r="BRA16" s="7"/>
      <c r="BRB16" s="7"/>
      <c r="BRC16" s="7"/>
      <c r="BRD16" s="7"/>
      <c r="BRE16" s="7"/>
      <c r="BRF16" s="7"/>
      <c r="BRG16" s="7"/>
      <c r="BRH16" s="7"/>
      <c r="BRI16" s="7"/>
      <c r="BRJ16" s="7"/>
      <c r="BRK16" s="7"/>
      <c r="BRL16" s="7"/>
      <c r="BRM16" s="7"/>
      <c r="BRN16" s="7"/>
      <c r="BRO16" s="7"/>
      <c r="BRP16" s="7"/>
      <c r="BRQ16" s="7"/>
      <c r="BRR16" s="7"/>
      <c r="BRS16" s="7"/>
      <c r="BRT16" s="7"/>
      <c r="BRU16" s="7"/>
      <c r="BRV16" s="7"/>
      <c r="BRW16" s="7"/>
      <c r="BRX16" s="7"/>
      <c r="BRY16" s="7"/>
      <c r="BRZ16" s="7"/>
      <c r="BSA16" s="7"/>
      <c r="BSB16" s="7"/>
      <c r="BSC16" s="7"/>
      <c r="BSD16" s="7"/>
      <c r="BSE16" s="7"/>
      <c r="BSF16" s="7"/>
      <c r="BSG16" s="7"/>
      <c r="BSH16" s="7"/>
      <c r="BSI16" s="7"/>
      <c r="BSJ16" s="7"/>
      <c r="BSK16" s="7"/>
      <c r="BSL16" s="7"/>
      <c r="BSM16" s="7"/>
      <c r="BSN16" s="7"/>
      <c r="BSO16" s="7"/>
      <c r="BSP16" s="7"/>
      <c r="BSQ16" s="7"/>
      <c r="BSR16" s="7"/>
      <c r="BSS16" s="7"/>
      <c r="BST16" s="7"/>
      <c r="BSU16" s="7"/>
      <c r="BSV16" s="7"/>
      <c r="BSW16" s="7"/>
      <c r="BSX16" s="7"/>
      <c r="BSY16" s="7"/>
      <c r="BSZ16" s="7"/>
      <c r="BTA16" s="7"/>
      <c r="BTB16" s="7"/>
      <c r="BTC16" s="7"/>
      <c r="BTD16" s="7"/>
      <c r="BTE16" s="7"/>
      <c r="BTF16" s="7"/>
      <c r="BTG16" s="7"/>
      <c r="BTH16" s="7"/>
      <c r="BTI16" s="7"/>
      <c r="BTJ16" s="7"/>
      <c r="BTK16" s="7"/>
      <c r="BTL16" s="7"/>
      <c r="BTM16" s="7"/>
      <c r="BTN16" s="7"/>
      <c r="BTO16" s="7"/>
      <c r="BTP16" s="7"/>
      <c r="BTQ16" s="7"/>
      <c r="BTR16" s="7"/>
      <c r="BTS16" s="7"/>
      <c r="BTT16" s="7"/>
      <c r="BTU16" s="7"/>
      <c r="BTV16" s="7"/>
      <c r="BTW16" s="7"/>
      <c r="BTX16" s="7"/>
      <c r="BTY16" s="7"/>
      <c r="BTZ16" s="7"/>
      <c r="BUA16" s="7"/>
      <c r="BUB16" s="7"/>
      <c r="BUC16" s="7"/>
      <c r="BUD16" s="7"/>
      <c r="BUE16" s="7"/>
      <c r="BUF16" s="7"/>
      <c r="BUG16" s="7"/>
      <c r="BUH16" s="7"/>
      <c r="BUI16" s="7"/>
      <c r="BUJ16" s="7"/>
      <c r="BUK16" s="7"/>
      <c r="BUL16" s="7"/>
      <c r="BUM16" s="7"/>
      <c r="BUN16" s="7"/>
      <c r="BUO16" s="7"/>
      <c r="BUP16" s="7"/>
      <c r="BUQ16" s="7"/>
      <c r="BUR16" s="7"/>
      <c r="BUS16" s="7"/>
      <c r="BUT16" s="7"/>
      <c r="BUU16" s="7"/>
      <c r="BUV16" s="7"/>
      <c r="BUW16" s="7"/>
      <c r="BUX16" s="7"/>
      <c r="BUY16" s="7"/>
      <c r="BUZ16" s="7"/>
      <c r="BVA16" s="7"/>
      <c r="BVB16" s="7"/>
      <c r="BVC16" s="7"/>
      <c r="BVD16" s="7"/>
      <c r="BVE16" s="7"/>
      <c r="BVF16" s="7"/>
      <c r="BVG16" s="7"/>
      <c r="BVH16" s="7"/>
      <c r="BVI16" s="7"/>
      <c r="BVJ16" s="7"/>
      <c r="BVK16" s="7"/>
      <c r="BVL16" s="7"/>
      <c r="BVM16" s="7"/>
      <c r="BVN16" s="7"/>
      <c r="BVO16" s="7"/>
      <c r="BVP16" s="7"/>
      <c r="BVQ16" s="7"/>
      <c r="BVR16" s="7"/>
      <c r="BVS16" s="7"/>
      <c r="BVT16" s="7"/>
      <c r="BVU16" s="7"/>
      <c r="BVV16" s="7"/>
      <c r="BVW16" s="7"/>
      <c r="BVX16" s="7"/>
      <c r="BVY16" s="7"/>
      <c r="BVZ16" s="7"/>
      <c r="BWA16" s="7"/>
      <c r="BWB16" s="7"/>
      <c r="BWC16" s="7"/>
      <c r="BWD16" s="7"/>
      <c r="BWE16" s="7"/>
      <c r="BWF16" s="7"/>
      <c r="BWG16" s="7"/>
      <c r="BWH16" s="7"/>
      <c r="BWI16" s="7"/>
      <c r="BWJ16" s="7"/>
      <c r="BWK16" s="7"/>
      <c r="BWL16" s="7"/>
      <c r="BWM16" s="7"/>
      <c r="BWN16" s="7"/>
      <c r="BWO16" s="7"/>
      <c r="BWP16" s="7"/>
      <c r="BWQ16" s="7"/>
      <c r="BWR16" s="7"/>
      <c r="BWS16" s="7"/>
      <c r="BWT16" s="7"/>
      <c r="BWU16" s="7"/>
      <c r="BWV16" s="7"/>
      <c r="BWW16" s="7"/>
      <c r="BWX16" s="7"/>
      <c r="BWY16" s="7"/>
      <c r="BWZ16" s="7"/>
      <c r="BXA16" s="7"/>
      <c r="BXB16" s="7"/>
      <c r="BXC16" s="7"/>
      <c r="BXD16" s="7"/>
      <c r="BXE16" s="7"/>
      <c r="BXF16" s="7"/>
      <c r="BXG16" s="7"/>
      <c r="BXH16" s="7"/>
      <c r="BXI16" s="7"/>
      <c r="BXJ16" s="7"/>
      <c r="BXK16" s="7"/>
      <c r="BXL16" s="7"/>
      <c r="BXM16" s="7"/>
      <c r="BXN16" s="7"/>
      <c r="BXO16" s="7"/>
      <c r="BXP16" s="7"/>
      <c r="BXQ16" s="7"/>
      <c r="BXR16" s="7"/>
      <c r="BXS16" s="7"/>
      <c r="BXT16" s="7"/>
      <c r="BXU16" s="7"/>
      <c r="BXV16" s="7"/>
      <c r="BXW16" s="7"/>
      <c r="BXX16" s="7"/>
      <c r="BXY16" s="7"/>
      <c r="BXZ16" s="7"/>
      <c r="BYA16" s="7"/>
      <c r="BYB16" s="7"/>
      <c r="BYC16" s="7"/>
      <c r="BYD16" s="7"/>
      <c r="BYE16" s="7"/>
      <c r="BYF16" s="7"/>
      <c r="BYG16" s="7"/>
      <c r="BYH16" s="7"/>
      <c r="BYI16" s="7"/>
      <c r="BYJ16" s="7"/>
      <c r="BYK16" s="7"/>
      <c r="BYL16" s="7"/>
      <c r="BYM16" s="7"/>
      <c r="BYN16" s="7"/>
      <c r="BYO16" s="7"/>
      <c r="BYP16" s="7"/>
      <c r="BYQ16" s="7"/>
      <c r="BYR16" s="7"/>
      <c r="BYS16" s="7"/>
      <c r="BYT16" s="7"/>
      <c r="BYU16" s="7"/>
      <c r="BYV16" s="7"/>
      <c r="BYW16" s="7"/>
      <c r="BYX16" s="7"/>
      <c r="BYY16" s="7"/>
      <c r="BYZ16" s="7"/>
      <c r="BZA16" s="7"/>
      <c r="BZB16" s="7"/>
      <c r="BZC16" s="7"/>
      <c r="BZD16" s="7"/>
      <c r="BZE16" s="7"/>
      <c r="BZF16" s="7"/>
      <c r="BZG16" s="7"/>
      <c r="BZH16" s="7"/>
      <c r="BZI16" s="7"/>
      <c r="BZJ16" s="7"/>
      <c r="BZK16" s="7"/>
      <c r="BZL16" s="7"/>
      <c r="BZM16" s="7"/>
      <c r="BZN16" s="7"/>
      <c r="BZO16" s="7"/>
      <c r="BZP16" s="7"/>
      <c r="BZQ16" s="7"/>
      <c r="BZR16" s="7"/>
      <c r="BZS16" s="7"/>
      <c r="BZT16" s="7"/>
      <c r="BZU16" s="7"/>
      <c r="BZV16" s="7"/>
      <c r="BZW16" s="7"/>
      <c r="BZX16" s="7"/>
      <c r="BZY16" s="7"/>
      <c r="BZZ16" s="7"/>
      <c r="CAA16" s="7"/>
      <c r="CAB16" s="7"/>
      <c r="CAC16" s="7"/>
      <c r="CAD16" s="7"/>
      <c r="CAE16" s="7"/>
      <c r="CAF16" s="7"/>
      <c r="CAG16" s="7"/>
      <c r="CAH16" s="7"/>
      <c r="CAI16" s="7"/>
      <c r="CAJ16" s="7"/>
      <c r="CAK16" s="7"/>
      <c r="CAL16" s="7"/>
      <c r="CAM16" s="7"/>
      <c r="CAN16" s="7"/>
      <c r="CAO16" s="7"/>
      <c r="CAP16" s="7"/>
      <c r="CAQ16" s="7"/>
      <c r="CAR16" s="7"/>
      <c r="CAS16" s="7"/>
      <c r="CAT16" s="7"/>
      <c r="CAU16" s="7"/>
      <c r="CAV16" s="7"/>
      <c r="CAW16" s="7"/>
      <c r="CAX16" s="7"/>
      <c r="CAY16" s="7"/>
      <c r="CAZ16" s="7"/>
      <c r="CBA16" s="7"/>
      <c r="CBB16" s="7"/>
      <c r="CBC16" s="7"/>
      <c r="CBD16" s="7"/>
      <c r="CBE16" s="7"/>
      <c r="CBF16" s="7"/>
      <c r="CBG16" s="7"/>
      <c r="CBH16" s="7"/>
      <c r="CBI16" s="7"/>
      <c r="CBJ16" s="7"/>
      <c r="CBK16" s="7"/>
      <c r="CBL16" s="7"/>
      <c r="CBM16" s="7"/>
      <c r="CBN16" s="7"/>
      <c r="CBO16" s="7"/>
      <c r="CBP16" s="7"/>
      <c r="CBQ16" s="7"/>
      <c r="CBR16" s="7"/>
      <c r="CBS16" s="7"/>
      <c r="CBT16" s="7"/>
      <c r="CBU16" s="7"/>
      <c r="CBV16" s="7"/>
      <c r="CBW16" s="7"/>
      <c r="CBX16" s="7"/>
      <c r="CBY16" s="7"/>
      <c r="CBZ16" s="7"/>
      <c r="CCA16" s="7"/>
      <c r="CCB16" s="7"/>
      <c r="CCC16" s="7"/>
      <c r="CCD16" s="7"/>
      <c r="CCE16" s="7"/>
      <c r="CCF16" s="7"/>
      <c r="CCG16" s="7"/>
      <c r="CCH16" s="7"/>
      <c r="CCI16" s="7"/>
      <c r="CCJ16" s="7"/>
      <c r="CCK16" s="7"/>
      <c r="CCL16" s="7"/>
      <c r="CCM16" s="7"/>
      <c r="CCN16" s="7"/>
      <c r="CCO16" s="7"/>
      <c r="CCP16" s="7"/>
      <c r="CCQ16" s="7"/>
      <c r="CCR16" s="7"/>
      <c r="CCS16" s="7"/>
      <c r="CCT16" s="7"/>
      <c r="CCU16" s="7"/>
      <c r="CCV16" s="7"/>
      <c r="CCW16" s="7"/>
      <c r="CCX16" s="7"/>
      <c r="CCY16" s="7"/>
      <c r="CCZ16" s="7"/>
      <c r="CDA16" s="7"/>
      <c r="CDB16" s="7"/>
      <c r="CDC16" s="7"/>
      <c r="CDD16" s="7"/>
      <c r="CDE16" s="7"/>
      <c r="CDF16" s="7"/>
      <c r="CDG16" s="7"/>
      <c r="CDH16" s="7"/>
      <c r="CDI16" s="7"/>
      <c r="CDJ16" s="7"/>
      <c r="CDK16" s="7"/>
      <c r="CDL16" s="7"/>
      <c r="CDM16" s="7"/>
      <c r="CDN16" s="7"/>
      <c r="CDO16" s="7"/>
      <c r="CDP16" s="7"/>
      <c r="CDQ16" s="7"/>
      <c r="CDR16" s="7"/>
      <c r="CDS16" s="7"/>
      <c r="CDT16" s="7"/>
      <c r="CDU16" s="7"/>
      <c r="CDV16" s="7"/>
      <c r="CDW16" s="7"/>
      <c r="CDX16" s="7"/>
      <c r="CDY16" s="7"/>
      <c r="CDZ16" s="7"/>
      <c r="CEA16" s="7"/>
      <c r="CEB16" s="7"/>
      <c r="CEC16" s="7"/>
      <c r="CED16" s="7"/>
      <c r="CEE16" s="7"/>
      <c r="CEF16" s="7"/>
      <c r="CEG16" s="7"/>
      <c r="CEH16" s="7"/>
      <c r="CEI16" s="7"/>
      <c r="CEJ16" s="7"/>
      <c r="CEK16" s="7"/>
      <c r="CEL16" s="7"/>
      <c r="CEM16" s="7"/>
      <c r="CEN16" s="7"/>
      <c r="CEO16" s="7"/>
      <c r="CEP16" s="7"/>
      <c r="CEQ16" s="7"/>
      <c r="CER16" s="7"/>
      <c r="CES16" s="7"/>
      <c r="CET16" s="7"/>
      <c r="CEU16" s="7"/>
      <c r="CEV16" s="7"/>
      <c r="CEW16" s="7"/>
      <c r="CEX16" s="7"/>
      <c r="CEY16" s="7"/>
      <c r="CEZ16" s="7"/>
      <c r="CFA16" s="7"/>
      <c r="CFB16" s="7"/>
      <c r="CFC16" s="7"/>
      <c r="CFD16" s="7"/>
      <c r="CFE16" s="7"/>
      <c r="CFF16" s="7"/>
      <c r="CFG16" s="7"/>
      <c r="CFH16" s="7"/>
      <c r="CFI16" s="7"/>
      <c r="CFJ16" s="7"/>
      <c r="CFK16" s="7"/>
      <c r="CFL16" s="7"/>
      <c r="CFM16" s="7"/>
      <c r="CFN16" s="7"/>
      <c r="CFO16" s="7"/>
      <c r="CFP16" s="7"/>
      <c r="CFQ16" s="7"/>
      <c r="CFR16" s="7"/>
      <c r="CFS16" s="7"/>
      <c r="CFT16" s="7"/>
      <c r="CFU16" s="7"/>
      <c r="CFV16" s="7"/>
      <c r="CFW16" s="7"/>
      <c r="CFX16" s="7"/>
      <c r="CFY16" s="7"/>
      <c r="CFZ16" s="7"/>
      <c r="CGA16" s="7"/>
      <c r="CGB16" s="7"/>
      <c r="CGC16" s="7"/>
      <c r="CGD16" s="7"/>
      <c r="CGE16" s="7"/>
      <c r="CGF16" s="7"/>
      <c r="CGG16" s="7"/>
      <c r="CGH16" s="7"/>
      <c r="CGI16" s="7"/>
      <c r="CGJ16" s="7"/>
      <c r="CGK16" s="7"/>
      <c r="CGL16" s="7"/>
      <c r="CGM16" s="7"/>
      <c r="CGN16" s="7"/>
      <c r="CGO16" s="7"/>
      <c r="CGP16" s="7"/>
      <c r="CGQ16" s="7"/>
      <c r="CGR16" s="7"/>
      <c r="CGS16" s="7"/>
      <c r="CGT16" s="7"/>
      <c r="CGU16" s="7"/>
      <c r="CGV16" s="7"/>
      <c r="CGW16" s="7"/>
      <c r="CGX16" s="7"/>
      <c r="CGY16" s="7"/>
      <c r="CGZ16" s="7"/>
      <c r="CHA16" s="7"/>
      <c r="CHB16" s="7"/>
      <c r="CHC16" s="7"/>
      <c r="CHD16" s="7"/>
      <c r="CHE16" s="7"/>
      <c r="CHF16" s="7"/>
      <c r="CHG16" s="7"/>
      <c r="CHH16" s="7"/>
      <c r="CHI16" s="7"/>
      <c r="CHJ16" s="7"/>
      <c r="CHK16" s="7"/>
      <c r="CHL16" s="7"/>
      <c r="CHM16" s="7"/>
      <c r="CHN16" s="7"/>
      <c r="CHO16" s="7"/>
      <c r="CHP16" s="7"/>
      <c r="CHQ16" s="7"/>
      <c r="CHR16" s="7"/>
      <c r="CHS16" s="7"/>
      <c r="CHT16" s="7"/>
      <c r="CHU16" s="7"/>
      <c r="CHV16" s="7"/>
      <c r="CHW16" s="7"/>
      <c r="CHX16" s="7"/>
      <c r="CHY16" s="7"/>
      <c r="CHZ16" s="7"/>
      <c r="CIA16" s="7"/>
      <c r="CIB16" s="7"/>
      <c r="CIC16" s="7"/>
      <c r="CID16" s="7"/>
      <c r="CIE16" s="7"/>
      <c r="CIF16" s="7"/>
      <c r="CIG16" s="7"/>
      <c r="CIH16" s="7"/>
      <c r="CII16" s="7"/>
      <c r="CIJ16" s="7"/>
      <c r="CIK16" s="7"/>
      <c r="CIL16" s="7"/>
      <c r="CIM16" s="7"/>
      <c r="CIN16" s="7"/>
      <c r="CIO16" s="7"/>
      <c r="CIP16" s="7"/>
      <c r="CIQ16" s="7"/>
      <c r="CIR16" s="7"/>
      <c r="CIS16" s="7"/>
      <c r="CIT16" s="7"/>
      <c r="CIU16" s="7"/>
      <c r="CIV16" s="7"/>
      <c r="CIW16" s="7"/>
      <c r="CIX16" s="7"/>
      <c r="CIY16" s="7"/>
      <c r="CIZ16" s="7"/>
      <c r="CJA16" s="7"/>
      <c r="CJB16" s="7"/>
      <c r="CJC16" s="7"/>
      <c r="CJD16" s="7"/>
      <c r="CJE16" s="7"/>
      <c r="CJF16" s="7"/>
      <c r="CJG16" s="7"/>
      <c r="CJH16" s="7"/>
      <c r="CJI16" s="7"/>
      <c r="CJJ16" s="7"/>
      <c r="CJK16" s="7"/>
      <c r="CJL16" s="7"/>
      <c r="CJM16" s="7"/>
      <c r="CJN16" s="7"/>
      <c r="CJO16" s="7"/>
      <c r="CJP16" s="7"/>
      <c r="CJQ16" s="7"/>
      <c r="CJR16" s="7"/>
      <c r="CJS16" s="7"/>
      <c r="CJT16" s="7"/>
      <c r="CJU16" s="7"/>
      <c r="CJV16" s="7"/>
      <c r="CJW16" s="7"/>
      <c r="CJX16" s="7"/>
      <c r="CJY16" s="7"/>
      <c r="CJZ16" s="7"/>
      <c r="CKA16" s="7"/>
      <c r="CKB16" s="7"/>
      <c r="CKC16" s="7"/>
      <c r="CKD16" s="7"/>
      <c r="CKE16" s="7"/>
      <c r="CKF16" s="7"/>
      <c r="CKG16" s="7"/>
      <c r="CKH16" s="7"/>
      <c r="CKI16" s="7"/>
      <c r="CKJ16" s="7"/>
      <c r="CKK16" s="7"/>
      <c r="CKL16" s="7"/>
      <c r="CKM16" s="7"/>
      <c r="CKN16" s="7"/>
      <c r="CKO16" s="7"/>
      <c r="CKP16" s="7"/>
      <c r="CKQ16" s="7"/>
      <c r="CKR16" s="7"/>
      <c r="CKS16" s="7"/>
      <c r="CKT16" s="7"/>
      <c r="CKU16" s="7"/>
      <c r="CKV16" s="7"/>
      <c r="CKW16" s="7"/>
      <c r="CKX16" s="7"/>
      <c r="CKY16" s="7"/>
      <c r="CKZ16" s="7"/>
      <c r="CLA16" s="7"/>
      <c r="CLB16" s="7"/>
      <c r="CLC16" s="7"/>
      <c r="CLD16" s="7"/>
      <c r="CLE16" s="7"/>
      <c r="CLF16" s="7"/>
      <c r="CLG16" s="7"/>
      <c r="CLH16" s="7"/>
      <c r="CLI16" s="7"/>
      <c r="CLJ16" s="7"/>
      <c r="CLK16" s="7"/>
      <c r="CLL16" s="7"/>
      <c r="CLM16" s="7"/>
      <c r="CLN16" s="7"/>
      <c r="CLO16" s="7"/>
      <c r="CLP16" s="7"/>
      <c r="CLQ16" s="7"/>
      <c r="CLR16" s="7"/>
      <c r="CLS16" s="7"/>
      <c r="CLT16" s="7"/>
      <c r="CLU16" s="7"/>
      <c r="CLV16" s="7"/>
      <c r="CLW16" s="7"/>
      <c r="CLX16" s="7"/>
      <c r="CLY16" s="7"/>
      <c r="CLZ16" s="7"/>
      <c r="CMA16" s="7"/>
      <c r="CMB16" s="7"/>
      <c r="CMC16" s="7"/>
      <c r="CMD16" s="7"/>
      <c r="CME16" s="7"/>
      <c r="CMF16" s="7"/>
      <c r="CMG16" s="7"/>
      <c r="CMH16" s="7"/>
      <c r="CMI16" s="7"/>
      <c r="CMJ16" s="7"/>
      <c r="CMK16" s="7"/>
      <c r="CML16" s="7"/>
      <c r="CMM16" s="7"/>
      <c r="CMN16" s="7"/>
      <c r="CMO16" s="7"/>
      <c r="CMP16" s="7"/>
      <c r="CMQ16" s="7"/>
      <c r="CMR16" s="7"/>
      <c r="CMS16" s="7"/>
      <c r="CMT16" s="7"/>
      <c r="CMU16" s="7"/>
      <c r="CMV16" s="7"/>
      <c r="CMW16" s="7"/>
      <c r="CMX16" s="7"/>
      <c r="CMY16" s="7"/>
      <c r="CMZ16" s="7"/>
      <c r="CNA16" s="7"/>
      <c r="CNB16" s="7"/>
      <c r="CNC16" s="7"/>
      <c r="CND16" s="7"/>
      <c r="CNE16" s="7"/>
      <c r="CNF16" s="7"/>
      <c r="CNG16" s="7"/>
      <c r="CNH16" s="7"/>
      <c r="CNI16" s="7"/>
      <c r="CNJ16" s="7"/>
      <c r="CNK16" s="7"/>
      <c r="CNL16" s="7"/>
      <c r="CNM16" s="7"/>
      <c r="CNN16" s="7"/>
      <c r="CNO16" s="7"/>
      <c r="CNP16" s="7"/>
      <c r="CNQ16" s="7"/>
      <c r="CNR16" s="7"/>
      <c r="CNS16" s="7"/>
      <c r="CNT16" s="7"/>
      <c r="CNU16" s="7"/>
      <c r="CNV16" s="7"/>
      <c r="CNW16" s="7"/>
      <c r="CNX16" s="7"/>
      <c r="CNY16" s="7"/>
      <c r="CNZ16" s="7"/>
      <c r="COA16" s="7"/>
      <c r="COB16" s="7"/>
      <c r="COC16" s="7"/>
      <c r="COD16" s="7"/>
      <c r="COE16" s="7"/>
      <c r="COF16" s="7"/>
      <c r="COG16" s="7"/>
      <c r="COH16" s="7"/>
      <c r="COI16" s="7"/>
      <c r="COJ16" s="7"/>
      <c r="COK16" s="7"/>
      <c r="COL16" s="7"/>
      <c r="COM16" s="7"/>
      <c r="CON16" s="7"/>
      <c r="COO16" s="7"/>
      <c r="COP16" s="7"/>
      <c r="COQ16" s="7"/>
      <c r="COR16" s="7"/>
      <c r="COS16" s="7"/>
      <c r="COT16" s="7"/>
      <c r="COU16" s="7"/>
      <c r="COV16" s="7"/>
      <c r="COW16" s="7"/>
      <c r="COX16" s="7"/>
      <c r="COY16" s="7"/>
      <c r="COZ16" s="7"/>
      <c r="CPA16" s="7"/>
      <c r="CPB16" s="7"/>
      <c r="CPC16" s="7"/>
      <c r="CPD16" s="7"/>
      <c r="CPE16" s="7"/>
      <c r="CPF16" s="7"/>
      <c r="CPG16" s="7"/>
      <c r="CPH16" s="7"/>
      <c r="CPI16" s="7"/>
      <c r="CPJ16" s="7"/>
      <c r="CPK16" s="7"/>
      <c r="CPL16" s="7"/>
      <c r="CPM16" s="7"/>
      <c r="CPN16" s="7"/>
      <c r="CPO16" s="7"/>
      <c r="CPP16" s="7"/>
      <c r="CPQ16" s="7"/>
      <c r="CPR16" s="7"/>
      <c r="CPS16" s="7"/>
      <c r="CPT16" s="7"/>
      <c r="CPU16" s="7"/>
      <c r="CPV16" s="7"/>
      <c r="CPW16" s="7"/>
      <c r="CPX16" s="7"/>
      <c r="CPY16" s="7"/>
      <c r="CPZ16" s="7"/>
      <c r="CQA16" s="7"/>
      <c r="CQB16" s="7"/>
      <c r="CQC16" s="7"/>
      <c r="CQD16" s="7"/>
      <c r="CQE16" s="7"/>
      <c r="CQF16" s="7"/>
      <c r="CQG16" s="7"/>
      <c r="CQH16" s="7"/>
      <c r="CQI16" s="7"/>
      <c r="CQJ16" s="7"/>
      <c r="CQK16" s="7"/>
      <c r="CQL16" s="7"/>
      <c r="CQM16" s="7"/>
      <c r="CQN16" s="7"/>
      <c r="CQO16" s="7"/>
      <c r="CQP16" s="7"/>
      <c r="CQQ16" s="7"/>
      <c r="CQR16" s="7"/>
      <c r="CQS16" s="7"/>
      <c r="CQT16" s="7"/>
      <c r="CQU16" s="7"/>
      <c r="CQV16" s="7"/>
      <c r="CQW16" s="7"/>
      <c r="CQX16" s="7"/>
      <c r="CQY16" s="7"/>
      <c r="CQZ16" s="7"/>
      <c r="CRA16" s="7"/>
      <c r="CRB16" s="7"/>
      <c r="CRC16" s="7"/>
      <c r="CRD16" s="7"/>
      <c r="CRE16" s="7"/>
      <c r="CRF16" s="7"/>
      <c r="CRG16" s="7"/>
      <c r="CRH16" s="7"/>
      <c r="CRI16" s="7"/>
      <c r="CRJ16" s="7"/>
      <c r="CRK16" s="7"/>
      <c r="CRL16" s="7"/>
      <c r="CRM16" s="7"/>
      <c r="CRN16" s="7"/>
      <c r="CRO16" s="7"/>
      <c r="CRP16" s="7"/>
      <c r="CRQ16" s="7"/>
      <c r="CRR16" s="7"/>
      <c r="CRS16" s="7"/>
      <c r="CRT16" s="7"/>
      <c r="CRU16" s="7"/>
      <c r="CRV16" s="7"/>
      <c r="CRW16" s="7"/>
      <c r="CRX16" s="7"/>
      <c r="CRY16" s="7"/>
      <c r="CRZ16" s="7"/>
      <c r="CSA16" s="7"/>
      <c r="CSB16" s="7"/>
      <c r="CSC16" s="7"/>
      <c r="CSD16" s="7"/>
      <c r="CSE16" s="7"/>
      <c r="CSF16" s="7"/>
      <c r="CSG16" s="7"/>
      <c r="CSH16" s="7"/>
      <c r="CSI16" s="7"/>
      <c r="CSJ16" s="7"/>
      <c r="CSK16" s="7"/>
      <c r="CSL16" s="7"/>
      <c r="CSM16" s="7"/>
      <c r="CSN16" s="7"/>
      <c r="CSO16" s="7"/>
      <c r="CSP16" s="7"/>
      <c r="CSQ16" s="7"/>
      <c r="CSR16" s="7"/>
      <c r="CSS16" s="7"/>
      <c r="CST16" s="7"/>
      <c r="CSU16" s="7"/>
      <c r="CSV16" s="7"/>
      <c r="CSW16" s="7"/>
      <c r="CSX16" s="7"/>
      <c r="CSY16" s="7"/>
      <c r="CSZ16" s="7"/>
      <c r="CTA16" s="7"/>
      <c r="CTB16" s="7"/>
      <c r="CTC16" s="7"/>
      <c r="CTD16" s="7"/>
      <c r="CTE16" s="7"/>
      <c r="CTF16" s="7"/>
      <c r="CTG16" s="7"/>
      <c r="CTH16" s="7"/>
      <c r="CTI16" s="7"/>
      <c r="CTJ16" s="7"/>
      <c r="CTK16" s="7"/>
      <c r="CTL16" s="7"/>
      <c r="CTM16" s="7"/>
      <c r="CTN16" s="7"/>
      <c r="CTO16" s="7"/>
      <c r="CTP16" s="7"/>
      <c r="CTQ16" s="7"/>
      <c r="CTR16" s="7"/>
      <c r="CTS16" s="7"/>
      <c r="CTT16" s="7"/>
      <c r="CTU16" s="7"/>
      <c r="CTV16" s="7"/>
      <c r="CTW16" s="7"/>
      <c r="CTX16" s="7"/>
      <c r="CTY16" s="7"/>
      <c r="CTZ16" s="7"/>
      <c r="CUA16" s="7"/>
      <c r="CUB16" s="7"/>
      <c r="CUC16" s="7"/>
      <c r="CUD16" s="7"/>
      <c r="CUE16" s="7"/>
      <c r="CUF16" s="7"/>
      <c r="CUG16" s="7"/>
      <c r="CUH16" s="7"/>
      <c r="CUI16" s="7"/>
      <c r="CUJ16" s="7"/>
      <c r="CUK16" s="7"/>
      <c r="CUL16" s="7"/>
      <c r="CUM16" s="7"/>
      <c r="CUN16" s="7"/>
      <c r="CUO16" s="7"/>
      <c r="CUP16" s="7"/>
      <c r="CUQ16" s="7"/>
      <c r="CUR16" s="7"/>
      <c r="CUS16" s="7"/>
      <c r="CUT16" s="7"/>
      <c r="CUU16" s="7"/>
      <c r="CUV16" s="7"/>
      <c r="CUW16" s="7"/>
      <c r="CUX16" s="7"/>
      <c r="CUY16" s="7"/>
      <c r="CUZ16" s="7"/>
      <c r="CVA16" s="7"/>
      <c r="CVB16" s="7"/>
      <c r="CVC16" s="7"/>
      <c r="CVD16" s="7"/>
      <c r="CVE16" s="7"/>
      <c r="CVF16" s="7"/>
      <c r="CVG16" s="7"/>
      <c r="CVH16" s="7"/>
      <c r="CVI16" s="7"/>
      <c r="CVJ16" s="7"/>
      <c r="CVK16" s="7"/>
      <c r="CVL16" s="7"/>
      <c r="CVM16" s="7"/>
      <c r="CVN16" s="7"/>
      <c r="CVO16" s="7"/>
      <c r="CVP16" s="7"/>
      <c r="CVQ16" s="7"/>
      <c r="CVR16" s="7"/>
      <c r="CVS16" s="7"/>
      <c r="CVT16" s="7"/>
      <c r="CVU16" s="7"/>
      <c r="CVV16" s="7"/>
      <c r="CVW16" s="7"/>
      <c r="CVX16" s="7"/>
      <c r="CVY16" s="7"/>
      <c r="CVZ16" s="7"/>
      <c r="CWA16" s="7"/>
      <c r="CWB16" s="7"/>
      <c r="CWC16" s="7"/>
      <c r="CWD16" s="7"/>
      <c r="CWE16" s="7"/>
      <c r="CWF16" s="7"/>
      <c r="CWG16" s="7"/>
      <c r="CWH16" s="7"/>
      <c r="CWI16" s="7"/>
      <c r="CWJ16" s="7"/>
      <c r="CWK16" s="7"/>
      <c r="CWL16" s="7"/>
      <c r="CWM16" s="7"/>
      <c r="CWN16" s="7"/>
      <c r="CWO16" s="7"/>
      <c r="CWP16" s="7"/>
      <c r="CWQ16" s="7"/>
      <c r="CWR16" s="7"/>
      <c r="CWS16" s="7"/>
      <c r="CWT16" s="7"/>
      <c r="CWU16" s="7"/>
      <c r="CWV16" s="7"/>
      <c r="CWW16" s="7"/>
      <c r="CWX16" s="7"/>
      <c r="CWY16" s="7"/>
      <c r="CWZ16" s="7"/>
      <c r="CXA16" s="7"/>
      <c r="CXB16" s="7"/>
      <c r="CXC16" s="7"/>
      <c r="CXD16" s="7"/>
      <c r="CXE16" s="7"/>
      <c r="CXF16" s="7"/>
      <c r="CXG16" s="7"/>
      <c r="CXH16" s="7"/>
      <c r="CXI16" s="7"/>
      <c r="CXJ16" s="7"/>
      <c r="CXK16" s="7"/>
      <c r="CXL16" s="7"/>
      <c r="CXM16" s="7"/>
      <c r="CXN16" s="7"/>
      <c r="CXO16" s="7"/>
      <c r="CXP16" s="7"/>
      <c r="CXQ16" s="7"/>
      <c r="CXR16" s="7"/>
      <c r="CXS16" s="7"/>
      <c r="CXT16" s="7"/>
      <c r="CXU16" s="7"/>
      <c r="CXV16" s="7"/>
      <c r="CXW16" s="7"/>
      <c r="CXX16" s="7"/>
      <c r="CXY16" s="7"/>
      <c r="CXZ16" s="7"/>
      <c r="CYA16" s="7"/>
      <c r="CYB16" s="7"/>
      <c r="CYC16" s="7"/>
      <c r="CYD16" s="7"/>
      <c r="CYE16" s="7"/>
      <c r="CYF16" s="7"/>
      <c r="CYG16" s="7"/>
      <c r="CYH16" s="7"/>
      <c r="CYI16" s="7"/>
      <c r="CYJ16" s="7"/>
      <c r="CYK16" s="7"/>
      <c r="CYL16" s="7"/>
      <c r="CYM16" s="7"/>
      <c r="CYN16" s="7"/>
      <c r="CYO16" s="7"/>
      <c r="CYP16" s="7"/>
      <c r="CYQ16" s="7"/>
      <c r="CYR16" s="7"/>
      <c r="CYS16" s="7"/>
      <c r="CYT16" s="7"/>
      <c r="CYU16" s="7"/>
      <c r="CYV16" s="7"/>
      <c r="CYW16" s="7"/>
      <c r="CYX16" s="7"/>
      <c r="CYY16" s="7"/>
      <c r="CYZ16" s="7"/>
      <c r="CZA16" s="7"/>
      <c r="CZB16" s="7"/>
      <c r="CZC16" s="7"/>
      <c r="CZD16" s="7"/>
      <c r="CZE16" s="7"/>
      <c r="CZF16" s="7"/>
      <c r="CZG16" s="7"/>
      <c r="CZH16" s="7"/>
      <c r="CZI16" s="7"/>
      <c r="CZJ16" s="7"/>
      <c r="CZK16" s="7"/>
      <c r="CZL16" s="7"/>
      <c r="CZM16" s="7"/>
      <c r="CZN16" s="7"/>
      <c r="CZO16" s="7"/>
      <c r="CZP16" s="7"/>
      <c r="CZQ16" s="7"/>
      <c r="CZR16" s="7"/>
      <c r="CZS16" s="7"/>
      <c r="CZT16" s="7"/>
      <c r="CZU16" s="7"/>
      <c r="CZV16" s="7"/>
      <c r="CZW16" s="7"/>
      <c r="CZX16" s="7"/>
      <c r="CZY16" s="7"/>
      <c r="CZZ16" s="7"/>
      <c r="DAA16" s="7"/>
      <c r="DAB16" s="7"/>
      <c r="DAC16" s="7"/>
      <c r="DAD16" s="7"/>
      <c r="DAE16" s="7"/>
      <c r="DAF16" s="7"/>
      <c r="DAG16" s="7"/>
      <c r="DAH16" s="7"/>
      <c r="DAI16" s="7"/>
      <c r="DAJ16" s="7"/>
      <c r="DAK16" s="7"/>
      <c r="DAL16" s="7"/>
      <c r="DAM16" s="7"/>
      <c r="DAN16" s="7"/>
      <c r="DAO16" s="7"/>
      <c r="DAP16" s="7"/>
      <c r="DAQ16" s="7"/>
      <c r="DAR16" s="7"/>
      <c r="DAS16" s="7"/>
      <c r="DAT16" s="7"/>
      <c r="DAU16" s="7"/>
      <c r="DAV16" s="7"/>
      <c r="DAW16" s="7"/>
      <c r="DAX16" s="7"/>
      <c r="DAY16" s="7"/>
      <c r="DAZ16" s="7"/>
      <c r="DBA16" s="7"/>
      <c r="DBB16" s="7"/>
      <c r="DBC16" s="7"/>
      <c r="DBD16" s="7"/>
      <c r="DBE16" s="7"/>
      <c r="DBF16" s="7"/>
      <c r="DBG16" s="7"/>
      <c r="DBH16" s="7"/>
      <c r="DBI16" s="7"/>
      <c r="DBJ16" s="7"/>
      <c r="DBK16" s="7"/>
      <c r="DBL16" s="7"/>
      <c r="DBM16" s="7"/>
      <c r="DBN16" s="7"/>
      <c r="DBO16" s="7"/>
      <c r="DBP16" s="7"/>
      <c r="DBQ16" s="7"/>
      <c r="DBR16" s="7"/>
      <c r="DBS16" s="7"/>
      <c r="DBT16" s="7"/>
      <c r="DBU16" s="7"/>
      <c r="DBV16" s="7"/>
      <c r="DBW16" s="7"/>
      <c r="DBX16" s="7"/>
      <c r="DBY16" s="7"/>
      <c r="DBZ16" s="7"/>
      <c r="DCA16" s="7"/>
      <c r="DCB16" s="7"/>
      <c r="DCC16" s="7"/>
      <c r="DCD16" s="7"/>
      <c r="DCE16" s="7"/>
      <c r="DCF16" s="7"/>
      <c r="DCG16" s="7"/>
      <c r="DCH16" s="7"/>
      <c r="DCI16" s="7"/>
      <c r="DCJ16" s="7"/>
      <c r="DCK16" s="7"/>
      <c r="DCL16" s="7"/>
      <c r="DCM16" s="7"/>
      <c r="DCN16" s="7"/>
      <c r="DCO16" s="7"/>
      <c r="DCP16" s="7"/>
      <c r="DCQ16" s="7"/>
      <c r="DCR16" s="7"/>
      <c r="DCS16" s="7"/>
      <c r="DCT16" s="7"/>
      <c r="DCU16" s="7"/>
      <c r="DCV16" s="7"/>
      <c r="DCW16" s="7"/>
      <c r="DCX16" s="7"/>
      <c r="DCY16" s="7"/>
      <c r="DCZ16" s="7"/>
      <c r="DDA16" s="7"/>
      <c r="DDB16" s="7"/>
      <c r="DDC16" s="7"/>
      <c r="DDD16" s="7"/>
      <c r="DDE16" s="7"/>
      <c r="DDF16" s="7"/>
      <c r="DDG16" s="7"/>
      <c r="DDH16" s="7"/>
      <c r="DDI16" s="7"/>
      <c r="DDJ16" s="7"/>
      <c r="DDK16" s="7"/>
      <c r="DDL16" s="7"/>
      <c r="DDM16" s="7"/>
      <c r="DDN16" s="7"/>
      <c r="DDO16" s="7"/>
      <c r="DDP16" s="7"/>
      <c r="DDQ16" s="7"/>
      <c r="DDR16" s="7"/>
      <c r="DDS16" s="7"/>
      <c r="DDT16" s="7"/>
      <c r="DDU16" s="7"/>
      <c r="DDV16" s="7"/>
      <c r="DDW16" s="7"/>
      <c r="DDX16" s="7"/>
      <c r="DDY16" s="7"/>
      <c r="DDZ16" s="7"/>
      <c r="DEA16" s="7"/>
      <c r="DEB16" s="7"/>
      <c r="DEC16" s="7"/>
      <c r="DED16" s="7"/>
      <c r="DEE16" s="7"/>
      <c r="DEF16" s="7"/>
      <c r="DEG16" s="7"/>
      <c r="DEH16" s="7"/>
      <c r="DEI16" s="7"/>
      <c r="DEJ16" s="7"/>
      <c r="DEK16" s="7"/>
      <c r="DEL16" s="7"/>
      <c r="DEM16" s="7"/>
      <c r="DEN16" s="7"/>
      <c r="DEO16" s="7"/>
      <c r="DEP16" s="7"/>
      <c r="DEQ16" s="7"/>
      <c r="DER16" s="7"/>
      <c r="DES16" s="7"/>
      <c r="DET16" s="7"/>
      <c r="DEU16" s="7"/>
      <c r="DEV16" s="7"/>
      <c r="DEW16" s="7"/>
      <c r="DEX16" s="7"/>
      <c r="DEY16" s="7"/>
      <c r="DEZ16" s="7"/>
      <c r="DFA16" s="7"/>
      <c r="DFB16" s="7"/>
      <c r="DFC16" s="7"/>
      <c r="DFD16" s="7"/>
      <c r="DFE16" s="7"/>
      <c r="DFF16" s="7"/>
      <c r="DFG16" s="7"/>
      <c r="DFH16" s="7"/>
      <c r="DFI16" s="7"/>
      <c r="DFJ16" s="7"/>
      <c r="DFK16" s="7"/>
      <c r="DFL16" s="7"/>
      <c r="DFM16" s="7"/>
      <c r="DFN16" s="7"/>
      <c r="DFO16" s="7"/>
      <c r="DFP16" s="7"/>
      <c r="DFQ16" s="7"/>
      <c r="DFR16" s="7"/>
      <c r="DFS16" s="7"/>
      <c r="DFT16" s="7"/>
      <c r="DFU16" s="7"/>
      <c r="DFV16" s="7"/>
      <c r="DFW16" s="7"/>
      <c r="DFX16" s="7"/>
      <c r="DFY16" s="7"/>
      <c r="DFZ16" s="7"/>
      <c r="DGA16" s="7"/>
      <c r="DGB16" s="7"/>
      <c r="DGC16" s="7"/>
      <c r="DGD16" s="7"/>
      <c r="DGE16" s="7"/>
      <c r="DGF16" s="7"/>
      <c r="DGG16" s="7"/>
      <c r="DGH16" s="7"/>
      <c r="DGI16" s="7"/>
      <c r="DGJ16" s="7"/>
      <c r="DGK16" s="7"/>
      <c r="DGL16" s="7"/>
      <c r="DGM16" s="7"/>
      <c r="DGN16" s="7"/>
      <c r="DGO16" s="7"/>
      <c r="DGP16" s="7"/>
      <c r="DGQ16" s="7"/>
      <c r="DGR16" s="7"/>
      <c r="DGS16" s="7"/>
      <c r="DGT16" s="7"/>
      <c r="DGU16" s="7"/>
      <c r="DGV16" s="7"/>
      <c r="DGW16" s="7"/>
      <c r="DGX16" s="7"/>
      <c r="DGY16" s="7"/>
      <c r="DGZ16" s="7"/>
      <c r="DHA16" s="7"/>
      <c r="DHB16" s="7"/>
      <c r="DHC16" s="7"/>
      <c r="DHD16" s="7"/>
      <c r="DHE16" s="7"/>
      <c r="DHF16" s="7"/>
      <c r="DHG16" s="7"/>
      <c r="DHH16" s="7"/>
      <c r="DHI16" s="7"/>
      <c r="DHJ16" s="7"/>
      <c r="DHK16" s="7"/>
      <c r="DHL16" s="7"/>
      <c r="DHM16" s="7"/>
      <c r="DHN16" s="7"/>
      <c r="DHO16" s="7"/>
      <c r="DHP16" s="7"/>
      <c r="DHQ16" s="7"/>
      <c r="DHR16" s="7"/>
      <c r="DHS16" s="7"/>
      <c r="DHT16" s="7"/>
      <c r="DHU16" s="7"/>
      <c r="DHV16" s="7"/>
      <c r="DHW16" s="7"/>
      <c r="DHX16" s="7"/>
      <c r="DHY16" s="7"/>
      <c r="DHZ16" s="7"/>
      <c r="DIA16" s="7"/>
      <c r="DIB16" s="7"/>
      <c r="DIC16" s="7"/>
      <c r="DID16" s="7"/>
      <c r="DIE16" s="7"/>
      <c r="DIF16" s="7"/>
      <c r="DIG16" s="7"/>
      <c r="DIH16" s="7"/>
      <c r="DII16" s="7"/>
      <c r="DIJ16" s="7"/>
      <c r="DIK16" s="7"/>
      <c r="DIL16" s="7"/>
      <c r="DIM16" s="7"/>
      <c r="DIN16" s="7"/>
      <c r="DIO16" s="7"/>
      <c r="DIP16" s="7"/>
      <c r="DIQ16" s="7"/>
      <c r="DIR16" s="7"/>
      <c r="DIS16" s="7"/>
      <c r="DIT16" s="7"/>
      <c r="DIU16" s="7"/>
      <c r="DIV16" s="7"/>
      <c r="DIW16" s="7"/>
      <c r="DIX16" s="7"/>
      <c r="DIY16" s="7"/>
      <c r="DIZ16" s="7"/>
      <c r="DJA16" s="7"/>
      <c r="DJB16" s="7"/>
      <c r="DJC16" s="7"/>
      <c r="DJD16" s="7"/>
      <c r="DJE16" s="7"/>
      <c r="DJF16" s="7"/>
      <c r="DJG16" s="7"/>
      <c r="DJH16" s="7"/>
      <c r="DJI16" s="7"/>
      <c r="DJJ16" s="7"/>
      <c r="DJK16" s="7"/>
      <c r="DJL16" s="7"/>
      <c r="DJM16" s="7"/>
      <c r="DJN16" s="7"/>
      <c r="DJO16" s="7"/>
      <c r="DJP16" s="7"/>
      <c r="DJQ16" s="7"/>
      <c r="DJR16" s="7"/>
      <c r="DJS16" s="7"/>
      <c r="DJT16" s="7"/>
      <c r="DJU16" s="7"/>
      <c r="DJV16" s="7"/>
      <c r="DJW16" s="7"/>
      <c r="DJX16" s="7"/>
      <c r="DJY16" s="7"/>
      <c r="DJZ16" s="7"/>
      <c r="DKA16" s="7"/>
      <c r="DKB16" s="7"/>
      <c r="DKC16" s="7"/>
      <c r="DKD16" s="7"/>
      <c r="DKE16" s="7"/>
      <c r="DKF16" s="7"/>
      <c r="DKG16" s="7"/>
      <c r="DKH16" s="7"/>
      <c r="DKI16" s="7"/>
      <c r="DKJ16" s="7"/>
      <c r="DKK16" s="7"/>
      <c r="DKL16" s="7"/>
      <c r="DKM16" s="7"/>
      <c r="DKN16" s="7"/>
      <c r="DKO16" s="7"/>
      <c r="DKP16" s="7"/>
      <c r="DKQ16" s="7"/>
      <c r="DKR16" s="7"/>
      <c r="DKS16" s="7"/>
      <c r="DKT16" s="7"/>
      <c r="DKU16" s="7"/>
      <c r="DKV16" s="7"/>
      <c r="DKW16" s="7"/>
      <c r="DKX16" s="7"/>
      <c r="DKY16" s="7"/>
      <c r="DKZ16" s="7"/>
      <c r="DLA16" s="7"/>
      <c r="DLB16" s="7"/>
      <c r="DLC16" s="7"/>
      <c r="DLD16" s="7"/>
      <c r="DLE16" s="7"/>
      <c r="DLF16" s="7"/>
      <c r="DLG16" s="7"/>
      <c r="DLH16" s="7"/>
      <c r="DLI16" s="7"/>
      <c r="DLJ16" s="7"/>
      <c r="DLK16" s="7"/>
      <c r="DLL16" s="7"/>
      <c r="DLM16" s="7"/>
      <c r="DLN16" s="7"/>
      <c r="DLO16" s="7"/>
      <c r="DLP16" s="7"/>
      <c r="DLQ16" s="7"/>
      <c r="DLR16" s="7"/>
      <c r="DLS16" s="7"/>
      <c r="DLT16" s="7"/>
      <c r="DLU16" s="7"/>
      <c r="DLV16" s="7"/>
      <c r="DLW16" s="7"/>
      <c r="DLX16" s="7"/>
      <c r="DLY16" s="7"/>
      <c r="DLZ16" s="7"/>
      <c r="DMA16" s="7"/>
      <c r="DMB16" s="7"/>
      <c r="DMC16" s="7"/>
      <c r="DMD16" s="7"/>
      <c r="DME16" s="7"/>
      <c r="DMF16" s="7"/>
      <c r="DMG16" s="7"/>
      <c r="DMH16" s="7"/>
      <c r="DMI16" s="7"/>
      <c r="DMJ16" s="7"/>
      <c r="DMK16" s="7"/>
      <c r="DML16" s="7"/>
      <c r="DMM16" s="7"/>
      <c r="DMN16" s="7"/>
      <c r="DMO16" s="7"/>
      <c r="DMP16" s="7"/>
      <c r="DMQ16" s="7"/>
      <c r="DMR16" s="7"/>
      <c r="DMS16" s="7"/>
      <c r="DMT16" s="7"/>
      <c r="DMU16" s="7"/>
      <c r="DMV16" s="7"/>
      <c r="DMW16" s="7"/>
      <c r="DMX16" s="7"/>
      <c r="DMY16" s="7"/>
      <c r="DMZ16" s="7"/>
      <c r="DNA16" s="7"/>
      <c r="DNB16" s="7"/>
      <c r="DNC16" s="7"/>
      <c r="DND16" s="7"/>
      <c r="DNE16" s="7"/>
      <c r="DNF16" s="7"/>
      <c r="DNG16" s="7"/>
      <c r="DNH16" s="7"/>
      <c r="DNI16" s="7"/>
      <c r="DNJ16" s="7"/>
      <c r="DNK16" s="7"/>
      <c r="DNL16" s="7"/>
      <c r="DNM16" s="7"/>
      <c r="DNN16" s="7"/>
      <c r="DNO16" s="7"/>
      <c r="DNP16" s="7"/>
      <c r="DNQ16" s="7"/>
      <c r="DNR16" s="7"/>
      <c r="DNS16" s="7"/>
      <c r="DNT16" s="7"/>
      <c r="DNU16" s="7"/>
      <c r="DNV16" s="7"/>
      <c r="DNW16" s="7"/>
      <c r="DNX16" s="7"/>
      <c r="DNY16" s="7"/>
      <c r="DNZ16" s="7"/>
      <c r="DOA16" s="7"/>
      <c r="DOB16" s="7"/>
      <c r="DOC16" s="7"/>
      <c r="DOD16" s="7"/>
      <c r="DOE16" s="7"/>
      <c r="DOF16" s="7"/>
      <c r="DOG16" s="7"/>
      <c r="DOH16" s="7"/>
      <c r="DOI16" s="7"/>
      <c r="DOJ16" s="7"/>
      <c r="DOK16" s="7"/>
      <c r="DOL16" s="7"/>
      <c r="DOM16" s="7"/>
      <c r="DON16" s="7"/>
      <c r="DOO16" s="7"/>
      <c r="DOP16" s="7"/>
      <c r="DOQ16" s="7"/>
      <c r="DOR16" s="7"/>
      <c r="DOS16" s="7"/>
      <c r="DOT16" s="7"/>
      <c r="DOU16" s="7"/>
      <c r="DOV16" s="7"/>
      <c r="DOW16" s="7"/>
      <c r="DOX16" s="7"/>
      <c r="DOY16" s="7"/>
      <c r="DOZ16" s="7"/>
      <c r="DPA16" s="7"/>
      <c r="DPB16" s="7"/>
      <c r="DPC16" s="7"/>
      <c r="DPD16" s="7"/>
      <c r="DPE16" s="7"/>
      <c r="DPF16" s="7"/>
      <c r="DPG16" s="7"/>
      <c r="DPH16" s="7"/>
      <c r="DPI16" s="7"/>
      <c r="DPJ16" s="7"/>
      <c r="DPK16" s="7"/>
      <c r="DPL16" s="7"/>
      <c r="DPM16" s="7"/>
      <c r="DPN16" s="7"/>
      <c r="DPO16" s="7"/>
      <c r="DPP16" s="7"/>
      <c r="DPQ16" s="7"/>
      <c r="DPR16" s="7"/>
      <c r="DPS16" s="7"/>
      <c r="DPT16" s="7"/>
      <c r="DPU16" s="7"/>
      <c r="DPV16" s="7"/>
      <c r="DPW16" s="7"/>
      <c r="DPX16" s="7"/>
      <c r="DPY16" s="7"/>
      <c r="DPZ16" s="7"/>
      <c r="DQA16" s="7"/>
      <c r="DQB16" s="7"/>
      <c r="DQC16" s="7"/>
      <c r="DQD16" s="7"/>
      <c r="DQE16" s="7"/>
      <c r="DQF16" s="7"/>
      <c r="DQG16" s="7"/>
      <c r="DQH16" s="7"/>
      <c r="DQI16" s="7"/>
      <c r="DQJ16" s="7"/>
      <c r="DQK16" s="7"/>
      <c r="DQL16" s="7"/>
      <c r="DQM16" s="7"/>
      <c r="DQN16" s="7"/>
      <c r="DQO16" s="7"/>
      <c r="DQP16" s="7"/>
      <c r="DQQ16" s="7"/>
      <c r="DQR16" s="7"/>
      <c r="DQS16" s="7"/>
      <c r="DQT16" s="7"/>
      <c r="DQU16" s="7"/>
      <c r="DQV16" s="7"/>
      <c r="DQW16" s="7"/>
      <c r="DQX16" s="7"/>
      <c r="DQY16" s="7"/>
      <c r="DQZ16" s="7"/>
      <c r="DRA16" s="7"/>
      <c r="DRB16" s="7"/>
      <c r="DRC16" s="7"/>
      <c r="DRD16" s="7"/>
      <c r="DRE16" s="7"/>
      <c r="DRF16" s="7"/>
      <c r="DRG16" s="7"/>
      <c r="DRH16" s="7"/>
      <c r="DRI16" s="7"/>
      <c r="DRJ16" s="7"/>
      <c r="DRK16" s="7"/>
      <c r="DRL16" s="7"/>
      <c r="DRM16" s="7"/>
      <c r="DRN16" s="7"/>
      <c r="DRO16" s="7"/>
      <c r="DRP16" s="7"/>
      <c r="DRQ16" s="7"/>
      <c r="DRR16" s="7"/>
      <c r="DRS16" s="7"/>
      <c r="DRT16" s="7"/>
      <c r="DRU16" s="7"/>
      <c r="DRV16" s="7"/>
      <c r="DRW16" s="7"/>
      <c r="DRX16" s="7"/>
      <c r="DRY16" s="7"/>
      <c r="DRZ16" s="7"/>
      <c r="DSA16" s="7"/>
      <c r="DSB16" s="7"/>
      <c r="DSC16" s="7"/>
      <c r="DSD16" s="7"/>
      <c r="DSE16" s="7"/>
      <c r="DSF16" s="7"/>
      <c r="DSG16" s="7"/>
      <c r="DSH16" s="7"/>
      <c r="DSI16" s="7"/>
      <c r="DSJ16" s="7"/>
      <c r="DSK16" s="7"/>
      <c r="DSL16" s="7"/>
      <c r="DSM16" s="7"/>
      <c r="DSN16" s="7"/>
      <c r="DSO16" s="7"/>
      <c r="DSP16" s="7"/>
      <c r="DSQ16" s="7"/>
      <c r="DSR16" s="7"/>
      <c r="DSS16" s="7"/>
      <c r="DST16" s="7"/>
      <c r="DSU16" s="7"/>
      <c r="DSV16" s="7"/>
      <c r="DSW16" s="7"/>
      <c r="DSX16" s="7"/>
      <c r="DSY16" s="7"/>
      <c r="DSZ16" s="7"/>
      <c r="DTA16" s="7"/>
      <c r="DTB16" s="7"/>
      <c r="DTC16" s="7"/>
      <c r="DTD16" s="7"/>
      <c r="DTE16" s="7"/>
      <c r="DTF16" s="7"/>
      <c r="DTG16" s="7"/>
      <c r="DTH16" s="7"/>
      <c r="DTI16" s="7"/>
      <c r="DTJ16" s="7"/>
      <c r="DTK16" s="7"/>
      <c r="DTL16" s="7"/>
      <c r="DTM16" s="7"/>
      <c r="DTN16" s="7"/>
      <c r="DTO16" s="7"/>
      <c r="DTP16" s="7"/>
      <c r="DTQ16" s="7"/>
      <c r="DTR16" s="7"/>
      <c r="DTS16" s="7"/>
      <c r="DTT16" s="7"/>
      <c r="DTU16" s="7"/>
      <c r="DTV16" s="7"/>
      <c r="DTW16" s="7"/>
      <c r="DTX16" s="7"/>
      <c r="DTY16" s="7"/>
      <c r="DTZ16" s="7"/>
      <c r="DUA16" s="7"/>
      <c r="DUB16" s="7"/>
      <c r="DUC16" s="7"/>
      <c r="DUD16" s="7"/>
      <c r="DUE16" s="7"/>
      <c r="DUF16" s="7"/>
      <c r="DUG16" s="7"/>
      <c r="DUH16" s="7"/>
      <c r="DUI16" s="7"/>
      <c r="DUJ16" s="7"/>
      <c r="DUK16" s="7"/>
      <c r="DUL16" s="7"/>
      <c r="DUM16" s="7"/>
      <c r="DUN16" s="7"/>
      <c r="DUO16" s="7"/>
      <c r="DUP16" s="7"/>
      <c r="DUQ16" s="7"/>
      <c r="DUR16" s="7"/>
      <c r="DUS16" s="7"/>
      <c r="DUT16" s="7"/>
      <c r="DUU16" s="7"/>
      <c r="DUV16" s="7"/>
      <c r="DUW16" s="7"/>
      <c r="DUX16" s="7"/>
      <c r="DUY16" s="7"/>
      <c r="DUZ16" s="7"/>
      <c r="DVA16" s="7"/>
      <c r="DVB16" s="7"/>
      <c r="DVC16" s="7"/>
      <c r="DVD16" s="7"/>
      <c r="DVE16" s="7"/>
      <c r="DVF16" s="7"/>
      <c r="DVG16" s="7"/>
      <c r="DVH16" s="7"/>
      <c r="DVI16" s="7"/>
      <c r="DVJ16" s="7"/>
      <c r="DVK16" s="7"/>
      <c r="DVL16" s="7"/>
      <c r="DVM16" s="7"/>
      <c r="DVN16" s="7"/>
      <c r="DVO16" s="7"/>
      <c r="DVP16" s="7"/>
      <c r="DVQ16" s="7"/>
      <c r="DVR16" s="7"/>
      <c r="DVS16" s="7"/>
      <c r="DVT16" s="7"/>
      <c r="DVU16" s="7"/>
      <c r="DVV16" s="7"/>
      <c r="DVW16" s="7"/>
      <c r="DVX16" s="7"/>
      <c r="DVY16" s="7"/>
      <c r="DVZ16" s="7"/>
      <c r="DWA16" s="7"/>
      <c r="DWB16" s="7"/>
      <c r="DWC16" s="7"/>
      <c r="DWD16" s="7"/>
      <c r="DWE16" s="7"/>
      <c r="DWF16" s="7"/>
      <c r="DWG16" s="7"/>
      <c r="DWH16" s="7"/>
      <c r="DWI16" s="7"/>
      <c r="DWJ16" s="7"/>
      <c r="DWK16" s="7"/>
      <c r="DWL16" s="7"/>
      <c r="DWM16" s="7"/>
      <c r="DWN16" s="7"/>
      <c r="DWO16" s="7"/>
      <c r="DWP16" s="7"/>
      <c r="DWQ16" s="7"/>
      <c r="DWR16" s="7"/>
      <c r="DWS16" s="7"/>
      <c r="DWT16" s="7"/>
      <c r="DWU16" s="7"/>
      <c r="DWV16" s="7"/>
      <c r="DWW16" s="7"/>
      <c r="DWX16" s="7"/>
      <c r="DWY16" s="7"/>
      <c r="DWZ16" s="7"/>
      <c r="DXA16" s="7"/>
      <c r="DXB16" s="7"/>
      <c r="DXC16" s="7"/>
      <c r="DXD16" s="7"/>
      <c r="DXE16" s="7"/>
      <c r="DXF16" s="7"/>
      <c r="DXG16" s="7"/>
      <c r="DXH16" s="7"/>
      <c r="DXI16" s="7"/>
      <c r="DXJ16" s="7"/>
      <c r="DXK16" s="7"/>
      <c r="DXL16" s="7"/>
      <c r="DXM16" s="7"/>
      <c r="DXN16" s="7"/>
      <c r="DXO16" s="7"/>
      <c r="DXP16" s="7"/>
      <c r="DXQ16" s="7"/>
      <c r="DXR16" s="7"/>
      <c r="DXS16" s="7"/>
      <c r="DXT16" s="7"/>
      <c r="DXU16" s="7"/>
      <c r="DXV16" s="7"/>
      <c r="DXW16" s="7"/>
      <c r="DXX16" s="7"/>
      <c r="DXY16" s="7"/>
      <c r="DXZ16" s="7"/>
      <c r="DYA16" s="7"/>
      <c r="DYB16" s="7"/>
      <c r="DYC16" s="7"/>
      <c r="DYD16" s="7"/>
      <c r="DYE16" s="7"/>
      <c r="DYF16" s="7"/>
      <c r="DYG16" s="7"/>
      <c r="DYH16" s="7"/>
      <c r="DYI16" s="7"/>
      <c r="DYJ16" s="7"/>
      <c r="DYK16" s="7"/>
      <c r="DYL16" s="7"/>
      <c r="DYM16" s="7"/>
      <c r="DYN16" s="7"/>
      <c r="DYO16" s="7"/>
      <c r="DYP16" s="7"/>
      <c r="DYQ16" s="7"/>
      <c r="DYR16" s="7"/>
      <c r="DYS16" s="7"/>
      <c r="DYT16" s="7"/>
      <c r="DYU16" s="7"/>
      <c r="DYV16" s="7"/>
      <c r="DYW16" s="7"/>
      <c r="DYX16" s="7"/>
      <c r="DYY16" s="7"/>
      <c r="DYZ16" s="7"/>
      <c r="DZA16" s="7"/>
      <c r="DZB16" s="7"/>
      <c r="DZC16" s="7"/>
      <c r="DZD16" s="7"/>
      <c r="DZE16" s="7"/>
      <c r="DZF16" s="7"/>
      <c r="DZG16" s="7"/>
      <c r="DZH16" s="7"/>
      <c r="DZI16" s="7"/>
      <c r="DZJ16" s="7"/>
      <c r="DZK16" s="7"/>
      <c r="DZL16" s="7"/>
      <c r="DZM16" s="7"/>
      <c r="DZN16" s="7"/>
      <c r="DZO16" s="7"/>
      <c r="DZP16" s="7"/>
      <c r="DZQ16" s="7"/>
      <c r="DZR16" s="7"/>
      <c r="DZS16" s="7"/>
      <c r="DZT16" s="7"/>
      <c r="DZU16" s="7"/>
      <c r="DZV16" s="7"/>
      <c r="DZW16" s="7"/>
      <c r="DZX16" s="7"/>
      <c r="DZY16" s="7"/>
      <c r="DZZ16" s="7"/>
      <c r="EAA16" s="7"/>
      <c r="EAB16" s="7"/>
      <c r="EAC16" s="7"/>
      <c r="EAD16" s="7"/>
      <c r="EAE16" s="7"/>
      <c r="EAF16" s="7"/>
      <c r="EAG16" s="7"/>
      <c r="EAH16" s="7"/>
      <c r="EAI16" s="7"/>
      <c r="EAJ16" s="7"/>
      <c r="EAK16" s="7"/>
      <c r="EAL16" s="7"/>
      <c r="EAM16" s="7"/>
      <c r="EAN16" s="7"/>
      <c r="EAO16" s="7"/>
      <c r="EAP16" s="7"/>
      <c r="EAQ16" s="7"/>
      <c r="EAR16" s="7"/>
      <c r="EAS16" s="7"/>
      <c r="EAT16" s="7"/>
      <c r="EAU16" s="7"/>
      <c r="EAV16" s="7"/>
      <c r="EAW16" s="7"/>
      <c r="EAX16" s="7"/>
      <c r="EAY16" s="7"/>
      <c r="EAZ16" s="7"/>
      <c r="EBA16" s="7"/>
      <c r="EBB16" s="7"/>
      <c r="EBC16" s="7"/>
      <c r="EBD16" s="7"/>
      <c r="EBE16" s="7"/>
      <c r="EBF16" s="7"/>
      <c r="EBG16" s="7"/>
      <c r="EBH16" s="7"/>
      <c r="EBI16" s="7"/>
      <c r="EBJ16" s="7"/>
      <c r="EBK16" s="7"/>
      <c r="EBL16" s="7"/>
      <c r="EBM16" s="7"/>
      <c r="EBN16" s="7"/>
      <c r="EBO16" s="7"/>
      <c r="EBP16" s="7"/>
      <c r="EBQ16" s="7"/>
      <c r="EBR16" s="7"/>
      <c r="EBS16" s="7"/>
      <c r="EBT16" s="7"/>
      <c r="EBU16" s="7"/>
      <c r="EBV16" s="7"/>
      <c r="EBW16" s="7"/>
      <c r="EBX16" s="7"/>
      <c r="EBY16" s="7"/>
      <c r="EBZ16" s="7"/>
      <c r="ECA16" s="7"/>
      <c r="ECB16" s="7"/>
      <c r="ECC16" s="7"/>
      <c r="ECD16" s="7"/>
      <c r="ECE16" s="7"/>
      <c r="ECF16" s="7"/>
      <c r="ECG16" s="7"/>
      <c r="ECH16" s="7"/>
      <c r="ECI16" s="7"/>
      <c r="ECJ16" s="7"/>
      <c r="ECK16" s="7"/>
      <c r="ECL16" s="7"/>
      <c r="ECM16" s="7"/>
      <c r="ECN16" s="7"/>
      <c r="ECO16" s="7"/>
      <c r="ECP16" s="7"/>
      <c r="ECQ16" s="7"/>
      <c r="ECR16" s="7"/>
      <c r="ECS16" s="7"/>
      <c r="ECT16" s="7"/>
      <c r="ECU16" s="7"/>
      <c r="ECV16" s="7"/>
      <c r="ECW16" s="7"/>
      <c r="ECX16" s="7"/>
      <c r="ECY16" s="7"/>
      <c r="ECZ16" s="7"/>
      <c r="EDA16" s="7"/>
      <c r="EDB16" s="7"/>
      <c r="EDC16" s="7"/>
      <c r="EDD16" s="7"/>
      <c r="EDE16" s="7"/>
      <c r="EDF16" s="7"/>
      <c r="EDG16" s="7"/>
      <c r="EDH16" s="7"/>
      <c r="EDI16" s="7"/>
      <c r="EDJ16" s="7"/>
      <c r="EDK16" s="7"/>
      <c r="EDL16" s="7"/>
      <c r="EDM16" s="7"/>
      <c r="EDN16" s="7"/>
      <c r="EDO16" s="7"/>
      <c r="EDP16" s="7"/>
      <c r="EDQ16" s="7"/>
      <c r="EDR16" s="7"/>
      <c r="EDS16" s="7"/>
      <c r="EDT16" s="7"/>
      <c r="EDU16" s="7"/>
      <c r="EDV16" s="7"/>
      <c r="EDW16" s="7"/>
      <c r="EDX16" s="7"/>
      <c r="EDY16" s="7"/>
      <c r="EDZ16" s="7"/>
      <c r="EEA16" s="7"/>
      <c r="EEB16" s="7"/>
      <c r="EEC16" s="7"/>
      <c r="EED16" s="7"/>
      <c r="EEE16" s="7"/>
      <c r="EEF16" s="7"/>
      <c r="EEG16" s="7"/>
      <c r="EEH16" s="7"/>
      <c r="EEI16" s="7"/>
      <c r="EEJ16" s="7"/>
      <c r="EEK16" s="7"/>
      <c r="EEL16" s="7"/>
      <c r="EEM16" s="7"/>
      <c r="EEN16" s="7"/>
      <c r="EEO16" s="7"/>
      <c r="EEP16" s="7"/>
      <c r="EEQ16" s="7"/>
      <c r="EER16" s="7"/>
      <c r="EES16" s="7"/>
      <c r="EET16" s="7"/>
      <c r="EEU16" s="7"/>
      <c r="EEV16" s="7"/>
      <c r="EEW16" s="7"/>
      <c r="EEX16" s="7"/>
      <c r="EEY16" s="7"/>
      <c r="EEZ16" s="7"/>
      <c r="EFA16" s="7"/>
      <c r="EFB16" s="7"/>
      <c r="EFC16" s="7"/>
      <c r="EFD16" s="7"/>
      <c r="EFE16" s="7"/>
      <c r="EFF16" s="7"/>
      <c r="EFG16" s="7"/>
      <c r="EFH16" s="7"/>
      <c r="EFI16" s="7"/>
      <c r="EFJ16" s="7"/>
      <c r="EFK16" s="7"/>
      <c r="EFL16" s="7"/>
      <c r="EFM16" s="7"/>
      <c r="EFN16" s="7"/>
      <c r="EFO16" s="7"/>
      <c r="EFP16" s="7"/>
      <c r="EFQ16" s="7"/>
      <c r="EFR16" s="7"/>
      <c r="EFS16" s="7"/>
      <c r="EFT16" s="7"/>
      <c r="EFU16" s="7"/>
      <c r="EFV16" s="7"/>
      <c r="EFW16" s="7"/>
      <c r="EFX16" s="7"/>
      <c r="EFY16" s="7"/>
      <c r="EFZ16" s="7"/>
      <c r="EGA16" s="7"/>
      <c r="EGB16" s="7"/>
      <c r="EGC16" s="7"/>
      <c r="EGD16" s="7"/>
      <c r="EGE16" s="7"/>
      <c r="EGF16" s="7"/>
      <c r="EGG16" s="7"/>
      <c r="EGH16" s="7"/>
      <c r="EGI16" s="7"/>
      <c r="EGJ16" s="7"/>
      <c r="EGK16" s="7"/>
      <c r="EGL16" s="7"/>
      <c r="EGM16" s="7"/>
      <c r="EGN16" s="7"/>
      <c r="EGO16" s="7"/>
      <c r="EGP16" s="7"/>
      <c r="EGQ16" s="7"/>
      <c r="EGR16" s="7"/>
      <c r="EGS16" s="7"/>
      <c r="EGT16" s="7"/>
      <c r="EGU16" s="7"/>
      <c r="EGV16" s="7"/>
      <c r="EGW16" s="7"/>
      <c r="EGX16" s="7"/>
      <c r="EGY16" s="7"/>
      <c r="EGZ16" s="7"/>
      <c r="EHA16" s="7"/>
      <c r="EHB16" s="7"/>
      <c r="EHC16" s="7"/>
      <c r="EHD16" s="7"/>
      <c r="EHE16" s="7"/>
      <c r="EHF16" s="7"/>
      <c r="EHG16" s="7"/>
      <c r="EHH16" s="7"/>
      <c r="EHI16" s="7"/>
      <c r="EHJ16" s="7"/>
      <c r="EHK16" s="7"/>
      <c r="EHL16" s="7"/>
      <c r="EHM16" s="7"/>
      <c r="EHN16" s="7"/>
      <c r="EHO16" s="7"/>
      <c r="EHP16" s="7"/>
      <c r="EHQ16" s="7"/>
      <c r="EHR16" s="7"/>
      <c r="EHS16" s="7"/>
      <c r="EHT16" s="7"/>
      <c r="EHU16" s="7"/>
      <c r="EHV16" s="7"/>
      <c r="EHW16" s="7"/>
      <c r="EHX16" s="7"/>
      <c r="EHY16" s="7"/>
      <c r="EHZ16" s="7"/>
      <c r="EIA16" s="7"/>
      <c r="EIB16" s="7"/>
      <c r="EIC16" s="7"/>
      <c r="EID16" s="7"/>
      <c r="EIE16" s="7"/>
      <c r="EIF16" s="7"/>
      <c r="EIG16" s="7"/>
      <c r="EIH16" s="7"/>
      <c r="EII16" s="7"/>
      <c r="EIJ16" s="7"/>
      <c r="EIK16" s="7"/>
      <c r="EIL16" s="7"/>
      <c r="EIM16" s="7"/>
      <c r="EIN16" s="7"/>
      <c r="EIO16" s="7"/>
      <c r="EIP16" s="7"/>
      <c r="EIQ16" s="7"/>
      <c r="EIR16" s="7"/>
      <c r="EIS16" s="7"/>
      <c r="EIT16" s="7"/>
      <c r="EIU16" s="7"/>
      <c r="EIV16" s="7"/>
      <c r="EIW16" s="7"/>
      <c r="EIX16" s="7"/>
      <c r="EIY16" s="7"/>
      <c r="EIZ16" s="7"/>
      <c r="EJA16" s="7"/>
      <c r="EJB16" s="7"/>
      <c r="EJC16" s="7"/>
      <c r="EJD16" s="7"/>
      <c r="EJE16" s="7"/>
      <c r="EJF16" s="7"/>
      <c r="EJG16" s="7"/>
      <c r="EJH16" s="7"/>
      <c r="EJI16" s="7"/>
      <c r="EJJ16" s="7"/>
      <c r="EJK16" s="7"/>
      <c r="EJL16" s="7"/>
      <c r="EJM16" s="7"/>
      <c r="EJN16" s="7"/>
      <c r="EJO16" s="7"/>
      <c r="EJP16" s="7"/>
      <c r="EJQ16" s="7"/>
      <c r="EJR16" s="7"/>
      <c r="EJS16" s="7"/>
      <c r="EJT16" s="7"/>
      <c r="EJU16" s="7"/>
      <c r="EJV16" s="7"/>
      <c r="EJW16" s="7"/>
      <c r="EJX16" s="7"/>
      <c r="EJY16" s="7"/>
      <c r="EJZ16" s="7"/>
      <c r="EKA16" s="7"/>
      <c r="EKB16" s="7"/>
      <c r="EKC16" s="7"/>
      <c r="EKD16" s="7"/>
      <c r="EKE16" s="7"/>
      <c r="EKF16" s="7"/>
      <c r="EKG16" s="7"/>
      <c r="EKH16" s="7"/>
      <c r="EKI16" s="7"/>
      <c r="EKJ16" s="7"/>
      <c r="EKK16" s="7"/>
      <c r="EKL16" s="7"/>
      <c r="EKM16" s="7"/>
      <c r="EKN16" s="7"/>
      <c r="EKO16" s="7"/>
      <c r="EKP16" s="7"/>
      <c r="EKQ16" s="7"/>
      <c r="EKR16" s="7"/>
      <c r="EKS16" s="7"/>
      <c r="EKT16" s="7"/>
      <c r="EKU16" s="7"/>
      <c r="EKV16" s="7"/>
      <c r="EKW16" s="7"/>
      <c r="EKX16" s="7"/>
      <c r="EKY16" s="7"/>
      <c r="EKZ16" s="7"/>
      <c r="ELA16" s="7"/>
      <c r="ELB16" s="7"/>
      <c r="ELC16" s="7"/>
      <c r="ELD16" s="7"/>
      <c r="ELE16" s="7"/>
      <c r="ELF16" s="7"/>
      <c r="ELG16" s="7"/>
      <c r="ELH16" s="7"/>
      <c r="ELI16" s="7"/>
      <c r="ELJ16" s="7"/>
      <c r="ELK16" s="7"/>
      <c r="ELL16" s="7"/>
      <c r="ELM16" s="7"/>
      <c r="ELN16" s="7"/>
      <c r="ELO16" s="7"/>
      <c r="ELP16" s="7"/>
      <c r="ELQ16" s="7"/>
      <c r="ELR16" s="7"/>
      <c r="ELS16" s="7"/>
      <c r="ELT16" s="7"/>
      <c r="ELU16" s="7"/>
      <c r="ELV16" s="7"/>
      <c r="ELW16" s="7"/>
      <c r="ELX16" s="7"/>
      <c r="ELY16" s="7"/>
      <c r="ELZ16" s="7"/>
      <c r="EMA16" s="7"/>
      <c r="EMB16" s="7"/>
      <c r="EMC16" s="7"/>
      <c r="EMD16" s="7"/>
      <c r="EME16" s="7"/>
      <c r="EMF16" s="7"/>
      <c r="EMG16" s="7"/>
      <c r="EMH16" s="7"/>
      <c r="EMI16" s="7"/>
      <c r="EMJ16" s="7"/>
      <c r="EMK16" s="7"/>
      <c r="EML16" s="7"/>
      <c r="EMM16" s="7"/>
      <c r="EMN16" s="7"/>
      <c r="EMO16" s="7"/>
      <c r="EMP16" s="7"/>
      <c r="EMQ16" s="7"/>
      <c r="EMR16" s="7"/>
      <c r="EMS16" s="7"/>
      <c r="EMT16" s="7"/>
      <c r="EMU16" s="7"/>
      <c r="EMV16" s="7"/>
      <c r="EMW16" s="7"/>
      <c r="EMX16" s="7"/>
      <c r="EMY16" s="7"/>
      <c r="EMZ16" s="7"/>
      <c r="ENA16" s="7"/>
      <c r="ENB16" s="7"/>
      <c r="ENC16" s="7"/>
      <c r="END16" s="7"/>
      <c r="ENE16" s="7"/>
      <c r="ENF16" s="7"/>
      <c r="ENG16" s="7"/>
      <c r="ENH16" s="7"/>
      <c r="ENI16" s="7"/>
      <c r="ENJ16" s="7"/>
      <c r="ENK16" s="7"/>
      <c r="ENL16" s="7"/>
      <c r="ENM16" s="7"/>
      <c r="ENN16" s="7"/>
      <c r="ENO16" s="7"/>
      <c r="ENP16" s="7"/>
      <c r="ENQ16" s="7"/>
      <c r="ENR16" s="7"/>
      <c r="ENS16" s="7"/>
      <c r="ENT16" s="7"/>
      <c r="ENU16" s="7"/>
      <c r="ENV16" s="7"/>
      <c r="ENW16" s="7"/>
      <c r="ENX16" s="7"/>
      <c r="ENY16" s="7"/>
      <c r="ENZ16" s="7"/>
      <c r="EOA16" s="7"/>
      <c r="EOB16" s="7"/>
      <c r="EOC16" s="7"/>
      <c r="EOD16" s="7"/>
      <c r="EOE16" s="7"/>
      <c r="EOF16" s="7"/>
      <c r="EOG16" s="7"/>
      <c r="EOH16" s="7"/>
      <c r="EOI16" s="7"/>
      <c r="EOJ16" s="7"/>
      <c r="EOK16" s="7"/>
      <c r="EOL16" s="7"/>
      <c r="EOM16" s="7"/>
      <c r="EON16" s="7"/>
      <c r="EOO16" s="7"/>
      <c r="EOP16" s="7"/>
      <c r="EOQ16" s="7"/>
      <c r="EOR16" s="7"/>
      <c r="EOS16" s="7"/>
      <c r="EOT16" s="7"/>
      <c r="EOU16" s="7"/>
      <c r="EOV16" s="7"/>
      <c r="EOW16" s="7"/>
      <c r="EOX16" s="7"/>
      <c r="EOY16" s="7"/>
      <c r="EOZ16" s="7"/>
      <c r="EPA16" s="7"/>
      <c r="EPB16" s="7"/>
      <c r="EPC16" s="7"/>
      <c r="EPD16" s="7"/>
      <c r="EPE16" s="7"/>
      <c r="EPF16" s="7"/>
      <c r="EPG16" s="7"/>
      <c r="EPH16" s="7"/>
      <c r="EPI16" s="7"/>
      <c r="EPJ16" s="7"/>
      <c r="EPK16" s="7"/>
      <c r="EPL16" s="7"/>
      <c r="EPM16" s="7"/>
      <c r="EPN16" s="7"/>
      <c r="EPO16" s="7"/>
      <c r="EPP16" s="7"/>
      <c r="EPQ16" s="7"/>
      <c r="EPR16" s="7"/>
      <c r="EPS16" s="7"/>
      <c r="EPT16" s="7"/>
      <c r="EPU16" s="7"/>
      <c r="EPV16" s="7"/>
      <c r="EPW16" s="7"/>
      <c r="EPX16" s="7"/>
      <c r="EPY16" s="7"/>
      <c r="EPZ16" s="7"/>
      <c r="EQA16" s="7"/>
      <c r="EQB16" s="7"/>
      <c r="EQC16" s="7"/>
      <c r="EQD16" s="7"/>
      <c r="EQE16" s="7"/>
      <c r="EQF16" s="7"/>
      <c r="EQG16" s="7"/>
      <c r="EQH16" s="7"/>
      <c r="EQI16" s="7"/>
      <c r="EQJ16" s="7"/>
      <c r="EQK16" s="7"/>
      <c r="EQL16" s="7"/>
      <c r="EQM16" s="7"/>
      <c r="EQN16" s="7"/>
      <c r="EQO16" s="7"/>
      <c r="EQP16" s="7"/>
      <c r="EQQ16" s="7"/>
      <c r="EQR16" s="7"/>
      <c r="EQS16" s="7"/>
      <c r="EQT16" s="7"/>
      <c r="EQU16" s="7"/>
      <c r="EQV16" s="7"/>
      <c r="EQW16" s="7"/>
      <c r="EQX16" s="7"/>
      <c r="EQY16" s="7"/>
      <c r="EQZ16" s="7"/>
      <c r="ERA16" s="7"/>
      <c r="ERB16" s="7"/>
      <c r="ERC16" s="7"/>
      <c r="ERD16" s="7"/>
      <c r="ERE16" s="7"/>
      <c r="ERF16" s="7"/>
      <c r="ERG16" s="7"/>
      <c r="ERH16" s="7"/>
      <c r="ERI16" s="7"/>
      <c r="ERJ16" s="7"/>
      <c r="ERK16" s="7"/>
      <c r="ERL16" s="7"/>
      <c r="ERM16" s="7"/>
      <c r="ERN16" s="7"/>
      <c r="ERO16" s="7"/>
      <c r="ERP16" s="7"/>
      <c r="ERQ16" s="7"/>
      <c r="ERR16" s="7"/>
      <c r="ERS16" s="7"/>
      <c r="ERT16" s="7"/>
      <c r="ERU16" s="7"/>
      <c r="ERV16" s="7"/>
      <c r="ERW16" s="7"/>
      <c r="ERX16" s="7"/>
      <c r="ERY16" s="7"/>
      <c r="ERZ16" s="7"/>
      <c r="ESA16" s="7"/>
      <c r="ESB16" s="7"/>
      <c r="ESC16" s="7"/>
      <c r="ESD16" s="7"/>
      <c r="ESE16" s="7"/>
      <c r="ESF16" s="7"/>
      <c r="ESG16" s="7"/>
      <c r="ESH16" s="7"/>
      <c r="ESI16" s="7"/>
      <c r="ESJ16" s="7"/>
      <c r="ESK16" s="7"/>
      <c r="ESL16" s="7"/>
      <c r="ESM16" s="7"/>
      <c r="ESN16" s="7"/>
      <c r="ESO16" s="7"/>
      <c r="ESP16" s="7"/>
      <c r="ESQ16" s="7"/>
      <c r="ESR16" s="7"/>
      <c r="ESS16" s="7"/>
      <c r="EST16" s="7"/>
      <c r="ESU16" s="7"/>
      <c r="ESV16" s="7"/>
      <c r="ESW16" s="7"/>
      <c r="ESX16" s="7"/>
      <c r="ESY16" s="7"/>
      <c r="ESZ16" s="7"/>
      <c r="ETA16" s="7"/>
      <c r="ETB16" s="7"/>
      <c r="ETC16" s="7"/>
      <c r="ETD16" s="7"/>
      <c r="ETE16" s="7"/>
      <c r="ETF16" s="7"/>
      <c r="ETG16" s="7"/>
      <c r="ETH16" s="7"/>
      <c r="ETI16" s="7"/>
      <c r="ETJ16" s="7"/>
      <c r="ETK16" s="7"/>
      <c r="ETL16" s="7"/>
      <c r="ETM16" s="7"/>
      <c r="ETN16" s="7"/>
      <c r="ETO16" s="7"/>
      <c r="ETP16" s="7"/>
      <c r="ETQ16" s="7"/>
      <c r="ETR16" s="7"/>
      <c r="ETS16" s="7"/>
      <c r="ETT16" s="7"/>
      <c r="ETU16" s="7"/>
      <c r="ETV16" s="7"/>
      <c r="ETW16" s="7"/>
      <c r="ETX16" s="7"/>
      <c r="ETY16" s="7"/>
      <c r="ETZ16" s="7"/>
      <c r="EUA16" s="7"/>
      <c r="EUB16" s="7"/>
      <c r="EUC16" s="7"/>
      <c r="EUD16" s="7"/>
      <c r="EUE16" s="7"/>
      <c r="EUF16" s="7"/>
      <c r="EUG16" s="7"/>
      <c r="EUH16" s="7"/>
      <c r="EUI16" s="7"/>
      <c r="EUJ16" s="7"/>
      <c r="EUK16" s="7"/>
      <c r="EUL16" s="7"/>
      <c r="EUM16" s="7"/>
      <c r="EUN16" s="7"/>
      <c r="EUO16" s="7"/>
      <c r="EUP16" s="7"/>
      <c r="EUQ16" s="7"/>
      <c r="EUR16" s="7"/>
      <c r="EUS16" s="7"/>
      <c r="EUT16" s="7"/>
      <c r="EUU16" s="7"/>
      <c r="EUV16" s="7"/>
      <c r="EUW16" s="7"/>
      <c r="EUX16" s="7"/>
      <c r="EUY16" s="7"/>
      <c r="EUZ16" s="7"/>
      <c r="EVA16" s="7"/>
      <c r="EVB16" s="7"/>
      <c r="EVC16" s="7"/>
      <c r="EVD16" s="7"/>
      <c r="EVE16" s="7"/>
      <c r="EVF16" s="7"/>
      <c r="EVG16" s="7"/>
      <c r="EVH16" s="7"/>
      <c r="EVI16" s="7"/>
      <c r="EVJ16" s="7"/>
      <c r="EVK16" s="7"/>
      <c r="EVL16" s="7"/>
      <c r="EVM16" s="7"/>
      <c r="EVN16" s="7"/>
      <c r="EVO16" s="7"/>
      <c r="EVP16" s="7"/>
      <c r="EVQ16" s="7"/>
      <c r="EVR16" s="7"/>
      <c r="EVS16" s="7"/>
      <c r="EVT16" s="7"/>
      <c r="EVU16" s="7"/>
      <c r="EVV16" s="7"/>
      <c r="EVW16" s="7"/>
      <c r="EVX16" s="7"/>
      <c r="EVY16" s="7"/>
      <c r="EVZ16" s="7"/>
      <c r="EWA16" s="7"/>
      <c r="EWB16" s="7"/>
      <c r="EWC16" s="7"/>
      <c r="EWD16" s="7"/>
      <c r="EWE16" s="7"/>
      <c r="EWF16" s="7"/>
      <c r="EWG16" s="7"/>
      <c r="EWH16" s="7"/>
      <c r="EWI16" s="7"/>
      <c r="EWJ16" s="7"/>
      <c r="EWK16" s="7"/>
      <c r="EWL16" s="7"/>
      <c r="EWM16" s="7"/>
      <c r="EWN16" s="7"/>
      <c r="EWO16" s="7"/>
      <c r="EWP16" s="7"/>
      <c r="EWQ16" s="7"/>
      <c r="EWR16" s="7"/>
      <c r="EWS16" s="7"/>
      <c r="EWT16" s="7"/>
      <c r="EWU16" s="7"/>
      <c r="EWV16" s="7"/>
      <c r="EWW16" s="7"/>
      <c r="EWX16" s="7"/>
      <c r="EWY16" s="7"/>
      <c r="EWZ16" s="7"/>
      <c r="EXA16" s="7"/>
      <c r="EXB16" s="7"/>
      <c r="EXC16" s="7"/>
      <c r="EXD16" s="7"/>
      <c r="EXE16" s="7"/>
      <c r="EXF16" s="7"/>
      <c r="EXG16" s="7"/>
      <c r="EXH16" s="7"/>
      <c r="EXI16" s="7"/>
      <c r="EXJ16" s="7"/>
      <c r="EXK16" s="7"/>
      <c r="EXL16" s="7"/>
      <c r="EXM16" s="7"/>
      <c r="EXN16" s="7"/>
      <c r="EXO16" s="7"/>
      <c r="EXP16" s="7"/>
      <c r="EXQ16" s="7"/>
      <c r="EXR16" s="7"/>
      <c r="EXS16" s="7"/>
      <c r="EXT16" s="7"/>
      <c r="EXU16" s="7"/>
      <c r="EXV16" s="7"/>
      <c r="EXW16" s="7"/>
      <c r="EXX16" s="7"/>
      <c r="EXY16" s="7"/>
      <c r="EXZ16" s="7"/>
      <c r="EYA16" s="7"/>
      <c r="EYB16" s="7"/>
      <c r="EYC16" s="7"/>
      <c r="EYD16" s="7"/>
      <c r="EYE16" s="7"/>
      <c r="EYF16" s="7"/>
      <c r="EYG16" s="7"/>
      <c r="EYH16" s="7"/>
      <c r="EYI16" s="7"/>
      <c r="EYJ16" s="7"/>
      <c r="EYK16" s="7"/>
      <c r="EYL16" s="7"/>
      <c r="EYM16" s="7"/>
      <c r="EYN16" s="7"/>
      <c r="EYO16" s="7"/>
      <c r="EYP16" s="7"/>
      <c r="EYQ16" s="7"/>
      <c r="EYR16" s="7"/>
      <c r="EYS16" s="7"/>
      <c r="EYT16" s="7"/>
      <c r="EYU16" s="7"/>
      <c r="EYV16" s="7"/>
      <c r="EYW16" s="7"/>
      <c r="EYX16" s="7"/>
      <c r="EYY16" s="7"/>
      <c r="EYZ16" s="7"/>
      <c r="EZA16" s="7"/>
      <c r="EZB16" s="7"/>
      <c r="EZC16" s="7"/>
      <c r="EZD16" s="7"/>
      <c r="EZE16" s="7"/>
      <c r="EZF16" s="7"/>
      <c r="EZG16" s="7"/>
      <c r="EZH16" s="7"/>
      <c r="EZI16" s="7"/>
      <c r="EZJ16" s="7"/>
      <c r="EZK16" s="7"/>
      <c r="EZL16" s="7"/>
      <c r="EZM16" s="7"/>
      <c r="EZN16" s="7"/>
      <c r="EZO16" s="7"/>
      <c r="EZP16" s="7"/>
      <c r="EZQ16" s="7"/>
      <c r="EZR16" s="7"/>
      <c r="EZS16" s="7"/>
      <c r="EZT16" s="7"/>
      <c r="EZU16" s="7"/>
      <c r="EZV16" s="7"/>
      <c r="EZW16" s="7"/>
      <c r="EZX16" s="7"/>
      <c r="EZY16" s="7"/>
      <c r="EZZ16" s="7"/>
      <c r="FAA16" s="7"/>
      <c r="FAB16" s="7"/>
      <c r="FAC16" s="7"/>
      <c r="FAD16" s="7"/>
      <c r="FAE16" s="7"/>
      <c r="FAF16" s="7"/>
      <c r="FAG16" s="7"/>
      <c r="FAH16" s="7"/>
      <c r="FAI16" s="7"/>
      <c r="FAJ16" s="7"/>
      <c r="FAK16" s="7"/>
      <c r="FAL16" s="7"/>
      <c r="FAM16" s="7"/>
      <c r="FAN16" s="7"/>
      <c r="FAO16" s="7"/>
      <c r="FAP16" s="7"/>
      <c r="FAQ16" s="7"/>
      <c r="FAR16" s="7"/>
      <c r="FAS16" s="7"/>
      <c r="FAT16" s="7"/>
      <c r="FAU16" s="7"/>
      <c r="FAV16" s="7"/>
      <c r="FAW16" s="7"/>
      <c r="FAX16" s="7"/>
      <c r="FAY16" s="7"/>
      <c r="FAZ16" s="7"/>
      <c r="FBA16" s="7"/>
      <c r="FBB16" s="7"/>
      <c r="FBC16" s="7"/>
      <c r="FBD16" s="7"/>
      <c r="FBE16" s="7"/>
      <c r="FBF16" s="7"/>
      <c r="FBG16" s="7"/>
      <c r="FBH16" s="7"/>
      <c r="FBI16" s="7"/>
      <c r="FBJ16" s="7"/>
      <c r="FBK16" s="7"/>
      <c r="FBL16" s="7"/>
      <c r="FBM16" s="7"/>
      <c r="FBN16" s="7"/>
      <c r="FBO16" s="7"/>
      <c r="FBP16" s="7"/>
      <c r="FBQ16" s="7"/>
      <c r="FBR16" s="7"/>
      <c r="FBS16" s="7"/>
      <c r="FBT16" s="7"/>
      <c r="FBU16" s="7"/>
      <c r="FBV16" s="7"/>
      <c r="FBW16" s="7"/>
      <c r="FBX16" s="7"/>
      <c r="FBY16" s="7"/>
      <c r="FBZ16" s="7"/>
      <c r="FCA16" s="7"/>
      <c r="FCB16" s="7"/>
      <c r="FCC16" s="7"/>
      <c r="FCD16" s="7"/>
      <c r="FCE16" s="7"/>
      <c r="FCF16" s="7"/>
      <c r="FCG16" s="7"/>
      <c r="FCH16" s="7"/>
      <c r="FCI16" s="7"/>
      <c r="FCJ16" s="7"/>
      <c r="FCK16" s="7"/>
      <c r="FCL16" s="7"/>
      <c r="FCM16" s="7"/>
      <c r="FCN16" s="7"/>
      <c r="FCO16" s="7"/>
      <c r="FCP16" s="7"/>
      <c r="FCQ16" s="7"/>
      <c r="FCR16" s="7"/>
      <c r="FCS16" s="7"/>
      <c r="FCT16" s="7"/>
      <c r="FCU16" s="7"/>
      <c r="FCV16" s="7"/>
      <c r="FCW16" s="7"/>
      <c r="FCX16" s="7"/>
      <c r="FCY16" s="7"/>
      <c r="FCZ16" s="7"/>
      <c r="FDA16" s="7"/>
      <c r="FDB16" s="7"/>
      <c r="FDC16" s="7"/>
      <c r="FDD16" s="7"/>
      <c r="FDE16" s="7"/>
      <c r="FDF16" s="7"/>
      <c r="FDG16" s="7"/>
      <c r="FDH16" s="7"/>
      <c r="FDI16" s="7"/>
      <c r="FDJ16" s="7"/>
      <c r="FDK16" s="7"/>
      <c r="FDL16" s="7"/>
      <c r="FDM16" s="7"/>
      <c r="FDN16" s="7"/>
      <c r="FDO16" s="7"/>
      <c r="FDP16" s="7"/>
      <c r="FDQ16" s="7"/>
      <c r="FDR16" s="7"/>
      <c r="FDS16" s="7"/>
      <c r="FDT16" s="7"/>
      <c r="FDU16" s="7"/>
      <c r="FDV16" s="7"/>
      <c r="FDW16" s="7"/>
      <c r="FDX16" s="7"/>
      <c r="FDY16" s="7"/>
      <c r="FDZ16" s="7"/>
      <c r="FEA16" s="7"/>
      <c r="FEB16" s="7"/>
      <c r="FEC16" s="7"/>
      <c r="FED16" s="7"/>
      <c r="FEE16" s="7"/>
      <c r="FEF16" s="7"/>
      <c r="FEG16" s="7"/>
      <c r="FEH16" s="7"/>
      <c r="FEI16" s="7"/>
      <c r="FEJ16" s="7"/>
      <c r="FEK16" s="7"/>
      <c r="FEL16" s="7"/>
      <c r="FEM16" s="7"/>
      <c r="FEN16" s="7"/>
      <c r="FEO16" s="7"/>
      <c r="FEP16" s="7"/>
      <c r="FEQ16" s="7"/>
      <c r="FER16" s="7"/>
      <c r="FES16" s="7"/>
      <c r="FET16" s="7"/>
      <c r="FEU16" s="7"/>
      <c r="FEV16" s="7"/>
      <c r="FEW16" s="7"/>
      <c r="FEX16" s="7"/>
      <c r="FEY16" s="7"/>
      <c r="FEZ16" s="7"/>
      <c r="FFA16" s="7"/>
      <c r="FFB16" s="7"/>
      <c r="FFC16" s="7"/>
      <c r="FFD16" s="7"/>
      <c r="FFE16" s="7"/>
      <c r="FFF16" s="7"/>
      <c r="FFG16" s="7"/>
      <c r="FFH16" s="7"/>
      <c r="FFI16" s="7"/>
      <c r="FFJ16" s="7"/>
      <c r="FFK16" s="7"/>
      <c r="FFL16" s="7"/>
      <c r="FFM16" s="7"/>
      <c r="FFN16" s="7"/>
      <c r="FFO16" s="7"/>
      <c r="FFP16" s="7"/>
      <c r="FFQ16" s="7"/>
      <c r="FFR16" s="7"/>
      <c r="FFS16" s="7"/>
      <c r="FFT16" s="7"/>
      <c r="FFU16" s="7"/>
      <c r="FFV16" s="7"/>
      <c r="FFW16" s="7"/>
      <c r="FFX16" s="7"/>
      <c r="FFY16" s="7"/>
      <c r="FFZ16" s="7"/>
      <c r="FGA16" s="7"/>
      <c r="FGB16" s="7"/>
      <c r="FGC16" s="7"/>
      <c r="FGD16" s="7"/>
      <c r="FGE16" s="7"/>
      <c r="FGF16" s="7"/>
      <c r="FGG16" s="7"/>
      <c r="FGH16" s="7"/>
      <c r="FGI16" s="7"/>
      <c r="FGJ16" s="7"/>
      <c r="FGK16" s="7"/>
      <c r="FGL16" s="7"/>
      <c r="FGM16" s="7"/>
      <c r="FGN16" s="7"/>
      <c r="FGO16" s="7"/>
      <c r="FGP16" s="7"/>
      <c r="FGQ16" s="7"/>
      <c r="FGR16" s="7"/>
      <c r="FGS16" s="7"/>
      <c r="FGT16" s="7"/>
      <c r="FGU16" s="7"/>
      <c r="FGV16" s="7"/>
      <c r="FGW16" s="7"/>
      <c r="FGX16" s="7"/>
      <c r="FGY16" s="7"/>
      <c r="FGZ16" s="7"/>
      <c r="FHA16" s="7"/>
      <c r="FHB16" s="7"/>
      <c r="FHC16" s="7"/>
      <c r="FHD16" s="7"/>
      <c r="FHE16" s="7"/>
      <c r="FHF16" s="7"/>
      <c r="FHG16" s="7"/>
      <c r="FHH16" s="7"/>
      <c r="FHI16" s="7"/>
      <c r="FHJ16" s="7"/>
      <c r="FHK16" s="7"/>
      <c r="FHL16" s="7"/>
      <c r="FHM16" s="7"/>
      <c r="FHN16" s="7"/>
      <c r="FHO16" s="7"/>
      <c r="FHP16" s="7"/>
      <c r="FHQ16" s="7"/>
      <c r="FHR16" s="7"/>
      <c r="FHS16" s="7"/>
      <c r="FHT16" s="7"/>
      <c r="FHU16" s="7"/>
      <c r="FHV16" s="7"/>
      <c r="FHW16" s="7"/>
      <c r="FHX16" s="7"/>
      <c r="FHY16" s="7"/>
      <c r="FHZ16" s="7"/>
      <c r="FIA16" s="7"/>
      <c r="FIB16" s="7"/>
      <c r="FIC16" s="7"/>
      <c r="FID16" s="7"/>
      <c r="FIE16" s="7"/>
      <c r="FIF16" s="7"/>
      <c r="FIG16" s="7"/>
      <c r="FIH16" s="7"/>
      <c r="FII16" s="7"/>
      <c r="FIJ16" s="7"/>
      <c r="FIK16" s="7"/>
      <c r="FIL16" s="7"/>
      <c r="FIM16" s="7"/>
      <c r="FIN16" s="7"/>
      <c r="FIO16" s="7"/>
      <c r="FIP16" s="7"/>
      <c r="FIQ16" s="7"/>
      <c r="FIR16" s="7"/>
      <c r="FIS16" s="7"/>
      <c r="FIT16" s="7"/>
      <c r="FIU16" s="7"/>
      <c r="FIV16" s="7"/>
      <c r="FIW16" s="7"/>
      <c r="FIX16" s="7"/>
      <c r="FIY16" s="7"/>
      <c r="FIZ16" s="7"/>
      <c r="FJA16" s="7"/>
      <c r="FJB16" s="7"/>
      <c r="FJC16" s="7"/>
      <c r="FJD16" s="7"/>
      <c r="FJE16" s="7"/>
      <c r="FJF16" s="7"/>
      <c r="FJG16" s="7"/>
      <c r="FJH16" s="7"/>
      <c r="FJI16" s="7"/>
      <c r="FJJ16" s="7"/>
      <c r="FJK16" s="7"/>
      <c r="FJL16" s="7"/>
      <c r="FJM16" s="7"/>
      <c r="FJN16" s="7"/>
      <c r="FJO16" s="7"/>
      <c r="FJP16" s="7"/>
      <c r="FJQ16" s="7"/>
      <c r="FJR16" s="7"/>
      <c r="FJS16" s="7"/>
      <c r="FJT16" s="7"/>
      <c r="FJU16" s="7"/>
      <c r="FJV16" s="7"/>
      <c r="FJW16" s="7"/>
      <c r="FJX16" s="7"/>
      <c r="FJY16" s="7"/>
      <c r="FJZ16" s="7"/>
      <c r="FKA16" s="7"/>
      <c r="FKB16" s="7"/>
      <c r="FKC16" s="7"/>
      <c r="FKD16" s="7"/>
      <c r="FKE16" s="7"/>
      <c r="FKF16" s="7"/>
      <c r="FKG16" s="7"/>
      <c r="FKH16" s="7"/>
      <c r="FKI16" s="7"/>
      <c r="FKJ16" s="7"/>
      <c r="FKK16" s="7"/>
      <c r="FKL16" s="7"/>
      <c r="FKM16" s="7"/>
      <c r="FKN16" s="7"/>
      <c r="FKO16" s="7"/>
      <c r="FKP16" s="7"/>
      <c r="FKQ16" s="7"/>
      <c r="FKR16" s="7"/>
      <c r="FKS16" s="7"/>
      <c r="FKT16" s="7"/>
      <c r="FKU16" s="7"/>
      <c r="FKV16" s="7"/>
      <c r="FKW16" s="7"/>
      <c r="FKX16" s="7"/>
      <c r="FKY16" s="7"/>
      <c r="FKZ16" s="7"/>
      <c r="FLA16" s="7"/>
      <c r="FLB16" s="7"/>
      <c r="FLC16" s="7"/>
      <c r="FLD16" s="7"/>
      <c r="FLE16" s="7"/>
      <c r="FLF16" s="7"/>
      <c r="FLG16" s="7"/>
      <c r="FLH16" s="7"/>
      <c r="FLI16" s="7"/>
      <c r="FLJ16" s="7"/>
      <c r="FLK16" s="7"/>
      <c r="FLL16" s="7"/>
      <c r="FLM16" s="7"/>
      <c r="FLN16" s="7"/>
      <c r="FLO16" s="7"/>
      <c r="FLP16" s="7"/>
      <c r="FLQ16" s="7"/>
      <c r="FLR16" s="7"/>
      <c r="FLS16" s="7"/>
      <c r="FLT16" s="7"/>
      <c r="FLU16" s="7"/>
      <c r="FLV16" s="7"/>
      <c r="FLW16" s="7"/>
      <c r="FLX16" s="7"/>
      <c r="FLY16" s="7"/>
      <c r="FLZ16" s="7"/>
      <c r="FMA16" s="7"/>
      <c r="FMB16" s="7"/>
      <c r="FMC16" s="7"/>
      <c r="FMD16" s="7"/>
      <c r="FME16" s="7"/>
      <c r="FMF16" s="7"/>
      <c r="FMG16" s="7"/>
      <c r="FMH16" s="7"/>
      <c r="FMI16" s="7"/>
      <c r="FMJ16" s="7"/>
      <c r="FMK16" s="7"/>
      <c r="FML16" s="7"/>
      <c r="FMM16" s="7"/>
      <c r="FMN16" s="7"/>
      <c r="FMO16" s="7"/>
      <c r="FMP16" s="7"/>
      <c r="FMQ16" s="7"/>
      <c r="FMR16" s="7"/>
      <c r="FMS16" s="7"/>
      <c r="FMT16" s="7"/>
      <c r="FMU16" s="7"/>
      <c r="FMV16" s="7"/>
      <c r="FMW16" s="7"/>
      <c r="FMX16" s="7"/>
      <c r="FMY16" s="7"/>
      <c r="FMZ16" s="7"/>
      <c r="FNA16" s="7"/>
      <c r="FNB16" s="7"/>
      <c r="FNC16" s="7"/>
      <c r="FND16" s="7"/>
      <c r="FNE16" s="7"/>
      <c r="FNF16" s="7"/>
      <c r="FNG16" s="7"/>
      <c r="FNH16" s="7"/>
      <c r="FNI16" s="7"/>
      <c r="FNJ16" s="7"/>
      <c r="FNK16" s="7"/>
      <c r="FNL16" s="7"/>
      <c r="FNM16" s="7"/>
      <c r="FNN16" s="7"/>
      <c r="FNO16" s="7"/>
      <c r="FNP16" s="7"/>
      <c r="FNQ16" s="7"/>
      <c r="FNR16" s="7"/>
      <c r="FNS16" s="7"/>
      <c r="FNT16" s="7"/>
      <c r="FNU16" s="7"/>
      <c r="FNV16" s="7"/>
      <c r="FNW16" s="7"/>
      <c r="FNX16" s="7"/>
      <c r="FNY16" s="7"/>
      <c r="FNZ16" s="7"/>
      <c r="FOA16" s="7"/>
      <c r="FOB16" s="7"/>
      <c r="FOC16" s="7"/>
      <c r="FOD16" s="7"/>
      <c r="FOE16" s="7"/>
      <c r="FOF16" s="7"/>
      <c r="FOG16" s="7"/>
      <c r="FOH16" s="7"/>
      <c r="FOI16" s="7"/>
      <c r="FOJ16" s="7"/>
      <c r="FOK16" s="7"/>
      <c r="FOL16" s="7"/>
      <c r="FOM16" s="7"/>
      <c r="FON16" s="7"/>
      <c r="FOO16" s="7"/>
      <c r="FOP16" s="7"/>
      <c r="FOQ16" s="7"/>
      <c r="FOR16" s="7"/>
      <c r="FOS16" s="7"/>
      <c r="FOT16" s="7"/>
      <c r="FOU16" s="7"/>
      <c r="FOV16" s="7"/>
      <c r="FOW16" s="7"/>
      <c r="FOX16" s="7"/>
      <c r="FOY16" s="7"/>
      <c r="FOZ16" s="7"/>
      <c r="FPA16" s="7"/>
      <c r="FPB16" s="7"/>
      <c r="FPC16" s="7"/>
      <c r="FPD16" s="7"/>
      <c r="FPE16" s="7"/>
      <c r="FPF16" s="7"/>
      <c r="FPG16" s="7"/>
      <c r="FPH16" s="7"/>
      <c r="FPI16" s="7"/>
      <c r="FPJ16" s="7"/>
      <c r="FPK16" s="7"/>
      <c r="FPL16" s="7"/>
      <c r="FPM16" s="7"/>
      <c r="FPN16" s="7"/>
      <c r="FPO16" s="7"/>
      <c r="FPP16" s="7"/>
      <c r="FPQ16" s="7"/>
      <c r="FPR16" s="7"/>
      <c r="FPS16" s="7"/>
      <c r="FPT16" s="7"/>
      <c r="FPU16" s="7"/>
      <c r="FPV16" s="7"/>
      <c r="FPW16" s="7"/>
      <c r="FPX16" s="7"/>
      <c r="FPY16" s="7"/>
      <c r="FPZ16" s="7"/>
      <c r="FQA16" s="7"/>
      <c r="FQB16" s="7"/>
      <c r="FQC16" s="7"/>
      <c r="FQD16" s="7"/>
      <c r="FQE16" s="7"/>
      <c r="FQF16" s="7"/>
      <c r="FQG16" s="7"/>
      <c r="FQH16" s="7"/>
      <c r="FQI16" s="7"/>
      <c r="FQJ16" s="7"/>
      <c r="FQK16" s="7"/>
      <c r="FQL16" s="7"/>
      <c r="FQM16" s="7"/>
      <c r="FQN16" s="7"/>
      <c r="FQO16" s="7"/>
      <c r="FQP16" s="7"/>
      <c r="FQQ16" s="7"/>
      <c r="FQR16" s="7"/>
      <c r="FQS16" s="7"/>
      <c r="FQT16" s="7"/>
      <c r="FQU16" s="7"/>
      <c r="FQV16" s="7"/>
      <c r="FQW16" s="7"/>
      <c r="FQX16" s="7"/>
      <c r="FQY16" s="7"/>
      <c r="FQZ16" s="7"/>
      <c r="FRA16" s="7"/>
      <c r="FRB16" s="7"/>
      <c r="FRC16" s="7"/>
      <c r="FRD16" s="7"/>
      <c r="FRE16" s="7"/>
      <c r="FRF16" s="7"/>
      <c r="FRG16" s="7"/>
      <c r="FRH16" s="7"/>
      <c r="FRI16" s="7"/>
      <c r="FRJ16" s="7"/>
      <c r="FRK16" s="7"/>
      <c r="FRL16" s="7"/>
      <c r="FRM16" s="7"/>
      <c r="FRN16" s="7"/>
      <c r="FRO16" s="7"/>
      <c r="FRP16" s="7"/>
      <c r="FRQ16" s="7"/>
      <c r="FRR16" s="7"/>
      <c r="FRS16" s="7"/>
      <c r="FRT16" s="7"/>
      <c r="FRU16" s="7"/>
      <c r="FRV16" s="7"/>
      <c r="FRW16" s="7"/>
      <c r="FRX16" s="7"/>
      <c r="FRY16" s="7"/>
      <c r="FRZ16" s="7"/>
      <c r="FSA16" s="7"/>
      <c r="FSB16" s="7"/>
      <c r="FSC16" s="7"/>
      <c r="FSD16" s="7"/>
      <c r="FSE16" s="7"/>
      <c r="FSF16" s="7"/>
      <c r="FSG16" s="7"/>
      <c r="FSH16" s="7"/>
      <c r="FSI16" s="7"/>
      <c r="FSJ16" s="7"/>
      <c r="FSK16" s="7"/>
      <c r="FSL16" s="7"/>
      <c r="FSM16" s="7"/>
      <c r="FSN16" s="7"/>
      <c r="FSO16" s="7"/>
      <c r="FSP16" s="7"/>
      <c r="FSQ16" s="7"/>
      <c r="FSR16" s="7"/>
      <c r="FSS16" s="7"/>
      <c r="FST16" s="7"/>
      <c r="FSU16" s="7"/>
      <c r="FSV16" s="7"/>
      <c r="FSW16" s="7"/>
      <c r="FSX16" s="7"/>
      <c r="FSY16" s="7"/>
      <c r="FSZ16" s="7"/>
      <c r="FTA16" s="7"/>
      <c r="FTB16" s="7"/>
      <c r="FTC16" s="7"/>
      <c r="FTD16" s="7"/>
      <c r="FTE16" s="7"/>
      <c r="FTF16" s="7"/>
      <c r="FTG16" s="7"/>
      <c r="FTH16" s="7"/>
      <c r="FTI16" s="7"/>
      <c r="FTJ16" s="7"/>
      <c r="FTK16" s="7"/>
      <c r="FTL16" s="7"/>
      <c r="FTM16" s="7"/>
      <c r="FTN16" s="7"/>
      <c r="FTO16" s="7"/>
      <c r="FTP16" s="7"/>
      <c r="FTQ16" s="7"/>
      <c r="FTR16" s="7"/>
      <c r="FTS16" s="7"/>
      <c r="FTT16" s="7"/>
      <c r="FTU16" s="7"/>
      <c r="FTV16" s="7"/>
      <c r="FTW16" s="7"/>
      <c r="FTX16" s="7"/>
      <c r="FTY16" s="7"/>
      <c r="FTZ16" s="7"/>
      <c r="FUA16" s="7"/>
      <c r="FUB16" s="7"/>
      <c r="FUC16" s="7"/>
      <c r="FUD16" s="7"/>
      <c r="FUE16" s="7"/>
      <c r="FUF16" s="7"/>
      <c r="FUG16" s="7"/>
      <c r="FUH16" s="7"/>
      <c r="FUI16" s="7"/>
      <c r="FUJ16" s="7"/>
      <c r="FUK16" s="7"/>
      <c r="FUL16" s="7"/>
      <c r="FUM16" s="7"/>
      <c r="FUN16" s="7"/>
      <c r="FUO16" s="7"/>
      <c r="FUP16" s="7"/>
      <c r="FUQ16" s="7"/>
      <c r="FUR16" s="7"/>
      <c r="FUS16" s="7"/>
      <c r="FUT16" s="7"/>
      <c r="FUU16" s="7"/>
      <c r="FUV16" s="7"/>
      <c r="FUW16" s="7"/>
      <c r="FUX16" s="7"/>
      <c r="FUY16" s="7"/>
      <c r="FUZ16" s="7"/>
      <c r="FVA16" s="7"/>
      <c r="FVB16" s="7"/>
      <c r="FVC16" s="7"/>
      <c r="FVD16" s="7"/>
      <c r="FVE16" s="7"/>
      <c r="FVF16" s="7"/>
      <c r="FVG16" s="7"/>
      <c r="FVH16" s="7"/>
      <c r="FVI16" s="7"/>
      <c r="FVJ16" s="7"/>
      <c r="FVK16" s="7"/>
      <c r="FVL16" s="7"/>
      <c r="FVM16" s="7"/>
      <c r="FVN16" s="7"/>
      <c r="FVO16" s="7"/>
      <c r="FVP16" s="7"/>
      <c r="FVQ16" s="7"/>
      <c r="FVR16" s="7"/>
      <c r="FVS16" s="7"/>
      <c r="FVT16" s="7"/>
      <c r="FVU16" s="7"/>
      <c r="FVV16" s="7"/>
      <c r="FVW16" s="7"/>
      <c r="FVX16" s="7"/>
      <c r="FVY16" s="7"/>
      <c r="FVZ16" s="7"/>
      <c r="FWA16" s="7"/>
      <c r="FWB16" s="7"/>
      <c r="FWC16" s="7"/>
      <c r="FWD16" s="7"/>
      <c r="FWE16" s="7"/>
      <c r="FWF16" s="7"/>
      <c r="FWG16" s="7"/>
      <c r="FWH16" s="7"/>
      <c r="FWI16" s="7"/>
      <c r="FWJ16" s="7"/>
      <c r="FWK16" s="7"/>
      <c r="FWL16" s="7"/>
      <c r="FWM16" s="7"/>
      <c r="FWN16" s="7"/>
      <c r="FWO16" s="7"/>
      <c r="FWP16" s="7"/>
      <c r="FWQ16" s="7"/>
      <c r="FWR16" s="7"/>
      <c r="FWS16" s="7"/>
      <c r="FWT16" s="7"/>
      <c r="FWU16" s="7"/>
      <c r="FWV16" s="7"/>
      <c r="FWW16" s="7"/>
      <c r="FWX16" s="7"/>
      <c r="FWY16" s="7"/>
      <c r="FWZ16" s="7"/>
      <c r="FXA16" s="7"/>
      <c r="FXB16" s="7"/>
      <c r="FXC16" s="7"/>
      <c r="FXD16" s="7"/>
      <c r="FXE16" s="7"/>
      <c r="FXF16" s="7"/>
      <c r="FXG16" s="7"/>
      <c r="FXH16" s="7"/>
      <c r="FXI16" s="7"/>
      <c r="FXJ16" s="7"/>
      <c r="FXK16" s="7"/>
      <c r="FXL16" s="7"/>
      <c r="FXM16" s="7"/>
      <c r="FXN16" s="7"/>
      <c r="FXO16" s="7"/>
      <c r="FXP16" s="7"/>
      <c r="FXQ16" s="7"/>
      <c r="FXR16" s="7"/>
      <c r="FXS16" s="7"/>
      <c r="FXT16" s="7"/>
      <c r="FXU16" s="7"/>
      <c r="FXV16" s="7"/>
      <c r="FXW16" s="7"/>
      <c r="FXX16" s="7"/>
      <c r="FXY16" s="7"/>
      <c r="FXZ16" s="7"/>
      <c r="FYA16" s="7"/>
      <c r="FYB16" s="7"/>
      <c r="FYC16" s="7"/>
      <c r="FYD16" s="7"/>
      <c r="FYE16" s="7"/>
      <c r="FYF16" s="7"/>
      <c r="FYG16" s="7"/>
      <c r="FYH16" s="7"/>
      <c r="FYI16" s="7"/>
      <c r="FYJ16" s="7"/>
      <c r="FYK16" s="7"/>
      <c r="FYL16" s="7"/>
      <c r="FYM16" s="7"/>
      <c r="FYN16" s="7"/>
      <c r="FYO16" s="7"/>
      <c r="FYP16" s="7"/>
      <c r="FYQ16" s="7"/>
      <c r="FYR16" s="7"/>
      <c r="FYS16" s="7"/>
      <c r="FYT16" s="7"/>
      <c r="FYU16" s="7"/>
      <c r="FYV16" s="7"/>
      <c r="FYW16" s="7"/>
      <c r="FYX16" s="7"/>
      <c r="FYY16" s="7"/>
      <c r="FYZ16" s="7"/>
      <c r="FZA16" s="7"/>
      <c r="FZB16" s="7"/>
      <c r="FZC16" s="7"/>
      <c r="FZD16" s="7"/>
      <c r="FZE16" s="7"/>
      <c r="FZF16" s="7"/>
      <c r="FZG16" s="7"/>
      <c r="FZH16" s="7"/>
      <c r="FZI16" s="7"/>
      <c r="FZJ16" s="7"/>
      <c r="FZK16" s="7"/>
      <c r="FZL16" s="7"/>
      <c r="FZM16" s="7"/>
      <c r="FZN16" s="7"/>
      <c r="FZO16" s="7"/>
      <c r="FZP16" s="7"/>
      <c r="FZQ16" s="7"/>
      <c r="FZR16" s="7"/>
      <c r="FZS16" s="7"/>
      <c r="FZT16" s="7"/>
      <c r="FZU16" s="7"/>
      <c r="FZV16" s="7"/>
      <c r="FZW16" s="7"/>
      <c r="FZX16" s="7"/>
      <c r="FZY16" s="7"/>
      <c r="FZZ16" s="7"/>
      <c r="GAA16" s="7"/>
      <c r="GAB16" s="7"/>
      <c r="GAC16" s="7"/>
      <c r="GAD16" s="7"/>
      <c r="GAE16" s="7"/>
      <c r="GAF16" s="7"/>
      <c r="GAG16" s="7"/>
      <c r="GAH16" s="7"/>
      <c r="GAI16" s="7"/>
      <c r="GAJ16" s="7"/>
      <c r="GAK16" s="7"/>
      <c r="GAL16" s="7"/>
      <c r="GAM16" s="7"/>
      <c r="GAN16" s="7"/>
      <c r="GAO16" s="7"/>
      <c r="GAP16" s="7"/>
      <c r="GAQ16" s="7"/>
      <c r="GAR16" s="7"/>
      <c r="GAS16" s="7"/>
      <c r="GAT16" s="7"/>
      <c r="GAU16" s="7"/>
      <c r="GAV16" s="7"/>
      <c r="GAW16" s="7"/>
      <c r="GAX16" s="7"/>
      <c r="GAY16" s="7"/>
      <c r="GAZ16" s="7"/>
      <c r="GBA16" s="7"/>
      <c r="GBB16" s="7"/>
      <c r="GBC16" s="7"/>
      <c r="GBD16" s="7"/>
      <c r="GBE16" s="7"/>
      <c r="GBF16" s="7"/>
      <c r="GBG16" s="7"/>
      <c r="GBH16" s="7"/>
      <c r="GBI16" s="7"/>
      <c r="GBJ16" s="7"/>
      <c r="GBK16" s="7"/>
      <c r="GBL16" s="7"/>
      <c r="GBM16" s="7"/>
      <c r="GBN16" s="7"/>
      <c r="GBO16" s="7"/>
      <c r="GBP16" s="7"/>
      <c r="GBQ16" s="7"/>
      <c r="GBR16" s="7"/>
      <c r="GBS16" s="7"/>
      <c r="GBT16" s="7"/>
      <c r="GBU16" s="7"/>
      <c r="GBV16" s="7"/>
      <c r="GBW16" s="7"/>
      <c r="GBX16" s="7"/>
      <c r="GBY16" s="7"/>
      <c r="GBZ16" s="7"/>
      <c r="GCA16" s="7"/>
      <c r="GCB16" s="7"/>
      <c r="GCC16" s="7"/>
      <c r="GCD16" s="7"/>
      <c r="GCE16" s="7"/>
      <c r="GCF16" s="7"/>
      <c r="GCG16" s="7"/>
      <c r="GCH16" s="7"/>
      <c r="GCI16" s="7"/>
      <c r="GCJ16" s="7"/>
      <c r="GCK16" s="7"/>
      <c r="GCL16" s="7"/>
      <c r="GCM16" s="7"/>
      <c r="GCN16" s="7"/>
      <c r="GCO16" s="7"/>
      <c r="GCP16" s="7"/>
      <c r="GCQ16" s="7"/>
      <c r="GCR16" s="7"/>
      <c r="GCS16" s="7"/>
      <c r="GCT16" s="7"/>
      <c r="GCU16" s="7"/>
      <c r="GCV16" s="7"/>
      <c r="GCW16" s="7"/>
      <c r="GCX16" s="7"/>
      <c r="GCY16" s="7"/>
      <c r="GCZ16" s="7"/>
      <c r="GDA16" s="7"/>
      <c r="GDB16" s="7"/>
      <c r="GDC16" s="7"/>
      <c r="GDD16" s="7"/>
      <c r="GDE16" s="7"/>
      <c r="GDF16" s="7"/>
      <c r="GDG16" s="7"/>
      <c r="GDH16" s="7"/>
      <c r="GDI16" s="7"/>
      <c r="GDJ16" s="7"/>
      <c r="GDK16" s="7"/>
      <c r="GDL16" s="7"/>
      <c r="GDM16" s="7"/>
      <c r="GDN16" s="7"/>
      <c r="GDO16" s="7"/>
      <c r="GDP16" s="7"/>
      <c r="GDQ16" s="7"/>
      <c r="GDR16" s="7"/>
      <c r="GDS16" s="7"/>
      <c r="GDT16" s="7"/>
      <c r="GDU16" s="7"/>
      <c r="GDV16" s="7"/>
      <c r="GDW16" s="7"/>
      <c r="GDX16" s="7"/>
      <c r="GDY16" s="7"/>
      <c r="GDZ16" s="7"/>
      <c r="GEA16" s="7"/>
      <c r="GEB16" s="7"/>
      <c r="GEC16" s="7"/>
      <c r="GED16" s="7"/>
      <c r="GEE16" s="7"/>
      <c r="GEF16" s="7"/>
      <c r="GEG16" s="7"/>
      <c r="GEH16" s="7"/>
      <c r="GEI16" s="7"/>
      <c r="GEJ16" s="7"/>
      <c r="GEK16" s="7"/>
      <c r="GEL16" s="7"/>
      <c r="GEM16" s="7"/>
      <c r="GEN16" s="7"/>
      <c r="GEO16" s="7"/>
      <c r="GEP16" s="7"/>
      <c r="GEQ16" s="7"/>
      <c r="GER16" s="7"/>
      <c r="GES16" s="7"/>
      <c r="GET16" s="7"/>
      <c r="GEU16" s="7"/>
      <c r="GEV16" s="7"/>
      <c r="GEW16" s="7"/>
      <c r="GEX16" s="7"/>
      <c r="GEY16" s="7"/>
      <c r="GEZ16" s="7"/>
      <c r="GFA16" s="7"/>
      <c r="GFB16" s="7"/>
      <c r="GFC16" s="7"/>
      <c r="GFD16" s="7"/>
      <c r="GFE16" s="7"/>
      <c r="GFF16" s="7"/>
      <c r="GFG16" s="7"/>
      <c r="GFH16" s="7"/>
      <c r="GFI16" s="7"/>
      <c r="GFJ16" s="7"/>
      <c r="GFK16" s="7"/>
      <c r="GFL16" s="7"/>
      <c r="GFM16" s="7"/>
      <c r="GFN16" s="7"/>
      <c r="GFO16" s="7"/>
      <c r="GFP16" s="7"/>
      <c r="GFQ16" s="7"/>
      <c r="GFR16" s="7"/>
      <c r="GFS16" s="7"/>
      <c r="GFT16" s="7"/>
      <c r="GFU16" s="7"/>
      <c r="GFV16" s="7"/>
      <c r="GFW16" s="7"/>
      <c r="GFX16" s="7"/>
      <c r="GFY16" s="7"/>
      <c r="GFZ16" s="7"/>
      <c r="GGA16" s="7"/>
      <c r="GGB16" s="7"/>
      <c r="GGC16" s="7"/>
      <c r="GGD16" s="7"/>
      <c r="GGE16" s="7"/>
      <c r="GGF16" s="7"/>
      <c r="GGG16" s="7"/>
      <c r="GGH16" s="7"/>
      <c r="GGI16" s="7"/>
      <c r="GGJ16" s="7"/>
      <c r="GGK16" s="7"/>
      <c r="GGL16" s="7"/>
      <c r="GGM16" s="7"/>
      <c r="GGN16" s="7"/>
      <c r="GGO16" s="7"/>
      <c r="GGP16" s="7"/>
      <c r="GGQ16" s="7"/>
      <c r="GGR16" s="7"/>
      <c r="GGS16" s="7"/>
      <c r="GGT16" s="7"/>
      <c r="GGU16" s="7"/>
      <c r="GGV16" s="7"/>
      <c r="GGW16" s="7"/>
      <c r="GGX16" s="7"/>
      <c r="GGY16" s="7"/>
      <c r="GGZ16" s="7"/>
      <c r="GHA16" s="7"/>
      <c r="GHB16" s="7"/>
      <c r="GHC16" s="7"/>
      <c r="GHD16" s="7"/>
      <c r="GHE16" s="7"/>
      <c r="GHF16" s="7"/>
      <c r="GHG16" s="7"/>
      <c r="GHH16" s="7"/>
      <c r="GHI16" s="7"/>
      <c r="GHJ16" s="7"/>
      <c r="GHK16" s="7"/>
      <c r="GHL16" s="7"/>
      <c r="GHM16" s="7"/>
      <c r="GHN16" s="7"/>
      <c r="GHO16" s="7"/>
      <c r="GHP16" s="7"/>
      <c r="GHQ16" s="7"/>
      <c r="GHR16" s="7"/>
      <c r="GHS16" s="7"/>
      <c r="GHT16" s="7"/>
      <c r="GHU16" s="7"/>
      <c r="GHV16" s="7"/>
      <c r="GHW16" s="7"/>
      <c r="GHX16" s="7"/>
      <c r="GHY16" s="7"/>
      <c r="GHZ16" s="7"/>
      <c r="GIA16" s="7"/>
      <c r="GIB16" s="7"/>
      <c r="GIC16" s="7"/>
      <c r="GID16" s="7"/>
      <c r="GIE16" s="7"/>
      <c r="GIF16" s="7"/>
      <c r="GIG16" s="7"/>
      <c r="GIH16" s="7"/>
      <c r="GII16" s="7"/>
      <c r="GIJ16" s="7"/>
      <c r="GIK16" s="7"/>
      <c r="GIL16" s="7"/>
      <c r="GIM16" s="7"/>
      <c r="GIN16" s="7"/>
      <c r="GIO16" s="7"/>
      <c r="GIP16" s="7"/>
      <c r="GIQ16" s="7"/>
      <c r="GIR16" s="7"/>
      <c r="GIS16" s="7"/>
      <c r="GIT16" s="7"/>
      <c r="GIU16" s="7"/>
      <c r="GIV16" s="7"/>
      <c r="GIW16" s="7"/>
      <c r="GIX16" s="7"/>
      <c r="GIY16" s="7"/>
      <c r="GIZ16" s="7"/>
      <c r="GJA16" s="7"/>
      <c r="GJB16" s="7"/>
      <c r="GJC16" s="7"/>
      <c r="GJD16" s="7"/>
      <c r="GJE16" s="7"/>
      <c r="GJF16" s="7"/>
      <c r="GJG16" s="7"/>
      <c r="GJH16" s="7"/>
      <c r="GJI16" s="7"/>
      <c r="GJJ16" s="7"/>
      <c r="GJK16" s="7"/>
      <c r="GJL16" s="7"/>
      <c r="GJM16" s="7"/>
      <c r="GJN16" s="7"/>
      <c r="GJO16" s="7"/>
      <c r="GJP16" s="7"/>
      <c r="GJQ16" s="7"/>
      <c r="GJR16" s="7"/>
      <c r="GJS16" s="7"/>
      <c r="GJT16" s="7"/>
      <c r="GJU16" s="7"/>
      <c r="GJV16" s="7"/>
      <c r="GJW16" s="7"/>
      <c r="GJX16" s="7"/>
      <c r="GJY16" s="7"/>
      <c r="GJZ16" s="7"/>
      <c r="GKA16" s="7"/>
      <c r="GKB16" s="7"/>
      <c r="GKC16" s="7"/>
      <c r="GKD16" s="7"/>
      <c r="GKE16" s="7"/>
      <c r="GKF16" s="7"/>
      <c r="GKG16" s="7"/>
      <c r="GKH16" s="7"/>
      <c r="GKI16" s="7"/>
      <c r="GKJ16" s="7"/>
      <c r="GKK16" s="7"/>
      <c r="GKL16" s="7"/>
      <c r="GKM16" s="7"/>
      <c r="GKN16" s="7"/>
      <c r="GKO16" s="7"/>
      <c r="GKP16" s="7"/>
      <c r="GKQ16" s="7"/>
      <c r="GKR16" s="7"/>
      <c r="GKS16" s="7"/>
      <c r="GKT16" s="7"/>
      <c r="GKU16" s="7"/>
      <c r="GKV16" s="7"/>
      <c r="GKW16" s="7"/>
      <c r="GKX16" s="7"/>
      <c r="GKY16" s="7"/>
      <c r="GKZ16" s="7"/>
      <c r="GLA16" s="7"/>
      <c r="GLB16" s="7"/>
      <c r="GLC16" s="7"/>
      <c r="GLD16" s="7"/>
      <c r="GLE16" s="7"/>
      <c r="GLF16" s="7"/>
      <c r="GLG16" s="7"/>
      <c r="GLH16" s="7"/>
      <c r="GLI16" s="7"/>
      <c r="GLJ16" s="7"/>
      <c r="GLK16" s="7"/>
      <c r="GLL16" s="7"/>
      <c r="GLM16" s="7"/>
      <c r="GLN16" s="7"/>
      <c r="GLO16" s="7"/>
      <c r="GLP16" s="7"/>
      <c r="GLQ16" s="7"/>
      <c r="GLR16" s="7"/>
      <c r="GLS16" s="7"/>
      <c r="GLT16" s="7"/>
      <c r="GLU16" s="7"/>
      <c r="GLV16" s="7"/>
      <c r="GLW16" s="7"/>
      <c r="GLX16" s="7"/>
      <c r="GLY16" s="7"/>
      <c r="GLZ16" s="7"/>
      <c r="GMA16" s="7"/>
      <c r="GMB16" s="7"/>
      <c r="GMC16" s="7"/>
      <c r="GMD16" s="7"/>
      <c r="GME16" s="7"/>
      <c r="GMF16" s="7"/>
      <c r="GMG16" s="7"/>
      <c r="GMH16" s="7"/>
      <c r="GMI16" s="7"/>
      <c r="GMJ16" s="7"/>
      <c r="GMK16" s="7"/>
      <c r="GML16" s="7"/>
      <c r="GMM16" s="7"/>
      <c r="GMN16" s="7"/>
      <c r="GMO16" s="7"/>
      <c r="GMP16" s="7"/>
      <c r="GMQ16" s="7"/>
      <c r="GMR16" s="7"/>
      <c r="GMS16" s="7"/>
      <c r="GMT16" s="7"/>
      <c r="GMU16" s="7"/>
      <c r="GMV16" s="7"/>
      <c r="GMW16" s="7"/>
      <c r="GMX16" s="7"/>
      <c r="GMY16" s="7"/>
      <c r="GMZ16" s="7"/>
      <c r="GNA16" s="7"/>
      <c r="GNB16" s="7"/>
      <c r="GNC16" s="7"/>
      <c r="GND16" s="7"/>
      <c r="GNE16" s="7"/>
      <c r="GNF16" s="7"/>
      <c r="GNG16" s="7"/>
      <c r="GNH16" s="7"/>
      <c r="GNI16" s="7"/>
      <c r="GNJ16" s="7"/>
      <c r="GNK16" s="7"/>
      <c r="GNL16" s="7"/>
      <c r="GNM16" s="7"/>
      <c r="GNN16" s="7"/>
      <c r="GNO16" s="7"/>
      <c r="GNP16" s="7"/>
      <c r="GNQ16" s="7"/>
      <c r="GNR16" s="7"/>
      <c r="GNS16" s="7"/>
      <c r="GNT16" s="7"/>
      <c r="GNU16" s="7"/>
      <c r="GNV16" s="7"/>
      <c r="GNW16" s="7"/>
      <c r="GNX16" s="7"/>
      <c r="GNY16" s="7"/>
      <c r="GNZ16" s="7"/>
      <c r="GOA16" s="7"/>
      <c r="GOB16" s="7"/>
      <c r="GOC16" s="7"/>
      <c r="GOD16" s="7"/>
      <c r="GOE16" s="7"/>
      <c r="GOF16" s="7"/>
      <c r="GOG16" s="7"/>
      <c r="GOH16" s="7"/>
      <c r="GOI16" s="7"/>
      <c r="GOJ16" s="7"/>
      <c r="GOK16" s="7"/>
      <c r="GOL16" s="7"/>
      <c r="GOM16" s="7"/>
      <c r="GON16" s="7"/>
      <c r="GOO16" s="7"/>
      <c r="GOP16" s="7"/>
      <c r="GOQ16" s="7"/>
      <c r="GOR16" s="7"/>
      <c r="GOS16" s="7"/>
      <c r="GOT16" s="7"/>
      <c r="GOU16" s="7"/>
      <c r="GOV16" s="7"/>
      <c r="GOW16" s="7"/>
      <c r="GOX16" s="7"/>
      <c r="GOY16" s="7"/>
      <c r="GOZ16" s="7"/>
      <c r="GPA16" s="7"/>
      <c r="GPB16" s="7"/>
      <c r="GPC16" s="7"/>
      <c r="GPD16" s="7"/>
      <c r="GPE16" s="7"/>
      <c r="GPF16" s="7"/>
      <c r="GPG16" s="7"/>
      <c r="GPH16" s="7"/>
      <c r="GPI16" s="7"/>
      <c r="GPJ16" s="7"/>
      <c r="GPK16" s="7"/>
      <c r="GPL16" s="7"/>
      <c r="GPM16" s="7"/>
      <c r="GPN16" s="7"/>
      <c r="GPO16" s="7"/>
      <c r="GPP16" s="7"/>
      <c r="GPQ16" s="7"/>
      <c r="GPR16" s="7"/>
      <c r="GPS16" s="7"/>
      <c r="GPT16" s="7"/>
      <c r="GPU16" s="7"/>
      <c r="GPV16" s="7"/>
      <c r="GPW16" s="7"/>
      <c r="GPX16" s="7"/>
      <c r="GPY16" s="7"/>
      <c r="GPZ16" s="7"/>
      <c r="GQA16" s="7"/>
      <c r="GQB16" s="7"/>
      <c r="GQC16" s="7"/>
      <c r="GQD16" s="7"/>
      <c r="GQE16" s="7"/>
      <c r="GQF16" s="7"/>
      <c r="GQG16" s="7"/>
      <c r="GQH16" s="7"/>
      <c r="GQI16" s="7"/>
      <c r="GQJ16" s="7"/>
      <c r="GQK16" s="7"/>
      <c r="GQL16" s="7"/>
      <c r="GQM16" s="7"/>
      <c r="GQN16" s="7"/>
      <c r="GQO16" s="7"/>
      <c r="GQP16" s="7"/>
      <c r="GQQ16" s="7"/>
      <c r="GQR16" s="7"/>
      <c r="GQS16" s="7"/>
      <c r="GQT16" s="7"/>
      <c r="GQU16" s="7"/>
      <c r="GQV16" s="7"/>
      <c r="GQW16" s="7"/>
      <c r="GQX16" s="7"/>
      <c r="GQY16" s="7"/>
      <c r="GQZ16" s="7"/>
      <c r="GRA16" s="7"/>
      <c r="GRB16" s="7"/>
      <c r="GRC16" s="7"/>
      <c r="GRD16" s="7"/>
      <c r="GRE16" s="7"/>
      <c r="GRF16" s="7"/>
      <c r="GRG16" s="7"/>
      <c r="GRH16" s="7"/>
      <c r="GRI16" s="7"/>
      <c r="GRJ16" s="7"/>
      <c r="GRK16" s="7"/>
      <c r="GRL16" s="7"/>
      <c r="GRM16" s="7"/>
      <c r="GRN16" s="7"/>
      <c r="GRO16" s="7"/>
      <c r="GRP16" s="7"/>
      <c r="GRQ16" s="7"/>
      <c r="GRR16" s="7"/>
      <c r="GRS16" s="7"/>
      <c r="GRT16" s="7"/>
      <c r="GRU16" s="7"/>
      <c r="GRV16" s="7"/>
      <c r="GRW16" s="7"/>
      <c r="GRX16" s="7"/>
      <c r="GRY16" s="7"/>
      <c r="GRZ16" s="7"/>
      <c r="GSA16" s="7"/>
      <c r="GSB16" s="7"/>
      <c r="GSC16" s="7"/>
      <c r="GSD16" s="7"/>
      <c r="GSE16" s="7"/>
      <c r="GSF16" s="7"/>
      <c r="GSG16" s="7"/>
      <c r="GSH16" s="7"/>
      <c r="GSI16" s="7"/>
      <c r="GSJ16" s="7"/>
      <c r="GSK16" s="7"/>
      <c r="GSL16" s="7"/>
      <c r="GSM16" s="7"/>
      <c r="GSN16" s="7"/>
      <c r="GSO16" s="7"/>
      <c r="GSP16" s="7"/>
      <c r="GSQ16" s="7"/>
      <c r="GSR16" s="7"/>
      <c r="GSS16" s="7"/>
      <c r="GST16" s="7"/>
      <c r="GSU16" s="7"/>
      <c r="GSV16" s="7"/>
      <c r="GSW16" s="7"/>
      <c r="GSX16" s="7"/>
      <c r="GSY16" s="7"/>
      <c r="GSZ16" s="7"/>
      <c r="GTA16" s="7"/>
      <c r="GTB16" s="7"/>
      <c r="GTC16" s="7"/>
      <c r="GTD16" s="7"/>
      <c r="GTE16" s="7"/>
      <c r="GTF16" s="7"/>
      <c r="GTG16" s="7"/>
      <c r="GTH16" s="7"/>
      <c r="GTI16" s="7"/>
      <c r="GTJ16" s="7"/>
      <c r="GTK16" s="7"/>
      <c r="GTL16" s="7"/>
      <c r="GTM16" s="7"/>
      <c r="GTN16" s="7"/>
      <c r="GTO16" s="7"/>
      <c r="GTP16" s="7"/>
      <c r="GTQ16" s="7"/>
      <c r="GTR16" s="7"/>
      <c r="GTS16" s="7"/>
      <c r="GTT16" s="7"/>
      <c r="GTU16" s="7"/>
      <c r="GTV16" s="7"/>
      <c r="GTW16" s="7"/>
      <c r="GTX16" s="7"/>
      <c r="GTY16" s="7"/>
      <c r="GTZ16" s="7"/>
      <c r="GUA16" s="7"/>
      <c r="GUB16" s="7"/>
      <c r="GUC16" s="7"/>
      <c r="GUD16" s="7"/>
      <c r="GUE16" s="7"/>
      <c r="GUF16" s="7"/>
      <c r="GUG16" s="7"/>
      <c r="GUH16" s="7"/>
      <c r="GUI16" s="7"/>
      <c r="GUJ16" s="7"/>
      <c r="GUK16" s="7"/>
      <c r="GUL16" s="7"/>
      <c r="GUM16" s="7"/>
      <c r="GUN16" s="7"/>
      <c r="GUO16" s="7"/>
      <c r="GUP16" s="7"/>
      <c r="GUQ16" s="7"/>
      <c r="GUR16" s="7"/>
      <c r="GUS16" s="7"/>
      <c r="GUT16" s="7"/>
      <c r="GUU16" s="7"/>
      <c r="GUV16" s="7"/>
      <c r="GUW16" s="7"/>
      <c r="GUX16" s="7"/>
      <c r="GUY16" s="7"/>
      <c r="GUZ16" s="7"/>
      <c r="GVA16" s="7"/>
      <c r="GVB16" s="7"/>
      <c r="GVC16" s="7"/>
      <c r="GVD16" s="7"/>
      <c r="GVE16" s="7"/>
      <c r="GVF16" s="7"/>
      <c r="GVG16" s="7"/>
      <c r="GVH16" s="7"/>
      <c r="GVI16" s="7"/>
      <c r="GVJ16" s="7"/>
      <c r="GVK16" s="7"/>
      <c r="GVL16" s="7"/>
      <c r="GVM16" s="7"/>
      <c r="GVN16" s="7"/>
      <c r="GVO16" s="7"/>
      <c r="GVP16" s="7"/>
      <c r="GVQ16" s="7"/>
      <c r="GVR16" s="7"/>
      <c r="GVS16" s="7"/>
      <c r="GVT16" s="7"/>
      <c r="GVU16" s="7"/>
      <c r="GVV16" s="7"/>
      <c r="GVW16" s="7"/>
      <c r="GVX16" s="7"/>
      <c r="GVY16" s="7"/>
      <c r="GVZ16" s="7"/>
      <c r="GWA16" s="7"/>
      <c r="GWB16" s="7"/>
      <c r="GWC16" s="7"/>
      <c r="GWD16" s="7"/>
      <c r="GWE16" s="7"/>
      <c r="GWF16" s="7"/>
      <c r="GWG16" s="7"/>
      <c r="GWH16" s="7"/>
      <c r="GWI16" s="7"/>
      <c r="GWJ16" s="7"/>
      <c r="GWK16" s="7"/>
      <c r="GWL16" s="7"/>
      <c r="GWM16" s="7"/>
      <c r="GWN16" s="7"/>
      <c r="GWO16" s="7"/>
      <c r="GWP16" s="7"/>
      <c r="GWQ16" s="7"/>
      <c r="GWR16" s="7"/>
      <c r="GWS16" s="7"/>
      <c r="GWT16" s="7"/>
      <c r="GWU16" s="7"/>
      <c r="GWV16" s="7"/>
      <c r="GWW16" s="7"/>
      <c r="GWX16" s="7"/>
      <c r="GWY16" s="7"/>
      <c r="GWZ16" s="7"/>
      <c r="GXA16" s="7"/>
      <c r="GXB16" s="7"/>
      <c r="GXC16" s="7"/>
      <c r="GXD16" s="7"/>
      <c r="GXE16" s="7"/>
      <c r="GXF16" s="7"/>
      <c r="GXG16" s="7"/>
      <c r="GXH16" s="7"/>
      <c r="GXI16" s="7"/>
      <c r="GXJ16" s="7"/>
      <c r="GXK16" s="7"/>
      <c r="GXL16" s="7"/>
      <c r="GXM16" s="7"/>
      <c r="GXN16" s="7"/>
      <c r="GXO16" s="7"/>
      <c r="GXP16" s="7"/>
      <c r="GXQ16" s="7"/>
      <c r="GXR16" s="7"/>
      <c r="GXS16" s="7"/>
      <c r="GXT16" s="7"/>
      <c r="GXU16" s="7"/>
      <c r="GXV16" s="7"/>
      <c r="GXW16" s="7"/>
      <c r="GXX16" s="7"/>
      <c r="GXY16" s="7"/>
      <c r="GXZ16" s="7"/>
      <c r="GYA16" s="7"/>
      <c r="GYB16" s="7"/>
      <c r="GYC16" s="7"/>
      <c r="GYD16" s="7"/>
      <c r="GYE16" s="7"/>
      <c r="GYF16" s="7"/>
      <c r="GYG16" s="7"/>
      <c r="GYH16" s="7"/>
      <c r="GYI16" s="7"/>
      <c r="GYJ16" s="7"/>
      <c r="GYK16" s="7"/>
      <c r="GYL16" s="7"/>
      <c r="GYM16" s="7"/>
      <c r="GYN16" s="7"/>
      <c r="GYO16" s="7"/>
      <c r="GYP16" s="7"/>
      <c r="GYQ16" s="7"/>
      <c r="GYR16" s="7"/>
      <c r="GYS16" s="7"/>
      <c r="GYT16" s="7"/>
      <c r="GYU16" s="7"/>
      <c r="GYV16" s="7"/>
      <c r="GYW16" s="7"/>
      <c r="GYX16" s="7"/>
      <c r="GYY16" s="7"/>
      <c r="GYZ16" s="7"/>
      <c r="GZA16" s="7"/>
      <c r="GZB16" s="7"/>
      <c r="GZC16" s="7"/>
      <c r="GZD16" s="7"/>
      <c r="GZE16" s="7"/>
      <c r="GZF16" s="7"/>
      <c r="GZG16" s="7"/>
      <c r="GZH16" s="7"/>
      <c r="GZI16" s="7"/>
      <c r="GZJ16" s="7"/>
      <c r="GZK16" s="7"/>
      <c r="GZL16" s="7"/>
      <c r="GZM16" s="7"/>
      <c r="GZN16" s="7"/>
      <c r="GZO16" s="7"/>
      <c r="GZP16" s="7"/>
      <c r="GZQ16" s="7"/>
      <c r="GZR16" s="7"/>
      <c r="GZS16" s="7"/>
      <c r="GZT16" s="7"/>
      <c r="GZU16" s="7"/>
      <c r="GZV16" s="7"/>
      <c r="GZW16" s="7"/>
      <c r="GZX16" s="7"/>
      <c r="GZY16" s="7"/>
      <c r="GZZ16" s="7"/>
      <c r="HAA16" s="7"/>
      <c r="HAB16" s="7"/>
      <c r="HAC16" s="7"/>
      <c r="HAD16" s="7"/>
      <c r="HAE16" s="7"/>
      <c r="HAF16" s="7"/>
      <c r="HAG16" s="7"/>
      <c r="HAH16" s="7"/>
      <c r="HAI16" s="7"/>
      <c r="HAJ16" s="7"/>
      <c r="HAK16" s="7"/>
      <c r="HAL16" s="7"/>
      <c r="HAM16" s="7"/>
      <c r="HAN16" s="7"/>
      <c r="HAO16" s="7"/>
      <c r="HAP16" s="7"/>
      <c r="HAQ16" s="7"/>
      <c r="HAR16" s="7"/>
      <c r="HAS16" s="7"/>
      <c r="HAT16" s="7"/>
      <c r="HAU16" s="7"/>
      <c r="HAV16" s="7"/>
      <c r="HAW16" s="7"/>
      <c r="HAX16" s="7"/>
      <c r="HAY16" s="7"/>
      <c r="HAZ16" s="7"/>
      <c r="HBA16" s="7"/>
      <c r="HBB16" s="7"/>
      <c r="HBC16" s="7"/>
      <c r="HBD16" s="7"/>
      <c r="HBE16" s="7"/>
      <c r="HBF16" s="7"/>
      <c r="HBG16" s="7"/>
      <c r="HBH16" s="7"/>
      <c r="HBI16" s="7"/>
      <c r="HBJ16" s="7"/>
      <c r="HBK16" s="7"/>
      <c r="HBL16" s="7"/>
      <c r="HBM16" s="7"/>
      <c r="HBN16" s="7"/>
      <c r="HBO16" s="7"/>
      <c r="HBP16" s="7"/>
      <c r="HBQ16" s="7"/>
      <c r="HBR16" s="7"/>
      <c r="HBS16" s="7"/>
      <c r="HBT16" s="7"/>
      <c r="HBU16" s="7"/>
      <c r="HBV16" s="7"/>
      <c r="HBW16" s="7"/>
      <c r="HBX16" s="7"/>
      <c r="HBY16" s="7"/>
      <c r="HBZ16" s="7"/>
      <c r="HCA16" s="7"/>
      <c r="HCB16" s="7"/>
      <c r="HCC16" s="7"/>
      <c r="HCD16" s="7"/>
      <c r="HCE16" s="7"/>
      <c r="HCF16" s="7"/>
      <c r="HCG16" s="7"/>
      <c r="HCH16" s="7"/>
      <c r="HCI16" s="7"/>
      <c r="HCJ16" s="7"/>
      <c r="HCK16" s="7"/>
      <c r="HCL16" s="7"/>
      <c r="HCM16" s="7"/>
      <c r="HCN16" s="7"/>
      <c r="HCO16" s="7"/>
      <c r="HCP16" s="7"/>
      <c r="HCQ16" s="7"/>
      <c r="HCR16" s="7"/>
      <c r="HCS16" s="7"/>
      <c r="HCT16" s="7"/>
      <c r="HCU16" s="7"/>
      <c r="HCV16" s="7"/>
      <c r="HCW16" s="7"/>
      <c r="HCX16" s="7"/>
      <c r="HCY16" s="7"/>
      <c r="HCZ16" s="7"/>
      <c r="HDA16" s="7"/>
      <c r="HDB16" s="7"/>
      <c r="HDC16" s="7"/>
      <c r="HDD16" s="7"/>
      <c r="HDE16" s="7"/>
      <c r="HDF16" s="7"/>
      <c r="HDG16" s="7"/>
      <c r="HDH16" s="7"/>
      <c r="HDI16" s="7"/>
      <c r="HDJ16" s="7"/>
      <c r="HDK16" s="7"/>
      <c r="HDL16" s="7"/>
      <c r="HDM16" s="7"/>
      <c r="HDN16" s="7"/>
      <c r="HDO16" s="7"/>
      <c r="HDP16" s="7"/>
      <c r="HDQ16" s="7"/>
      <c r="HDR16" s="7"/>
      <c r="HDS16" s="7"/>
      <c r="HDT16" s="7"/>
      <c r="HDU16" s="7"/>
      <c r="HDV16" s="7"/>
      <c r="HDW16" s="7"/>
      <c r="HDX16" s="7"/>
      <c r="HDY16" s="7"/>
      <c r="HDZ16" s="7"/>
      <c r="HEA16" s="7"/>
      <c r="HEB16" s="7"/>
      <c r="HEC16" s="7"/>
      <c r="HED16" s="7"/>
      <c r="HEE16" s="7"/>
      <c r="HEF16" s="7"/>
      <c r="HEG16" s="7"/>
      <c r="HEH16" s="7"/>
      <c r="HEI16" s="7"/>
      <c r="HEJ16" s="7"/>
      <c r="HEK16" s="7"/>
      <c r="HEL16" s="7"/>
      <c r="HEM16" s="7"/>
      <c r="HEN16" s="7"/>
      <c r="HEO16" s="7"/>
      <c r="HEP16" s="7"/>
      <c r="HEQ16" s="7"/>
      <c r="HER16" s="7"/>
      <c r="HES16" s="7"/>
      <c r="HET16" s="7"/>
      <c r="HEU16" s="7"/>
      <c r="HEV16" s="7"/>
      <c r="HEW16" s="7"/>
      <c r="HEX16" s="7"/>
      <c r="HEY16" s="7"/>
      <c r="HEZ16" s="7"/>
      <c r="HFA16" s="7"/>
      <c r="HFB16" s="7"/>
      <c r="HFC16" s="7"/>
      <c r="HFD16" s="7"/>
      <c r="HFE16" s="7"/>
      <c r="HFF16" s="7"/>
      <c r="HFG16" s="7"/>
      <c r="HFH16" s="7"/>
      <c r="HFI16" s="7"/>
      <c r="HFJ16" s="7"/>
      <c r="HFK16" s="7"/>
      <c r="HFL16" s="7"/>
      <c r="HFM16" s="7"/>
      <c r="HFN16" s="7"/>
      <c r="HFO16" s="7"/>
      <c r="HFP16" s="7"/>
      <c r="HFQ16" s="7"/>
      <c r="HFR16" s="7"/>
      <c r="HFS16" s="7"/>
      <c r="HFT16" s="7"/>
      <c r="HFU16" s="7"/>
      <c r="HFV16" s="7"/>
      <c r="HFW16" s="7"/>
      <c r="HFX16" s="7"/>
      <c r="HFY16" s="7"/>
      <c r="HFZ16" s="7"/>
      <c r="HGA16" s="7"/>
      <c r="HGB16" s="7"/>
      <c r="HGC16" s="7"/>
      <c r="HGD16" s="7"/>
      <c r="HGE16" s="7"/>
      <c r="HGF16" s="7"/>
      <c r="HGG16" s="7"/>
      <c r="HGH16" s="7"/>
      <c r="HGI16" s="7"/>
      <c r="HGJ16" s="7"/>
      <c r="HGK16" s="7"/>
      <c r="HGL16" s="7"/>
      <c r="HGM16" s="7"/>
      <c r="HGN16" s="7"/>
      <c r="HGO16" s="7"/>
      <c r="HGP16" s="7"/>
      <c r="HGQ16" s="7"/>
      <c r="HGR16" s="7"/>
      <c r="HGS16" s="7"/>
      <c r="HGT16" s="7"/>
      <c r="HGU16" s="7"/>
      <c r="HGV16" s="7"/>
      <c r="HGW16" s="7"/>
      <c r="HGX16" s="7"/>
      <c r="HGY16" s="7"/>
      <c r="HGZ16" s="7"/>
      <c r="HHA16" s="7"/>
      <c r="HHB16" s="7"/>
      <c r="HHC16" s="7"/>
      <c r="HHD16" s="7"/>
      <c r="HHE16" s="7"/>
      <c r="HHF16" s="7"/>
      <c r="HHG16" s="7"/>
      <c r="HHH16" s="7"/>
      <c r="HHI16" s="7"/>
      <c r="HHJ16" s="7"/>
      <c r="HHK16" s="7"/>
      <c r="HHL16" s="7"/>
      <c r="HHM16" s="7"/>
      <c r="HHN16" s="7"/>
      <c r="HHO16" s="7"/>
      <c r="HHP16" s="7"/>
      <c r="HHQ16" s="7"/>
      <c r="HHR16" s="7"/>
      <c r="HHS16" s="7"/>
      <c r="HHT16" s="7"/>
      <c r="HHU16" s="7"/>
      <c r="HHV16" s="7"/>
      <c r="HHW16" s="7"/>
      <c r="HHX16" s="7"/>
      <c r="HHY16" s="7"/>
      <c r="HHZ16" s="7"/>
      <c r="HIA16" s="7"/>
      <c r="HIB16" s="7"/>
      <c r="HIC16" s="7"/>
      <c r="HID16" s="7"/>
      <c r="HIE16" s="7"/>
      <c r="HIF16" s="7"/>
      <c r="HIG16" s="7"/>
      <c r="HIH16" s="7"/>
      <c r="HII16" s="7"/>
      <c r="HIJ16" s="7"/>
      <c r="HIK16" s="7"/>
      <c r="HIL16" s="7"/>
      <c r="HIM16" s="7"/>
      <c r="HIN16" s="7"/>
      <c r="HIO16" s="7"/>
      <c r="HIP16" s="7"/>
      <c r="HIQ16" s="7"/>
      <c r="HIR16" s="7"/>
      <c r="HIS16" s="7"/>
      <c r="HIT16" s="7"/>
      <c r="HIU16" s="7"/>
      <c r="HIV16" s="7"/>
      <c r="HIW16" s="7"/>
      <c r="HIX16" s="7"/>
      <c r="HIY16" s="7"/>
      <c r="HIZ16" s="7"/>
      <c r="HJA16" s="7"/>
      <c r="HJB16" s="7"/>
      <c r="HJC16" s="7"/>
      <c r="HJD16" s="7"/>
      <c r="HJE16" s="7"/>
      <c r="HJF16" s="7"/>
      <c r="HJG16" s="7"/>
      <c r="HJH16" s="7"/>
      <c r="HJI16" s="7"/>
      <c r="HJJ16" s="7"/>
      <c r="HJK16" s="7"/>
      <c r="HJL16" s="7"/>
      <c r="HJM16" s="7"/>
      <c r="HJN16" s="7"/>
      <c r="HJO16" s="7"/>
      <c r="HJP16" s="7"/>
      <c r="HJQ16" s="7"/>
      <c r="HJR16" s="7"/>
      <c r="HJS16" s="7"/>
      <c r="HJT16" s="7"/>
      <c r="HJU16" s="7"/>
      <c r="HJV16" s="7"/>
      <c r="HJW16" s="7"/>
      <c r="HJX16" s="7"/>
      <c r="HJY16" s="7"/>
      <c r="HJZ16" s="7"/>
      <c r="HKA16" s="7"/>
      <c r="HKB16" s="7"/>
      <c r="HKC16" s="7"/>
      <c r="HKD16" s="7"/>
      <c r="HKE16" s="7"/>
      <c r="HKF16" s="7"/>
      <c r="HKG16" s="7"/>
      <c r="HKH16" s="7"/>
      <c r="HKI16" s="7"/>
      <c r="HKJ16" s="7"/>
      <c r="HKK16" s="7"/>
      <c r="HKL16" s="7"/>
      <c r="HKM16" s="7"/>
      <c r="HKN16" s="7"/>
      <c r="HKO16" s="7"/>
      <c r="HKP16" s="7"/>
      <c r="HKQ16" s="7"/>
      <c r="HKR16" s="7"/>
      <c r="HKS16" s="7"/>
      <c r="HKT16" s="7"/>
      <c r="HKU16" s="7"/>
      <c r="HKV16" s="7"/>
      <c r="HKW16" s="7"/>
      <c r="HKX16" s="7"/>
      <c r="HKY16" s="7"/>
      <c r="HKZ16" s="7"/>
      <c r="HLA16" s="7"/>
      <c r="HLB16" s="7"/>
      <c r="HLC16" s="7"/>
      <c r="HLD16" s="7"/>
      <c r="HLE16" s="7"/>
      <c r="HLF16" s="7"/>
      <c r="HLG16" s="7"/>
      <c r="HLH16" s="7"/>
      <c r="HLI16" s="7"/>
      <c r="HLJ16" s="7"/>
      <c r="HLK16" s="7"/>
      <c r="HLL16" s="7"/>
      <c r="HLM16" s="7"/>
      <c r="HLN16" s="7"/>
      <c r="HLO16" s="7"/>
      <c r="HLP16" s="7"/>
      <c r="HLQ16" s="7"/>
      <c r="HLR16" s="7"/>
      <c r="HLS16" s="7"/>
      <c r="HLT16" s="7"/>
      <c r="HLU16" s="7"/>
      <c r="HLV16" s="7"/>
      <c r="HLW16" s="7"/>
      <c r="HLX16" s="7"/>
      <c r="HLY16" s="7"/>
      <c r="HLZ16" s="7"/>
      <c r="HMA16" s="7"/>
      <c r="HMB16" s="7"/>
      <c r="HMC16" s="7"/>
      <c r="HMD16" s="7"/>
      <c r="HME16" s="7"/>
      <c r="HMF16" s="7"/>
      <c r="HMG16" s="7"/>
      <c r="HMH16" s="7"/>
      <c r="HMI16" s="7"/>
      <c r="HMJ16" s="7"/>
      <c r="HMK16" s="7"/>
      <c r="HML16" s="7"/>
      <c r="HMM16" s="7"/>
      <c r="HMN16" s="7"/>
      <c r="HMO16" s="7"/>
      <c r="HMP16" s="7"/>
      <c r="HMQ16" s="7"/>
      <c r="HMR16" s="7"/>
      <c r="HMS16" s="7"/>
      <c r="HMT16" s="7"/>
      <c r="HMU16" s="7"/>
      <c r="HMV16" s="7"/>
      <c r="HMW16" s="7"/>
      <c r="HMX16" s="7"/>
      <c r="HMY16" s="7"/>
      <c r="HMZ16" s="7"/>
      <c r="HNA16" s="7"/>
      <c r="HNB16" s="7"/>
      <c r="HNC16" s="7"/>
      <c r="HND16" s="7"/>
      <c r="HNE16" s="7"/>
      <c r="HNF16" s="7"/>
      <c r="HNG16" s="7"/>
      <c r="HNH16" s="7"/>
      <c r="HNI16" s="7"/>
      <c r="HNJ16" s="7"/>
      <c r="HNK16" s="7"/>
      <c r="HNL16" s="7"/>
      <c r="HNM16" s="7"/>
      <c r="HNN16" s="7"/>
      <c r="HNO16" s="7"/>
      <c r="HNP16" s="7"/>
      <c r="HNQ16" s="7"/>
      <c r="HNR16" s="7"/>
      <c r="HNS16" s="7"/>
      <c r="HNT16" s="7"/>
      <c r="HNU16" s="7"/>
      <c r="HNV16" s="7"/>
      <c r="HNW16" s="7"/>
      <c r="HNX16" s="7"/>
      <c r="HNY16" s="7"/>
      <c r="HNZ16" s="7"/>
      <c r="HOA16" s="7"/>
      <c r="HOB16" s="7"/>
      <c r="HOC16" s="7"/>
      <c r="HOD16" s="7"/>
      <c r="HOE16" s="7"/>
      <c r="HOF16" s="7"/>
      <c r="HOG16" s="7"/>
      <c r="HOH16" s="7"/>
      <c r="HOI16" s="7"/>
      <c r="HOJ16" s="7"/>
      <c r="HOK16" s="7"/>
      <c r="HOL16" s="7"/>
      <c r="HOM16" s="7"/>
      <c r="HON16" s="7"/>
      <c r="HOO16" s="7"/>
      <c r="HOP16" s="7"/>
      <c r="HOQ16" s="7"/>
      <c r="HOR16" s="7"/>
      <c r="HOS16" s="7"/>
      <c r="HOT16" s="7"/>
      <c r="HOU16" s="7"/>
      <c r="HOV16" s="7"/>
      <c r="HOW16" s="7"/>
      <c r="HOX16" s="7"/>
      <c r="HOY16" s="7"/>
      <c r="HOZ16" s="7"/>
      <c r="HPA16" s="7"/>
      <c r="HPB16" s="7"/>
      <c r="HPC16" s="7"/>
      <c r="HPD16" s="7"/>
      <c r="HPE16" s="7"/>
      <c r="HPF16" s="7"/>
      <c r="HPG16" s="7"/>
      <c r="HPH16" s="7"/>
      <c r="HPI16" s="7"/>
      <c r="HPJ16" s="7"/>
      <c r="HPK16" s="7"/>
      <c r="HPL16" s="7"/>
      <c r="HPM16" s="7"/>
      <c r="HPN16" s="7"/>
      <c r="HPO16" s="7"/>
      <c r="HPP16" s="7"/>
      <c r="HPQ16" s="7"/>
      <c r="HPR16" s="7"/>
      <c r="HPS16" s="7"/>
      <c r="HPT16" s="7"/>
      <c r="HPU16" s="7"/>
      <c r="HPV16" s="7"/>
      <c r="HPW16" s="7"/>
      <c r="HPX16" s="7"/>
      <c r="HPY16" s="7"/>
      <c r="HPZ16" s="7"/>
      <c r="HQA16" s="7"/>
      <c r="HQB16" s="7"/>
      <c r="HQC16" s="7"/>
      <c r="HQD16" s="7"/>
      <c r="HQE16" s="7"/>
      <c r="HQF16" s="7"/>
      <c r="HQG16" s="7"/>
      <c r="HQH16" s="7"/>
      <c r="HQI16" s="7"/>
      <c r="HQJ16" s="7"/>
      <c r="HQK16" s="7"/>
      <c r="HQL16" s="7"/>
      <c r="HQM16" s="7"/>
      <c r="HQN16" s="7"/>
      <c r="HQO16" s="7"/>
      <c r="HQP16" s="7"/>
      <c r="HQQ16" s="7"/>
      <c r="HQR16" s="7"/>
      <c r="HQS16" s="7"/>
      <c r="HQT16" s="7"/>
      <c r="HQU16" s="7"/>
      <c r="HQV16" s="7"/>
      <c r="HQW16" s="7"/>
      <c r="HQX16" s="7"/>
      <c r="HQY16" s="7"/>
      <c r="HQZ16" s="7"/>
      <c r="HRA16" s="7"/>
      <c r="HRB16" s="7"/>
      <c r="HRC16" s="7"/>
      <c r="HRD16" s="7"/>
      <c r="HRE16" s="7"/>
      <c r="HRF16" s="7"/>
      <c r="HRG16" s="7"/>
      <c r="HRH16" s="7"/>
      <c r="HRI16" s="7"/>
      <c r="HRJ16" s="7"/>
      <c r="HRK16" s="7"/>
      <c r="HRL16" s="7"/>
      <c r="HRM16" s="7"/>
      <c r="HRN16" s="7"/>
      <c r="HRO16" s="7"/>
      <c r="HRP16" s="7"/>
      <c r="HRQ16" s="7"/>
      <c r="HRR16" s="7"/>
      <c r="HRS16" s="7"/>
      <c r="HRT16" s="7"/>
      <c r="HRU16" s="7"/>
      <c r="HRV16" s="7"/>
      <c r="HRW16" s="7"/>
      <c r="HRX16" s="7"/>
      <c r="HRY16" s="7"/>
      <c r="HRZ16" s="7"/>
      <c r="HSA16" s="7"/>
      <c r="HSB16" s="7"/>
      <c r="HSC16" s="7"/>
      <c r="HSD16" s="7"/>
      <c r="HSE16" s="7"/>
      <c r="HSF16" s="7"/>
      <c r="HSG16" s="7"/>
      <c r="HSH16" s="7"/>
      <c r="HSI16" s="7"/>
      <c r="HSJ16" s="7"/>
      <c r="HSK16" s="7"/>
      <c r="HSL16" s="7"/>
      <c r="HSM16" s="7"/>
      <c r="HSN16" s="7"/>
      <c r="HSO16" s="7"/>
      <c r="HSP16" s="7"/>
      <c r="HSQ16" s="7"/>
      <c r="HSR16" s="7"/>
      <c r="HSS16" s="7"/>
      <c r="HST16" s="7"/>
      <c r="HSU16" s="7"/>
      <c r="HSV16" s="7"/>
      <c r="HSW16" s="7"/>
      <c r="HSX16" s="7"/>
      <c r="HSY16" s="7"/>
      <c r="HSZ16" s="7"/>
      <c r="HTA16" s="7"/>
      <c r="HTB16" s="7"/>
      <c r="HTC16" s="7"/>
      <c r="HTD16" s="7"/>
      <c r="HTE16" s="7"/>
      <c r="HTF16" s="7"/>
      <c r="HTG16" s="7"/>
      <c r="HTH16" s="7"/>
      <c r="HTI16" s="7"/>
      <c r="HTJ16" s="7"/>
      <c r="HTK16" s="7"/>
      <c r="HTL16" s="7"/>
      <c r="HTM16" s="7"/>
      <c r="HTN16" s="7"/>
      <c r="HTO16" s="7"/>
      <c r="HTP16" s="7"/>
      <c r="HTQ16" s="7"/>
      <c r="HTR16" s="7"/>
      <c r="HTS16" s="7"/>
      <c r="HTT16" s="7"/>
      <c r="HTU16" s="7"/>
      <c r="HTV16" s="7"/>
      <c r="HTW16" s="7"/>
      <c r="HTX16" s="7"/>
      <c r="HTY16" s="7"/>
      <c r="HTZ16" s="7"/>
      <c r="HUA16" s="7"/>
      <c r="HUB16" s="7"/>
      <c r="HUC16" s="7"/>
      <c r="HUD16" s="7"/>
      <c r="HUE16" s="7"/>
      <c r="HUF16" s="7"/>
      <c r="HUG16" s="7"/>
      <c r="HUH16" s="7"/>
      <c r="HUI16" s="7"/>
      <c r="HUJ16" s="7"/>
      <c r="HUK16" s="7"/>
      <c r="HUL16" s="7"/>
      <c r="HUM16" s="7"/>
      <c r="HUN16" s="7"/>
      <c r="HUO16" s="7"/>
      <c r="HUP16" s="7"/>
      <c r="HUQ16" s="7"/>
      <c r="HUR16" s="7"/>
      <c r="HUS16" s="7"/>
      <c r="HUT16" s="7"/>
      <c r="HUU16" s="7"/>
      <c r="HUV16" s="7"/>
      <c r="HUW16" s="7"/>
      <c r="HUX16" s="7"/>
      <c r="HUY16" s="7"/>
      <c r="HUZ16" s="7"/>
      <c r="HVA16" s="7"/>
      <c r="HVB16" s="7"/>
      <c r="HVC16" s="7"/>
      <c r="HVD16" s="7"/>
      <c r="HVE16" s="7"/>
      <c r="HVF16" s="7"/>
      <c r="HVG16" s="7"/>
      <c r="HVH16" s="7"/>
      <c r="HVI16" s="7"/>
      <c r="HVJ16" s="7"/>
      <c r="HVK16" s="7"/>
      <c r="HVL16" s="7"/>
      <c r="HVM16" s="7"/>
      <c r="HVN16" s="7"/>
      <c r="HVO16" s="7"/>
      <c r="HVP16" s="7"/>
      <c r="HVQ16" s="7"/>
      <c r="HVR16" s="7"/>
      <c r="HVS16" s="7"/>
      <c r="HVT16" s="7"/>
      <c r="HVU16" s="7"/>
      <c r="HVV16" s="7"/>
      <c r="HVW16" s="7"/>
      <c r="HVX16" s="7"/>
      <c r="HVY16" s="7"/>
      <c r="HVZ16" s="7"/>
      <c r="HWA16" s="7"/>
      <c r="HWB16" s="7"/>
      <c r="HWC16" s="7"/>
      <c r="HWD16" s="7"/>
      <c r="HWE16" s="7"/>
      <c r="HWF16" s="7"/>
      <c r="HWG16" s="7"/>
      <c r="HWH16" s="7"/>
      <c r="HWI16" s="7"/>
      <c r="HWJ16" s="7"/>
      <c r="HWK16" s="7"/>
      <c r="HWL16" s="7"/>
      <c r="HWM16" s="7"/>
      <c r="HWN16" s="7"/>
      <c r="HWO16" s="7"/>
      <c r="HWP16" s="7"/>
      <c r="HWQ16" s="7"/>
      <c r="HWR16" s="7"/>
      <c r="HWS16" s="7"/>
      <c r="HWT16" s="7"/>
      <c r="HWU16" s="7"/>
      <c r="HWV16" s="7"/>
      <c r="HWW16" s="7"/>
      <c r="HWX16" s="7"/>
      <c r="HWY16" s="7"/>
      <c r="HWZ16" s="7"/>
      <c r="HXA16" s="7"/>
      <c r="HXB16" s="7"/>
      <c r="HXC16" s="7"/>
      <c r="HXD16" s="7"/>
      <c r="HXE16" s="7"/>
      <c r="HXF16" s="7"/>
      <c r="HXG16" s="7"/>
      <c r="HXH16" s="7"/>
      <c r="HXI16" s="7"/>
      <c r="HXJ16" s="7"/>
      <c r="HXK16" s="7"/>
      <c r="HXL16" s="7"/>
      <c r="HXM16" s="7"/>
      <c r="HXN16" s="7"/>
      <c r="HXO16" s="7"/>
      <c r="HXP16" s="7"/>
      <c r="HXQ16" s="7"/>
      <c r="HXR16" s="7"/>
      <c r="HXS16" s="7"/>
      <c r="HXT16" s="7"/>
      <c r="HXU16" s="7"/>
      <c r="HXV16" s="7"/>
      <c r="HXW16" s="7"/>
      <c r="HXX16" s="7"/>
      <c r="HXY16" s="7"/>
      <c r="HXZ16" s="7"/>
      <c r="HYA16" s="7"/>
      <c r="HYB16" s="7"/>
      <c r="HYC16" s="7"/>
      <c r="HYD16" s="7"/>
      <c r="HYE16" s="7"/>
      <c r="HYF16" s="7"/>
      <c r="HYG16" s="7"/>
      <c r="HYH16" s="7"/>
      <c r="HYI16" s="7"/>
      <c r="HYJ16" s="7"/>
      <c r="HYK16" s="7"/>
      <c r="HYL16" s="7"/>
      <c r="HYM16" s="7"/>
      <c r="HYN16" s="7"/>
      <c r="HYO16" s="7"/>
      <c r="HYP16" s="7"/>
      <c r="HYQ16" s="7"/>
      <c r="HYR16" s="7"/>
      <c r="HYS16" s="7"/>
      <c r="HYT16" s="7"/>
      <c r="HYU16" s="7"/>
      <c r="HYV16" s="7"/>
      <c r="HYW16" s="7"/>
      <c r="HYX16" s="7"/>
      <c r="HYY16" s="7"/>
      <c r="HYZ16" s="7"/>
      <c r="HZA16" s="7"/>
      <c r="HZB16" s="7"/>
      <c r="HZC16" s="7"/>
      <c r="HZD16" s="7"/>
      <c r="HZE16" s="7"/>
      <c r="HZF16" s="7"/>
      <c r="HZG16" s="7"/>
      <c r="HZH16" s="7"/>
      <c r="HZI16" s="7"/>
      <c r="HZJ16" s="7"/>
      <c r="HZK16" s="7"/>
      <c r="HZL16" s="7"/>
      <c r="HZM16" s="7"/>
      <c r="HZN16" s="7"/>
      <c r="HZO16" s="7"/>
      <c r="HZP16" s="7"/>
      <c r="HZQ16" s="7"/>
      <c r="HZR16" s="7"/>
      <c r="HZS16" s="7"/>
      <c r="HZT16" s="7"/>
      <c r="HZU16" s="7"/>
      <c r="HZV16" s="7"/>
      <c r="HZW16" s="7"/>
      <c r="HZX16" s="7"/>
      <c r="HZY16" s="7"/>
      <c r="HZZ16" s="7"/>
      <c r="IAA16" s="7"/>
      <c r="IAB16" s="7"/>
      <c r="IAC16" s="7"/>
      <c r="IAD16" s="7"/>
      <c r="IAE16" s="7"/>
      <c r="IAF16" s="7"/>
      <c r="IAG16" s="7"/>
      <c r="IAH16" s="7"/>
      <c r="IAI16" s="7"/>
      <c r="IAJ16" s="7"/>
      <c r="IAK16" s="7"/>
      <c r="IAL16" s="7"/>
      <c r="IAM16" s="7"/>
      <c r="IAN16" s="7"/>
      <c r="IAO16" s="7"/>
      <c r="IAP16" s="7"/>
      <c r="IAQ16" s="7"/>
      <c r="IAR16" s="7"/>
      <c r="IAS16" s="7"/>
      <c r="IAT16" s="7"/>
      <c r="IAU16" s="7"/>
      <c r="IAV16" s="7"/>
      <c r="IAW16" s="7"/>
      <c r="IAX16" s="7"/>
      <c r="IAY16" s="7"/>
      <c r="IAZ16" s="7"/>
      <c r="IBA16" s="7"/>
      <c r="IBB16" s="7"/>
      <c r="IBC16" s="7"/>
      <c r="IBD16" s="7"/>
      <c r="IBE16" s="7"/>
      <c r="IBF16" s="7"/>
      <c r="IBG16" s="7"/>
      <c r="IBH16" s="7"/>
      <c r="IBI16" s="7"/>
      <c r="IBJ16" s="7"/>
      <c r="IBK16" s="7"/>
      <c r="IBL16" s="7"/>
      <c r="IBM16" s="7"/>
      <c r="IBN16" s="7"/>
      <c r="IBO16" s="7"/>
      <c r="IBP16" s="7"/>
      <c r="IBQ16" s="7"/>
      <c r="IBR16" s="7"/>
      <c r="IBS16" s="7"/>
      <c r="IBT16" s="7"/>
      <c r="IBU16" s="7"/>
      <c r="IBV16" s="7"/>
      <c r="IBW16" s="7"/>
      <c r="IBX16" s="7"/>
      <c r="IBY16" s="7"/>
      <c r="IBZ16" s="7"/>
      <c r="ICA16" s="7"/>
      <c r="ICB16" s="7"/>
      <c r="ICC16" s="7"/>
      <c r="ICD16" s="7"/>
      <c r="ICE16" s="7"/>
      <c r="ICF16" s="7"/>
      <c r="ICG16" s="7"/>
      <c r="ICH16" s="7"/>
      <c r="ICI16" s="7"/>
      <c r="ICJ16" s="7"/>
      <c r="ICK16" s="7"/>
      <c r="ICL16" s="7"/>
      <c r="ICM16" s="7"/>
      <c r="ICN16" s="7"/>
      <c r="ICO16" s="7"/>
      <c r="ICP16" s="7"/>
      <c r="ICQ16" s="7"/>
      <c r="ICR16" s="7"/>
      <c r="ICS16" s="7"/>
      <c r="ICT16" s="7"/>
      <c r="ICU16" s="7"/>
      <c r="ICV16" s="7"/>
      <c r="ICW16" s="7"/>
      <c r="ICX16" s="7"/>
      <c r="ICY16" s="7"/>
      <c r="ICZ16" s="7"/>
      <c r="IDA16" s="7"/>
      <c r="IDB16" s="7"/>
      <c r="IDC16" s="7"/>
      <c r="IDD16" s="7"/>
      <c r="IDE16" s="7"/>
      <c r="IDF16" s="7"/>
      <c r="IDG16" s="7"/>
      <c r="IDH16" s="7"/>
      <c r="IDI16" s="7"/>
      <c r="IDJ16" s="7"/>
      <c r="IDK16" s="7"/>
      <c r="IDL16" s="7"/>
      <c r="IDM16" s="7"/>
      <c r="IDN16" s="7"/>
      <c r="IDO16" s="7"/>
      <c r="IDP16" s="7"/>
      <c r="IDQ16" s="7"/>
      <c r="IDR16" s="7"/>
      <c r="IDS16" s="7"/>
      <c r="IDT16" s="7"/>
      <c r="IDU16" s="7"/>
      <c r="IDV16" s="7"/>
      <c r="IDW16" s="7"/>
      <c r="IDX16" s="7"/>
      <c r="IDY16" s="7"/>
      <c r="IDZ16" s="7"/>
      <c r="IEA16" s="7"/>
      <c r="IEB16" s="7"/>
      <c r="IEC16" s="7"/>
      <c r="IED16" s="7"/>
      <c r="IEE16" s="7"/>
      <c r="IEF16" s="7"/>
      <c r="IEG16" s="7"/>
      <c r="IEH16" s="7"/>
      <c r="IEI16" s="7"/>
      <c r="IEJ16" s="7"/>
      <c r="IEK16" s="7"/>
      <c r="IEL16" s="7"/>
      <c r="IEM16" s="7"/>
      <c r="IEN16" s="7"/>
      <c r="IEO16" s="7"/>
      <c r="IEP16" s="7"/>
      <c r="IEQ16" s="7"/>
      <c r="IER16" s="7"/>
      <c r="IES16" s="7"/>
      <c r="IET16" s="7"/>
      <c r="IEU16" s="7"/>
      <c r="IEV16" s="7"/>
      <c r="IEW16" s="7"/>
      <c r="IEX16" s="7"/>
      <c r="IEY16" s="7"/>
      <c r="IEZ16" s="7"/>
      <c r="IFA16" s="7"/>
      <c r="IFB16" s="7"/>
      <c r="IFC16" s="7"/>
      <c r="IFD16" s="7"/>
      <c r="IFE16" s="7"/>
      <c r="IFF16" s="7"/>
      <c r="IFG16" s="7"/>
      <c r="IFH16" s="7"/>
      <c r="IFI16" s="7"/>
      <c r="IFJ16" s="7"/>
      <c r="IFK16" s="7"/>
      <c r="IFL16" s="7"/>
      <c r="IFM16" s="7"/>
      <c r="IFN16" s="7"/>
      <c r="IFO16" s="7"/>
      <c r="IFP16" s="7"/>
      <c r="IFQ16" s="7"/>
      <c r="IFR16" s="7"/>
      <c r="IFS16" s="7"/>
      <c r="IFT16" s="7"/>
      <c r="IFU16" s="7"/>
      <c r="IFV16" s="7"/>
      <c r="IFW16" s="7"/>
      <c r="IFX16" s="7"/>
      <c r="IFY16" s="7"/>
      <c r="IFZ16" s="7"/>
      <c r="IGA16" s="7"/>
      <c r="IGB16" s="7"/>
      <c r="IGC16" s="7"/>
      <c r="IGD16" s="7"/>
      <c r="IGE16" s="7"/>
      <c r="IGF16" s="7"/>
      <c r="IGG16" s="7"/>
      <c r="IGH16" s="7"/>
      <c r="IGI16" s="7"/>
      <c r="IGJ16" s="7"/>
      <c r="IGK16" s="7"/>
      <c r="IGL16" s="7"/>
      <c r="IGM16" s="7"/>
      <c r="IGN16" s="7"/>
      <c r="IGO16" s="7"/>
      <c r="IGP16" s="7"/>
      <c r="IGQ16" s="7"/>
      <c r="IGR16" s="7"/>
      <c r="IGS16" s="7"/>
      <c r="IGT16" s="7"/>
      <c r="IGU16" s="7"/>
      <c r="IGV16" s="7"/>
      <c r="IGW16" s="7"/>
      <c r="IGX16" s="7"/>
      <c r="IGY16" s="7"/>
      <c r="IGZ16" s="7"/>
      <c r="IHA16" s="7"/>
      <c r="IHB16" s="7"/>
      <c r="IHC16" s="7"/>
      <c r="IHD16" s="7"/>
      <c r="IHE16" s="7"/>
      <c r="IHF16" s="7"/>
      <c r="IHG16" s="7"/>
      <c r="IHH16" s="7"/>
      <c r="IHI16" s="7"/>
      <c r="IHJ16" s="7"/>
      <c r="IHK16" s="7"/>
      <c r="IHL16" s="7"/>
      <c r="IHM16" s="7"/>
      <c r="IHN16" s="7"/>
      <c r="IHO16" s="7"/>
      <c r="IHP16" s="7"/>
      <c r="IHQ16" s="7"/>
      <c r="IHR16" s="7"/>
      <c r="IHS16" s="7"/>
      <c r="IHT16" s="7"/>
      <c r="IHU16" s="7"/>
      <c r="IHV16" s="7"/>
      <c r="IHW16" s="7"/>
      <c r="IHX16" s="7"/>
      <c r="IHY16" s="7"/>
      <c r="IHZ16" s="7"/>
      <c r="IIA16" s="7"/>
      <c r="IIB16" s="7"/>
      <c r="IIC16" s="7"/>
      <c r="IID16" s="7"/>
      <c r="IIE16" s="7"/>
      <c r="IIF16" s="7"/>
      <c r="IIG16" s="7"/>
      <c r="IIH16" s="7"/>
      <c r="III16" s="7"/>
      <c r="IIJ16" s="7"/>
      <c r="IIK16" s="7"/>
      <c r="IIL16" s="7"/>
      <c r="IIM16" s="7"/>
      <c r="IIN16" s="7"/>
      <c r="IIO16" s="7"/>
      <c r="IIP16" s="7"/>
      <c r="IIQ16" s="7"/>
      <c r="IIR16" s="7"/>
      <c r="IIS16" s="7"/>
      <c r="IIT16" s="7"/>
      <c r="IIU16" s="7"/>
      <c r="IIV16" s="7"/>
      <c r="IIW16" s="7"/>
      <c r="IIX16" s="7"/>
      <c r="IIY16" s="7"/>
      <c r="IIZ16" s="7"/>
      <c r="IJA16" s="7"/>
      <c r="IJB16" s="7"/>
      <c r="IJC16" s="7"/>
      <c r="IJD16" s="7"/>
      <c r="IJE16" s="7"/>
      <c r="IJF16" s="7"/>
      <c r="IJG16" s="7"/>
      <c r="IJH16" s="7"/>
      <c r="IJI16" s="7"/>
      <c r="IJJ16" s="7"/>
      <c r="IJK16" s="7"/>
      <c r="IJL16" s="7"/>
      <c r="IJM16" s="7"/>
      <c r="IJN16" s="7"/>
      <c r="IJO16" s="7"/>
      <c r="IJP16" s="7"/>
      <c r="IJQ16" s="7"/>
      <c r="IJR16" s="7"/>
      <c r="IJS16" s="7"/>
      <c r="IJT16" s="7"/>
      <c r="IJU16" s="7"/>
      <c r="IJV16" s="7"/>
      <c r="IJW16" s="7"/>
      <c r="IJX16" s="7"/>
      <c r="IJY16" s="7"/>
      <c r="IJZ16" s="7"/>
      <c r="IKA16" s="7"/>
      <c r="IKB16" s="7"/>
      <c r="IKC16" s="7"/>
      <c r="IKD16" s="7"/>
      <c r="IKE16" s="7"/>
      <c r="IKF16" s="7"/>
      <c r="IKG16" s="7"/>
      <c r="IKH16" s="7"/>
      <c r="IKI16" s="7"/>
      <c r="IKJ16" s="7"/>
      <c r="IKK16" s="7"/>
      <c r="IKL16" s="7"/>
      <c r="IKM16" s="7"/>
      <c r="IKN16" s="7"/>
      <c r="IKO16" s="7"/>
      <c r="IKP16" s="7"/>
      <c r="IKQ16" s="7"/>
      <c r="IKR16" s="7"/>
      <c r="IKS16" s="7"/>
      <c r="IKT16" s="7"/>
      <c r="IKU16" s="7"/>
      <c r="IKV16" s="7"/>
      <c r="IKW16" s="7"/>
      <c r="IKX16" s="7"/>
      <c r="IKY16" s="7"/>
      <c r="IKZ16" s="7"/>
      <c r="ILA16" s="7"/>
      <c r="ILB16" s="7"/>
      <c r="ILC16" s="7"/>
      <c r="ILD16" s="7"/>
      <c r="ILE16" s="7"/>
      <c r="ILF16" s="7"/>
      <c r="ILG16" s="7"/>
      <c r="ILH16" s="7"/>
      <c r="ILI16" s="7"/>
      <c r="ILJ16" s="7"/>
      <c r="ILK16" s="7"/>
      <c r="ILL16" s="7"/>
      <c r="ILM16" s="7"/>
      <c r="ILN16" s="7"/>
      <c r="ILO16" s="7"/>
      <c r="ILP16" s="7"/>
      <c r="ILQ16" s="7"/>
      <c r="ILR16" s="7"/>
      <c r="ILS16" s="7"/>
      <c r="ILT16" s="7"/>
      <c r="ILU16" s="7"/>
      <c r="ILV16" s="7"/>
      <c r="ILW16" s="7"/>
      <c r="ILX16" s="7"/>
      <c r="ILY16" s="7"/>
      <c r="ILZ16" s="7"/>
      <c r="IMA16" s="7"/>
      <c r="IMB16" s="7"/>
      <c r="IMC16" s="7"/>
      <c r="IMD16" s="7"/>
      <c r="IME16" s="7"/>
      <c r="IMF16" s="7"/>
      <c r="IMG16" s="7"/>
      <c r="IMH16" s="7"/>
      <c r="IMI16" s="7"/>
      <c r="IMJ16" s="7"/>
      <c r="IMK16" s="7"/>
      <c r="IML16" s="7"/>
      <c r="IMM16" s="7"/>
      <c r="IMN16" s="7"/>
      <c r="IMO16" s="7"/>
      <c r="IMP16" s="7"/>
      <c r="IMQ16" s="7"/>
      <c r="IMR16" s="7"/>
      <c r="IMS16" s="7"/>
      <c r="IMT16" s="7"/>
      <c r="IMU16" s="7"/>
      <c r="IMV16" s="7"/>
      <c r="IMW16" s="7"/>
      <c r="IMX16" s="7"/>
      <c r="IMY16" s="7"/>
      <c r="IMZ16" s="7"/>
      <c r="INA16" s="7"/>
      <c r="INB16" s="7"/>
      <c r="INC16" s="7"/>
      <c r="IND16" s="7"/>
      <c r="INE16" s="7"/>
      <c r="INF16" s="7"/>
      <c r="ING16" s="7"/>
      <c r="INH16" s="7"/>
      <c r="INI16" s="7"/>
      <c r="INJ16" s="7"/>
      <c r="INK16" s="7"/>
      <c r="INL16" s="7"/>
      <c r="INM16" s="7"/>
      <c r="INN16" s="7"/>
      <c r="INO16" s="7"/>
      <c r="INP16" s="7"/>
      <c r="INQ16" s="7"/>
      <c r="INR16" s="7"/>
      <c r="INS16" s="7"/>
      <c r="INT16" s="7"/>
      <c r="INU16" s="7"/>
      <c r="INV16" s="7"/>
      <c r="INW16" s="7"/>
      <c r="INX16" s="7"/>
      <c r="INY16" s="7"/>
      <c r="INZ16" s="7"/>
      <c r="IOA16" s="7"/>
      <c r="IOB16" s="7"/>
      <c r="IOC16" s="7"/>
      <c r="IOD16" s="7"/>
      <c r="IOE16" s="7"/>
      <c r="IOF16" s="7"/>
      <c r="IOG16" s="7"/>
      <c r="IOH16" s="7"/>
      <c r="IOI16" s="7"/>
      <c r="IOJ16" s="7"/>
      <c r="IOK16" s="7"/>
      <c r="IOL16" s="7"/>
      <c r="IOM16" s="7"/>
      <c r="ION16" s="7"/>
      <c r="IOO16" s="7"/>
      <c r="IOP16" s="7"/>
      <c r="IOQ16" s="7"/>
      <c r="IOR16" s="7"/>
      <c r="IOS16" s="7"/>
      <c r="IOT16" s="7"/>
      <c r="IOU16" s="7"/>
      <c r="IOV16" s="7"/>
      <c r="IOW16" s="7"/>
      <c r="IOX16" s="7"/>
      <c r="IOY16" s="7"/>
      <c r="IOZ16" s="7"/>
      <c r="IPA16" s="7"/>
      <c r="IPB16" s="7"/>
      <c r="IPC16" s="7"/>
      <c r="IPD16" s="7"/>
      <c r="IPE16" s="7"/>
      <c r="IPF16" s="7"/>
      <c r="IPG16" s="7"/>
      <c r="IPH16" s="7"/>
      <c r="IPI16" s="7"/>
      <c r="IPJ16" s="7"/>
      <c r="IPK16" s="7"/>
      <c r="IPL16" s="7"/>
      <c r="IPM16" s="7"/>
      <c r="IPN16" s="7"/>
      <c r="IPO16" s="7"/>
      <c r="IPP16" s="7"/>
      <c r="IPQ16" s="7"/>
      <c r="IPR16" s="7"/>
      <c r="IPS16" s="7"/>
      <c r="IPT16" s="7"/>
      <c r="IPU16" s="7"/>
      <c r="IPV16" s="7"/>
      <c r="IPW16" s="7"/>
      <c r="IPX16" s="7"/>
      <c r="IPY16" s="7"/>
      <c r="IPZ16" s="7"/>
      <c r="IQA16" s="7"/>
      <c r="IQB16" s="7"/>
      <c r="IQC16" s="7"/>
      <c r="IQD16" s="7"/>
      <c r="IQE16" s="7"/>
      <c r="IQF16" s="7"/>
      <c r="IQG16" s="7"/>
      <c r="IQH16" s="7"/>
      <c r="IQI16" s="7"/>
      <c r="IQJ16" s="7"/>
      <c r="IQK16" s="7"/>
      <c r="IQL16" s="7"/>
      <c r="IQM16" s="7"/>
      <c r="IQN16" s="7"/>
      <c r="IQO16" s="7"/>
      <c r="IQP16" s="7"/>
      <c r="IQQ16" s="7"/>
      <c r="IQR16" s="7"/>
      <c r="IQS16" s="7"/>
      <c r="IQT16" s="7"/>
      <c r="IQU16" s="7"/>
      <c r="IQV16" s="7"/>
      <c r="IQW16" s="7"/>
      <c r="IQX16" s="7"/>
      <c r="IQY16" s="7"/>
      <c r="IQZ16" s="7"/>
      <c r="IRA16" s="7"/>
      <c r="IRB16" s="7"/>
      <c r="IRC16" s="7"/>
      <c r="IRD16" s="7"/>
      <c r="IRE16" s="7"/>
      <c r="IRF16" s="7"/>
      <c r="IRG16" s="7"/>
      <c r="IRH16" s="7"/>
      <c r="IRI16" s="7"/>
      <c r="IRJ16" s="7"/>
      <c r="IRK16" s="7"/>
      <c r="IRL16" s="7"/>
      <c r="IRM16" s="7"/>
      <c r="IRN16" s="7"/>
      <c r="IRO16" s="7"/>
      <c r="IRP16" s="7"/>
      <c r="IRQ16" s="7"/>
      <c r="IRR16" s="7"/>
      <c r="IRS16" s="7"/>
      <c r="IRT16" s="7"/>
      <c r="IRU16" s="7"/>
      <c r="IRV16" s="7"/>
      <c r="IRW16" s="7"/>
      <c r="IRX16" s="7"/>
      <c r="IRY16" s="7"/>
      <c r="IRZ16" s="7"/>
      <c r="ISA16" s="7"/>
      <c r="ISB16" s="7"/>
      <c r="ISC16" s="7"/>
      <c r="ISD16" s="7"/>
      <c r="ISE16" s="7"/>
      <c r="ISF16" s="7"/>
      <c r="ISG16" s="7"/>
      <c r="ISH16" s="7"/>
      <c r="ISI16" s="7"/>
      <c r="ISJ16" s="7"/>
      <c r="ISK16" s="7"/>
      <c r="ISL16" s="7"/>
      <c r="ISM16" s="7"/>
      <c r="ISN16" s="7"/>
      <c r="ISO16" s="7"/>
      <c r="ISP16" s="7"/>
      <c r="ISQ16" s="7"/>
      <c r="ISR16" s="7"/>
      <c r="ISS16" s="7"/>
      <c r="IST16" s="7"/>
      <c r="ISU16" s="7"/>
      <c r="ISV16" s="7"/>
      <c r="ISW16" s="7"/>
      <c r="ISX16" s="7"/>
      <c r="ISY16" s="7"/>
      <c r="ISZ16" s="7"/>
      <c r="ITA16" s="7"/>
      <c r="ITB16" s="7"/>
      <c r="ITC16" s="7"/>
      <c r="ITD16" s="7"/>
      <c r="ITE16" s="7"/>
      <c r="ITF16" s="7"/>
      <c r="ITG16" s="7"/>
      <c r="ITH16" s="7"/>
      <c r="ITI16" s="7"/>
      <c r="ITJ16" s="7"/>
      <c r="ITK16" s="7"/>
      <c r="ITL16" s="7"/>
      <c r="ITM16" s="7"/>
      <c r="ITN16" s="7"/>
      <c r="ITO16" s="7"/>
      <c r="ITP16" s="7"/>
      <c r="ITQ16" s="7"/>
      <c r="ITR16" s="7"/>
      <c r="ITS16" s="7"/>
      <c r="ITT16" s="7"/>
      <c r="ITU16" s="7"/>
      <c r="ITV16" s="7"/>
      <c r="ITW16" s="7"/>
      <c r="ITX16" s="7"/>
      <c r="ITY16" s="7"/>
      <c r="ITZ16" s="7"/>
      <c r="IUA16" s="7"/>
      <c r="IUB16" s="7"/>
      <c r="IUC16" s="7"/>
      <c r="IUD16" s="7"/>
      <c r="IUE16" s="7"/>
      <c r="IUF16" s="7"/>
      <c r="IUG16" s="7"/>
      <c r="IUH16" s="7"/>
      <c r="IUI16" s="7"/>
      <c r="IUJ16" s="7"/>
      <c r="IUK16" s="7"/>
      <c r="IUL16" s="7"/>
      <c r="IUM16" s="7"/>
      <c r="IUN16" s="7"/>
      <c r="IUO16" s="7"/>
      <c r="IUP16" s="7"/>
      <c r="IUQ16" s="7"/>
      <c r="IUR16" s="7"/>
      <c r="IUS16" s="7"/>
      <c r="IUT16" s="7"/>
      <c r="IUU16" s="7"/>
      <c r="IUV16" s="7"/>
      <c r="IUW16" s="7"/>
      <c r="IUX16" s="7"/>
      <c r="IUY16" s="7"/>
      <c r="IUZ16" s="7"/>
      <c r="IVA16" s="7"/>
      <c r="IVB16" s="7"/>
      <c r="IVC16" s="7"/>
      <c r="IVD16" s="7"/>
      <c r="IVE16" s="7"/>
      <c r="IVF16" s="7"/>
      <c r="IVG16" s="7"/>
      <c r="IVH16" s="7"/>
      <c r="IVI16" s="7"/>
      <c r="IVJ16" s="7"/>
      <c r="IVK16" s="7"/>
      <c r="IVL16" s="7"/>
      <c r="IVM16" s="7"/>
      <c r="IVN16" s="7"/>
      <c r="IVO16" s="7"/>
      <c r="IVP16" s="7"/>
      <c r="IVQ16" s="7"/>
      <c r="IVR16" s="7"/>
      <c r="IVS16" s="7"/>
      <c r="IVT16" s="7"/>
      <c r="IVU16" s="7"/>
      <c r="IVV16" s="7"/>
      <c r="IVW16" s="7"/>
      <c r="IVX16" s="7"/>
      <c r="IVY16" s="7"/>
      <c r="IVZ16" s="7"/>
      <c r="IWA16" s="7"/>
      <c r="IWB16" s="7"/>
      <c r="IWC16" s="7"/>
      <c r="IWD16" s="7"/>
      <c r="IWE16" s="7"/>
      <c r="IWF16" s="7"/>
      <c r="IWG16" s="7"/>
      <c r="IWH16" s="7"/>
      <c r="IWI16" s="7"/>
      <c r="IWJ16" s="7"/>
      <c r="IWK16" s="7"/>
      <c r="IWL16" s="7"/>
      <c r="IWM16" s="7"/>
      <c r="IWN16" s="7"/>
      <c r="IWO16" s="7"/>
      <c r="IWP16" s="7"/>
      <c r="IWQ16" s="7"/>
      <c r="IWR16" s="7"/>
      <c r="IWS16" s="7"/>
      <c r="IWT16" s="7"/>
      <c r="IWU16" s="7"/>
      <c r="IWV16" s="7"/>
      <c r="IWW16" s="7"/>
      <c r="IWX16" s="7"/>
      <c r="IWY16" s="7"/>
      <c r="IWZ16" s="7"/>
      <c r="IXA16" s="7"/>
      <c r="IXB16" s="7"/>
      <c r="IXC16" s="7"/>
      <c r="IXD16" s="7"/>
      <c r="IXE16" s="7"/>
      <c r="IXF16" s="7"/>
      <c r="IXG16" s="7"/>
      <c r="IXH16" s="7"/>
      <c r="IXI16" s="7"/>
      <c r="IXJ16" s="7"/>
      <c r="IXK16" s="7"/>
      <c r="IXL16" s="7"/>
      <c r="IXM16" s="7"/>
      <c r="IXN16" s="7"/>
      <c r="IXO16" s="7"/>
      <c r="IXP16" s="7"/>
      <c r="IXQ16" s="7"/>
      <c r="IXR16" s="7"/>
      <c r="IXS16" s="7"/>
      <c r="IXT16" s="7"/>
      <c r="IXU16" s="7"/>
      <c r="IXV16" s="7"/>
      <c r="IXW16" s="7"/>
      <c r="IXX16" s="7"/>
      <c r="IXY16" s="7"/>
      <c r="IXZ16" s="7"/>
      <c r="IYA16" s="7"/>
      <c r="IYB16" s="7"/>
      <c r="IYC16" s="7"/>
      <c r="IYD16" s="7"/>
      <c r="IYE16" s="7"/>
      <c r="IYF16" s="7"/>
      <c r="IYG16" s="7"/>
      <c r="IYH16" s="7"/>
      <c r="IYI16" s="7"/>
      <c r="IYJ16" s="7"/>
      <c r="IYK16" s="7"/>
      <c r="IYL16" s="7"/>
      <c r="IYM16" s="7"/>
      <c r="IYN16" s="7"/>
      <c r="IYO16" s="7"/>
      <c r="IYP16" s="7"/>
      <c r="IYQ16" s="7"/>
      <c r="IYR16" s="7"/>
      <c r="IYS16" s="7"/>
      <c r="IYT16" s="7"/>
      <c r="IYU16" s="7"/>
      <c r="IYV16" s="7"/>
      <c r="IYW16" s="7"/>
      <c r="IYX16" s="7"/>
      <c r="IYY16" s="7"/>
      <c r="IYZ16" s="7"/>
      <c r="IZA16" s="7"/>
      <c r="IZB16" s="7"/>
      <c r="IZC16" s="7"/>
      <c r="IZD16" s="7"/>
      <c r="IZE16" s="7"/>
      <c r="IZF16" s="7"/>
      <c r="IZG16" s="7"/>
      <c r="IZH16" s="7"/>
      <c r="IZI16" s="7"/>
      <c r="IZJ16" s="7"/>
      <c r="IZK16" s="7"/>
      <c r="IZL16" s="7"/>
      <c r="IZM16" s="7"/>
      <c r="IZN16" s="7"/>
      <c r="IZO16" s="7"/>
      <c r="IZP16" s="7"/>
      <c r="IZQ16" s="7"/>
      <c r="IZR16" s="7"/>
      <c r="IZS16" s="7"/>
      <c r="IZT16" s="7"/>
      <c r="IZU16" s="7"/>
      <c r="IZV16" s="7"/>
      <c r="IZW16" s="7"/>
      <c r="IZX16" s="7"/>
      <c r="IZY16" s="7"/>
      <c r="IZZ16" s="7"/>
      <c r="JAA16" s="7"/>
      <c r="JAB16" s="7"/>
      <c r="JAC16" s="7"/>
      <c r="JAD16" s="7"/>
      <c r="JAE16" s="7"/>
      <c r="JAF16" s="7"/>
      <c r="JAG16" s="7"/>
      <c r="JAH16" s="7"/>
      <c r="JAI16" s="7"/>
      <c r="JAJ16" s="7"/>
      <c r="JAK16" s="7"/>
      <c r="JAL16" s="7"/>
      <c r="JAM16" s="7"/>
      <c r="JAN16" s="7"/>
      <c r="JAO16" s="7"/>
      <c r="JAP16" s="7"/>
      <c r="JAQ16" s="7"/>
      <c r="JAR16" s="7"/>
      <c r="JAS16" s="7"/>
      <c r="JAT16" s="7"/>
      <c r="JAU16" s="7"/>
      <c r="JAV16" s="7"/>
      <c r="JAW16" s="7"/>
      <c r="JAX16" s="7"/>
      <c r="JAY16" s="7"/>
      <c r="JAZ16" s="7"/>
      <c r="JBA16" s="7"/>
      <c r="JBB16" s="7"/>
      <c r="JBC16" s="7"/>
      <c r="JBD16" s="7"/>
      <c r="JBE16" s="7"/>
      <c r="JBF16" s="7"/>
      <c r="JBG16" s="7"/>
      <c r="JBH16" s="7"/>
      <c r="JBI16" s="7"/>
      <c r="JBJ16" s="7"/>
      <c r="JBK16" s="7"/>
      <c r="JBL16" s="7"/>
      <c r="JBM16" s="7"/>
      <c r="JBN16" s="7"/>
      <c r="JBO16" s="7"/>
      <c r="JBP16" s="7"/>
      <c r="JBQ16" s="7"/>
      <c r="JBR16" s="7"/>
      <c r="JBS16" s="7"/>
      <c r="JBT16" s="7"/>
      <c r="JBU16" s="7"/>
      <c r="JBV16" s="7"/>
      <c r="JBW16" s="7"/>
      <c r="JBX16" s="7"/>
      <c r="JBY16" s="7"/>
      <c r="JBZ16" s="7"/>
      <c r="JCA16" s="7"/>
      <c r="JCB16" s="7"/>
      <c r="JCC16" s="7"/>
      <c r="JCD16" s="7"/>
      <c r="JCE16" s="7"/>
      <c r="JCF16" s="7"/>
      <c r="JCG16" s="7"/>
      <c r="JCH16" s="7"/>
      <c r="JCI16" s="7"/>
      <c r="JCJ16" s="7"/>
      <c r="JCK16" s="7"/>
      <c r="JCL16" s="7"/>
      <c r="JCM16" s="7"/>
      <c r="JCN16" s="7"/>
      <c r="JCO16" s="7"/>
      <c r="JCP16" s="7"/>
      <c r="JCQ16" s="7"/>
      <c r="JCR16" s="7"/>
      <c r="JCS16" s="7"/>
      <c r="JCT16" s="7"/>
      <c r="JCU16" s="7"/>
      <c r="JCV16" s="7"/>
      <c r="JCW16" s="7"/>
      <c r="JCX16" s="7"/>
      <c r="JCY16" s="7"/>
      <c r="JCZ16" s="7"/>
      <c r="JDA16" s="7"/>
      <c r="JDB16" s="7"/>
      <c r="JDC16" s="7"/>
      <c r="JDD16" s="7"/>
      <c r="JDE16" s="7"/>
      <c r="JDF16" s="7"/>
      <c r="JDG16" s="7"/>
      <c r="JDH16" s="7"/>
      <c r="JDI16" s="7"/>
      <c r="JDJ16" s="7"/>
      <c r="JDK16" s="7"/>
      <c r="JDL16" s="7"/>
      <c r="JDM16" s="7"/>
      <c r="JDN16" s="7"/>
      <c r="JDO16" s="7"/>
      <c r="JDP16" s="7"/>
      <c r="JDQ16" s="7"/>
      <c r="JDR16" s="7"/>
      <c r="JDS16" s="7"/>
      <c r="JDT16" s="7"/>
      <c r="JDU16" s="7"/>
      <c r="JDV16" s="7"/>
      <c r="JDW16" s="7"/>
      <c r="JDX16" s="7"/>
      <c r="JDY16" s="7"/>
      <c r="JDZ16" s="7"/>
      <c r="JEA16" s="7"/>
      <c r="JEB16" s="7"/>
      <c r="JEC16" s="7"/>
      <c r="JED16" s="7"/>
      <c r="JEE16" s="7"/>
      <c r="JEF16" s="7"/>
      <c r="JEG16" s="7"/>
      <c r="JEH16" s="7"/>
      <c r="JEI16" s="7"/>
      <c r="JEJ16" s="7"/>
      <c r="JEK16" s="7"/>
      <c r="JEL16" s="7"/>
      <c r="JEM16" s="7"/>
      <c r="JEN16" s="7"/>
      <c r="JEO16" s="7"/>
      <c r="JEP16" s="7"/>
      <c r="JEQ16" s="7"/>
      <c r="JER16" s="7"/>
      <c r="JES16" s="7"/>
      <c r="JET16" s="7"/>
      <c r="JEU16" s="7"/>
      <c r="JEV16" s="7"/>
      <c r="JEW16" s="7"/>
      <c r="JEX16" s="7"/>
      <c r="JEY16" s="7"/>
      <c r="JEZ16" s="7"/>
      <c r="JFA16" s="7"/>
      <c r="JFB16" s="7"/>
      <c r="JFC16" s="7"/>
      <c r="JFD16" s="7"/>
      <c r="JFE16" s="7"/>
      <c r="JFF16" s="7"/>
      <c r="JFG16" s="7"/>
      <c r="JFH16" s="7"/>
      <c r="JFI16" s="7"/>
      <c r="JFJ16" s="7"/>
      <c r="JFK16" s="7"/>
      <c r="JFL16" s="7"/>
      <c r="JFM16" s="7"/>
      <c r="JFN16" s="7"/>
      <c r="JFO16" s="7"/>
      <c r="JFP16" s="7"/>
      <c r="JFQ16" s="7"/>
      <c r="JFR16" s="7"/>
      <c r="JFS16" s="7"/>
      <c r="JFT16" s="7"/>
      <c r="JFU16" s="7"/>
      <c r="JFV16" s="7"/>
      <c r="JFW16" s="7"/>
      <c r="JFX16" s="7"/>
      <c r="JFY16" s="7"/>
      <c r="JFZ16" s="7"/>
      <c r="JGA16" s="7"/>
      <c r="JGB16" s="7"/>
      <c r="JGC16" s="7"/>
      <c r="JGD16" s="7"/>
      <c r="JGE16" s="7"/>
      <c r="JGF16" s="7"/>
      <c r="JGG16" s="7"/>
      <c r="JGH16" s="7"/>
      <c r="JGI16" s="7"/>
      <c r="JGJ16" s="7"/>
      <c r="JGK16" s="7"/>
      <c r="JGL16" s="7"/>
      <c r="JGM16" s="7"/>
      <c r="JGN16" s="7"/>
      <c r="JGO16" s="7"/>
      <c r="JGP16" s="7"/>
      <c r="JGQ16" s="7"/>
      <c r="JGR16" s="7"/>
      <c r="JGS16" s="7"/>
      <c r="JGT16" s="7"/>
      <c r="JGU16" s="7"/>
      <c r="JGV16" s="7"/>
      <c r="JGW16" s="7"/>
      <c r="JGX16" s="7"/>
      <c r="JGY16" s="7"/>
      <c r="JGZ16" s="7"/>
      <c r="JHA16" s="7"/>
      <c r="JHB16" s="7"/>
      <c r="JHC16" s="7"/>
      <c r="JHD16" s="7"/>
      <c r="JHE16" s="7"/>
      <c r="JHF16" s="7"/>
      <c r="JHG16" s="7"/>
      <c r="JHH16" s="7"/>
      <c r="JHI16" s="7"/>
      <c r="JHJ16" s="7"/>
      <c r="JHK16" s="7"/>
      <c r="JHL16" s="7"/>
      <c r="JHM16" s="7"/>
      <c r="JHN16" s="7"/>
      <c r="JHO16" s="7"/>
      <c r="JHP16" s="7"/>
      <c r="JHQ16" s="7"/>
      <c r="JHR16" s="7"/>
      <c r="JHS16" s="7"/>
      <c r="JHT16" s="7"/>
      <c r="JHU16" s="7"/>
      <c r="JHV16" s="7"/>
      <c r="JHW16" s="7"/>
      <c r="JHX16" s="7"/>
      <c r="JHY16" s="7"/>
      <c r="JHZ16" s="7"/>
      <c r="JIA16" s="7"/>
      <c r="JIB16" s="7"/>
      <c r="JIC16" s="7"/>
      <c r="JID16" s="7"/>
      <c r="JIE16" s="7"/>
      <c r="JIF16" s="7"/>
      <c r="JIG16" s="7"/>
      <c r="JIH16" s="7"/>
      <c r="JII16" s="7"/>
      <c r="JIJ16" s="7"/>
      <c r="JIK16" s="7"/>
      <c r="JIL16" s="7"/>
      <c r="JIM16" s="7"/>
      <c r="JIN16" s="7"/>
      <c r="JIO16" s="7"/>
      <c r="JIP16" s="7"/>
      <c r="JIQ16" s="7"/>
      <c r="JIR16" s="7"/>
      <c r="JIS16" s="7"/>
      <c r="JIT16" s="7"/>
      <c r="JIU16" s="7"/>
      <c r="JIV16" s="7"/>
      <c r="JIW16" s="7"/>
      <c r="JIX16" s="7"/>
      <c r="JIY16" s="7"/>
      <c r="JIZ16" s="7"/>
      <c r="JJA16" s="7"/>
      <c r="JJB16" s="7"/>
      <c r="JJC16" s="7"/>
      <c r="JJD16" s="7"/>
      <c r="JJE16" s="7"/>
      <c r="JJF16" s="7"/>
      <c r="JJG16" s="7"/>
      <c r="JJH16" s="7"/>
      <c r="JJI16" s="7"/>
      <c r="JJJ16" s="7"/>
      <c r="JJK16" s="7"/>
      <c r="JJL16" s="7"/>
      <c r="JJM16" s="7"/>
      <c r="JJN16" s="7"/>
      <c r="JJO16" s="7"/>
      <c r="JJP16" s="7"/>
      <c r="JJQ16" s="7"/>
      <c r="JJR16" s="7"/>
      <c r="JJS16" s="7"/>
      <c r="JJT16" s="7"/>
      <c r="JJU16" s="7"/>
      <c r="JJV16" s="7"/>
      <c r="JJW16" s="7"/>
      <c r="JJX16" s="7"/>
      <c r="JJY16" s="7"/>
      <c r="JJZ16" s="7"/>
      <c r="JKA16" s="7"/>
      <c r="JKB16" s="7"/>
      <c r="JKC16" s="7"/>
      <c r="JKD16" s="7"/>
      <c r="JKE16" s="7"/>
      <c r="JKF16" s="7"/>
      <c r="JKG16" s="7"/>
      <c r="JKH16" s="7"/>
      <c r="JKI16" s="7"/>
      <c r="JKJ16" s="7"/>
      <c r="JKK16" s="7"/>
      <c r="JKL16" s="7"/>
      <c r="JKM16" s="7"/>
      <c r="JKN16" s="7"/>
      <c r="JKO16" s="7"/>
      <c r="JKP16" s="7"/>
      <c r="JKQ16" s="7"/>
      <c r="JKR16" s="7"/>
      <c r="JKS16" s="7"/>
      <c r="JKT16" s="7"/>
      <c r="JKU16" s="7"/>
      <c r="JKV16" s="7"/>
      <c r="JKW16" s="7"/>
      <c r="JKX16" s="7"/>
      <c r="JKY16" s="7"/>
      <c r="JKZ16" s="7"/>
      <c r="JLA16" s="7"/>
      <c r="JLB16" s="7"/>
      <c r="JLC16" s="7"/>
      <c r="JLD16" s="7"/>
      <c r="JLE16" s="7"/>
      <c r="JLF16" s="7"/>
      <c r="JLG16" s="7"/>
      <c r="JLH16" s="7"/>
      <c r="JLI16" s="7"/>
      <c r="JLJ16" s="7"/>
      <c r="JLK16" s="7"/>
      <c r="JLL16" s="7"/>
      <c r="JLM16" s="7"/>
      <c r="JLN16" s="7"/>
      <c r="JLO16" s="7"/>
      <c r="JLP16" s="7"/>
      <c r="JLQ16" s="7"/>
      <c r="JLR16" s="7"/>
      <c r="JLS16" s="7"/>
      <c r="JLT16" s="7"/>
      <c r="JLU16" s="7"/>
      <c r="JLV16" s="7"/>
      <c r="JLW16" s="7"/>
      <c r="JLX16" s="7"/>
      <c r="JLY16" s="7"/>
      <c r="JLZ16" s="7"/>
      <c r="JMA16" s="7"/>
      <c r="JMB16" s="7"/>
      <c r="JMC16" s="7"/>
      <c r="JMD16" s="7"/>
      <c r="JME16" s="7"/>
      <c r="JMF16" s="7"/>
      <c r="JMG16" s="7"/>
      <c r="JMH16" s="7"/>
      <c r="JMI16" s="7"/>
      <c r="JMJ16" s="7"/>
      <c r="JMK16" s="7"/>
      <c r="JML16" s="7"/>
      <c r="JMM16" s="7"/>
      <c r="JMN16" s="7"/>
      <c r="JMO16" s="7"/>
      <c r="JMP16" s="7"/>
      <c r="JMQ16" s="7"/>
      <c r="JMR16" s="7"/>
      <c r="JMS16" s="7"/>
      <c r="JMT16" s="7"/>
      <c r="JMU16" s="7"/>
      <c r="JMV16" s="7"/>
      <c r="JMW16" s="7"/>
      <c r="JMX16" s="7"/>
      <c r="JMY16" s="7"/>
      <c r="JMZ16" s="7"/>
      <c r="JNA16" s="7"/>
      <c r="JNB16" s="7"/>
      <c r="JNC16" s="7"/>
      <c r="JND16" s="7"/>
      <c r="JNE16" s="7"/>
      <c r="JNF16" s="7"/>
      <c r="JNG16" s="7"/>
      <c r="JNH16" s="7"/>
      <c r="JNI16" s="7"/>
      <c r="JNJ16" s="7"/>
      <c r="JNK16" s="7"/>
      <c r="JNL16" s="7"/>
      <c r="JNM16" s="7"/>
      <c r="JNN16" s="7"/>
      <c r="JNO16" s="7"/>
      <c r="JNP16" s="7"/>
      <c r="JNQ16" s="7"/>
      <c r="JNR16" s="7"/>
      <c r="JNS16" s="7"/>
      <c r="JNT16" s="7"/>
      <c r="JNU16" s="7"/>
      <c r="JNV16" s="7"/>
      <c r="JNW16" s="7"/>
      <c r="JNX16" s="7"/>
      <c r="JNY16" s="7"/>
      <c r="JNZ16" s="7"/>
      <c r="JOA16" s="7"/>
      <c r="JOB16" s="7"/>
      <c r="JOC16" s="7"/>
      <c r="JOD16" s="7"/>
      <c r="JOE16" s="7"/>
      <c r="JOF16" s="7"/>
      <c r="JOG16" s="7"/>
      <c r="JOH16" s="7"/>
      <c r="JOI16" s="7"/>
      <c r="JOJ16" s="7"/>
      <c r="JOK16" s="7"/>
      <c r="JOL16" s="7"/>
      <c r="JOM16" s="7"/>
      <c r="JON16" s="7"/>
      <c r="JOO16" s="7"/>
      <c r="JOP16" s="7"/>
      <c r="JOQ16" s="7"/>
      <c r="JOR16" s="7"/>
      <c r="JOS16" s="7"/>
      <c r="JOT16" s="7"/>
      <c r="JOU16" s="7"/>
      <c r="JOV16" s="7"/>
      <c r="JOW16" s="7"/>
      <c r="JOX16" s="7"/>
      <c r="JOY16" s="7"/>
      <c r="JOZ16" s="7"/>
      <c r="JPA16" s="7"/>
      <c r="JPB16" s="7"/>
      <c r="JPC16" s="7"/>
      <c r="JPD16" s="7"/>
      <c r="JPE16" s="7"/>
      <c r="JPF16" s="7"/>
      <c r="JPG16" s="7"/>
      <c r="JPH16" s="7"/>
      <c r="JPI16" s="7"/>
      <c r="JPJ16" s="7"/>
      <c r="JPK16" s="7"/>
      <c r="JPL16" s="7"/>
      <c r="JPM16" s="7"/>
      <c r="JPN16" s="7"/>
      <c r="JPO16" s="7"/>
      <c r="JPP16" s="7"/>
      <c r="JPQ16" s="7"/>
      <c r="JPR16" s="7"/>
      <c r="JPS16" s="7"/>
      <c r="JPT16" s="7"/>
      <c r="JPU16" s="7"/>
      <c r="JPV16" s="7"/>
      <c r="JPW16" s="7"/>
      <c r="JPX16" s="7"/>
      <c r="JPY16" s="7"/>
      <c r="JPZ16" s="7"/>
      <c r="JQA16" s="7"/>
      <c r="JQB16" s="7"/>
      <c r="JQC16" s="7"/>
      <c r="JQD16" s="7"/>
      <c r="JQE16" s="7"/>
      <c r="JQF16" s="7"/>
      <c r="JQG16" s="7"/>
      <c r="JQH16" s="7"/>
      <c r="JQI16" s="7"/>
      <c r="JQJ16" s="7"/>
      <c r="JQK16" s="7"/>
      <c r="JQL16" s="7"/>
      <c r="JQM16" s="7"/>
      <c r="JQN16" s="7"/>
      <c r="JQO16" s="7"/>
      <c r="JQP16" s="7"/>
      <c r="JQQ16" s="7"/>
      <c r="JQR16" s="7"/>
      <c r="JQS16" s="7"/>
      <c r="JQT16" s="7"/>
      <c r="JQU16" s="7"/>
      <c r="JQV16" s="7"/>
      <c r="JQW16" s="7"/>
      <c r="JQX16" s="7"/>
      <c r="JQY16" s="7"/>
      <c r="JQZ16" s="7"/>
      <c r="JRA16" s="7"/>
      <c r="JRB16" s="7"/>
      <c r="JRC16" s="7"/>
      <c r="JRD16" s="7"/>
      <c r="JRE16" s="7"/>
      <c r="JRF16" s="7"/>
      <c r="JRG16" s="7"/>
      <c r="JRH16" s="7"/>
      <c r="JRI16" s="7"/>
      <c r="JRJ16" s="7"/>
      <c r="JRK16" s="7"/>
      <c r="JRL16" s="7"/>
      <c r="JRM16" s="7"/>
      <c r="JRN16" s="7"/>
      <c r="JRO16" s="7"/>
      <c r="JRP16" s="7"/>
      <c r="JRQ16" s="7"/>
      <c r="JRR16" s="7"/>
      <c r="JRS16" s="7"/>
      <c r="JRT16" s="7"/>
      <c r="JRU16" s="7"/>
      <c r="JRV16" s="7"/>
      <c r="JRW16" s="7"/>
      <c r="JRX16" s="7"/>
      <c r="JRY16" s="7"/>
      <c r="JRZ16" s="7"/>
      <c r="JSA16" s="7"/>
      <c r="JSB16" s="7"/>
      <c r="JSC16" s="7"/>
      <c r="JSD16" s="7"/>
      <c r="JSE16" s="7"/>
      <c r="JSF16" s="7"/>
      <c r="JSG16" s="7"/>
      <c r="JSH16" s="7"/>
      <c r="JSI16" s="7"/>
      <c r="JSJ16" s="7"/>
      <c r="JSK16" s="7"/>
      <c r="JSL16" s="7"/>
      <c r="JSM16" s="7"/>
      <c r="JSN16" s="7"/>
      <c r="JSO16" s="7"/>
      <c r="JSP16" s="7"/>
      <c r="JSQ16" s="7"/>
      <c r="JSR16" s="7"/>
      <c r="JSS16" s="7"/>
      <c r="JST16" s="7"/>
      <c r="JSU16" s="7"/>
      <c r="JSV16" s="7"/>
      <c r="JSW16" s="7"/>
      <c r="JSX16" s="7"/>
      <c r="JSY16" s="7"/>
      <c r="JSZ16" s="7"/>
      <c r="JTA16" s="7"/>
      <c r="JTB16" s="7"/>
      <c r="JTC16" s="7"/>
      <c r="JTD16" s="7"/>
      <c r="JTE16" s="7"/>
      <c r="JTF16" s="7"/>
      <c r="JTG16" s="7"/>
      <c r="JTH16" s="7"/>
      <c r="JTI16" s="7"/>
      <c r="JTJ16" s="7"/>
      <c r="JTK16" s="7"/>
      <c r="JTL16" s="7"/>
      <c r="JTM16" s="7"/>
      <c r="JTN16" s="7"/>
      <c r="JTO16" s="7"/>
      <c r="JTP16" s="7"/>
      <c r="JTQ16" s="7"/>
      <c r="JTR16" s="7"/>
      <c r="JTS16" s="7"/>
      <c r="JTT16" s="7"/>
      <c r="JTU16" s="7"/>
      <c r="JTV16" s="7"/>
      <c r="JTW16" s="7"/>
      <c r="JTX16" s="7"/>
      <c r="JTY16" s="7"/>
      <c r="JTZ16" s="7"/>
      <c r="JUA16" s="7"/>
      <c r="JUB16" s="7"/>
      <c r="JUC16" s="7"/>
      <c r="JUD16" s="7"/>
      <c r="JUE16" s="7"/>
      <c r="JUF16" s="7"/>
      <c r="JUG16" s="7"/>
      <c r="JUH16" s="7"/>
      <c r="JUI16" s="7"/>
      <c r="JUJ16" s="7"/>
      <c r="JUK16" s="7"/>
      <c r="JUL16" s="7"/>
      <c r="JUM16" s="7"/>
      <c r="JUN16" s="7"/>
      <c r="JUO16" s="7"/>
      <c r="JUP16" s="7"/>
      <c r="JUQ16" s="7"/>
      <c r="JUR16" s="7"/>
      <c r="JUS16" s="7"/>
      <c r="JUT16" s="7"/>
      <c r="JUU16" s="7"/>
      <c r="JUV16" s="7"/>
      <c r="JUW16" s="7"/>
      <c r="JUX16" s="7"/>
      <c r="JUY16" s="7"/>
      <c r="JUZ16" s="7"/>
      <c r="JVA16" s="7"/>
      <c r="JVB16" s="7"/>
      <c r="JVC16" s="7"/>
      <c r="JVD16" s="7"/>
      <c r="JVE16" s="7"/>
      <c r="JVF16" s="7"/>
      <c r="JVG16" s="7"/>
      <c r="JVH16" s="7"/>
      <c r="JVI16" s="7"/>
      <c r="JVJ16" s="7"/>
      <c r="JVK16" s="7"/>
      <c r="JVL16" s="7"/>
      <c r="JVM16" s="7"/>
      <c r="JVN16" s="7"/>
      <c r="JVO16" s="7"/>
      <c r="JVP16" s="7"/>
      <c r="JVQ16" s="7"/>
      <c r="JVR16" s="7"/>
      <c r="JVS16" s="7"/>
      <c r="JVT16" s="7"/>
      <c r="JVU16" s="7"/>
      <c r="JVV16" s="7"/>
      <c r="JVW16" s="7"/>
      <c r="JVX16" s="7"/>
      <c r="JVY16" s="7"/>
      <c r="JVZ16" s="7"/>
      <c r="JWA16" s="7"/>
      <c r="JWB16" s="7"/>
      <c r="JWC16" s="7"/>
      <c r="JWD16" s="7"/>
      <c r="JWE16" s="7"/>
      <c r="JWF16" s="7"/>
      <c r="JWG16" s="7"/>
      <c r="JWH16" s="7"/>
      <c r="JWI16" s="7"/>
      <c r="JWJ16" s="7"/>
      <c r="JWK16" s="7"/>
      <c r="JWL16" s="7"/>
      <c r="JWM16" s="7"/>
      <c r="JWN16" s="7"/>
      <c r="JWO16" s="7"/>
      <c r="JWP16" s="7"/>
      <c r="JWQ16" s="7"/>
      <c r="JWR16" s="7"/>
      <c r="JWS16" s="7"/>
      <c r="JWT16" s="7"/>
      <c r="JWU16" s="7"/>
      <c r="JWV16" s="7"/>
      <c r="JWW16" s="7"/>
      <c r="JWX16" s="7"/>
      <c r="JWY16" s="7"/>
      <c r="JWZ16" s="7"/>
      <c r="JXA16" s="7"/>
      <c r="JXB16" s="7"/>
      <c r="JXC16" s="7"/>
      <c r="JXD16" s="7"/>
      <c r="JXE16" s="7"/>
      <c r="JXF16" s="7"/>
      <c r="JXG16" s="7"/>
      <c r="JXH16" s="7"/>
      <c r="JXI16" s="7"/>
      <c r="JXJ16" s="7"/>
      <c r="JXK16" s="7"/>
      <c r="JXL16" s="7"/>
      <c r="JXM16" s="7"/>
      <c r="JXN16" s="7"/>
      <c r="JXO16" s="7"/>
      <c r="JXP16" s="7"/>
      <c r="JXQ16" s="7"/>
      <c r="JXR16" s="7"/>
      <c r="JXS16" s="7"/>
      <c r="JXT16" s="7"/>
      <c r="JXU16" s="7"/>
      <c r="JXV16" s="7"/>
      <c r="JXW16" s="7"/>
      <c r="JXX16" s="7"/>
      <c r="JXY16" s="7"/>
      <c r="JXZ16" s="7"/>
      <c r="JYA16" s="7"/>
      <c r="JYB16" s="7"/>
      <c r="JYC16" s="7"/>
      <c r="JYD16" s="7"/>
      <c r="JYE16" s="7"/>
      <c r="JYF16" s="7"/>
      <c r="JYG16" s="7"/>
      <c r="JYH16" s="7"/>
      <c r="JYI16" s="7"/>
      <c r="JYJ16" s="7"/>
      <c r="JYK16" s="7"/>
      <c r="JYL16" s="7"/>
      <c r="JYM16" s="7"/>
      <c r="JYN16" s="7"/>
      <c r="JYO16" s="7"/>
      <c r="JYP16" s="7"/>
      <c r="JYQ16" s="7"/>
      <c r="JYR16" s="7"/>
      <c r="JYS16" s="7"/>
      <c r="JYT16" s="7"/>
      <c r="JYU16" s="7"/>
      <c r="JYV16" s="7"/>
      <c r="JYW16" s="7"/>
      <c r="JYX16" s="7"/>
      <c r="JYY16" s="7"/>
      <c r="JYZ16" s="7"/>
      <c r="JZA16" s="7"/>
      <c r="JZB16" s="7"/>
      <c r="JZC16" s="7"/>
      <c r="JZD16" s="7"/>
      <c r="JZE16" s="7"/>
      <c r="JZF16" s="7"/>
      <c r="JZG16" s="7"/>
      <c r="JZH16" s="7"/>
      <c r="JZI16" s="7"/>
      <c r="JZJ16" s="7"/>
      <c r="JZK16" s="7"/>
      <c r="JZL16" s="7"/>
      <c r="JZM16" s="7"/>
      <c r="JZN16" s="7"/>
      <c r="JZO16" s="7"/>
      <c r="JZP16" s="7"/>
      <c r="JZQ16" s="7"/>
      <c r="JZR16" s="7"/>
      <c r="JZS16" s="7"/>
      <c r="JZT16" s="7"/>
      <c r="JZU16" s="7"/>
      <c r="JZV16" s="7"/>
      <c r="JZW16" s="7"/>
      <c r="JZX16" s="7"/>
      <c r="JZY16" s="7"/>
      <c r="JZZ16" s="7"/>
      <c r="KAA16" s="7"/>
      <c r="KAB16" s="7"/>
      <c r="KAC16" s="7"/>
      <c r="KAD16" s="7"/>
      <c r="KAE16" s="7"/>
      <c r="KAF16" s="7"/>
      <c r="KAG16" s="7"/>
      <c r="KAH16" s="7"/>
      <c r="KAI16" s="7"/>
      <c r="KAJ16" s="7"/>
      <c r="KAK16" s="7"/>
      <c r="KAL16" s="7"/>
      <c r="KAM16" s="7"/>
      <c r="KAN16" s="7"/>
      <c r="KAO16" s="7"/>
      <c r="KAP16" s="7"/>
      <c r="KAQ16" s="7"/>
      <c r="KAR16" s="7"/>
      <c r="KAS16" s="7"/>
      <c r="KAT16" s="7"/>
      <c r="KAU16" s="7"/>
      <c r="KAV16" s="7"/>
      <c r="KAW16" s="7"/>
      <c r="KAX16" s="7"/>
      <c r="KAY16" s="7"/>
      <c r="KAZ16" s="7"/>
      <c r="KBA16" s="7"/>
      <c r="KBB16" s="7"/>
      <c r="KBC16" s="7"/>
      <c r="KBD16" s="7"/>
      <c r="KBE16" s="7"/>
      <c r="KBF16" s="7"/>
      <c r="KBG16" s="7"/>
      <c r="KBH16" s="7"/>
      <c r="KBI16" s="7"/>
      <c r="KBJ16" s="7"/>
      <c r="KBK16" s="7"/>
      <c r="KBL16" s="7"/>
      <c r="KBM16" s="7"/>
      <c r="KBN16" s="7"/>
      <c r="KBO16" s="7"/>
      <c r="KBP16" s="7"/>
      <c r="KBQ16" s="7"/>
      <c r="KBR16" s="7"/>
      <c r="KBS16" s="7"/>
      <c r="KBT16" s="7"/>
      <c r="KBU16" s="7"/>
      <c r="KBV16" s="7"/>
      <c r="KBW16" s="7"/>
      <c r="KBX16" s="7"/>
      <c r="KBY16" s="7"/>
      <c r="KBZ16" s="7"/>
      <c r="KCA16" s="7"/>
      <c r="KCB16" s="7"/>
      <c r="KCC16" s="7"/>
      <c r="KCD16" s="7"/>
      <c r="KCE16" s="7"/>
      <c r="KCF16" s="7"/>
      <c r="KCG16" s="7"/>
      <c r="KCH16" s="7"/>
      <c r="KCI16" s="7"/>
      <c r="KCJ16" s="7"/>
      <c r="KCK16" s="7"/>
      <c r="KCL16" s="7"/>
      <c r="KCM16" s="7"/>
      <c r="KCN16" s="7"/>
      <c r="KCO16" s="7"/>
      <c r="KCP16" s="7"/>
      <c r="KCQ16" s="7"/>
      <c r="KCR16" s="7"/>
      <c r="KCS16" s="7"/>
      <c r="KCT16" s="7"/>
      <c r="KCU16" s="7"/>
      <c r="KCV16" s="7"/>
      <c r="KCW16" s="7"/>
      <c r="KCX16" s="7"/>
      <c r="KCY16" s="7"/>
      <c r="KCZ16" s="7"/>
      <c r="KDA16" s="7"/>
      <c r="KDB16" s="7"/>
      <c r="KDC16" s="7"/>
      <c r="KDD16" s="7"/>
      <c r="KDE16" s="7"/>
      <c r="KDF16" s="7"/>
      <c r="KDG16" s="7"/>
      <c r="KDH16" s="7"/>
      <c r="KDI16" s="7"/>
      <c r="KDJ16" s="7"/>
      <c r="KDK16" s="7"/>
      <c r="KDL16" s="7"/>
      <c r="KDM16" s="7"/>
      <c r="KDN16" s="7"/>
      <c r="KDO16" s="7"/>
      <c r="KDP16" s="7"/>
      <c r="KDQ16" s="7"/>
      <c r="KDR16" s="7"/>
      <c r="KDS16" s="7"/>
      <c r="KDT16" s="7"/>
      <c r="KDU16" s="7"/>
      <c r="KDV16" s="7"/>
      <c r="KDW16" s="7"/>
      <c r="KDX16" s="7"/>
      <c r="KDY16" s="7"/>
      <c r="KDZ16" s="7"/>
      <c r="KEA16" s="7"/>
      <c r="KEB16" s="7"/>
      <c r="KEC16" s="7"/>
      <c r="KED16" s="7"/>
      <c r="KEE16" s="7"/>
      <c r="KEF16" s="7"/>
      <c r="KEG16" s="7"/>
      <c r="KEH16" s="7"/>
      <c r="KEI16" s="7"/>
      <c r="KEJ16" s="7"/>
      <c r="KEK16" s="7"/>
      <c r="KEL16" s="7"/>
      <c r="KEM16" s="7"/>
      <c r="KEN16" s="7"/>
      <c r="KEO16" s="7"/>
      <c r="KEP16" s="7"/>
      <c r="KEQ16" s="7"/>
      <c r="KER16" s="7"/>
      <c r="KES16" s="7"/>
      <c r="KET16" s="7"/>
      <c r="KEU16" s="7"/>
      <c r="KEV16" s="7"/>
      <c r="KEW16" s="7"/>
      <c r="KEX16" s="7"/>
      <c r="KEY16" s="7"/>
      <c r="KEZ16" s="7"/>
      <c r="KFA16" s="7"/>
      <c r="KFB16" s="7"/>
      <c r="KFC16" s="7"/>
      <c r="KFD16" s="7"/>
      <c r="KFE16" s="7"/>
      <c r="KFF16" s="7"/>
      <c r="KFG16" s="7"/>
      <c r="KFH16" s="7"/>
      <c r="KFI16" s="7"/>
      <c r="KFJ16" s="7"/>
      <c r="KFK16" s="7"/>
      <c r="KFL16" s="7"/>
      <c r="KFM16" s="7"/>
      <c r="KFN16" s="7"/>
      <c r="KFO16" s="7"/>
      <c r="KFP16" s="7"/>
      <c r="KFQ16" s="7"/>
      <c r="KFR16" s="7"/>
      <c r="KFS16" s="7"/>
      <c r="KFT16" s="7"/>
      <c r="KFU16" s="7"/>
      <c r="KFV16" s="7"/>
      <c r="KFW16" s="7"/>
      <c r="KFX16" s="7"/>
      <c r="KFY16" s="7"/>
      <c r="KFZ16" s="7"/>
      <c r="KGA16" s="7"/>
      <c r="KGB16" s="7"/>
      <c r="KGC16" s="7"/>
      <c r="KGD16" s="7"/>
      <c r="KGE16" s="7"/>
      <c r="KGF16" s="7"/>
      <c r="KGG16" s="7"/>
      <c r="KGH16" s="7"/>
      <c r="KGI16" s="7"/>
      <c r="KGJ16" s="7"/>
      <c r="KGK16" s="7"/>
      <c r="KGL16" s="7"/>
      <c r="KGM16" s="7"/>
      <c r="KGN16" s="7"/>
      <c r="KGO16" s="7"/>
      <c r="KGP16" s="7"/>
      <c r="KGQ16" s="7"/>
      <c r="KGR16" s="7"/>
      <c r="KGS16" s="7"/>
      <c r="KGT16" s="7"/>
      <c r="KGU16" s="7"/>
      <c r="KGV16" s="7"/>
      <c r="KGW16" s="7"/>
      <c r="KGX16" s="7"/>
      <c r="KGY16" s="7"/>
      <c r="KGZ16" s="7"/>
      <c r="KHA16" s="7"/>
      <c r="KHB16" s="7"/>
      <c r="KHC16" s="7"/>
      <c r="KHD16" s="7"/>
      <c r="KHE16" s="7"/>
      <c r="KHF16" s="7"/>
      <c r="KHG16" s="7"/>
      <c r="KHH16" s="7"/>
      <c r="KHI16" s="7"/>
      <c r="KHJ16" s="7"/>
      <c r="KHK16" s="7"/>
      <c r="KHL16" s="7"/>
      <c r="KHM16" s="7"/>
      <c r="KHN16" s="7"/>
      <c r="KHO16" s="7"/>
      <c r="KHP16" s="7"/>
      <c r="KHQ16" s="7"/>
      <c r="KHR16" s="7"/>
      <c r="KHS16" s="7"/>
      <c r="KHT16" s="7"/>
      <c r="KHU16" s="7"/>
      <c r="KHV16" s="7"/>
      <c r="KHW16" s="7"/>
      <c r="KHX16" s="7"/>
      <c r="KHY16" s="7"/>
      <c r="KHZ16" s="7"/>
      <c r="KIA16" s="7"/>
      <c r="KIB16" s="7"/>
      <c r="KIC16" s="7"/>
      <c r="KID16" s="7"/>
      <c r="KIE16" s="7"/>
      <c r="KIF16" s="7"/>
      <c r="KIG16" s="7"/>
      <c r="KIH16" s="7"/>
      <c r="KII16" s="7"/>
      <c r="KIJ16" s="7"/>
      <c r="KIK16" s="7"/>
      <c r="KIL16" s="7"/>
      <c r="KIM16" s="7"/>
      <c r="KIN16" s="7"/>
      <c r="KIO16" s="7"/>
      <c r="KIP16" s="7"/>
      <c r="KIQ16" s="7"/>
      <c r="KIR16" s="7"/>
      <c r="KIS16" s="7"/>
      <c r="KIT16" s="7"/>
      <c r="KIU16" s="7"/>
      <c r="KIV16" s="7"/>
      <c r="KIW16" s="7"/>
      <c r="KIX16" s="7"/>
      <c r="KIY16" s="7"/>
      <c r="KIZ16" s="7"/>
      <c r="KJA16" s="7"/>
      <c r="KJB16" s="7"/>
      <c r="KJC16" s="7"/>
      <c r="KJD16" s="7"/>
      <c r="KJE16" s="7"/>
      <c r="KJF16" s="7"/>
      <c r="KJG16" s="7"/>
      <c r="KJH16" s="7"/>
      <c r="KJI16" s="7"/>
      <c r="KJJ16" s="7"/>
      <c r="KJK16" s="7"/>
      <c r="KJL16" s="7"/>
      <c r="KJM16" s="7"/>
      <c r="KJN16" s="7"/>
      <c r="KJO16" s="7"/>
      <c r="KJP16" s="7"/>
      <c r="KJQ16" s="7"/>
      <c r="KJR16" s="7"/>
      <c r="KJS16" s="7"/>
      <c r="KJT16" s="7"/>
      <c r="KJU16" s="7"/>
      <c r="KJV16" s="7"/>
      <c r="KJW16" s="7"/>
      <c r="KJX16" s="7"/>
      <c r="KJY16" s="7"/>
      <c r="KJZ16" s="7"/>
      <c r="KKA16" s="7"/>
      <c r="KKB16" s="7"/>
      <c r="KKC16" s="7"/>
      <c r="KKD16" s="7"/>
      <c r="KKE16" s="7"/>
      <c r="KKF16" s="7"/>
      <c r="KKG16" s="7"/>
      <c r="KKH16" s="7"/>
      <c r="KKI16" s="7"/>
      <c r="KKJ16" s="7"/>
      <c r="KKK16" s="7"/>
      <c r="KKL16" s="7"/>
      <c r="KKM16" s="7"/>
      <c r="KKN16" s="7"/>
      <c r="KKO16" s="7"/>
      <c r="KKP16" s="7"/>
      <c r="KKQ16" s="7"/>
      <c r="KKR16" s="7"/>
      <c r="KKS16" s="7"/>
      <c r="KKT16" s="7"/>
      <c r="KKU16" s="7"/>
      <c r="KKV16" s="7"/>
      <c r="KKW16" s="7"/>
      <c r="KKX16" s="7"/>
      <c r="KKY16" s="7"/>
      <c r="KKZ16" s="7"/>
      <c r="KLA16" s="7"/>
      <c r="KLB16" s="7"/>
      <c r="KLC16" s="7"/>
      <c r="KLD16" s="7"/>
      <c r="KLE16" s="7"/>
      <c r="KLF16" s="7"/>
      <c r="KLG16" s="7"/>
      <c r="KLH16" s="7"/>
      <c r="KLI16" s="7"/>
      <c r="KLJ16" s="7"/>
      <c r="KLK16" s="7"/>
      <c r="KLL16" s="7"/>
      <c r="KLM16" s="7"/>
      <c r="KLN16" s="7"/>
      <c r="KLO16" s="7"/>
      <c r="KLP16" s="7"/>
      <c r="KLQ16" s="7"/>
      <c r="KLR16" s="7"/>
      <c r="KLS16" s="7"/>
      <c r="KLT16" s="7"/>
      <c r="KLU16" s="7"/>
      <c r="KLV16" s="7"/>
      <c r="KLW16" s="7"/>
      <c r="KLX16" s="7"/>
      <c r="KLY16" s="7"/>
      <c r="KLZ16" s="7"/>
      <c r="KMA16" s="7"/>
      <c r="KMB16" s="7"/>
      <c r="KMC16" s="7"/>
      <c r="KMD16" s="7"/>
      <c r="KME16" s="7"/>
      <c r="KMF16" s="7"/>
      <c r="KMG16" s="7"/>
      <c r="KMH16" s="7"/>
      <c r="KMI16" s="7"/>
      <c r="KMJ16" s="7"/>
      <c r="KMK16" s="7"/>
      <c r="KML16" s="7"/>
      <c r="KMM16" s="7"/>
      <c r="KMN16" s="7"/>
      <c r="KMO16" s="7"/>
      <c r="KMP16" s="7"/>
      <c r="KMQ16" s="7"/>
      <c r="KMR16" s="7"/>
      <c r="KMS16" s="7"/>
      <c r="KMT16" s="7"/>
      <c r="KMU16" s="7"/>
      <c r="KMV16" s="7"/>
      <c r="KMW16" s="7"/>
      <c r="KMX16" s="7"/>
      <c r="KMY16" s="7"/>
      <c r="KMZ16" s="7"/>
      <c r="KNA16" s="7"/>
      <c r="KNB16" s="7"/>
      <c r="KNC16" s="7"/>
      <c r="KND16" s="7"/>
      <c r="KNE16" s="7"/>
      <c r="KNF16" s="7"/>
      <c r="KNG16" s="7"/>
      <c r="KNH16" s="7"/>
      <c r="KNI16" s="7"/>
      <c r="KNJ16" s="7"/>
      <c r="KNK16" s="7"/>
      <c r="KNL16" s="7"/>
      <c r="KNM16" s="7"/>
      <c r="KNN16" s="7"/>
      <c r="KNO16" s="7"/>
      <c r="KNP16" s="7"/>
      <c r="KNQ16" s="7"/>
      <c r="KNR16" s="7"/>
      <c r="KNS16" s="7"/>
      <c r="KNT16" s="7"/>
      <c r="KNU16" s="7"/>
      <c r="KNV16" s="7"/>
      <c r="KNW16" s="7"/>
      <c r="KNX16" s="7"/>
      <c r="KNY16" s="7"/>
      <c r="KNZ16" s="7"/>
      <c r="KOA16" s="7"/>
      <c r="KOB16" s="7"/>
      <c r="KOC16" s="7"/>
      <c r="KOD16" s="7"/>
      <c r="KOE16" s="7"/>
      <c r="KOF16" s="7"/>
      <c r="KOG16" s="7"/>
      <c r="KOH16" s="7"/>
      <c r="KOI16" s="7"/>
      <c r="KOJ16" s="7"/>
      <c r="KOK16" s="7"/>
      <c r="KOL16" s="7"/>
      <c r="KOM16" s="7"/>
      <c r="KON16" s="7"/>
      <c r="KOO16" s="7"/>
      <c r="KOP16" s="7"/>
      <c r="KOQ16" s="7"/>
      <c r="KOR16" s="7"/>
      <c r="KOS16" s="7"/>
      <c r="KOT16" s="7"/>
      <c r="KOU16" s="7"/>
      <c r="KOV16" s="7"/>
      <c r="KOW16" s="7"/>
      <c r="KOX16" s="7"/>
      <c r="KOY16" s="7"/>
      <c r="KOZ16" s="7"/>
      <c r="KPA16" s="7"/>
      <c r="KPB16" s="7"/>
      <c r="KPC16" s="7"/>
      <c r="KPD16" s="7"/>
      <c r="KPE16" s="7"/>
      <c r="KPF16" s="7"/>
      <c r="KPG16" s="7"/>
      <c r="KPH16" s="7"/>
      <c r="KPI16" s="7"/>
      <c r="KPJ16" s="7"/>
      <c r="KPK16" s="7"/>
      <c r="KPL16" s="7"/>
      <c r="KPM16" s="7"/>
      <c r="KPN16" s="7"/>
      <c r="KPO16" s="7"/>
      <c r="KPP16" s="7"/>
      <c r="KPQ16" s="7"/>
      <c r="KPR16" s="7"/>
      <c r="KPS16" s="7"/>
      <c r="KPT16" s="7"/>
      <c r="KPU16" s="7"/>
      <c r="KPV16" s="7"/>
      <c r="KPW16" s="7"/>
      <c r="KPX16" s="7"/>
      <c r="KPY16" s="7"/>
      <c r="KPZ16" s="7"/>
      <c r="KQA16" s="7"/>
      <c r="KQB16" s="7"/>
      <c r="KQC16" s="7"/>
      <c r="KQD16" s="7"/>
      <c r="KQE16" s="7"/>
      <c r="KQF16" s="7"/>
      <c r="KQG16" s="7"/>
      <c r="KQH16" s="7"/>
      <c r="KQI16" s="7"/>
      <c r="KQJ16" s="7"/>
      <c r="KQK16" s="7"/>
      <c r="KQL16" s="7"/>
      <c r="KQM16" s="7"/>
      <c r="KQN16" s="7"/>
      <c r="KQO16" s="7"/>
      <c r="KQP16" s="7"/>
      <c r="KQQ16" s="7"/>
      <c r="KQR16" s="7"/>
      <c r="KQS16" s="7"/>
      <c r="KQT16" s="7"/>
      <c r="KQU16" s="7"/>
      <c r="KQV16" s="7"/>
      <c r="KQW16" s="7"/>
      <c r="KQX16" s="7"/>
      <c r="KQY16" s="7"/>
      <c r="KQZ16" s="7"/>
      <c r="KRA16" s="7"/>
      <c r="KRB16" s="7"/>
      <c r="KRC16" s="7"/>
      <c r="KRD16" s="7"/>
      <c r="KRE16" s="7"/>
      <c r="KRF16" s="7"/>
      <c r="KRG16" s="7"/>
      <c r="KRH16" s="7"/>
      <c r="KRI16" s="7"/>
      <c r="KRJ16" s="7"/>
      <c r="KRK16" s="7"/>
      <c r="KRL16" s="7"/>
      <c r="KRM16" s="7"/>
      <c r="KRN16" s="7"/>
      <c r="KRO16" s="7"/>
      <c r="KRP16" s="7"/>
      <c r="KRQ16" s="7"/>
      <c r="KRR16" s="7"/>
      <c r="KRS16" s="7"/>
      <c r="KRT16" s="7"/>
      <c r="KRU16" s="7"/>
      <c r="KRV16" s="7"/>
      <c r="KRW16" s="7"/>
      <c r="KRX16" s="7"/>
      <c r="KRY16" s="7"/>
      <c r="KRZ16" s="7"/>
      <c r="KSA16" s="7"/>
      <c r="KSB16" s="7"/>
      <c r="KSC16" s="7"/>
      <c r="KSD16" s="7"/>
      <c r="KSE16" s="7"/>
      <c r="KSF16" s="7"/>
      <c r="KSG16" s="7"/>
      <c r="KSH16" s="7"/>
      <c r="KSI16" s="7"/>
      <c r="KSJ16" s="7"/>
      <c r="KSK16" s="7"/>
      <c r="KSL16" s="7"/>
      <c r="KSM16" s="7"/>
      <c r="KSN16" s="7"/>
      <c r="KSO16" s="7"/>
      <c r="KSP16" s="7"/>
      <c r="KSQ16" s="7"/>
      <c r="KSR16" s="7"/>
      <c r="KSS16" s="7"/>
      <c r="KST16" s="7"/>
      <c r="KSU16" s="7"/>
      <c r="KSV16" s="7"/>
      <c r="KSW16" s="7"/>
      <c r="KSX16" s="7"/>
      <c r="KSY16" s="7"/>
      <c r="KSZ16" s="7"/>
      <c r="KTA16" s="7"/>
      <c r="KTB16" s="7"/>
      <c r="KTC16" s="7"/>
      <c r="KTD16" s="7"/>
      <c r="KTE16" s="7"/>
      <c r="KTF16" s="7"/>
      <c r="KTG16" s="7"/>
      <c r="KTH16" s="7"/>
      <c r="KTI16" s="7"/>
      <c r="KTJ16" s="7"/>
      <c r="KTK16" s="7"/>
      <c r="KTL16" s="7"/>
      <c r="KTM16" s="7"/>
      <c r="KTN16" s="7"/>
      <c r="KTO16" s="7"/>
      <c r="KTP16" s="7"/>
      <c r="KTQ16" s="7"/>
      <c r="KTR16" s="7"/>
      <c r="KTS16" s="7"/>
      <c r="KTT16" s="7"/>
      <c r="KTU16" s="7"/>
      <c r="KTV16" s="7"/>
      <c r="KTW16" s="7"/>
      <c r="KTX16" s="7"/>
      <c r="KTY16" s="7"/>
      <c r="KTZ16" s="7"/>
      <c r="KUA16" s="7"/>
      <c r="KUB16" s="7"/>
      <c r="KUC16" s="7"/>
      <c r="KUD16" s="7"/>
      <c r="KUE16" s="7"/>
      <c r="KUF16" s="7"/>
      <c r="KUG16" s="7"/>
      <c r="KUH16" s="7"/>
      <c r="KUI16" s="7"/>
      <c r="KUJ16" s="7"/>
      <c r="KUK16" s="7"/>
      <c r="KUL16" s="7"/>
      <c r="KUM16" s="7"/>
      <c r="KUN16" s="7"/>
      <c r="KUO16" s="7"/>
      <c r="KUP16" s="7"/>
      <c r="KUQ16" s="7"/>
      <c r="KUR16" s="7"/>
      <c r="KUS16" s="7"/>
      <c r="KUT16" s="7"/>
      <c r="KUU16" s="7"/>
      <c r="KUV16" s="7"/>
      <c r="KUW16" s="7"/>
      <c r="KUX16" s="7"/>
      <c r="KUY16" s="7"/>
      <c r="KUZ16" s="7"/>
      <c r="KVA16" s="7"/>
      <c r="KVB16" s="7"/>
      <c r="KVC16" s="7"/>
      <c r="KVD16" s="7"/>
      <c r="KVE16" s="7"/>
      <c r="KVF16" s="7"/>
      <c r="KVG16" s="7"/>
      <c r="KVH16" s="7"/>
      <c r="KVI16" s="7"/>
      <c r="KVJ16" s="7"/>
      <c r="KVK16" s="7"/>
      <c r="KVL16" s="7"/>
      <c r="KVM16" s="7"/>
      <c r="KVN16" s="7"/>
      <c r="KVO16" s="7"/>
      <c r="KVP16" s="7"/>
      <c r="KVQ16" s="7"/>
      <c r="KVR16" s="7"/>
      <c r="KVS16" s="7"/>
      <c r="KVT16" s="7"/>
      <c r="KVU16" s="7"/>
      <c r="KVV16" s="7"/>
      <c r="KVW16" s="7"/>
      <c r="KVX16" s="7"/>
      <c r="KVY16" s="7"/>
      <c r="KVZ16" s="7"/>
      <c r="KWA16" s="7"/>
      <c r="KWB16" s="7"/>
      <c r="KWC16" s="7"/>
      <c r="KWD16" s="7"/>
      <c r="KWE16" s="7"/>
      <c r="KWF16" s="7"/>
      <c r="KWG16" s="7"/>
      <c r="KWH16" s="7"/>
      <c r="KWI16" s="7"/>
      <c r="KWJ16" s="7"/>
      <c r="KWK16" s="7"/>
      <c r="KWL16" s="7"/>
      <c r="KWM16" s="7"/>
      <c r="KWN16" s="7"/>
      <c r="KWO16" s="7"/>
      <c r="KWP16" s="7"/>
      <c r="KWQ16" s="7"/>
      <c r="KWR16" s="7"/>
      <c r="KWS16" s="7"/>
      <c r="KWT16" s="7"/>
      <c r="KWU16" s="7"/>
      <c r="KWV16" s="7"/>
      <c r="KWW16" s="7"/>
      <c r="KWX16" s="7"/>
      <c r="KWY16" s="7"/>
      <c r="KWZ16" s="7"/>
      <c r="KXA16" s="7"/>
      <c r="KXB16" s="7"/>
      <c r="KXC16" s="7"/>
      <c r="KXD16" s="7"/>
      <c r="KXE16" s="7"/>
      <c r="KXF16" s="7"/>
      <c r="KXG16" s="7"/>
      <c r="KXH16" s="7"/>
      <c r="KXI16" s="7"/>
      <c r="KXJ16" s="7"/>
      <c r="KXK16" s="7"/>
      <c r="KXL16" s="7"/>
      <c r="KXM16" s="7"/>
      <c r="KXN16" s="7"/>
      <c r="KXO16" s="7"/>
      <c r="KXP16" s="7"/>
      <c r="KXQ16" s="7"/>
      <c r="KXR16" s="7"/>
      <c r="KXS16" s="7"/>
      <c r="KXT16" s="7"/>
      <c r="KXU16" s="7"/>
      <c r="KXV16" s="7"/>
      <c r="KXW16" s="7"/>
      <c r="KXX16" s="7"/>
      <c r="KXY16" s="7"/>
      <c r="KXZ16" s="7"/>
      <c r="KYA16" s="7"/>
      <c r="KYB16" s="7"/>
      <c r="KYC16" s="7"/>
      <c r="KYD16" s="7"/>
      <c r="KYE16" s="7"/>
      <c r="KYF16" s="7"/>
      <c r="KYG16" s="7"/>
      <c r="KYH16" s="7"/>
      <c r="KYI16" s="7"/>
      <c r="KYJ16" s="7"/>
      <c r="KYK16" s="7"/>
      <c r="KYL16" s="7"/>
      <c r="KYM16" s="7"/>
      <c r="KYN16" s="7"/>
      <c r="KYO16" s="7"/>
      <c r="KYP16" s="7"/>
      <c r="KYQ16" s="7"/>
      <c r="KYR16" s="7"/>
      <c r="KYS16" s="7"/>
      <c r="KYT16" s="7"/>
      <c r="KYU16" s="7"/>
      <c r="KYV16" s="7"/>
      <c r="KYW16" s="7"/>
      <c r="KYX16" s="7"/>
      <c r="KYY16" s="7"/>
      <c r="KYZ16" s="7"/>
      <c r="KZA16" s="7"/>
      <c r="KZB16" s="7"/>
      <c r="KZC16" s="7"/>
      <c r="KZD16" s="7"/>
      <c r="KZE16" s="7"/>
      <c r="KZF16" s="7"/>
      <c r="KZG16" s="7"/>
      <c r="KZH16" s="7"/>
      <c r="KZI16" s="7"/>
      <c r="KZJ16" s="7"/>
      <c r="KZK16" s="7"/>
      <c r="KZL16" s="7"/>
      <c r="KZM16" s="7"/>
      <c r="KZN16" s="7"/>
      <c r="KZO16" s="7"/>
      <c r="KZP16" s="7"/>
      <c r="KZQ16" s="7"/>
      <c r="KZR16" s="7"/>
      <c r="KZS16" s="7"/>
      <c r="KZT16" s="7"/>
      <c r="KZU16" s="7"/>
      <c r="KZV16" s="7"/>
      <c r="KZW16" s="7"/>
      <c r="KZX16" s="7"/>
      <c r="KZY16" s="7"/>
      <c r="KZZ16" s="7"/>
      <c r="LAA16" s="7"/>
      <c r="LAB16" s="7"/>
      <c r="LAC16" s="7"/>
      <c r="LAD16" s="7"/>
      <c r="LAE16" s="7"/>
      <c r="LAF16" s="7"/>
      <c r="LAG16" s="7"/>
      <c r="LAH16" s="7"/>
      <c r="LAI16" s="7"/>
      <c r="LAJ16" s="7"/>
      <c r="LAK16" s="7"/>
      <c r="LAL16" s="7"/>
      <c r="LAM16" s="7"/>
      <c r="LAN16" s="7"/>
      <c r="LAO16" s="7"/>
      <c r="LAP16" s="7"/>
      <c r="LAQ16" s="7"/>
      <c r="LAR16" s="7"/>
      <c r="LAS16" s="7"/>
      <c r="LAT16" s="7"/>
      <c r="LAU16" s="7"/>
      <c r="LAV16" s="7"/>
      <c r="LAW16" s="7"/>
      <c r="LAX16" s="7"/>
      <c r="LAY16" s="7"/>
      <c r="LAZ16" s="7"/>
      <c r="LBA16" s="7"/>
      <c r="LBB16" s="7"/>
      <c r="LBC16" s="7"/>
      <c r="LBD16" s="7"/>
      <c r="LBE16" s="7"/>
      <c r="LBF16" s="7"/>
      <c r="LBG16" s="7"/>
      <c r="LBH16" s="7"/>
      <c r="LBI16" s="7"/>
      <c r="LBJ16" s="7"/>
      <c r="LBK16" s="7"/>
      <c r="LBL16" s="7"/>
      <c r="LBM16" s="7"/>
      <c r="LBN16" s="7"/>
      <c r="LBO16" s="7"/>
      <c r="LBP16" s="7"/>
      <c r="LBQ16" s="7"/>
      <c r="LBR16" s="7"/>
      <c r="LBS16" s="7"/>
      <c r="LBT16" s="7"/>
      <c r="LBU16" s="7"/>
      <c r="LBV16" s="7"/>
      <c r="LBW16" s="7"/>
      <c r="LBX16" s="7"/>
      <c r="LBY16" s="7"/>
      <c r="LBZ16" s="7"/>
      <c r="LCA16" s="7"/>
      <c r="LCB16" s="7"/>
      <c r="LCC16" s="7"/>
      <c r="LCD16" s="7"/>
      <c r="LCE16" s="7"/>
      <c r="LCF16" s="7"/>
      <c r="LCG16" s="7"/>
      <c r="LCH16" s="7"/>
      <c r="LCI16" s="7"/>
      <c r="LCJ16" s="7"/>
      <c r="LCK16" s="7"/>
      <c r="LCL16" s="7"/>
      <c r="LCM16" s="7"/>
      <c r="LCN16" s="7"/>
      <c r="LCO16" s="7"/>
      <c r="LCP16" s="7"/>
      <c r="LCQ16" s="7"/>
      <c r="LCR16" s="7"/>
      <c r="LCS16" s="7"/>
      <c r="LCT16" s="7"/>
      <c r="LCU16" s="7"/>
      <c r="LCV16" s="7"/>
      <c r="LCW16" s="7"/>
      <c r="LCX16" s="7"/>
      <c r="LCY16" s="7"/>
      <c r="LCZ16" s="7"/>
      <c r="LDA16" s="7"/>
      <c r="LDB16" s="7"/>
      <c r="LDC16" s="7"/>
      <c r="LDD16" s="7"/>
      <c r="LDE16" s="7"/>
      <c r="LDF16" s="7"/>
      <c r="LDG16" s="7"/>
      <c r="LDH16" s="7"/>
      <c r="LDI16" s="7"/>
      <c r="LDJ16" s="7"/>
      <c r="LDK16" s="7"/>
      <c r="LDL16" s="7"/>
      <c r="LDM16" s="7"/>
      <c r="LDN16" s="7"/>
      <c r="LDO16" s="7"/>
      <c r="LDP16" s="7"/>
      <c r="LDQ16" s="7"/>
      <c r="LDR16" s="7"/>
      <c r="LDS16" s="7"/>
      <c r="LDT16" s="7"/>
      <c r="LDU16" s="7"/>
      <c r="LDV16" s="7"/>
      <c r="LDW16" s="7"/>
      <c r="LDX16" s="7"/>
      <c r="LDY16" s="7"/>
      <c r="LDZ16" s="7"/>
      <c r="LEA16" s="7"/>
      <c r="LEB16" s="7"/>
      <c r="LEC16" s="7"/>
      <c r="LED16" s="7"/>
      <c r="LEE16" s="7"/>
      <c r="LEF16" s="7"/>
      <c r="LEG16" s="7"/>
      <c r="LEH16" s="7"/>
      <c r="LEI16" s="7"/>
      <c r="LEJ16" s="7"/>
      <c r="LEK16" s="7"/>
      <c r="LEL16" s="7"/>
      <c r="LEM16" s="7"/>
      <c r="LEN16" s="7"/>
      <c r="LEO16" s="7"/>
      <c r="LEP16" s="7"/>
      <c r="LEQ16" s="7"/>
      <c r="LER16" s="7"/>
      <c r="LES16" s="7"/>
      <c r="LET16" s="7"/>
      <c r="LEU16" s="7"/>
      <c r="LEV16" s="7"/>
      <c r="LEW16" s="7"/>
      <c r="LEX16" s="7"/>
      <c r="LEY16" s="7"/>
      <c r="LEZ16" s="7"/>
      <c r="LFA16" s="7"/>
      <c r="LFB16" s="7"/>
      <c r="LFC16" s="7"/>
      <c r="LFD16" s="7"/>
      <c r="LFE16" s="7"/>
      <c r="LFF16" s="7"/>
      <c r="LFG16" s="7"/>
      <c r="LFH16" s="7"/>
      <c r="LFI16" s="7"/>
      <c r="LFJ16" s="7"/>
      <c r="LFK16" s="7"/>
      <c r="LFL16" s="7"/>
      <c r="LFM16" s="7"/>
      <c r="LFN16" s="7"/>
      <c r="LFO16" s="7"/>
      <c r="LFP16" s="7"/>
      <c r="LFQ16" s="7"/>
      <c r="LFR16" s="7"/>
      <c r="LFS16" s="7"/>
      <c r="LFT16" s="7"/>
      <c r="LFU16" s="7"/>
      <c r="LFV16" s="7"/>
      <c r="LFW16" s="7"/>
      <c r="LFX16" s="7"/>
      <c r="LFY16" s="7"/>
      <c r="LFZ16" s="7"/>
      <c r="LGA16" s="7"/>
      <c r="LGB16" s="7"/>
      <c r="LGC16" s="7"/>
      <c r="LGD16" s="7"/>
      <c r="LGE16" s="7"/>
      <c r="LGF16" s="7"/>
      <c r="LGG16" s="7"/>
      <c r="LGH16" s="7"/>
      <c r="LGI16" s="7"/>
      <c r="LGJ16" s="7"/>
      <c r="LGK16" s="7"/>
      <c r="LGL16" s="7"/>
      <c r="LGM16" s="7"/>
      <c r="LGN16" s="7"/>
      <c r="LGO16" s="7"/>
      <c r="LGP16" s="7"/>
      <c r="LGQ16" s="7"/>
      <c r="LGR16" s="7"/>
      <c r="LGS16" s="7"/>
      <c r="LGT16" s="7"/>
      <c r="LGU16" s="7"/>
      <c r="LGV16" s="7"/>
      <c r="LGW16" s="7"/>
      <c r="LGX16" s="7"/>
      <c r="LGY16" s="7"/>
      <c r="LGZ16" s="7"/>
      <c r="LHA16" s="7"/>
      <c r="LHB16" s="7"/>
      <c r="LHC16" s="7"/>
      <c r="LHD16" s="7"/>
      <c r="LHE16" s="7"/>
      <c r="LHF16" s="7"/>
      <c r="LHG16" s="7"/>
      <c r="LHH16" s="7"/>
      <c r="LHI16" s="7"/>
      <c r="LHJ16" s="7"/>
      <c r="LHK16" s="7"/>
      <c r="LHL16" s="7"/>
      <c r="LHM16" s="7"/>
      <c r="LHN16" s="7"/>
      <c r="LHO16" s="7"/>
      <c r="LHP16" s="7"/>
      <c r="LHQ16" s="7"/>
      <c r="LHR16" s="7"/>
      <c r="LHS16" s="7"/>
      <c r="LHT16" s="7"/>
      <c r="LHU16" s="7"/>
      <c r="LHV16" s="7"/>
      <c r="LHW16" s="7"/>
      <c r="LHX16" s="7"/>
      <c r="LHY16" s="7"/>
      <c r="LHZ16" s="7"/>
      <c r="LIA16" s="7"/>
      <c r="LIB16" s="7"/>
      <c r="LIC16" s="7"/>
      <c r="LID16" s="7"/>
      <c r="LIE16" s="7"/>
      <c r="LIF16" s="7"/>
      <c r="LIG16" s="7"/>
      <c r="LIH16" s="7"/>
      <c r="LII16" s="7"/>
      <c r="LIJ16" s="7"/>
      <c r="LIK16" s="7"/>
      <c r="LIL16" s="7"/>
      <c r="LIM16" s="7"/>
      <c r="LIN16" s="7"/>
      <c r="LIO16" s="7"/>
      <c r="LIP16" s="7"/>
      <c r="LIQ16" s="7"/>
      <c r="LIR16" s="7"/>
      <c r="LIS16" s="7"/>
      <c r="LIT16" s="7"/>
      <c r="LIU16" s="7"/>
      <c r="LIV16" s="7"/>
      <c r="LIW16" s="7"/>
      <c r="LIX16" s="7"/>
      <c r="LIY16" s="7"/>
      <c r="LIZ16" s="7"/>
      <c r="LJA16" s="7"/>
      <c r="LJB16" s="7"/>
      <c r="LJC16" s="7"/>
      <c r="LJD16" s="7"/>
      <c r="LJE16" s="7"/>
      <c r="LJF16" s="7"/>
      <c r="LJG16" s="7"/>
      <c r="LJH16" s="7"/>
      <c r="LJI16" s="7"/>
      <c r="LJJ16" s="7"/>
      <c r="LJK16" s="7"/>
      <c r="LJL16" s="7"/>
      <c r="LJM16" s="7"/>
      <c r="LJN16" s="7"/>
      <c r="LJO16" s="7"/>
      <c r="LJP16" s="7"/>
      <c r="LJQ16" s="7"/>
      <c r="LJR16" s="7"/>
      <c r="LJS16" s="7"/>
      <c r="LJT16" s="7"/>
      <c r="LJU16" s="7"/>
      <c r="LJV16" s="7"/>
      <c r="LJW16" s="7"/>
      <c r="LJX16" s="7"/>
      <c r="LJY16" s="7"/>
      <c r="LJZ16" s="7"/>
      <c r="LKA16" s="7"/>
      <c r="LKB16" s="7"/>
      <c r="LKC16" s="7"/>
      <c r="LKD16" s="7"/>
      <c r="LKE16" s="7"/>
      <c r="LKF16" s="7"/>
      <c r="LKG16" s="7"/>
      <c r="LKH16" s="7"/>
      <c r="LKI16" s="7"/>
      <c r="LKJ16" s="7"/>
      <c r="LKK16" s="7"/>
      <c r="LKL16" s="7"/>
      <c r="LKM16" s="7"/>
      <c r="LKN16" s="7"/>
      <c r="LKO16" s="7"/>
      <c r="LKP16" s="7"/>
      <c r="LKQ16" s="7"/>
      <c r="LKR16" s="7"/>
      <c r="LKS16" s="7"/>
      <c r="LKT16" s="7"/>
      <c r="LKU16" s="7"/>
      <c r="LKV16" s="7"/>
      <c r="LKW16" s="7"/>
      <c r="LKX16" s="7"/>
      <c r="LKY16" s="7"/>
      <c r="LKZ16" s="7"/>
      <c r="LLA16" s="7"/>
      <c r="LLB16" s="7"/>
      <c r="LLC16" s="7"/>
      <c r="LLD16" s="7"/>
      <c r="LLE16" s="7"/>
      <c r="LLF16" s="7"/>
      <c r="LLG16" s="7"/>
      <c r="LLH16" s="7"/>
      <c r="LLI16" s="7"/>
      <c r="LLJ16" s="7"/>
      <c r="LLK16" s="7"/>
      <c r="LLL16" s="7"/>
      <c r="LLM16" s="7"/>
      <c r="LLN16" s="7"/>
      <c r="LLO16" s="7"/>
      <c r="LLP16" s="7"/>
      <c r="LLQ16" s="7"/>
      <c r="LLR16" s="7"/>
      <c r="LLS16" s="7"/>
      <c r="LLT16" s="7"/>
      <c r="LLU16" s="7"/>
      <c r="LLV16" s="7"/>
      <c r="LLW16" s="7"/>
      <c r="LLX16" s="7"/>
      <c r="LLY16" s="7"/>
      <c r="LLZ16" s="7"/>
      <c r="LMA16" s="7"/>
      <c r="LMB16" s="7"/>
      <c r="LMC16" s="7"/>
      <c r="LMD16" s="7"/>
      <c r="LME16" s="7"/>
      <c r="LMF16" s="7"/>
      <c r="LMG16" s="7"/>
      <c r="LMH16" s="7"/>
      <c r="LMI16" s="7"/>
      <c r="LMJ16" s="7"/>
      <c r="LMK16" s="7"/>
      <c r="LML16" s="7"/>
      <c r="LMM16" s="7"/>
      <c r="LMN16" s="7"/>
      <c r="LMO16" s="7"/>
      <c r="LMP16" s="7"/>
      <c r="LMQ16" s="7"/>
      <c r="LMR16" s="7"/>
      <c r="LMS16" s="7"/>
      <c r="LMT16" s="7"/>
      <c r="LMU16" s="7"/>
      <c r="LMV16" s="7"/>
      <c r="LMW16" s="7"/>
      <c r="LMX16" s="7"/>
      <c r="LMY16" s="7"/>
      <c r="LMZ16" s="7"/>
      <c r="LNA16" s="7"/>
      <c r="LNB16" s="7"/>
      <c r="LNC16" s="7"/>
      <c r="LND16" s="7"/>
      <c r="LNE16" s="7"/>
      <c r="LNF16" s="7"/>
      <c r="LNG16" s="7"/>
      <c r="LNH16" s="7"/>
      <c r="LNI16" s="7"/>
      <c r="LNJ16" s="7"/>
      <c r="LNK16" s="7"/>
      <c r="LNL16" s="7"/>
      <c r="LNM16" s="7"/>
      <c r="LNN16" s="7"/>
      <c r="LNO16" s="7"/>
      <c r="LNP16" s="7"/>
      <c r="LNQ16" s="7"/>
      <c r="LNR16" s="7"/>
      <c r="LNS16" s="7"/>
      <c r="LNT16" s="7"/>
      <c r="LNU16" s="7"/>
      <c r="LNV16" s="7"/>
      <c r="LNW16" s="7"/>
      <c r="LNX16" s="7"/>
      <c r="LNY16" s="7"/>
      <c r="LNZ16" s="7"/>
      <c r="LOA16" s="7"/>
      <c r="LOB16" s="7"/>
      <c r="LOC16" s="7"/>
      <c r="LOD16" s="7"/>
      <c r="LOE16" s="7"/>
      <c r="LOF16" s="7"/>
      <c r="LOG16" s="7"/>
      <c r="LOH16" s="7"/>
      <c r="LOI16" s="7"/>
      <c r="LOJ16" s="7"/>
      <c r="LOK16" s="7"/>
      <c r="LOL16" s="7"/>
      <c r="LOM16" s="7"/>
      <c r="LON16" s="7"/>
      <c r="LOO16" s="7"/>
      <c r="LOP16" s="7"/>
      <c r="LOQ16" s="7"/>
      <c r="LOR16" s="7"/>
      <c r="LOS16" s="7"/>
      <c r="LOT16" s="7"/>
      <c r="LOU16" s="7"/>
      <c r="LOV16" s="7"/>
      <c r="LOW16" s="7"/>
      <c r="LOX16" s="7"/>
      <c r="LOY16" s="7"/>
      <c r="LOZ16" s="7"/>
      <c r="LPA16" s="7"/>
      <c r="LPB16" s="7"/>
      <c r="LPC16" s="7"/>
      <c r="LPD16" s="7"/>
      <c r="LPE16" s="7"/>
      <c r="LPF16" s="7"/>
      <c r="LPG16" s="7"/>
      <c r="LPH16" s="7"/>
      <c r="LPI16" s="7"/>
      <c r="LPJ16" s="7"/>
      <c r="LPK16" s="7"/>
      <c r="LPL16" s="7"/>
      <c r="LPM16" s="7"/>
      <c r="LPN16" s="7"/>
      <c r="LPO16" s="7"/>
      <c r="LPP16" s="7"/>
      <c r="LPQ16" s="7"/>
      <c r="LPR16" s="7"/>
      <c r="LPS16" s="7"/>
      <c r="LPT16" s="7"/>
      <c r="LPU16" s="7"/>
      <c r="LPV16" s="7"/>
      <c r="LPW16" s="7"/>
      <c r="LPX16" s="7"/>
      <c r="LPY16" s="7"/>
      <c r="LPZ16" s="7"/>
      <c r="LQA16" s="7"/>
      <c r="LQB16" s="7"/>
      <c r="LQC16" s="7"/>
      <c r="LQD16" s="7"/>
      <c r="LQE16" s="7"/>
      <c r="LQF16" s="7"/>
      <c r="LQG16" s="7"/>
      <c r="LQH16" s="7"/>
      <c r="LQI16" s="7"/>
      <c r="LQJ16" s="7"/>
      <c r="LQK16" s="7"/>
      <c r="LQL16" s="7"/>
      <c r="LQM16" s="7"/>
      <c r="LQN16" s="7"/>
      <c r="LQO16" s="7"/>
      <c r="LQP16" s="7"/>
      <c r="LQQ16" s="7"/>
      <c r="LQR16" s="7"/>
      <c r="LQS16" s="7"/>
      <c r="LQT16" s="7"/>
      <c r="LQU16" s="7"/>
      <c r="LQV16" s="7"/>
      <c r="LQW16" s="7"/>
      <c r="LQX16" s="7"/>
      <c r="LQY16" s="7"/>
      <c r="LQZ16" s="7"/>
      <c r="LRA16" s="7"/>
      <c r="LRB16" s="7"/>
      <c r="LRC16" s="7"/>
      <c r="LRD16" s="7"/>
      <c r="LRE16" s="7"/>
      <c r="LRF16" s="7"/>
      <c r="LRG16" s="7"/>
      <c r="LRH16" s="7"/>
      <c r="LRI16" s="7"/>
      <c r="LRJ16" s="7"/>
      <c r="LRK16" s="7"/>
      <c r="LRL16" s="7"/>
      <c r="LRM16" s="7"/>
      <c r="LRN16" s="7"/>
      <c r="LRO16" s="7"/>
      <c r="LRP16" s="7"/>
      <c r="LRQ16" s="7"/>
      <c r="LRR16" s="7"/>
      <c r="LRS16" s="7"/>
      <c r="LRT16" s="7"/>
      <c r="LRU16" s="7"/>
      <c r="LRV16" s="7"/>
      <c r="LRW16" s="7"/>
      <c r="LRX16" s="7"/>
      <c r="LRY16" s="7"/>
      <c r="LRZ16" s="7"/>
      <c r="LSA16" s="7"/>
      <c r="LSB16" s="7"/>
      <c r="LSC16" s="7"/>
      <c r="LSD16" s="7"/>
      <c r="LSE16" s="7"/>
      <c r="LSF16" s="7"/>
      <c r="LSG16" s="7"/>
      <c r="LSH16" s="7"/>
      <c r="LSI16" s="7"/>
      <c r="LSJ16" s="7"/>
      <c r="LSK16" s="7"/>
      <c r="LSL16" s="7"/>
      <c r="LSM16" s="7"/>
      <c r="LSN16" s="7"/>
      <c r="LSO16" s="7"/>
      <c r="LSP16" s="7"/>
      <c r="LSQ16" s="7"/>
      <c r="LSR16" s="7"/>
      <c r="LSS16" s="7"/>
      <c r="LST16" s="7"/>
      <c r="LSU16" s="7"/>
      <c r="LSV16" s="7"/>
      <c r="LSW16" s="7"/>
      <c r="LSX16" s="7"/>
      <c r="LSY16" s="7"/>
      <c r="LSZ16" s="7"/>
      <c r="LTA16" s="7"/>
      <c r="LTB16" s="7"/>
      <c r="LTC16" s="7"/>
      <c r="LTD16" s="7"/>
      <c r="LTE16" s="7"/>
      <c r="LTF16" s="7"/>
      <c r="LTG16" s="7"/>
      <c r="LTH16" s="7"/>
      <c r="LTI16" s="7"/>
      <c r="LTJ16" s="7"/>
      <c r="LTK16" s="7"/>
      <c r="LTL16" s="7"/>
      <c r="LTM16" s="7"/>
      <c r="LTN16" s="7"/>
      <c r="LTO16" s="7"/>
      <c r="LTP16" s="7"/>
      <c r="LTQ16" s="7"/>
      <c r="LTR16" s="7"/>
      <c r="LTS16" s="7"/>
      <c r="LTT16" s="7"/>
      <c r="LTU16" s="7"/>
      <c r="LTV16" s="7"/>
      <c r="LTW16" s="7"/>
      <c r="LTX16" s="7"/>
      <c r="LTY16" s="7"/>
      <c r="LTZ16" s="7"/>
      <c r="LUA16" s="7"/>
      <c r="LUB16" s="7"/>
      <c r="LUC16" s="7"/>
      <c r="LUD16" s="7"/>
      <c r="LUE16" s="7"/>
      <c r="LUF16" s="7"/>
      <c r="LUG16" s="7"/>
      <c r="LUH16" s="7"/>
      <c r="LUI16" s="7"/>
      <c r="LUJ16" s="7"/>
      <c r="LUK16" s="7"/>
      <c r="LUL16" s="7"/>
      <c r="LUM16" s="7"/>
      <c r="LUN16" s="7"/>
      <c r="LUO16" s="7"/>
      <c r="LUP16" s="7"/>
      <c r="LUQ16" s="7"/>
      <c r="LUR16" s="7"/>
      <c r="LUS16" s="7"/>
      <c r="LUT16" s="7"/>
      <c r="LUU16" s="7"/>
      <c r="LUV16" s="7"/>
      <c r="LUW16" s="7"/>
      <c r="LUX16" s="7"/>
      <c r="LUY16" s="7"/>
      <c r="LUZ16" s="7"/>
      <c r="LVA16" s="7"/>
      <c r="LVB16" s="7"/>
      <c r="LVC16" s="7"/>
      <c r="LVD16" s="7"/>
      <c r="LVE16" s="7"/>
      <c r="LVF16" s="7"/>
      <c r="LVG16" s="7"/>
      <c r="LVH16" s="7"/>
      <c r="LVI16" s="7"/>
      <c r="LVJ16" s="7"/>
      <c r="LVK16" s="7"/>
      <c r="LVL16" s="7"/>
      <c r="LVM16" s="7"/>
      <c r="LVN16" s="7"/>
      <c r="LVO16" s="7"/>
      <c r="LVP16" s="7"/>
      <c r="LVQ16" s="7"/>
      <c r="LVR16" s="7"/>
      <c r="LVS16" s="7"/>
      <c r="LVT16" s="7"/>
      <c r="LVU16" s="7"/>
      <c r="LVV16" s="7"/>
      <c r="LVW16" s="7"/>
      <c r="LVX16" s="7"/>
      <c r="LVY16" s="7"/>
      <c r="LVZ16" s="7"/>
      <c r="LWA16" s="7"/>
      <c r="LWB16" s="7"/>
      <c r="LWC16" s="7"/>
      <c r="LWD16" s="7"/>
      <c r="LWE16" s="7"/>
      <c r="LWF16" s="7"/>
      <c r="LWG16" s="7"/>
      <c r="LWH16" s="7"/>
      <c r="LWI16" s="7"/>
      <c r="LWJ16" s="7"/>
      <c r="LWK16" s="7"/>
      <c r="LWL16" s="7"/>
      <c r="LWM16" s="7"/>
      <c r="LWN16" s="7"/>
      <c r="LWO16" s="7"/>
      <c r="LWP16" s="7"/>
      <c r="LWQ16" s="7"/>
      <c r="LWR16" s="7"/>
      <c r="LWS16" s="7"/>
      <c r="LWT16" s="7"/>
      <c r="LWU16" s="7"/>
      <c r="LWV16" s="7"/>
      <c r="LWW16" s="7"/>
      <c r="LWX16" s="7"/>
      <c r="LWY16" s="7"/>
      <c r="LWZ16" s="7"/>
      <c r="LXA16" s="7"/>
      <c r="LXB16" s="7"/>
      <c r="LXC16" s="7"/>
      <c r="LXD16" s="7"/>
      <c r="LXE16" s="7"/>
      <c r="LXF16" s="7"/>
      <c r="LXG16" s="7"/>
      <c r="LXH16" s="7"/>
      <c r="LXI16" s="7"/>
      <c r="LXJ16" s="7"/>
      <c r="LXK16" s="7"/>
      <c r="LXL16" s="7"/>
      <c r="LXM16" s="7"/>
      <c r="LXN16" s="7"/>
      <c r="LXO16" s="7"/>
      <c r="LXP16" s="7"/>
      <c r="LXQ16" s="7"/>
      <c r="LXR16" s="7"/>
      <c r="LXS16" s="7"/>
      <c r="LXT16" s="7"/>
      <c r="LXU16" s="7"/>
      <c r="LXV16" s="7"/>
      <c r="LXW16" s="7"/>
      <c r="LXX16" s="7"/>
      <c r="LXY16" s="7"/>
      <c r="LXZ16" s="7"/>
      <c r="LYA16" s="7"/>
      <c r="LYB16" s="7"/>
      <c r="LYC16" s="7"/>
      <c r="LYD16" s="7"/>
      <c r="LYE16" s="7"/>
      <c r="LYF16" s="7"/>
      <c r="LYG16" s="7"/>
      <c r="LYH16" s="7"/>
      <c r="LYI16" s="7"/>
      <c r="LYJ16" s="7"/>
      <c r="LYK16" s="7"/>
      <c r="LYL16" s="7"/>
      <c r="LYM16" s="7"/>
      <c r="LYN16" s="7"/>
      <c r="LYO16" s="7"/>
      <c r="LYP16" s="7"/>
      <c r="LYQ16" s="7"/>
      <c r="LYR16" s="7"/>
      <c r="LYS16" s="7"/>
      <c r="LYT16" s="7"/>
      <c r="LYU16" s="7"/>
      <c r="LYV16" s="7"/>
      <c r="LYW16" s="7"/>
      <c r="LYX16" s="7"/>
      <c r="LYY16" s="7"/>
      <c r="LYZ16" s="7"/>
      <c r="LZA16" s="7"/>
      <c r="LZB16" s="7"/>
      <c r="LZC16" s="7"/>
      <c r="LZD16" s="7"/>
      <c r="LZE16" s="7"/>
      <c r="LZF16" s="7"/>
      <c r="LZG16" s="7"/>
      <c r="LZH16" s="7"/>
      <c r="LZI16" s="7"/>
      <c r="LZJ16" s="7"/>
      <c r="LZK16" s="7"/>
      <c r="LZL16" s="7"/>
      <c r="LZM16" s="7"/>
      <c r="LZN16" s="7"/>
      <c r="LZO16" s="7"/>
      <c r="LZP16" s="7"/>
      <c r="LZQ16" s="7"/>
      <c r="LZR16" s="7"/>
      <c r="LZS16" s="7"/>
      <c r="LZT16" s="7"/>
      <c r="LZU16" s="7"/>
      <c r="LZV16" s="7"/>
      <c r="LZW16" s="7"/>
      <c r="LZX16" s="7"/>
      <c r="LZY16" s="7"/>
      <c r="LZZ16" s="7"/>
      <c r="MAA16" s="7"/>
      <c r="MAB16" s="7"/>
      <c r="MAC16" s="7"/>
      <c r="MAD16" s="7"/>
      <c r="MAE16" s="7"/>
      <c r="MAF16" s="7"/>
      <c r="MAG16" s="7"/>
      <c r="MAH16" s="7"/>
      <c r="MAI16" s="7"/>
      <c r="MAJ16" s="7"/>
      <c r="MAK16" s="7"/>
      <c r="MAL16" s="7"/>
      <c r="MAM16" s="7"/>
      <c r="MAN16" s="7"/>
      <c r="MAO16" s="7"/>
      <c r="MAP16" s="7"/>
      <c r="MAQ16" s="7"/>
      <c r="MAR16" s="7"/>
      <c r="MAS16" s="7"/>
      <c r="MAT16" s="7"/>
      <c r="MAU16" s="7"/>
      <c r="MAV16" s="7"/>
      <c r="MAW16" s="7"/>
      <c r="MAX16" s="7"/>
      <c r="MAY16" s="7"/>
      <c r="MAZ16" s="7"/>
      <c r="MBA16" s="7"/>
      <c r="MBB16" s="7"/>
      <c r="MBC16" s="7"/>
      <c r="MBD16" s="7"/>
      <c r="MBE16" s="7"/>
      <c r="MBF16" s="7"/>
      <c r="MBG16" s="7"/>
      <c r="MBH16" s="7"/>
      <c r="MBI16" s="7"/>
      <c r="MBJ16" s="7"/>
      <c r="MBK16" s="7"/>
      <c r="MBL16" s="7"/>
      <c r="MBM16" s="7"/>
      <c r="MBN16" s="7"/>
      <c r="MBO16" s="7"/>
      <c r="MBP16" s="7"/>
      <c r="MBQ16" s="7"/>
      <c r="MBR16" s="7"/>
      <c r="MBS16" s="7"/>
      <c r="MBT16" s="7"/>
      <c r="MBU16" s="7"/>
      <c r="MBV16" s="7"/>
      <c r="MBW16" s="7"/>
      <c r="MBX16" s="7"/>
      <c r="MBY16" s="7"/>
      <c r="MBZ16" s="7"/>
      <c r="MCA16" s="7"/>
      <c r="MCB16" s="7"/>
      <c r="MCC16" s="7"/>
      <c r="MCD16" s="7"/>
      <c r="MCE16" s="7"/>
      <c r="MCF16" s="7"/>
      <c r="MCG16" s="7"/>
      <c r="MCH16" s="7"/>
      <c r="MCI16" s="7"/>
      <c r="MCJ16" s="7"/>
      <c r="MCK16" s="7"/>
      <c r="MCL16" s="7"/>
      <c r="MCM16" s="7"/>
      <c r="MCN16" s="7"/>
      <c r="MCO16" s="7"/>
      <c r="MCP16" s="7"/>
      <c r="MCQ16" s="7"/>
      <c r="MCR16" s="7"/>
      <c r="MCS16" s="7"/>
      <c r="MCT16" s="7"/>
      <c r="MCU16" s="7"/>
      <c r="MCV16" s="7"/>
      <c r="MCW16" s="7"/>
      <c r="MCX16" s="7"/>
      <c r="MCY16" s="7"/>
      <c r="MCZ16" s="7"/>
      <c r="MDA16" s="7"/>
      <c r="MDB16" s="7"/>
      <c r="MDC16" s="7"/>
      <c r="MDD16" s="7"/>
      <c r="MDE16" s="7"/>
      <c r="MDF16" s="7"/>
      <c r="MDG16" s="7"/>
      <c r="MDH16" s="7"/>
      <c r="MDI16" s="7"/>
      <c r="MDJ16" s="7"/>
      <c r="MDK16" s="7"/>
      <c r="MDL16" s="7"/>
      <c r="MDM16" s="7"/>
      <c r="MDN16" s="7"/>
      <c r="MDO16" s="7"/>
      <c r="MDP16" s="7"/>
      <c r="MDQ16" s="7"/>
      <c r="MDR16" s="7"/>
      <c r="MDS16" s="7"/>
      <c r="MDT16" s="7"/>
      <c r="MDU16" s="7"/>
      <c r="MDV16" s="7"/>
      <c r="MDW16" s="7"/>
      <c r="MDX16" s="7"/>
      <c r="MDY16" s="7"/>
      <c r="MDZ16" s="7"/>
      <c r="MEA16" s="7"/>
      <c r="MEB16" s="7"/>
      <c r="MEC16" s="7"/>
      <c r="MED16" s="7"/>
      <c r="MEE16" s="7"/>
      <c r="MEF16" s="7"/>
      <c r="MEG16" s="7"/>
      <c r="MEH16" s="7"/>
      <c r="MEI16" s="7"/>
      <c r="MEJ16" s="7"/>
      <c r="MEK16" s="7"/>
      <c r="MEL16" s="7"/>
      <c r="MEM16" s="7"/>
      <c r="MEN16" s="7"/>
      <c r="MEO16" s="7"/>
      <c r="MEP16" s="7"/>
      <c r="MEQ16" s="7"/>
      <c r="MER16" s="7"/>
      <c r="MES16" s="7"/>
      <c r="MET16" s="7"/>
      <c r="MEU16" s="7"/>
      <c r="MEV16" s="7"/>
      <c r="MEW16" s="7"/>
      <c r="MEX16" s="7"/>
      <c r="MEY16" s="7"/>
      <c r="MEZ16" s="7"/>
      <c r="MFA16" s="7"/>
      <c r="MFB16" s="7"/>
      <c r="MFC16" s="7"/>
      <c r="MFD16" s="7"/>
      <c r="MFE16" s="7"/>
      <c r="MFF16" s="7"/>
      <c r="MFG16" s="7"/>
      <c r="MFH16" s="7"/>
      <c r="MFI16" s="7"/>
      <c r="MFJ16" s="7"/>
      <c r="MFK16" s="7"/>
      <c r="MFL16" s="7"/>
      <c r="MFM16" s="7"/>
      <c r="MFN16" s="7"/>
      <c r="MFO16" s="7"/>
      <c r="MFP16" s="7"/>
      <c r="MFQ16" s="7"/>
      <c r="MFR16" s="7"/>
      <c r="MFS16" s="7"/>
      <c r="MFT16" s="7"/>
      <c r="MFU16" s="7"/>
      <c r="MFV16" s="7"/>
      <c r="MFW16" s="7"/>
      <c r="MFX16" s="7"/>
      <c r="MFY16" s="7"/>
      <c r="MFZ16" s="7"/>
      <c r="MGA16" s="7"/>
      <c r="MGB16" s="7"/>
      <c r="MGC16" s="7"/>
      <c r="MGD16" s="7"/>
      <c r="MGE16" s="7"/>
      <c r="MGF16" s="7"/>
      <c r="MGG16" s="7"/>
      <c r="MGH16" s="7"/>
      <c r="MGI16" s="7"/>
      <c r="MGJ16" s="7"/>
      <c r="MGK16" s="7"/>
      <c r="MGL16" s="7"/>
      <c r="MGM16" s="7"/>
      <c r="MGN16" s="7"/>
      <c r="MGO16" s="7"/>
      <c r="MGP16" s="7"/>
      <c r="MGQ16" s="7"/>
      <c r="MGR16" s="7"/>
      <c r="MGS16" s="7"/>
      <c r="MGT16" s="7"/>
      <c r="MGU16" s="7"/>
      <c r="MGV16" s="7"/>
      <c r="MGW16" s="7"/>
      <c r="MGX16" s="7"/>
      <c r="MGY16" s="7"/>
      <c r="MGZ16" s="7"/>
      <c r="MHA16" s="7"/>
      <c r="MHB16" s="7"/>
      <c r="MHC16" s="7"/>
      <c r="MHD16" s="7"/>
      <c r="MHE16" s="7"/>
      <c r="MHF16" s="7"/>
      <c r="MHG16" s="7"/>
      <c r="MHH16" s="7"/>
      <c r="MHI16" s="7"/>
      <c r="MHJ16" s="7"/>
      <c r="MHK16" s="7"/>
      <c r="MHL16" s="7"/>
      <c r="MHM16" s="7"/>
      <c r="MHN16" s="7"/>
      <c r="MHO16" s="7"/>
      <c r="MHP16" s="7"/>
      <c r="MHQ16" s="7"/>
      <c r="MHR16" s="7"/>
      <c r="MHS16" s="7"/>
      <c r="MHT16" s="7"/>
      <c r="MHU16" s="7"/>
      <c r="MHV16" s="7"/>
      <c r="MHW16" s="7"/>
      <c r="MHX16" s="7"/>
      <c r="MHY16" s="7"/>
      <c r="MHZ16" s="7"/>
      <c r="MIA16" s="7"/>
      <c r="MIB16" s="7"/>
      <c r="MIC16" s="7"/>
      <c r="MID16" s="7"/>
      <c r="MIE16" s="7"/>
      <c r="MIF16" s="7"/>
      <c r="MIG16" s="7"/>
      <c r="MIH16" s="7"/>
      <c r="MII16" s="7"/>
      <c r="MIJ16" s="7"/>
      <c r="MIK16" s="7"/>
      <c r="MIL16" s="7"/>
      <c r="MIM16" s="7"/>
      <c r="MIN16" s="7"/>
      <c r="MIO16" s="7"/>
      <c r="MIP16" s="7"/>
      <c r="MIQ16" s="7"/>
      <c r="MIR16" s="7"/>
      <c r="MIS16" s="7"/>
      <c r="MIT16" s="7"/>
      <c r="MIU16" s="7"/>
      <c r="MIV16" s="7"/>
      <c r="MIW16" s="7"/>
      <c r="MIX16" s="7"/>
      <c r="MIY16" s="7"/>
      <c r="MIZ16" s="7"/>
      <c r="MJA16" s="7"/>
      <c r="MJB16" s="7"/>
      <c r="MJC16" s="7"/>
      <c r="MJD16" s="7"/>
      <c r="MJE16" s="7"/>
      <c r="MJF16" s="7"/>
      <c r="MJG16" s="7"/>
      <c r="MJH16" s="7"/>
      <c r="MJI16" s="7"/>
      <c r="MJJ16" s="7"/>
      <c r="MJK16" s="7"/>
      <c r="MJL16" s="7"/>
      <c r="MJM16" s="7"/>
      <c r="MJN16" s="7"/>
      <c r="MJO16" s="7"/>
      <c r="MJP16" s="7"/>
      <c r="MJQ16" s="7"/>
      <c r="MJR16" s="7"/>
      <c r="MJS16" s="7"/>
      <c r="MJT16" s="7"/>
      <c r="MJU16" s="7"/>
      <c r="MJV16" s="7"/>
      <c r="MJW16" s="7"/>
      <c r="MJX16" s="7"/>
      <c r="MJY16" s="7"/>
      <c r="MJZ16" s="7"/>
      <c r="MKA16" s="7"/>
      <c r="MKB16" s="7"/>
      <c r="MKC16" s="7"/>
      <c r="MKD16" s="7"/>
      <c r="MKE16" s="7"/>
      <c r="MKF16" s="7"/>
      <c r="MKG16" s="7"/>
      <c r="MKH16" s="7"/>
      <c r="MKI16" s="7"/>
      <c r="MKJ16" s="7"/>
      <c r="MKK16" s="7"/>
      <c r="MKL16" s="7"/>
      <c r="MKM16" s="7"/>
      <c r="MKN16" s="7"/>
      <c r="MKO16" s="7"/>
      <c r="MKP16" s="7"/>
      <c r="MKQ16" s="7"/>
      <c r="MKR16" s="7"/>
      <c r="MKS16" s="7"/>
      <c r="MKT16" s="7"/>
      <c r="MKU16" s="7"/>
      <c r="MKV16" s="7"/>
      <c r="MKW16" s="7"/>
      <c r="MKX16" s="7"/>
      <c r="MKY16" s="7"/>
      <c r="MKZ16" s="7"/>
      <c r="MLA16" s="7"/>
      <c r="MLB16" s="7"/>
      <c r="MLC16" s="7"/>
      <c r="MLD16" s="7"/>
      <c r="MLE16" s="7"/>
      <c r="MLF16" s="7"/>
      <c r="MLG16" s="7"/>
      <c r="MLH16" s="7"/>
      <c r="MLI16" s="7"/>
      <c r="MLJ16" s="7"/>
      <c r="MLK16" s="7"/>
      <c r="MLL16" s="7"/>
      <c r="MLM16" s="7"/>
      <c r="MLN16" s="7"/>
      <c r="MLO16" s="7"/>
      <c r="MLP16" s="7"/>
      <c r="MLQ16" s="7"/>
      <c r="MLR16" s="7"/>
      <c r="MLS16" s="7"/>
      <c r="MLT16" s="7"/>
      <c r="MLU16" s="7"/>
      <c r="MLV16" s="7"/>
      <c r="MLW16" s="7"/>
      <c r="MLX16" s="7"/>
      <c r="MLY16" s="7"/>
      <c r="MLZ16" s="7"/>
      <c r="MMA16" s="7"/>
      <c r="MMB16" s="7"/>
      <c r="MMC16" s="7"/>
      <c r="MMD16" s="7"/>
      <c r="MME16" s="7"/>
      <c r="MMF16" s="7"/>
      <c r="MMG16" s="7"/>
      <c r="MMH16" s="7"/>
      <c r="MMI16" s="7"/>
      <c r="MMJ16" s="7"/>
      <c r="MMK16" s="7"/>
      <c r="MML16" s="7"/>
      <c r="MMM16" s="7"/>
      <c r="MMN16" s="7"/>
      <c r="MMO16" s="7"/>
      <c r="MMP16" s="7"/>
      <c r="MMQ16" s="7"/>
      <c r="MMR16" s="7"/>
      <c r="MMS16" s="7"/>
      <c r="MMT16" s="7"/>
      <c r="MMU16" s="7"/>
      <c r="MMV16" s="7"/>
      <c r="MMW16" s="7"/>
      <c r="MMX16" s="7"/>
      <c r="MMY16" s="7"/>
      <c r="MMZ16" s="7"/>
      <c r="MNA16" s="7"/>
      <c r="MNB16" s="7"/>
      <c r="MNC16" s="7"/>
      <c r="MND16" s="7"/>
      <c r="MNE16" s="7"/>
      <c r="MNF16" s="7"/>
      <c r="MNG16" s="7"/>
      <c r="MNH16" s="7"/>
      <c r="MNI16" s="7"/>
      <c r="MNJ16" s="7"/>
      <c r="MNK16" s="7"/>
      <c r="MNL16" s="7"/>
      <c r="MNM16" s="7"/>
      <c r="MNN16" s="7"/>
      <c r="MNO16" s="7"/>
      <c r="MNP16" s="7"/>
      <c r="MNQ16" s="7"/>
      <c r="MNR16" s="7"/>
      <c r="MNS16" s="7"/>
      <c r="MNT16" s="7"/>
      <c r="MNU16" s="7"/>
      <c r="MNV16" s="7"/>
      <c r="MNW16" s="7"/>
      <c r="MNX16" s="7"/>
      <c r="MNY16" s="7"/>
      <c r="MNZ16" s="7"/>
      <c r="MOA16" s="7"/>
      <c r="MOB16" s="7"/>
      <c r="MOC16" s="7"/>
      <c r="MOD16" s="7"/>
      <c r="MOE16" s="7"/>
      <c r="MOF16" s="7"/>
      <c r="MOG16" s="7"/>
      <c r="MOH16" s="7"/>
      <c r="MOI16" s="7"/>
      <c r="MOJ16" s="7"/>
      <c r="MOK16" s="7"/>
      <c r="MOL16" s="7"/>
      <c r="MOM16" s="7"/>
      <c r="MON16" s="7"/>
      <c r="MOO16" s="7"/>
      <c r="MOP16" s="7"/>
      <c r="MOQ16" s="7"/>
      <c r="MOR16" s="7"/>
      <c r="MOS16" s="7"/>
      <c r="MOT16" s="7"/>
      <c r="MOU16" s="7"/>
      <c r="MOV16" s="7"/>
      <c r="MOW16" s="7"/>
      <c r="MOX16" s="7"/>
      <c r="MOY16" s="7"/>
      <c r="MOZ16" s="7"/>
      <c r="MPA16" s="7"/>
      <c r="MPB16" s="7"/>
      <c r="MPC16" s="7"/>
      <c r="MPD16" s="7"/>
      <c r="MPE16" s="7"/>
      <c r="MPF16" s="7"/>
      <c r="MPG16" s="7"/>
      <c r="MPH16" s="7"/>
      <c r="MPI16" s="7"/>
      <c r="MPJ16" s="7"/>
      <c r="MPK16" s="7"/>
      <c r="MPL16" s="7"/>
      <c r="MPM16" s="7"/>
      <c r="MPN16" s="7"/>
      <c r="MPO16" s="7"/>
      <c r="MPP16" s="7"/>
      <c r="MPQ16" s="7"/>
      <c r="MPR16" s="7"/>
      <c r="MPS16" s="7"/>
      <c r="MPT16" s="7"/>
      <c r="MPU16" s="7"/>
      <c r="MPV16" s="7"/>
      <c r="MPW16" s="7"/>
      <c r="MPX16" s="7"/>
      <c r="MPY16" s="7"/>
      <c r="MPZ16" s="7"/>
      <c r="MQA16" s="7"/>
      <c r="MQB16" s="7"/>
      <c r="MQC16" s="7"/>
      <c r="MQD16" s="7"/>
      <c r="MQE16" s="7"/>
      <c r="MQF16" s="7"/>
      <c r="MQG16" s="7"/>
      <c r="MQH16" s="7"/>
      <c r="MQI16" s="7"/>
      <c r="MQJ16" s="7"/>
      <c r="MQK16" s="7"/>
      <c r="MQL16" s="7"/>
      <c r="MQM16" s="7"/>
      <c r="MQN16" s="7"/>
      <c r="MQO16" s="7"/>
      <c r="MQP16" s="7"/>
      <c r="MQQ16" s="7"/>
      <c r="MQR16" s="7"/>
      <c r="MQS16" s="7"/>
      <c r="MQT16" s="7"/>
      <c r="MQU16" s="7"/>
      <c r="MQV16" s="7"/>
      <c r="MQW16" s="7"/>
      <c r="MQX16" s="7"/>
      <c r="MQY16" s="7"/>
      <c r="MQZ16" s="7"/>
      <c r="MRA16" s="7"/>
      <c r="MRB16" s="7"/>
      <c r="MRC16" s="7"/>
      <c r="MRD16" s="7"/>
      <c r="MRE16" s="7"/>
      <c r="MRF16" s="7"/>
      <c r="MRG16" s="7"/>
      <c r="MRH16" s="7"/>
      <c r="MRI16" s="7"/>
      <c r="MRJ16" s="7"/>
      <c r="MRK16" s="7"/>
      <c r="MRL16" s="7"/>
      <c r="MRM16" s="7"/>
      <c r="MRN16" s="7"/>
      <c r="MRO16" s="7"/>
      <c r="MRP16" s="7"/>
      <c r="MRQ16" s="7"/>
      <c r="MRR16" s="7"/>
      <c r="MRS16" s="7"/>
      <c r="MRT16" s="7"/>
      <c r="MRU16" s="7"/>
      <c r="MRV16" s="7"/>
      <c r="MRW16" s="7"/>
      <c r="MRX16" s="7"/>
      <c r="MRY16" s="7"/>
      <c r="MRZ16" s="7"/>
      <c r="MSA16" s="7"/>
      <c r="MSB16" s="7"/>
      <c r="MSC16" s="7"/>
      <c r="MSD16" s="7"/>
      <c r="MSE16" s="7"/>
      <c r="MSF16" s="7"/>
      <c r="MSG16" s="7"/>
      <c r="MSH16" s="7"/>
      <c r="MSI16" s="7"/>
      <c r="MSJ16" s="7"/>
      <c r="MSK16" s="7"/>
      <c r="MSL16" s="7"/>
      <c r="MSM16" s="7"/>
      <c r="MSN16" s="7"/>
      <c r="MSO16" s="7"/>
      <c r="MSP16" s="7"/>
      <c r="MSQ16" s="7"/>
      <c r="MSR16" s="7"/>
      <c r="MSS16" s="7"/>
      <c r="MST16" s="7"/>
      <c r="MSU16" s="7"/>
      <c r="MSV16" s="7"/>
      <c r="MSW16" s="7"/>
      <c r="MSX16" s="7"/>
      <c r="MSY16" s="7"/>
      <c r="MSZ16" s="7"/>
      <c r="MTA16" s="7"/>
      <c r="MTB16" s="7"/>
      <c r="MTC16" s="7"/>
      <c r="MTD16" s="7"/>
      <c r="MTE16" s="7"/>
      <c r="MTF16" s="7"/>
      <c r="MTG16" s="7"/>
      <c r="MTH16" s="7"/>
      <c r="MTI16" s="7"/>
      <c r="MTJ16" s="7"/>
      <c r="MTK16" s="7"/>
      <c r="MTL16" s="7"/>
      <c r="MTM16" s="7"/>
      <c r="MTN16" s="7"/>
      <c r="MTO16" s="7"/>
      <c r="MTP16" s="7"/>
      <c r="MTQ16" s="7"/>
      <c r="MTR16" s="7"/>
      <c r="MTS16" s="7"/>
      <c r="MTT16" s="7"/>
      <c r="MTU16" s="7"/>
      <c r="MTV16" s="7"/>
      <c r="MTW16" s="7"/>
      <c r="MTX16" s="7"/>
      <c r="MTY16" s="7"/>
      <c r="MTZ16" s="7"/>
      <c r="MUA16" s="7"/>
      <c r="MUB16" s="7"/>
      <c r="MUC16" s="7"/>
      <c r="MUD16" s="7"/>
      <c r="MUE16" s="7"/>
      <c r="MUF16" s="7"/>
      <c r="MUG16" s="7"/>
      <c r="MUH16" s="7"/>
      <c r="MUI16" s="7"/>
      <c r="MUJ16" s="7"/>
      <c r="MUK16" s="7"/>
      <c r="MUL16" s="7"/>
      <c r="MUM16" s="7"/>
      <c r="MUN16" s="7"/>
      <c r="MUO16" s="7"/>
      <c r="MUP16" s="7"/>
      <c r="MUQ16" s="7"/>
      <c r="MUR16" s="7"/>
      <c r="MUS16" s="7"/>
      <c r="MUT16" s="7"/>
      <c r="MUU16" s="7"/>
      <c r="MUV16" s="7"/>
      <c r="MUW16" s="7"/>
      <c r="MUX16" s="7"/>
      <c r="MUY16" s="7"/>
      <c r="MUZ16" s="7"/>
      <c r="MVA16" s="7"/>
      <c r="MVB16" s="7"/>
      <c r="MVC16" s="7"/>
      <c r="MVD16" s="7"/>
      <c r="MVE16" s="7"/>
      <c r="MVF16" s="7"/>
      <c r="MVG16" s="7"/>
      <c r="MVH16" s="7"/>
      <c r="MVI16" s="7"/>
      <c r="MVJ16" s="7"/>
      <c r="MVK16" s="7"/>
      <c r="MVL16" s="7"/>
      <c r="MVM16" s="7"/>
      <c r="MVN16" s="7"/>
      <c r="MVO16" s="7"/>
      <c r="MVP16" s="7"/>
      <c r="MVQ16" s="7"/>
      <c r="MVR16" s="7"/>
      <c r="MVS16" s="7"/>
      <c r="MVT16" s="7"/>
      <c r="MVU16" s="7"/>
      <c r="MVV16" s="7"/>
      <c r="MVW16" s="7"/>
      <c r="MVX16" s="7"/>
      <c r="MVY16" s="7"/>
      <c r="MVZ16" s="7"/>
      <c r="MWA16" s="7"/>
      <c r="MWB16" s="7"/>
      <c r="MWC16" s="7"/>
      <c r="MWD16" s="7"/>
      <c r="MWE16" s="7"/>
      <c r="MWF16" s="7"/>
      <c r="MWG16" s="7"/>
      <c r="MWH16" s="7"/>
      <c r="MWI16" s="7"/>
      <c r="MWJ16" s="7"/>
      <c r="MWK16" s="7"/>
      <c r="MWL16" s="7"/>
      <c r="MWM16" s="7"/>
      <c r="MWN16" s="7"/>
      <c r="MWO16" s="7"/>
      <c r="MWP16" s="7"/>
      <c r="MWQ16" s="7"/>
      <c r="MWR16" s="7"/>
      <c r="MWS16" s="7"/>
      <c r="MWT16" s="7"/>
      <c r="MWU16" s="7"/>
      <c r="MWV16" s="7"/>
      <c r="MWW16" s="7"/>
      <c r="MWX16" s="7"/>
      <c r="MWY16" s="7"/>
      <c r="MWZ16" s="7"/>
      <c r="MXA16" s="7"/>
      <c r="MXB16" s="7"/>
      <c r="MXC16" s="7"/>
      <c r="MXD16" s="7"/>
      <c r="MXE16" s="7"/>
      <c r="MXF16" s="7"/>
      <c r="MXG16" s="7"/>
      <c r="MXH16" s="7"/>
      <c r="MXI16" s="7"/>
      <c r="MXJ16" s="7"/>
      <c r="MXK16" s="7"/>
      <c r="MXL16" s="7"/>
      <c r="MXM16" s="7"/>
      <c r="MXN16" s="7"/>
      <c r="MXO16" s="7"/>
      <c r="MXP16" s="7"/>
      <c r="MXQ16" s="7"/>
      <c r="MXR16" s="7"/>
      <c r="MXS16" s="7"/>
      <c r="MXT16" s="7"/>
      <c r="MXU16" s="7"/>
      <c r="MXV16" s="7"/>
      <c r="MXW16" s="7"/>
      <c r="MXX16" s="7"/>
      <c r="MXY16" s="7"/>
      <c r="MXZ16" s="7"/>
      <c r="MYA16" s="7"/>
      <c r="MYB16" s="7"/>
      <c r="MYC16" s="7"/>
      <c r="MYD16" s="7"/>
      <c r="MYE16" s="7"/>
      <c r="MYF16" s="7"/>
      <c r="MYG16" s="7"/>
      <c r="MYH16" s="7"/>
      <c r="MYI16" s="7"/>
      <c r="MYJ16" s="7"/>
      <c r="MYK16" s="7"/>
      <c r="MYL16" s="7"/>
      <c r="MYM16" s="7"/>
      <c r="MYN16" s="7"/>
      <c r="MYO16" s="7"/>
      <c r="MYP16" s="7"/>
      <c r="MYQ16" s="7"/>
      <c r="MYR16" s="7"/>
      <c r="MYS16" s="7"/>
      <c r="MYT16" s="7"/>
      <c r="MYU16" s="7"/>
      <c r="MYV16" s="7"/>
      <c r="MYW16" s="7"/>
      <c r="MYX16" s="7"/>
      <c r="MYY16" s="7"/>
      <c r="MYZ16" s="7"/>
      <c r="MZA16" s="7"/>
      <c r="MZB16" s="7"/>
      <c r="MZC16" s="7"/>
      <c r="MZD16" s="7"/>
      <c r="MZE16" s="7"/>
      <c r="MZF16" s="7"/>
      <c r="MZG16" s="7"/>
      <c r="MZH16" s="7"/>
      <c r="MZI16" s="7"/>
      <c r="MZJ16" s="7"/>
      <c r="MZK16" s="7"/>
      <c r="MZL16" s="7"/>
      <c r="MZM16" s="7"/>
      <c r="MZN16" s="7"/>
      <c r="MZO16" s="7"/>
      <c r="MZP16" s="7"/>
      <c r="MZQ16" s="7"/>
      <c r="MZR16" s="7"/>
      <c r="MZS16" s="7"/>
      <c r="MZT16" s="7"/>
      <c r="MZU16" s="7"/>
      <c r="MZV16" s="7"/>
      <c r="MZW16" s="7"/>
      <c r="MZX16" s="7"/>
      <c r="MZY16" s="7"/>
      <c r="MZZ16" s="7"/>
      <c r="NAA16" s="7"/>
      <c r="NAB16" s="7"/>
      <c r="NAC16" s="7"/>
      <c r="NAD16" s="7"/>
      <c r="NAE16" s="7"/>
      <c r="NAF16" s="7"/>
      <c r="NAG16" s="7"/>
      <c r="NAH16" s="7"/>
      <c r="NAI16" s="7"/>
      <c r="NAJ16" s="7"/>
      <c r="NAK16" s="7"/>
      <c r="NAL16" s="7"/>
      <c r="NAM16" s="7"/>
      <c r="NAN16" s="7"/>
      <c r="NAO16" s="7"/>
      <c r="NAP16" s="7"/>
      <c r="NAQ16" s="7"/>
      <c r="NAR16" s="7"/>
      <c r="NAS16" s="7"/>
      <c r="NAT16" s="7"/>
      <c r="NAU16" s="7"/>
      <c r="NAV16" s="7"/>
      <c r="NAW16" s="7"/>
      <c r="NAX16" s="7"/>
      <c r="NAY16" s="7"/>
      <c r="NAZ16" s="7"/>
      <c r="NBA16" s="7"/>
      <c r="NBB16" s="7"/>
      <c r="NBC16" s="7"/>
      <c r="NBD16" s="7"/>
      <c r="NBE16" s="7"/>
      <c r="NBF16" s="7"/>
      <c r="NBG16" s="7"/>
      <c r="NBH16" s="7"/>
      <c r="NBI16" s="7"/>
      <c r="NBJ16" s="7"/>
      <c r="NBK16" s="7"/>
      <c r="NBL16" s="7"/>
      <c r="NBM16" s="7"/>
      <c r="NBN16" s="7"/>
      <c r="NBO16" s="7"/>
      <c r="NBP16" s="7"/>
      <c r="NBQ16" s="7"/>
      <c r="NBR16" s="7"/>
      <c r="NBS16" s="7"/>
      <c r="NBT16" s="7"/>
      <c r="NBU16" s="7"/>
      <c r="NBV16" s="7"/>
      <c r="NBW16" s="7"/>
      <c r="NBX16" s="7"/>
      <c r="NBY16" s="7"/>
      <c r="NBZ16" s="7"/>
      <c r="NCA16" s="7"/>
      <c r="NCB16" s="7"/>
      <c r="NCC16" s="7"/>
      <c r="NCD16" s="7"/>
      <c r="NCE16" s="7"/>
      <c r="NCF16" s="7"/>
      <c r="NCG16" s="7"/>
      <c r="NCH16" s="7"/>
      <c r="NCI16" s="7"/>
      <c r="NCJ16" s="7"/>
      <c r="NCK16" s="7"/>
      <c r="NCL16" s="7"/>
      <c r="NCM16" s="7"/>
      <c r="NCN16" s="7"/>
      <c r="NCO16" s="7"/>
      <c r="NCP16" s="7"/>
      <c r="NCQ16" s="7"/>
      <c r="NCR16" s="7"/>
      <c r="NCS16" s="7"/>
      <c r="NCT16" s="7"/>
      <c r="NCU16" s="7"/>
      <c r="NCV16" s="7"/>
      <c r="NCW16" s="7"/>
      <c r="NCX16" s="7"/>
      <c r="NCY16" s="7"/>
      <c r="NCZ16" s="7"/>
      <c r="NDA16" s="7"/>
      <c r="NDB16" s="7"/>
      <c r="NDC16" s="7"/>
      <c r="NDD16" s="7"/>
      <c r="NDE16" s="7"/>
      <c r="NDF16" s="7"/>
      <c r="NDG16" s="7"/>
      <c r="NDH16" s="7"/>
      <c r="NDI16" s="7"/>
      <c r="NDJ16" s="7"/>
      <c r="NDK16" s="7"/>
      <c r="NDL16" s="7"/>
      <c r="NDM16" s="7"/>
      <c r="NDN16" s="7"/>
      <c r="NDO16" s="7"/>
      <c r="NDP16" s="7"/>
      <c r="NDQ16" s="7"/>
      <c r="NDR16" s="7"/>
      <c r="NDS16" s="7"/>
      <c r="NDT16" s="7"/>
      <c r="NDU16" s="7"/>
      <c r="NDV16" s="7"/>
      <c r="NDW16" s="7"/>
      <c r="NDX16" s="7"/>
      <c r="NDY16" s="7"/>
      <c r="NDZ16" s="7"/>
      <c r="NEA16" s="7"/>
      <c r="NEB16" s="7"/>
      <c r="NEC16" s="7"/>
      <c r="NED16" s="7"/>
      <c r="NEE16" s="7"/>
      <c r="NEF16" s="7"/>
      <c r="NEG16" s="7"/>
      <c r="NEH16" s="7"/>
      <c r="NEI16" s="7"/>
      <c r="NEJ16" s="7"/>
      <c r="NEK16" s="7"/>
      <c r="NEL16" s="7"/>
      <c r="NEM16" s="7"/>
      <c r="NEN16" s="7"/>
      <c r="NEO16" s="7"/>
      <c r="NEP16" s="7"/>
      <c r="NEQ16" s="7"/>
      <c r="NER16" s="7"/>
      <c r="NES16" s="7"/>
      <c r="NET16" s="7"/>
      <c r="NEU16" s="7"/>
      <c r="NEV16" s="7"/>
      <c r="NEW16" s="7"/>
      <c r="NEX16" s="7"/>
      <c r="NEY16" s="7"/>
      <c r="NEZ16" s="7"/>
      <c r="NFA16" s="7"/>
      <c r="NFB16" s="7"/>
      <c r="NFC16" s="7"/>
      <c r="NFD16" s="7"/>
      <c r="NFE16" s="7"/>
      <c r="NFF16" s="7"/>
      <c r="NFG16" s="7"/>
      <c r="NFH16" s="7"/>
      <c r="NFI16" s="7"/>
      <c r="NFJ16" s="7"/>
      <c r="NFK16" s="7"/>
      <c r="NFL16" s="7"/>
      <c r="NFM16" s="7"/>
      <c r="NFN16" s="7"/>
      <c r="NFO16" s="7"/>
      <c r="NFP16" s="7"/>
      <c r="NFQ16" s="7"/>
      <c r="NFR16" s="7"/>
      <c r="NFS16" s="7"/>
      <c r="NFT16" s="7"/>
      <c r="NFU16" s="7"/>
      <c r="NFV16" s="7"/>
      <c r="NFW16" s="7"/>
      <c r="NFX16" s="7"/>
      <c r="NFY16" s="7"/>
      <c r="NFZ16" s="7"/>
      <c r="NGA16" s="7"/>
      <c r="NGB16" s="7"/>
      <c r="NGC16" s="7"/>
      <c r="NGD16" s="7"/>
      <c r="NGE16" s="7"/>
      <c r="NGF16" s="7"/>
      <c r="NGG16" s="7"/>
      <c r="NGH16" s="7"/>
      <c r="NGI16" s="7"/>
      <c r="NGJ16" s="7"/>
      <c r="NGK16" s="7"/>
      <c r="NGL16" s="7"/>
      <c r="NGM16" s="7"/>
      <c r="NGN16" s="7"/>
      <c r="NGO16" s="7"/>
      <c r="NGP16" s="7"/>
      <c r="NGQ16" s="7"/>
      <c r="NGR16" s="7"/>
      <c r="NGS16" s="7"/>
      <c r="NGT16" s="7"/>
      <c r="NGU16" s="7"/>
      <c r="NGV16" s="7"/>
      <c r="NGW16" s="7"/>
      <c r="NGX16" s="7"/>
      <c r="NGY16" s="7"/>
      <c r="NGZ16" s="7"/>
      <c r="NHA16" s="7"/>
      <c r="NHB16" s="7"/>
      <c r="NHC16" s="7"/>
      <c r="NHD16" s="7"/>
      <c r="NHE16" s="7"/>
      <c r="NHF16" s="7"/>
      <c r="NHG16" s="7"/>
      <c r="NHH16" s="7"/>
      <c r="NHI16" s="7"/>
      <c r="NHJ16" s="7"/>
      <c r="NHK16" s="7"/>
      <c r="NHL16" s="7"/>
      <c r="NHM16" s="7"/>
      <c r="NHN16" s="7"/>
      <c r="NHO16" s="7"/>
      <c r="NHP16" s="7"/>
      <c r="NHQ16" s="7"/>
      <c r="NHR16" s="7"/>
      <c r="NHS16" s="7"/>
      <c r="NHT16" s="7"/>
      <c r="NHU16" s="7"/>
      <c r="NHV16" s="7"/>
      <c r="NHW16" s="7"/>
      <c r="NHX16" s="7"/>
      <c r="NHY16" s="7"/>
      <c r="NHZ16" s="7"/>
      <c r="NIA16" s="7"/>
      <c r="NIB16" s="7"/>
      <c r="NIC16" s="7"/>
      <c r="NID16" s="7"/>
      <c r="NIE16" s="7"/>
      <c r="NIF16" s="7"/>
      <c r="NIG16" s="7"/>
      <c r="NIH16" s="7"/>
      <c r="NII16" s="7"/>
      <c r="NIJ16" s="7"/>
      <c r="NIK16" s="7"/>
      <c r="NIL16" s="7"/>
      <c r="NIM16" s="7"/>
      <c r="NIN16" s="7"/>
      <c r="NIO16" s="7"/>
      <c r="NIP16" s="7"/>
      <c r="NIQ16" s="7"/>
      <c r="NIR16" s="7"/>
      <c r="NIS16" s="7"/>
      <c r="NIT16" s="7"/>
      <c r="NIU16" s="7"/>
      <c r="NIV16" s="7"/>
      <c r="NIW16" s="7"/>
      <c r="NIX16" s="7"/>
      <c r="NIY16" s="7"/>
      <c r="NIZ16" s="7"/>
      <c r="NJA16" s="7"/>
      <c r="NJB16" s="7"/>
      <c r="NJC16" s="7"/>
      <c r="NJD16" s="7"/>
      <c r="NJE16" s="7"/>
      <c r="NJF16" s="7"/>
      <c r="NJG16" s="7"/>
      <c r="NJH16" s="7"/>
      <c r="NJI16" s="7"/>
      <c r="NJJ16" s="7"/>
      <c r="NJK16" s="7"/>
      <c r="NJL16" s="7"/>
      <c r="NJM16" s="7"/>
      <c r="NJN16" s="7"/>
      <c r="NJO16" s="7"/>
      <c r="NJP16" s="7"/>
      <c r="NJQ16" s="7"/>
      <c r="NJR16" s="7"/>
      <c r="NJS16" s="7"/>
      <c r="NJT16" s="7"/>
      <c r="NJU16" s="7"/>
      <c r="NJV16" s="7"/>
      <c r="NJW16" s="7"/>
      <c r="NJX16" s="7"/>
      <c r="NJY16" s="7"/>
      <c r="NJZ16" s="7"/>
      <c r="NKA16" s="7"/>
      <c r="NKB16" s="7"/>
      <c r="NKC16" s="7"/>
      <c r="NKD16" s="7"/>
      <c r="NKE16" s="7"/>
      <c r="NKF16" s="7"/>
      <c r="NKG16" s="7"/>
      <c r="NKH16" s="7"/>
      <c r="NKI16" s="7"/>
      <c r="NKJ16" s="7"/>
      <c r="NKK16" s="7"/>
      <c r="NKL16" s="7"/>
      <c r="NKM16" s="7"/>
      <c r="NKN16" s="7"/>
      <c r="NKO16" s="7"/>
      <c r="NKP16" s="7"/>
      <c r="NKQ16" s="7"/>
      <c r="NKR16" s="7"/>
      <c r="NKS16" s="7"/>
      <c r="NKT16" s="7"/>
      <c r="NKU16" s="7"/>
      <c r="NKV16" s="7"/>
      <c r="NKW16" s="7"/>
      <c r="NKX16" s="7"/>
      <c r="NKY16" s="7"/>
      <c r="NKZ16" s="7"/>
      <c r="NLA16" s="7"/>
      <c r="NLB16" s="7"/>
      <c r="NLC16" s="7"/>
      <c r="NLD16" s="7"/>
      <c r="NLE16" s="7"/>
      <c r="NLF16" s="7"/>
      <c r="NLG16" s="7"/>
      <c r="NLH16" s="7"/>
      <c r="NLI16" s="7"/>
      <c r="NLJ16" s="7"/>
      <c r="NLK16" s="7"/>
      <c r="NLL16" s="7"/>
      <c r="NLM16" s="7"/>
      <c r="NLN16" s="7"/>
      <c r="NLO16" s="7"/>
      <c r="NLP16" s="7"/>
      <c r="NLQ16" s="7"/>
      <c r="NLR16" s="7"/>
      <c r="NLS16" s="7"/>
      <c r="NLT16" s="7"/>
      <c r="NLU16" s="7"/>
      <c r="NLV16" s="7"/>
      <c r="NLW16" s="7"/>
      <c r="NLX16" s="7"/>
      <c r="NLY16" s="7"/>
      <c r="NLZ16" s="7"/>
      <c r="NMA16" s="7"/>
      <c r="NMB16" s="7"/>
      <c r="NMC16" s="7"/>
      <c r="NMD16" s="7"/>
      <c r="NME16" s="7"/>
      <c r="NMF16" s="7"/>
      <c r="NMG16" s="7"/>
      <c r="NMH16" s="7"/>
      <c r="NMI16" s="7"/>
      <c r="NMJ16" s="7"/>
      <c r="NMK16" s="7"/>
      <c r="NML16" s="7"/>
      <c r="NMM16" s="7"/>
      <c r="NMN16" s="7"/>
      <c r="NMO16" s="7"/>
      <c r="NMP16" s="7"/>
      <c r="NMQ16" s="7"/>
      <c r="NMR16" s="7"/>
      <c r="NMS16" s="7"/>
      <c r="NMT16" s="7"/>
      <c r="NMU16" s="7"/>
      <c r="NMV16" s="7"/>
      <c r="NMW16" s="7"/>
      <c r="NMX16" s="7"/>
      <c r="NMY16" s="7"/>
      <c r="NMZ16" s="7"/>
      <c r="NNA16" s="7"/>
      <c r="NNB16" s="7"/>
      <c r="NNC16" s="7"/>
      <c r="NND16" s="7"/>
      <c r="NNE16" s="7"/>
      <c r="NNF16" s="7"/>
      <c r="NNG16" s="7"/>
      <c r="NNH16" s="7"/>
      <c r="NNI16" s="7"/>
      <c r="NNJ16" s="7"/>
      <c r="NNK16" s="7"/>
      <c r="NNL16" s="7"/>
      <c r="NNM16" s="7"/>
      <c r="NNN16" s="7"/>
      <c r="NNO16" s="7"/>
      <c r="NNP16" s="7"/>
      <c r="NNQ16" s="7"/>
      <c r="NNR16" s="7"/>
      <c r="NNS16" s="7"/>
      <c r="NNT16" s="7"/>
      <c r="NNU16" s="7"/>
      <c r="NNV16" s="7"/>
      <c r="NNW16" s="7"/>
      <c r="NNX16" s="7"/>
      <c r="NNY16" s="7"/>
      <c r="NNZ16" s="7"/>
      <c r="NOA16" s="7"/>
      <c r="NOB16" s="7"/>
      <c r="NOC16" s="7"/>
      <c r="NOD16" s="7"/>
      <c r="NOE16" s="7"/>
      <c r="NOF16" s="7"/>
      <c r="NOG16" s="7"/>
      <c r="NOH16" s="7"/>
      <c r="NOI16" s="7"/>
      <c r="NOJ16" s="7"/>
      <c r="NOK16" s="7"/>
      <c r="NOL16" s="7"/>
      <c r="NOM16" s="7"/>
      <c r="NON16" s="7"/>
      <c r="NOO16" s="7"/>
      <c r="NOP16" s="7"/>
      <c r="NOQ16" s="7"/>
      <c r="NOR16" s="7"/>
      <c r="NOS16" s="7"/>
      <c r="NOT16" s="7"/>
      <c r="NOU16" s="7"/>
      <c r="NOV16" s="7"/>
      <c r="NOW16" s="7"/>
      <c r="NOX16" s="7"/>
      <c r="NOY16" s="7"/>
      <c r="NOZ16" s="7"/>
      <c r="NPA16" s="7"/>
      <c r="NPB16" s="7"/>
      <c r="NPC16" s="7"/>
      <c r="NPD16" s="7"/>
      <c r="NPE16" s="7"/>
      <c r="NPF16" s="7"/>
      <c r="NPG16" s="7"/>
      <c r="NPH16" s="7"/>
      <c r="NPI16" s="7"/>
      <c r="NPJ16" s="7"/>
      <c r="NPK16" s="7"/>
      <c r="NPL16" s="7"/>
      <c r="NPM16" s="7"/>
      <c r="NPN16" s="7"/>
      <c r="NPO16" s="7"/>
      <c r="NPP16" s="7"/>
      <c r="NPQ16" s="7"/>
      <c r="NPR16" s="7"/>
      <c r="NPS16" s="7"/>
      <c r="NPT16" s="7"/>
      <c r="NPU16" s="7"/>
      <c r="NPV16" s="7"/>
      <c r="NPW16" s="7"/>
      <c r="NPX16" s="7"/>
      <c r="NPY16" s="7"/>
      <c r="NPZ16" s="7"/>
      <c r="NQA16" s="7"/>
      <c r="NQB16" s="7"/>
      <c r="NQC16" s="7"/>
      <c r="NQD16" s="7"/>
      <c r="NQE16" s="7"/>
      <c r="NQF16" s="7"/>
      <c r="NQG16" s="7"/>
      <c r="NQH16" s="7"/>
      <c r="NQI16" s="7"/>
      <c r="NQJ16" s="7"/>
      <c r="NQK16" s="7"/>
      <c r="NQL16" s="7"/>
      <c r="NQM16" s="7"/>
      <c r="NQN16" s="7"/>
      <c r="NQO16" s="7"/>
      <c r="NQP16" s="7"/>
      <c r="NQQ16" s="7"/>
      <c r="NQR16" s="7"/>
      <c r="NQS16" s="7"/>
      <c r="NQT16" s="7"/>
      <c r="NQU16" s="7"/>
      <c r="NQV16" s="7"/>
      <c r="NQW16" s="7"/>
      <c r="NQX16" s="7"/>
      <c r="NQY16" s="7"/>
      <c r="NQZ16" s="7"/>
      <c r="NRA16" s="7"/>
      <c r="NRB16" s="7"/>
      <c r="NRC16" s="7"/>
      <c r="NRD16" s="7"/>
      <c r="NRE16" s="7"/>
      <c r="NRF16" s="7"/>
      <c r="NRG16" s="7"/>
      <c r="NRH16" s="7"/>
      <c r="NRI16" s="7"/>
      <c r="NRJ16" s="7"/>
      <c r="NRK16" s="7"/>
      <c r="NRL16" s="7"/>
      <c r="NRM16" s="7"/>
      <c r="NRN16" s="7"/>
      <c r="NRO16" s="7"/>
      <c r="NRP16" s="7"/>
      <c r="NRQ16" s="7"/>
      <c r="NRR16" s="7"/>
      <c r="NRS16" s="7"/>
      <c r="NRT16" s="7"/>
      <c r="NRU16" s="7"/>
      <c r="NRV16" s="7"/>
      <c r="NRW16" s="7"/>
      <c r="NRX16" s="7"/>
      <c r="NRY16" s="7"/>
      <c r="NRZ16" s="7"/>
      <c r="NSA16" s="7"/>
      <c r="NSB16" s="7"/>
      <c r="NSC16" s="7"/>
      <c r="NSD16" s="7"/>
      <c r="NSE16" s="7"/>
      <c r="NSF16" s="7"/>
      <c r="NSG16" s="7"/>
      <c r="NSH16" s="7"/>
      <c r="NSI16" s="7"/>
      <c r="NSJ16" s="7"/>
      <c r="NSK16" s="7"/>
      <c r="NSL16" s="7"/>
      <c r="NSM16" s="7"/>
      <c r="NSN16" s="7"/>
      <c r="NSO16" s="7"/>
      <c r="NSP16" s="7"/>
      <c r="NSQ16" s="7"/>
      <c r="NSR16" s="7"/>
      <c r="NSS16" s="7"/>
      <c r="NST16" s="7"/>
      <c r="NSU16" s="7"/>
      <c r="NSV16" s="7"/>
      <c r="NSW16" s="7"/>
      <c r="NSX16" s="7"/>
      <c r="NSY16" s="7"/>
      <c r="NSZ16" s="7"/>
      <c r="NTA16" s="7"/>
      <c r="NTB16" s="7"/>
      <c r="NTC16" s="7"/>
      <c r="NTD16" s="7"/>
      <c r="NTE16" s="7"/>
      <c r="NTF16" s="7"/>
      <c r="NTG16" s="7"/>
      <c r="NTH16" s="7"/>
      <c r="NTI16" s="7"/>
      <c r="NTJ16" s="7"/>
      <c r="NTK16" s="7"/>
      <c r="NTL16" s="7"/>
      <c r="NTM16" s="7"/>
      <c r="NTN16" s="7"/>
      <c r="NTO16" s="7"/>
      <c r="NTP16" s="7"/>
      <c r="NTQ16" s="7"/>
      <c r="NTR16" s="7"/>
      <c r="NTS16" s="7"/>
      <c r="NTT16" s="7"/>
      <c r="NTU16" s="7"/>
      <c r="NTV16" s="7"/>
      <c r="NTW16" s="7"/>
      <c r="NTX16" s="7"/>
      <c r="NTY16" s="7"/>
      <c r="NTZ16" s="7"/>
      <c r="NUA16" s="7"/>
      <c r="NUB16" s="7"/>
      <c r="NUC16" s="7"/>
      <c r="NUD16" s="7"/>
      <c r="NUE16" s="7"/>
      <c r="NUF16" s="7"/>
      <c r="NUG16" s="7"/>
      <c r="NUH16" s="7"/>
      <c r="NUI16" s="7"/>
      <c r="NUJ16" s="7"/>
      <c r="NUK16" s="7"/>
      <c r="NUL16" s="7"/>
      <c r="NUM16" s="7"/>
      <c r="NUN16" s="7"/>
      <c r="NUO16" s="7"/>
      <c r="NUP16" s="7"/>
      <c r="NUQ16" s="7"/>
      <c r="NUR16" s="7"/>
      <c r="NUS16" s="7"/>
      <c r="NUT16" s="7"/>
      <c r="NUU16" s="7"/>
      <c r="NUV16" s="7"/>
      <c r="NUW16" s="7"/>
      <c r="NUX16" s="7"/>
      <c r="NUY16" s="7"/>
      <c r="NUZ16" s="7"/>
      <c r="NVA16" s="7"/>
      <c r="NVB16" s="7"/>
      <c r="NVC16" s="7"/>
      <c r="NVD16" s="7"/>
      <c r="NVE16" s="7"/>
      <c r="NVF16" s="7"/>
      <c r="NVG16" s="7"/>
      <c r="NVH16" s="7"/>
      <c r="NVI16" s="7"/>
      <c r="NVJ16" s="7"/>
      <c r="NVK16" s="7"/>
      <c r="NVL16" s="7"/>
      <c r="NVM16" s="7"/>
      <c r="NVN16" s="7"/>
      <c r="NVO16" s="7"/>
      <c r="NVP16" s="7"/>
      <c r="NVQ16" s="7"/>
      <c r="NVR16" s="7"/>
      <c r="NVS16" s="7"/>
      <c r="NVT16" s="7"/>
      <c r="NVU16" s="7"/>
      <c r="NVV16" s="7"/>
      <c r="NVW16" s="7"/>
      <c r="NVX16" s="7"/>
      <c r="NVY16" s="7"/>
      <c r="NVZ16" s="7"/>
      <c r="NWA16" s="7"/>
      <c r="NWB16" s="7"/>
      <c r="NWC16" s="7"/>
      <c r="NWD16" s="7"/>
      <c r="NWE16" s="7"/>
      <c r="NWF16" s="7"/>
      <c r="NWG16" s="7"/>
      <c r="NWH16" s="7"/>
      <c r="NWI16" s="7"/>
      <c r="NWJ16" s="7"/>
      <c r="NWK16" s="7"/>
      <c r="NWL16" s="7"/>
      <c r="NWM16" s="7"/>
      <c r="NWN16" s="7"/>
      <c r="NWO16" s="7"/>
      <c r="NWP16" s="7"/>
      <c r="NWQ16" s="7"/>
      <c r="NWR16" s="7"/>
      <c r="NWS16" s="7"/>
      <c r="NWT16" s="7"/>
      <c r="NWU16" s="7"/>
      <c r="NWV16" s="7"/>
      <c r="NWW16" s="7"/>
      <c r="NWX16" s="7"/>
      <c r="NWY16" s="7"/>
      <c r="NWZ16" s="7"/>
      <c r="NXA16" s="7"/>
      <c r="NXB16" s="7"/>
      <c r="NXC16" s="7"/>
      <c r="NXD16" s="7"/>
      <c r="NXE16" s="7"/>
      <c r="NXF16" s="7"/>
      <c r="NXG16" s="7"/>
      <c r="NXH16" s="7"/>
      <c r="NXI16" s="7"/>
      <c r="NXJ16" s="7"/>
      <c r="NXK16" s="7"/>
      <c r="NXL16" s="7"/>
      <c r="NXM16" s="7"/>
      <c r="NXN16" s="7"/>
      <c r="NXO16" s="7"/>
      <c r="NXP16" s="7"/>
      <c r="NXQ16" s="7"/>
      <c r="NXR16" s="7"/>
      <c r="NXS16" s="7"/>
      <c r="NXT16" s="7"/>
      <c r="NXU16" s="7"/>
      <c r="NXV16" s="7"/>
      <c r="NXW16" s="7"/>
      <c r="NXX16" s="7"/>
      <c r="NXY16" s="7"/>
      <c r="NXZ16" s="7"/>
      <c r="NYA16" s="7"/>
      <c r="NYB16" s="7"/>
      <c r="NYC16" s="7"/>
      <c r="NYD16" s="7"/>
      <c r="NYE16" s="7"/>
      <c r="NYF16" s="7"/>
      <c r="NYG16" s="7"/>
      <c r="NYH16" s="7"/>
      <c r="NYI16" s="7"/>
      <c r="NYJ16" s="7"/>
      <c r="NYK16" s="7"/>
      <c r="NYL16" s="7"/>
      <c r="NYM16" s="7"/>
      <c r="NYN16" s="7"/>
      <c r="NYO16" s="7"/>
      <c r="NYP16" s="7"/>
      <c r="NYQ16" s="7"/>
      <c r="NYR16" s="7"/>
      <c r="NYS16" s="7"/>
      <c r="NYT16" s="7"/>
      <c r="NYU16" s="7"/>
      <c r="NYV16" s="7"/>
      <c r="NYW16" s="7"/>
      <c r="NYX16" s="7"/>
      <c r="NYY16" s="7"/>
      <c r="NYZ16" s="7"/>
      <c r="NZA16" s="7"/>
      <c r="NZB16" s="7"/>
      <c r="NZC16" s="7"/>
      <c r="NZD16" s="7"/>
      <c r="NZE16" s="7"/>
      <c r="NZF16" s="7"/>
      <c r="NZG16" s="7"/>
      <c r="NZH16" s="7"/>
      <c r="NZI16" s="7"/>
      <c r="NZJ16" s="7"/>
      <c r="NZK16" s="7"/>
      <c r="NZL16" s="7"/>
      <c r="NZM16" s="7"/>
      <c r="NZN16" s="7"/>
      <c r="NZO16" s="7"/>
      <c r="NZP16" s="7"/>
      <c r="NZQ16" s="7"/>
      <c r="NZR16" s="7"/>
      <c r="NZS16" s="7"/>
      <c r="NZT16" s="7"/>
      <c r="NZU16" s="7"/>
      <c r="NZV16" s="7"/>
      <c r="NZW16" s="7"/>
      <c r="NZX16" s="7"/>
      <c r="NZY16" s="7"/>
      <c r="NZZ16" s="7"/>
      <c r="OAA16" s="7"/>
      <c r="OAB16" s="7"/>
      <c r="OAC16" s="7"/>
      <c r="OAD16" s="7"/>
      <c r="OAE16" s="7"/>
      <c r="OAF16" s="7"/>
      <c r="OAG16" s="7"/>
      <c r="OAH16" s="7"/>
      <c r="OAI16" s="7"/>
      <c r="OAJ16" s="7"/>
      <c r="OAK16" s="7"/>
      <c r="OAL16" s="7"/>
      <c r="OAM16" s="7"/>
      <c r="OAN16" s="7"/>
      <c r="OAO16" s="7"/>
      <c r="OAP16" s="7"/>
      <c r="OAQ16" s="7"/>
      <c r="OAR16" s="7"/>
      <c r="OAS16" s="7"/>
      <c r="OAT16" s="7"/>
      <c r="OAU16" s="7"/>
      <c r="OAV16" s="7"/>
      <c r="OAW16" s="7"/>
      <c r="OAX16" s="7"/>
      <c r="OAY16" s="7"/>
      <c r="OAZ16" s="7"/>
      <c r="OBA16" s="7"/>
      <c r="OBB16" s="7"/>
      <c r="OBC16" s="7"/>
      <c r="OBD16" s="7"/>
      <c r="OBE16" s="7"/>
      <c r="OBF16" s="7"/>
      <c r="OBG16" s="7"/>
      <c r="OBH16" s="7"/>
      <c r="OBI16" s="7"/>
      <c r="OBJ16" s="7"/>
      <c r="OBK16" s="7"/>
      <c r="OBL16" s="7"/>
      <c r="OBM16" s="7"/>
      <c r="OBN16" s="7"/>
      <c r="OBO16" s="7"/>
      <c r="OBP16" s="7"/>
      <c r="OBQ16" s="7"/>
      <c r="OBR16" s="7"/>
      <c r="OBS16" s="7"/>
      <c r="OBT16" s="7"/>
      <c r="OBU16" s="7"/>
      <c r="OBV16" s="7"/>
      <c r="OBW16" s="7"/>
      <c r="OBX16" s="7"/>
      <c r="OBY16" s="7"/>
      <c r="OBZ16" s="7"/>
      <c r="OCA16" s="7"/>
      <c r="OCB16" s="7"/>
      <c r="OCC16" s="7"/>
      <c r="OCD16" s="7"/>
      <c r="OCE16" s="7"/>
      <c r="OCF16" s="7"/>
      <c r="OCG16" s="7"/>
      <c r="OCH16" s="7"/>
      <c r="OCI16" s="7"/>
      <c r="OCJ16" s="7"/>
      <c r="OCK16" s="7"/>
      <c r="OCL16" s="7"/>
      <c r="OCM16" s="7"/>
      <c r="OCN16" s="7"/>
      <c r="OCO16" s="7"/>
      <c r="OCP16" s="7"/>
      <c r="OCQ16" s="7"/>
      <c r="OCR16" s="7"/>
      <c r="OCS16" s="7"/>
      <c r="OCT16" s="7"/>
      <c r="OCU16" s="7"/>
      <c r="OCV16" s="7"/>
      <c r="OCW16" s="7"/>
      <c r="OCX16" s="7"/>
      <c r="OCY16" s="7"/>
      <c r="OCZ16" s="7"/>
      <c r="ODA16" s="7"/>
      <c r="ODB16" s="7"/>
      <c r="ODC16" s="7"/>
      <c r="ODD16" s="7"/>
      <c r="ODE16" s="7"/>
      <c r="ODF16" s="7"/>
      <c r="ODG16" s="7"/>
      <c r="ODH16" s="7"/>
      <c r="ODI16" s="7"/>
      <c r="ODJ16" s="7"/>
      <c r="ODK16" s="7"/>
      <c r="ODL16" s="7"/>
      <c r="ODM16" s="7"/>
      <c r="ODN16" s="7"/>
      <c r="ODO16" s="7"/>
      <c r="ODP16" s="7"/>
      <c r="ODQ16" s="7"/>
      <c r="ODR16" s="7"/>
      <c r="ODS16" s="7"/>
      <c r="ODT16" s="7"/>
      <c r="ODU16" s="7"/>
      <c r="ODV16" s="7"/>
      <c r="ODW16" s="7"/>
      <c r="ODX16" s="7"/>
      <c r="ODY16" s="7"/>
      <c r="ODZ16" s="7"/>
      <c r="OEA16" s="7"/>
      <c r="OEB16" s="7"/>
      <c r="OEC16" s="7"/>
      <c r="OED16" s="7"/>
      <c r="OEE16" s="7"/>
      <c r="OEF16" s="7"/>
      <c r="OEG16" s="7"/>
      <c r="OEH16" s="7"/>
      <c r="OEI16" s="7"/>
      <c r="OEJ16" s="7"/>
      <c r="OEK16" s="7"/>
      <c r="OEL16" s="7"/>
      <c r="OEM16" s="7"/>
      <c r="OEN16" s="7"/>
      <c r="OEO16" s="7"/>
      <c r="OEP16" s="7"/>
      <c r="OEQ16" s="7"/>
      <c r="OER16" s="7"/>
      <c r="OES16" s="7"/>
      <c r="OET16" s="7"/>
      <c r="OEU16" s="7"/>
      <c r="OEV16" s="7"/>
      <c r="OEW16" s="7"/>
      <c r="OEX16" s="7"/>
      <c r="OEY16" s="7"/>
      <c r="OEZ16" s="7"/>
      <c r="OFA16" s="7"/>
      <c r="OFB16" s="7"/>
      <c r="OFC16" s="7"/>
      <c r="OFD16" s="7"/>
      <c r="OFE16" s="7"/>
      <c r="OFF16" s="7"/>
      <c r="OFG16" s="7"/>
      <c r="OFH16" s="7"/>
      <c r="OFI16" s="7"/>
      <c r="OFJ16" s="7"/>
      <c r="OFK16" s="7"/>
      <c r="OFL16" s="7"/>
      <c r="OFM16" s="7"/>
      <c r="OFN16" s="7"/>
      <c r="OFO16" s="7"/>
      <c r="OFP16" s="7"/>
      <c r="OFQ16" s="7"/>
      <c r="OFR16" s="7"/>
      <c r="OFS16" s="7"/>
      <c r="OFT16" s="7"/>
      <c r="OFU16" s="7"/>
      <c r="OFV16" s="7"/>
      <c r="OFW16" s="7"/>
      <c r="OFX16" s="7"/>
      <c r="OFY16" s="7"/>
      <c r="OFZ16" s="7"/>
      <c r="OGA16" s="7"/>
      <c r="OGB16" s="7"/>
      <c r="OGC16" s="7"/>
      <c r="OGD16" s="7"/>
      <c r="OGE16" s="7"/>
      <c r="OGF16" s="7"/>
      <c r="OGG16" s="7"/>
      <c r="OGH16" s="7"/>
      <c r="OGI16" s="7"/>
      <c r="OGJ16" s="7"/>
      <c r="OGK16" s="7"/>
      <c r="OGL16" s="7"/>
      <c r="OGM16" s="7"/>
      <c r="OGN16" s="7"/>
      <c r="OGO16" s="7"/>
      <c r="OGP16" s="7"/>
      <c r="OGQ16" s="7"/>
      <c r="OGR16" s="7"/>
      <c r="OGS16" s="7"/>
      <c r="OGT16" s="7"/>
      <c r="OGU16" s="7"/>
      <c r="OGV16" s="7"/>
      <c r="OGW16" s="7"/>
      <c r="OGX16" s="7"/>
      <c r="OGY16" s="7"/>
      <c r="OGZ16" s="7"/>
      <c r="OHA16" s="7"/>
      <c r="OHB16" s="7"/>
      <c r="OHC16" s="7"/>
      <c r="OHD16" s="7"/>
      <c r="OHE16" s="7"/>
      <c r="OHF16" s="7"/>
      <c r="OHG16" s="7"/>
      <c r="OHH16" s="7"/>
      <c r="OHI16" s="7"/>
      <c r="OHJ16" s="7"/>
      <c r="OHK16" s="7"/>
      <c r="OHL16" s="7"/>
      <c r="OHM16" s="7"/>
      <c r="OHN16" s="7"/>
      <c r="OHO16" s="7"/>
      <c r="OHP16" s="7"/>
      <c r="OHQ16" s="7"/>
      <c r="OHR16" s="7"/>
      <c r="OHS16" s="7"/>
      <c r="OHT16" s="7"/>
      <c r="OHU16" s="7"/>
      <c r="OHV16" s="7"/>
      <c r="OHW16" s="7"/>
      <c r="OHX16" s="7"/>
      <c r="OHY16" s="7"/>
      <c r="OHZ16" s="7"/>
      <c r="OIA16" s="7"/>
      <c r="OIB16" s="7"/>
      <c r="OIC16" s="7"/>
      <c r="OID16" s="7"/>
      <c r="OIE16" s="7"/>
      <c r="OIF16" s="7"/>
      <c r="OIG16" s="7"/>
      <c r="OIH16" s="7"/>
      <c r="OII16" s="7"/>
      <c r="OIJ16" s="7"/>
      <c r="OIK16" s="7"/>
      <c r="OIL16" s="7"/>
      <c r="OIM16" s="7"/>
      <c r="OIN16" s="7"/>
      <c r="OIO16" s="7"/>
      <c r="OIP16" s="7"/>
      <c r="OIQ16" s="7"/>
      <c r="OIR16" s="7"/>
      <c r="OIS16" s="7"/>
      <c r="OIT16" s="7"/>
      <c r="OIU16" s="7"/>
      <c r="OIV16" s="7"/>
      <c r="OIW16" s="7"/>
      <c r="OIX16" s="7"/>
      <c r="OIY16" s="7"/>
      <c r="OIZ16" s="7"/>
      <c r="OJA16" s="7"/>
      <c r="OJB16" s="7"/>
      <c r="OJC16" s="7"/>
      <c r="OJD16" s="7"/>
      <c r="OJE16" s="7"/>
      <c r="OJF16" s="7"/>
      <c r="OJG16" s="7"/>
      <c r="OJH16" s="7"/>
      <c r="OJI16" s="7"/>
      <c r="OJJ16" s="7"/>
      <c r="OJK16" s="7"/>
      <c r="OJL16" s="7"/>
      <c r="OJM16" s="7"/>
      <c r="OJN16" s="7"/>
      <c r="OJO16" s="7"/>
      <c r="OJP16" s="7"/>
      <c r="OJQ16" s="7"/>
      <c r="OJR16" s="7"/>
      <c r="OJS16" s="7"/>
      <c r="OJT16" s="7"/>
      <c r="OJU16" s="7"/>
      <c r="OJV16" s="7"/>
      <c r="OJW16" s="7"/>
      <c r="OJX16" s="7"/>
      <c r="OJY16" s="7"/>
      <c r="OJZ16" s="7"/>
      <c r="OKA16" s="7"/>
      <c r="OKB16" s="7"/>
      <c r="OKC16" s="7"/>
      <c r="OKD16" s="7"/>
      <c r="OKE16" s="7"/>
      <c r="OKF16" s="7"/>
      <c r="OKG16" s="7"/>
      <c r="OKH16" s="7"/>
      <c r="OKI16" s="7"/>
      <c r="OKJ16" s="7"/>
      <c r="OKK16" s="7"/>
      <c r="OKL16" s="7"/>
      <c r="OKM16" s="7"/>
      <c r="OKN16" s="7"/>
      <c r="OKO16" s="7"/>
      <c r="OKP16" s="7"/>
      <c r="OKQ16" s="7"/>
      <c r="OKR16" s="7"/>
      <c r="OKS16" s="7"/>
      <c r="OKT16" s="7"/>
      <c r="OKU16" s="7"/>
      <c r="OKV16" s="7"/>
      <c r="OKW16" s="7"/>
      <c r="OKX16" s="7"/>
      <c r="OKY16" s="7"/>
      <c r="OKZ16" s="7"/>
      <c r="OLA16" s="7"/>
      <c r="OLB16" s="7"/>
      <c r="OLC16" s="7"/>
      <c r="OLD16" s="7"/>
      <c r="OLE16" s="7"/>
      <c r="OLF16" s="7"/>
      <c r="OLG16" s="7"/>
      <c r="OLH16" s="7"/>
      <c r="OLI16" s="7"/>
      <c r="OLJ16" s="7"/>
      <c r="OLK16" s="7"/>
      <c r="OLL16" s="7"/>
      <c r="OLM16" s="7"/>
      <c r="OLN16" s="7"/>
      <c r="OLO16" s="7"/>
      <c r="OLP16" s="7"/>
      <c r="OLQ16" s="7"/>
      <c r="OLR16" s="7"/>
      <c r="OLS16" s="7"/>
      <c r="OLT16" s="7"/>
      <c r="OLU16" s="7"/>
      <c r="OLV16" s="7"/>
      <c r="OLW16" s="7"/>
      <c r="OLX16" s="7"/>
      <c r="OLY16" s="7"/>
      <c r="OLZ16" s="7"/>
      <c r="OMA16" s="7"/>
      <c r="OMB16" s="7"/>
      <c r="OMC16" s="7"/>
      <c r="OMD16" s="7"/>
      <c r="OME16" s="7"/>
      <c r="OMF16" s="7"/>
      <c r="OMG16" s="7"/>
      <c r="OMH16" s="7"/>
      <c r="OMI16" s="7"/>
      <c r="OMJ16" s="7"/>
      <c r="OMK16" s="7"/>
      <c r="OML16" s="7"/>
      <c r="OMM16" s="7"/>
      <c r="OMN16" s="7"/>
      <c r="OMO16" s="7"/>
      <c r="OMP16" s="7"/>
      <c r="OMQ16" s="7"/>
      <c r="OMR16" s="7"/>
      <c r="OMS16" s="7"/>
      <c r="OMT16" s="7"/>
      <c r="OMU16" s="7"/>
      <c r="OMV16" s="7"/>
      <c r="OMW16" s="7"/>
      <c r="OMX16" s="7"/>
      <c r="OMY16" s="7"/>
      <c r="OMZ16" s="7"/>
      <c r="ONA16" s="7"/>
      <c r="ONB16" s="7"/>
      <c r="ONC16" s="7"/>
      <c r="OND16" s="7"/>
      <c r="ONE16" s="7"/>
      <c r="ONF16" s="7"/>
      <c r="ONG16" s="7"/>
      <c r="ONH16" s="7"/>
      <c r="ONI16" s="7"/>
      <c r="ONJ16" s="7"/>
      <c r="ONK16" s="7"/>
      <c r="ONL16" s="7"/>
      <c r="ONM16" s="7"/>
      <c r="ONN16" s="7"/>
      <c r="ONO16" s="7"/>
      <c r="ONP16" s="7"/>
      <c r="ONQ16" s="7"/>
      <c r="ONR16" s="7"/>
      <c r="ONS16" s="7"/>
      <c r="ONT16" s="7"/>
      <c r="ONU16" s="7"/>
      <c r="ONV16" s="7"/>
      <c r="ONW16" s="7"/>
      <c r="ONX16" s="7"/>
      <c r="ONY16" s="7"/>
      <c r="ONZ16" s="7"/>
      <c r="OOA16" s="7"/>
      <c r="OOB16" s="7"/>
      <c r="OOC16" s="7"/>
      <c r="OOD16" s="7"/>
      <c r="OOE16" s="7"/>
      <c r="OOF16" s="7"/>
      <c r="OOG16" s="7"/>
      <c r="OOH16" s="7"/>
      <c r="OOI16" s="7"/>
      <c r="OOJ16" s="7"/>
      <c r="OOK16" s="7"/>
      <c r="OOL16" s="7"/>
      <c r="OOM16" s="7"/>
      <c r="OON16" s="7"/>
      <c r="OOO16" s="7"/>
      <c r="OOP16" s="7"/>
      <c r="OOQ16" s="7"/>
      <c r="OOR16" s="7"/>
      <c r="OOS16" s="7"/>
      <c r="OOT16" s="7"/>
      <c r="OOU16" s="7"/>
      <c r="OOV16" s="7"/>
      <c r="OOW16" s="7"/>
      <c r="OOX16" s="7"/>
      <c r="OOY16" s="7"/>
      <c r="OOZ16" s="7"/>
      <c r="OPA16" s="7"/>
      <c r="OPB16" s="7"/>
      <c r="OPC16" s="7"/>
      <c r="OPD16" s="7"/>
      <c r="OPE16" s="7"/>
      <c r="OPF16" s="7"/>
      <c r="OPG16" s="7"/>
      <c r="OPH16" s="7"/>
      <c r="OPI16" s="7"/>
      <c r="OPJ16" s="7"/>
      <c r="OPK16" s="7"/>
      <c r="OPL16" s="7"/>
      <c r="OPM16" s="7"/>
      <c r="OPN16" s="7"/>
      <c r="OPO16" s="7"/>
      <c r="OPP16" s="7"/>
      <c r="OPQ16" s="7"/>
      <c r="OPR16" s="7"/>
      <c r="OPS16" s="7"/>
      <c r="OPT16" s="7"/>
      <c r="OPU16" s="7"/>
      <c r="OPV16" s="7"/>
      <c r="OPW16" s="7"/>
      <c r="OPX16" s="7"/>
      <c r="OPY16" s="7"/>
      <c r="OPZ16" s="7"/>
      <c r="OQA16" s="7"/>
      <c r="OQB16" s="7"/>
      <c r="OQC16" s="7"/>
      <c r="OQD16" s="7"/>
      <c r="OQE16" s="7"/>
      <c r="OQF16" s="7"/>
      <c r="OQG16" s="7"/>
      <c r="OQH16" s="7"/>
      <c r="OQI16" s="7"/>
      <c r="OQJ16" s="7"/>
      <c r="OQK16" s="7"/>
      <c r="OQL16" s="7"/>
      <c r="OQM16" s="7"/>
      <c r="OQN16" s="7"/>
      <c r="OQO16" s="7"/>
      <c r="OQP16" s="7"/>
      <c r="OQQ16" s="7"/>
      <c r="OQR16" s="7"/>
      <c r="OQS16" s="7"/>
      <c r="OQT16" s="7"/>
      <c r="OQU16" s="7"/>
      <c r="OQV16" s="7"/>
      <c r="OQW16" s="7"/>
      <c r="OQX16" s="7"/>
      <c r="OQY16" s="7"/>
      <c r="OQZ16" s="7"/>
      <c r="ORA16" s="7"/>
      <c r="ORB16" s="7"/>
      <c r="ORC16" s="7"/>
      <c r="ORD16" s="7"/>
      <c r="ORE16" s="7"/>
      <c r="ORF16" s="7"/>
      <c r="ORG16" s="7"/>
      <c r="ORH16" s="7"/>
      <c r="ORI16" s="7"/>
      <c r="ORJ16" s="7"/>
      <c r="ORK16" s="7"/>
      <c r="ORL16" s="7"/>
      <c r="ORM16" s="7"/>
      <c r="ORN16" s="7"/>
      <c r="ORO16" s="7"/>
      <c r="ORP16" s="7"/>
      <c r="ORQ16" s="7"/>
      <c r="ORR16" s="7"/>
      <c r="ORS16" s="7"/>
      <c r="ORT16" s="7"/>
      <c r="ORU16" s="7"/>
      <c r="ORV16" s="7"/>
      <c r="ORW16" s="7"/>
      <c r="ORX16" s="7"/>
      <c r="ORY16" s="7"/>
      <c r="ORZ16" s="7"/>
      <c r="OSA16" s="7"/>
      <c r="OSB16" s="7"/>
      <c r="OSC16" s="7"/>
      <c r="OSD16" s="7"/>
      <c r="OSE16" s="7"/>
      <c r="OSF16" s="7"/>
      <c r="OSG16" s="7"/>
      <c r="OSH16" s="7"/>
      <c r="OSI16" s="7"/>
      <c r="OSJ16" s="7"/>
      <c r="OSK16" s="7"/>
      <c r="OSL16" s="7"/>
      <c r="OSM16" s="7"/>
      <c r="OSN16" s="7"/>
      <c r="OSO16" s="7"/>
      <c r="OSP16" s="7"/>
      <c r="OSQ16" s="7"/>
      <c r="OSR16" s="7"/>
      <c r="OSS16" s="7"/>
      <c r="OST16" s="7"/>
      <c r="OSU16" s="7"/>
      <c r="OSV16" s="7"/>
      <c r="OSW16" s="7"/>
      <c r="OSX16" s="7"/>
      <c r="OSY16" s="7"/>
      <c r="OSZ16" s="7"/>
      <c r="OTA16" s="7"/>
      <c r="OTB16" s="7"/>
      <c r="OTC16" s="7"/>
      <c r="OTD16" s="7"/>
      <c r="OTE16" s="7"/>
      <c r="OTF16" s="7"/>
      <c r="OTG16" s="7"/>
      <c r="OTH16" s="7"/>
      <c r="OTI16" s="7"/>
      <c r="OTJ16" s="7"/>
      <c r="OTK16" s="7"/>
      <c r="OTL16" s="7"/>
      <c r="OTM16" s="7"/>
      <c r="OTN16" s="7"/>
      <c r="OTO16" s="7"/>
      <c r="OTP16" s="7"/>
      <c r="OTQ16" s="7"/>
      <c r="OTR16" s="7"/>
      <c r="OTS16" s="7"/>
      <c r="OTT16" s="7"/>
      <c r="OTU16" s="7"/>
      <c r="OTV16" s="7"/>
      <c r="OTW16" s="7"/>
      <c r="OTX16" s="7"/>
      <c r="OTY16" s="7"/>
      <c r="OTZ16" s="7"/>
      <c r="OUA16" s="7"/>
      <c r="OUB16" s="7"/>
      <c r="OUC16" s="7"/>
      <c r="OUD16" s="7"/>
      <c r="OUE16" s="7"/>
      <c r="OUF16" s="7"/>
      <c r="OUG16" s="7"/>
      <c r="OUH16" s="7"/>
      <c r="OUI16" s="7"/>
      <c r="OUJ16" s="7"/>
      <c r="OUK16" s="7"/>
      <c r="OUL16" s="7"/>
      <c r="OUM16" s="7"/>
      <c r="OUN16" s="7"/>
      <c r="OUO16" s="7"/>
      <c r="OUP16" s="7"/>
      <c r="OUQ16" s="7"/>
      <c r="OUR16" s="7"/>
      <c r="OUS16" s="7"/>
      <c r="OUT16" s="7"/>
      <c r="OUU16" s="7"/>
      <c r="OUV16" s="7"/>
      <c r="OUW16" s="7"/>
      <c r="OUX16" s="7"/>
      <c r="OUY16" s="7"/>
      <c r="OUZ16" s="7"/>
      <c r="OVA16" s="7"/>
      <c r="OVB16" s="7"/>
      <c r="OVC16" s="7"/>
      <c r="OVD16" s="7"/>
      <c r="OVE16" s="7"/>
      <c r="OVF16" s="7"/>
      <c r="OVG16" s="7"/>
      <c r="OVH16" s="7"/>
      <c r="OVI16" s="7"/>
      <c r="OVJ16" s="7"/>
      <c r="OVK16" s="7"/>
      <c r="OVL16" s="7"/>
      <c r="OVM16" s="7"/>
      <c r="OVN16" s="7"/>
      <c r="OVO16" s="7"/>
      <c r="OVP16" s="7"/>
      <c r="OVQ16" s="7"/>
      <c r="OVR16" s="7"/>
      <c r="OVS16" s="7"/>
      <c r="OVT16" s="7"/>
      <c r="OVU16" s="7"/>
      <c r="OVV16" s="7"/>
      <c r="OVW16" s="7"/>
      <c r="OVX16" s="7"/>
      <c r="OVY16" s="7"/>
      <c r="OVZ16" s="7"/>
      <c r="OWA16" s="7"/>
      <c r="OWB16" s="7"/>
      <c r="OWC16" s="7"/>
      <c r="OWD16" s="7"/>
      <c r="OWE16" s="7"/>
      <c r="OWF16" s="7"/>
      <c r="OWG16" s="7"/>
      <c r="OWH16" s="7"/>
      <c r="OWI16" s="7"/>
      <c r="OWJ16" s="7"/>
      <c r="OWK16" s="7"/>
      <c r="OWL16" s="7"/>
      <c r="OWM16" s="7"/>
      <c r="OWN16" s="7"/>
      <c r="OWO16" s="7"/>
      <c r="OWP16" s="7"/>
      <c r="OWQ16" s="7"/>
      <c r="OWR16" s="7"/>
      <c r="OWS16" s="7"/>
      <c r="OWT16" s="7"/>
      <c r="OWU16" s="7"/>
      <c r="OWV16" s="7"/>
      <c r="OWW16" s="7"/>
      <c r="OWX16" s="7"/>
      <c r="OWY16" s="7"/>
      <c r="OWZ16" s="7"/>
      <c r="OXA16" s="7"/>
      <c r="OXB16" s="7"/>
      <c r="OXC16" s="7"/>
      <c r="OXD16" s="7"/>
      <c r="OXE16" s="7"/>
      <c r="OXF16" s="7"/>
      <c r="OXG16" s="7"/>
      <c r="OXH16" s="7"/>
      <c r="OXI16" s="7"/>
      <c r="OXJ16" s="7"/>
      <c r="OXK16" s="7"/>
      <c r="OXL16" s="7"/>
      <c r="OXM16" s="7"/>
      <c r="OXN16" s="7"/>
      <c r="OXO16" s="7"/>
      <c r="OXP16" s="7"/>
      <c r="OXQ16" s="7"/>
      <c r="OXR16" s="7"/>
      <c r="OXS16" s="7"/>
      <c r="OXT16" s="7"/>
      <c r="OXU16" s="7"/>
      <c r="OXV16" s="7"/>
      <c r="OXW16" s="7"/>
      <c r="OXX16" s="7"/>
      <c r="OXY16" s="7"/>
      <c r="OXZ16" s="7"/>
      <c r="OYA16" s="7"/>
      <c r="OYB16" s="7"/>
      <c r="OYC16" s="7"/>
      <c r="OYD16" s="7"/>
      <c r="OYE16" s="7"/>
      <c r="OYF16" s="7"/>
      <c r="OYG16" s="7"/>
      <c r="OYH16" s="7"/>
      <c r="OYI16" s="7"/>
      <c r="OYJ16" s="7"/>
      <c r="OYK16" s="7"/>
      <c r="OYL16" s="7"/>
      <c r="OYM16" s="7"/>
      <c r="OYN16" s="7"/>
      <c r="OYO16" s="7"/>
      <c r="OYP16" s="7"/>
      <c r="OYQ16" s="7"/>
      <c r="OYR16" s="7"/>
      <c r="OYS16" s="7"/>
      <c r="OYT16" s="7"/>
      <c r="OYU16" s="7"/>
      <c r="OYV16" s="7"/>
      <c r="OYW16" s="7"/>
      <c r="OYX16" s="7"/>
      <c r="OYY16" s="7"/>
      <c r="OYZ16" s="7"/>
      <c r="OZA16" s="7"/>
      <c r="OZB16" s="7"/>
      <c r="OZC16" s="7"/>
      <c r="OZD16" s="7"/>
      <c r="OZE16" s="7"/>
      <c r="OZF16" s="7"/>
      <c r="OZG16" s="7"/>
      <c r="OZH16" s="7"/>
      <c r="OZI16" s="7"/>
      <c r="OZJ16" s="7"/>
      <c r="OZK16" s="7"/>
      <c r="OZL16" s="7"/>
      <c r="OZM16" s="7"/>
      <c r="OZN16" s="7"/>
      <c r="OZO16" s="7"/>
      <c r="OZP16" s="7"/>
      <c r="OZQ16" s="7"/>
      <c r="OZR16" s="7"/>
      <c r="OZS16" s="7"/>
      <c r="OZT16" s="7"/>
      <c r="OZU16" s="7"/>
      <c r="OZV16" s="7"/>
      <c r="OZW16" s="7"/>
      <c r="OZX16" s="7"/>
      <c r="OZY16" s="7"/>
      <c r="OZZ16" s="7"/>
      <c r="PAA16" s="7"/>
      <c r="PAB16" s="7"/>
      <c r="PAC16" s="7"/>
      <c r="PAD16" s="7"/>
      <c r="PAE16" s="7"/>
      <c r="PAF16" s="7"/>
      <c r="PAG16" s="7"/>
      <c r="PAH16" s="7"/>
      <c r="PAI16" s="7"/>
      <c r="PAJ16" s="7"/>
      <c r="PAK16" s="7"/>
      <c r="PAL16" s="7"/>
      <c r="PAM16" s="7"/>
      <c r="PAN16" s="7"/>
      <c r="PAO16" s="7"/>
      <c r="PAP16" s="7"/>
      <c r="PAQ16" s="7"/>
      <c r="PAR16" s="7"/>
      <c r="PAS16" s="7"/>
      <c r="PAT16" s="7"/>
      <c r="PAU16" s="7"/>
      <c r="PAV16" s="7"/>
      <c r="PAW16" s="7"/>
      <c r="PAX16" s="7"/>
      <c r="PAY16" s="7"/>
      <c r="PAZ16" s="7"/>
      <c r="PBA16" s="7"/>
      <c r="PBB16" s="7"/>
      <c r="PBC16" s="7"/>
      <c r="PBD16" s="7"/>
      <c r="PBE16" s="7"/>
      <c r="PBF16" s="7"/>
      <c r="PBG16" s="7"/>
      <c r="PBH16" s="7"/>
      <c r="PBI16" s="7"/>
      <c r="PBJ16" s="7"/>
      <c r="PBK16" s="7"/>
      <c r="PBL16" s="7"/>
      <c r="PBM16" s="7"/>
      <c r="PBN16" s="7"/>
      <c r="PBO16" s="7"/>
      <c r="PBP16" s="7"/>
      <c r="PBQ16" s="7"/>
      <c r="PBR16" s="7"/>
      <c r="PBS16" s="7"/>
      <c r="PBT16" s="7"/>
      <c r="PBU16" s="7"/>
      <c r="PBV16" s="7"/>
      <c r="PBW16" s="7"/>
      <c r="PBX16" s="7"/>
      <c r="PBY16" s="7"/>
      <c r="PBZ16" s="7"/>
      <c r="PCA16" s="7"/>
      <c r="PCB16" s="7"/>
      <c r="PCC16" s="7"/>
      <c r="PCD16" s="7"/>
      <c r="PCE16" s="7"/>
      <c r="PCF16" s="7"/>
      <c r="PCG16" s="7"/>
      <c r="PCH16" s="7"/>
      <c r="PCI16" s="7"/>
      <c r="PCJ16" s="7"/>
      <c r="PCK16" s="7"/>
      <c r="PCL16" s="7"/>
      <c r="PCM16" s="7"/>
      <c r="PCN16" s="7"/>
      <c r="PCO16" s="7"/>
      <c r="PCP16" s="7"/>
      <c r="PCQ16" s="7"/>
      <c r="PCR16" s="7"/>
      <c r="PCS16" s="7"/>
      <c r="PCT16" s="7"/>
      <c r="PCU16" s="7"/>
      <c r="PCV16" s="7"/>
      <c r="PCW16" s="7"/>
      <c r="PCX16" s="7"/>
      <c r="PCY16" s="7"/>
      <c r="PCZ16" s="7"/>
      <c r="PDA16" s="7"/>
      <c r="PDB16" s="7"/>
      <c r="PDC16" s="7"/>
      <c r="PDD16" s="7"/>
      <c r="PDE16" s="7"/>
      <c r="PDF16" s="7"/>
      <c r="PDG16" s="7"/>
      <c r="PDH16" s="7"/>
      <c r="PDI16" s="7"/>
      <c r="PDJ16" s="7"/>
      <c r="PDK16" s="7"/>
      <c r="PDL16" s="7"/>
      <c r="PDM16" s="7"/>
      <c r="PDN16" s="7"/>
      <c r="PDO16" s="7"/>
      <c r="PDP16" s="7"/>
      <c r="PDQ16" s="7"/>
      <c r="PDR16" s="7"/>
      <c r="PDS16" s="7"/>
      <c r="PDT16" s="7"/>
      <c r="PDU16" s="7"/>
      <c r="PDV16" s="7"/>
      <c r="PDW16" s="7"/>
      <c r="PDX16" s="7"/>
      <c r="PDY16" s="7"/>
      <c r="PDZ16" s="7"/>
      <c r="PEA16" s="7"/>
      <c r="PEB16" s="7"/>
      <c r="PEC16" s="7"/>
      <c r="PED16" s="7"/>
      <c r="PEE16" s="7"/>
      <c r="PEF16" s="7"/>
      <c r="PEG16" s="7"/>
      <c r="PEH16" s="7"/>
      <c r="PEI16" s="7"/>
      <c r="PEJ16" s="7"/>
      <c r="PEK16" s="7"/>
      <c r="PEL16" s="7"/>
      <c r="PEM16" s="7"/>
      <c r="PEN16" s="7"/>
      <c r="PEO16" s="7"/>
      <c r="PEP16" s="7"/>
      <c r="PEQ16" s="7"/>
      <c r="PER16" s="7"/>
      <c r="PES16" s="7"/>
      <c r="PET16" s="7"/>
      <c r="PEU16" s="7"/>
      <c r="PEV16" s="7"/>
      <c r="PEW16" s="7"/>
      <c r="PEX16" s="7"/>
      <c r="PEY16" s="7"/>
      <c r="PEZ16" s="7"/>
      <c r="PFA16" s="7"/>
      <c r="PFB16" s="7"/>
      <c r="PFC16" s="7"/>
      <c r="PFD16" s="7"/>
      <c r="PFE16" s="7"/>
      <c r="PFF16" s="7"/>
      <c r="PFG16" s="7"/>
      <c r="PFH16" s="7"/>
      <c r="PFI16" s="7"/>
      <c r="PFJ16" s="7"/>
      <c r="PFK16" s="7"/>
      <c r="PFL16" s="7"/>
      <c r="PFM16" s="7"/>
      <c r="PFN16" s="7"/>
      <c r="PFO16" s="7"/>
      <c r="PFP16" s="7"/>
      <c r="PFQ16" s="7"/>
      <c r="PFR16" s="7"/>
      <c r="PFS16" s="7"/>
      <c r="PFT16" s="7"/>
      <c r="PFU16" s="7"/>
      <c r="PFV16" s="7"/>
      <c r="PFW16" s="7"/>
      <c r="PFX16" s="7"/>
      <c r="PFY16" s="7"/>
      <c r="PFZ16" s="7"/>
      <c r="PGA16" s="7"/>
      <c r="PGB16" s="7"/>
      <c r="PGC16" s="7"/>
      <c r="PGD16" s="7"/>
      <c r="PGE16" s="7"/>
      <c r="PGF16" s="7"/>
      <c r="PGG16" s="7"/>
      <c r="PGH16" s="7"/>
      <c r="PGI16" s="7"/>
      <c r="PGJ16" s="7"/>
      <c r="PGK16" s="7"/>
      <c r="PGL16" s="7"/>
      <c r="PGM16" s="7"/>
      <c r="PGN16" s="7"/>
      <c r="PGO16" s="7"/>
      <c r="PGP16" s="7"/>
      <c r="PGQ16" s="7"/>
      <c r="PGR16" s="7"/>
      <c r="PGS16" s="7"/>
      <c r="PGT16" s="7"/>
      <c r="PGU16" s="7"/>
      <c r="PGV16" s="7"/>
      <c r="PGW16" s="7"/>
      <c r="PGX16" s="7"/>
      <c r="PGY16" s="7"/>
      <c r="PGZ16" s="7"/>
      <c r="PHA16" s="7"/>
      <c r="PHB16" s="7"/>
      <c r="PHC16" s="7"/>
      <c r="PHD16" s="7"/>
      <c r="PHE16" s="7"/>
      <c r="PHF16" s="7"/>
      <c r="PHG16" s="7"/>
      <c r="PHH16" s="7"/>
      <c r="PHI16" s="7"/>
      <c r="PHJ16" s="7"/>
      <c r="PHK16" s="7"/>
      <c r="PHL16" s="7"/>
      <c r="PHM16" s="7"/>
      <c r="PHN16" s="7"/>
      <c r="PHO16" s="7"/>
      <c r="PHP16" s="7"/>
      <c r="PHQ16" s="7"/>
      <c r="PHR16" s="7"/>
      <c r="PHS16" s="7"/>
      <c r="PHT16" s="7"/>
      <c r="PHU16" s="7"/>
      <c r="PHV16" s="7"/>
      <c r="PHW16" s="7"/>
      <c r="PHX16" s="7"/>
      <c r="PHY16" s="7"/>
      <c r="PHZ16" s="7"/>
      <c r="PIA16" s="7"/>
      <c r="PIB16" s="7"/>
      <c r="PIC16" s="7"/>
      <c r="PID16" s="7"/>
      <c r="PIE16" s="7"/>
      <c r="PIF16" s="7"/>
      <c r="PIG16" s="7"/>
      <c r="PIH16" s="7"/>
      <c r="PII16" s="7"/>
      <c r="PIJ16" s="7"/>
      <c r="PIK16" s="7"/>
      <c r="PIL16" s="7"/>
      <c r="PIM16" s="7"/>
      <c r="PIN16" s="7"/>
      <c r="PIO16" s="7"/>
      <c r="PIP16" s="7"/>
      <c r="PIQ16" s="7"/>
      <c r="PIR16" s="7"/>
      <c r="PIS16" s="7"/>
      <c r="PIT16" s="7"/>
      <c r="PIU16" s="7"/>
      <c r="PIV16" s="7"/>
      <c r="PIW16" s="7"/>
      <c r="PIX16" s="7"/>
      <c r="PIY16" s="7"/>
      <c r="PIZ16" s="7"/>
      <c r="PJA16" s="7"/>
      <c r="PJB16" s="7"/>
      <c r="PJC16" s="7"/>
      <c r="PJD16" s="7"/>
      <c r="PJE16" s="7"/>
      <c r="PJF16" s="7"/>
      <c r="PJG16" s="7"/>
      <c r="PJH16" s="7"/>
      <c r="PJI16" s="7"/>
      <c r="PJJ16" s="7"/>
      <c r="PJK16" s="7"/>
      <c r="PJL16" s="7"/>
      <c r="PJM16" s="7"/>
      <c r="PJN16" s="7"/>
      <c r="PJO16" s="7"/>
      <c r="PJP16" s="7"/>
      <c r="PJQ16" s="7"/>
      <c r="PJR16" s="7"/>
      <c r="PJS16" s="7"/>
      <c r="PJT16" s="7"/>
      <c r="PJU16" s="7"/>
      <c r="PJV16" s="7"/>
      <c r="PJW16" s="7"/>
      <c r="PJX16" s="7"/>
      <c r="PJY16" s="7"/>
      <c r="PJZ16" s="7"/>
      <c r="PKA16" s="7"/>
      <c r="PKB16" s="7"/>
      <c r="PKC16" s="7"/>
      <c r="PKD16" s="7"/>
      <c r="PKE16" s="7"/>
      <c r="PKF16" s="7"/>
      <c r="PKG16" s="7"/>
      <c r="PKH16" s="7"/>
      <c r="PKI16" s="7"/>
      <c r="PKJ16" s="7"/>
      <c r="PKK16" s="7"/>
      <c r="PKL16" s="7"/>
      <c r="PKM16" s="7"/>
      <c r="PKN16" s="7"/>
      <c r="PKO16" s="7"/>
      <c r="PKP16" s="7"/>
      <c r="PKQ16" s="7"/>
      <c r="PKR16" s="7"/>
      <c r="PKS16" s="7"/>
      <c r="PKT16" s="7"/>
      <c r="PKU16" s="7"/>
      <c r="PKV16" s="7"/>
      <c r="PKW16" s="7"/>
      <c r="PKX16" s="7"/>
      <c r="PKY16" s="7"/>
      <c r="PKZ16" s="7"/>
      <c r="PLA16" s="7"/>
      <c r="PLB16" s="7"/>
      <c r="PLC16" s="7"/>
      <c r="PLD16" s="7"/>
      <c r="PLE16" s="7"/>
      <c r="PLF16" s="7"/>
      <c r="PLG16" s="7"/>
      <c r="PLH16" s="7"/>
      <c r="PLI16" s="7"/>
      <c r="PLJ16" s="7"/>
      <c r="PLK16" s="7"/>
      <c r="PLL16" s="7"/>
      <c r="PLM16" s="7"/>
      <c r="PLN16" s="7"/>
      <c r="PLO16" s="7"/>
      <c r="PLP16" s="7"/>
      <c r="PLQ16" s="7"/>
      <c r="PLR16" s="7"/>
      <c r="PLS16" s="7"/>
      <c r="PLT16" s="7"/>
      <c r="PLU16" s="7"/>
      <c r="PLV16" s="7"/>
      <c r="PLW16" s="7"/>
      <c r="PLX16" s="7"/>
      <c r="PLY16" s="7"/>
      <c r="PLZ16" s="7"/>
      <c r="PMA16" s="7"/>
      <c r="PMB16" s="7"/>
      <c r="PMC16" s="7"/>
      <c r="PMD16" s="7"/>
      <c r="PME16" s="7"/>
      <c r="PMF16" s="7"/>
      <c r="PMG16" s="7"/>
      <c r="PMH16" s="7"/>
      <c r="PMI16" s="7"/>
      <c r="PMJ16" s="7"/>
      <c r="PMK16" s="7"/>
      <c r="PML16" s="7"/>
      <c r="PMM16" s="7"/>
      <c r="PMN16" s="7"/>
      <c r="PMO16" s="7"/>
      <c r="PMP16" s="7"/>
      <c r="PMQ16" s="7"/>
      <c r="PMR16" s="7"/>
      <c r="PMS16" s="7"/>
      <c r="PMT16" s="7"/>
      <c r="PMU16" s="7"/>
      <c r="PMV16" s="7"/>
      <c r="PMW16" s="7"/>
      <c r="PMX16" s="7"/>
      <c r="PMY16" s="7"/>
      <c r="PMZ16" s="7"/>
      <c r="PNA16" s="7"/>
      <c r="PNB16" s="7"/>
      <c r="PNC16" s="7"/>
      <c r="PND16" s="7"/>
      <c r="PNE16" s="7"/>
      <c r="PNF16" s="7"/>
      <c r="PNG16" s="7"/>
      <c r="PNH16" s="7"/>
      <c r="PNI16" s="7"/>
      <c r="PNJ16" s="7"/>
      <c r="PNK16" s="7"/>
      <c r="PNL16" s="7"/>
      <c r="PNM16" s="7"/>
      <c r="PNN16" s="7"/>
      <c r="PNO16" s="7"/>
      <c r="PNP16" s="7"/>
      <c r="PNQ16" s="7"/>
      <c r="PNR16" s="7"/>
      <c r="PNS16" s="7"/>
      <c r="PNT16" s="7"/>
      <c r="PNU16" s="7"/>
      <c r="PNV16" s="7"/>
      <c r="PNW16" s="7"/>
      <c r="PNX16" s="7"/>
      <c r="PNY16" s="7"/>
      <c r="PNZ16" s="7"/>
      <c r="POA16" s="7"/>
      <c r="POB16" s="7"/>
      <c r="POC16" s="7"/>
      <c r="POD16" s="7"/>
      <c r="POE16" s="7"/>
      <c r="POF16" s="7"/>
      <c r="POG16" s="7"/>
      <c r="POH16" s="7"/>
      <c r="POI16" s="7"/>
      <c r="POJ16" s="7"/>
      <c r="POK16" s="7"/>
      <c r="POL16" s="7"/>
      <c r="POM16" s="7"/>
      <c r="PON16" s="7"/>
      <c r="POO16" s="7"/>
      <c r="POP16" s="7"/>
      <c r="POQ16" s="7"/>
      <c r="POR16" s="7"/>
      <c r="POS16" s="7"/>
      <c r="POT16" s="7"/>
      <c r="POU16" s="7"/>
      <c r="POV16" s="7"/>
      <c r="POW16" s="7"/>
      <c r="POX16" s="7"/>
      <c r="POY16" s="7"/>
      <c r="POZ16" s="7"/>
      <c r="PPA16" s="7"/>
      <c r="PPB16" s="7"/>
      <c r="PPC16" s="7"/>
      <c r="PPD16" s="7"/>
      <c r="PPE16" s="7"/>
      <c r="PPF16" s="7"/>
      <c r="PPG16" s="7"/>
      <c r="PPH16" s="7"/>
      <c r="PPI16" s="7"/>
      <c r="PPJ16" s="7"/>
      <c r="PPK16" s="7"/>
      <c r="PPL16" s="7"/>
      <c r="PPM16" s="7"/>
      <c r="PPN16" s="7"/>
      <c r="PPO16" s="7"/>
      <c r="PPP16" s="7"/>
      <c r="PPQ16" s="7"/>
      <c r="PPR16" s="7"/>
      <c r="PPS16" s="7"/>
      <c r="PPT16" s="7"/>
      <c r="PPU16" s="7"/>
      <c r="PPV16" s="7"/>
      <c r="PPW16" s="7"/>
      <c r="PPX16" s="7"/>
      <c r="PPY16" s="7"/>
      <c r="PPZ16" s="7"/>
      <c r="PQA16" s="7"/>
      <c r="PQB16" s="7"/>
      <c r="PQC16" s="7"/>
      <c r="PQD16" s="7"/>
      <c r="PQE16" s="7"/>
      <c r="PQF16" s="7"/>
      <c r="PQG16" s="7"/>
      <c r="PQH16" s="7"/>
      <c r="PQI16" s="7"/>
      <c r="PQJ16" s="7"/>
      <c r="PQK16" s="7"/>
      <c r="PQL16" s="7"/>
      <c r="PQM16" s="7"/>
      <c r="PQN16" s="7"/>
      <c r="PQO16" s="7"/>
      <c r="PQP16" s="7"/>
      <c r="PQQ16" s="7"/>
      <c r="PQR16" s="7"/>
      <c r="PQS16" s="7"/>
      <c r="PQT16" s="7"/>
      <c r="PQU16" s="7"/>
      <c r="PQV16" s="7"/>
      <c r="PQW16" s="7"/>
      <c r="PQX16" s="7"/>
      <c r="PQY16" s="7"/>
      <c r="PQZ16" s="7"/>
      <c r="PRA16" s="7"/>
      <c r="PRB16" s="7"/>
      <c r="PRC16" s="7"/>
      <c r="PRD16" s="7"/>
      <c r="PRE16" s="7"/>
      <c r="PRF16" s="7"/>
      <c r="PRG16" s="7"/>
      <c r="PRH16" s="7"/>
      <c r="PRI16" s="7"/>
      <c r="PRJ16" s="7"/>
      <c r="PRK16" s="7"/>
      <c r="PRL16" s="7"/>
      <c r="PRM16" s="7"/>
      <c r="PRN16" s="7"/>
      <c r="PRO16" s="7"/>
      <c r="PRP16" s="7"/>
      <c r="PRQ16" s="7"/>
      <c r="PRR16" s="7"/>
      <c r="PRS16" s="7"/>
      <c r="PRT16" s="7"/>
      <c r="PRU16" s="7"/>
      <c r="PRV16" s="7"/>
      <c r="PRW16" s="7"/>
      <c r="PRX16" s="7"/>
      <c r="PRY16" s="7"/>
      <c r="PRZ16" s="7"/>
      <c r="PSA16" s="7"/>
      <c r="PSB16" s="7"/>
      <c r="PSC16" s="7"/>
      <c r="PSD16" s="7"/>
      <c r="PSE16" s="7"/>
      <c r="PSF16" s="7"/>
      <c r="PSG16" s="7"/>
      <c r="PSH16" s="7"/>
      <c r="PSI16" s="7"/>
      <c r="PSJ16" s="7"/>
      <c r="PSK16" s="7"/>
      <c r="PSL16" s="7"/>
      <c r="PSM16" s="7"/>
      <c r="PSN16" s="7"/>
      <c r="PSO16" s="7"/>
      <c r="PSP16" s="7"/>
      <c r="PSQ16" s="7"/>
      <c r="PSR16" s="7"/>
      <c r="PSS16" s="7"/>
      <c r="PST16" s="7"/>
      <c r="PSU16" s="7"/>
      <c r="PSV16" s="7"/>
      <c r="PSW16" s="7"/>
      <c r="PSX16" s="7"/>
      <c r="PSY16" s="7"/>
      <c r="PSZ16" s="7"/>
      <c r="PTA16" s="7"/>
      <c r="PTB16" s="7"/>
      <c r="PTC16" s="7"/>
      <c r="PTD16" s="7"/>
      <c r="PTE16" s="7"/>
      <c r="PTF16" s="7"/>
      <c r="PTG16" s="7"/>
      <c r="PTH16" s="7"/>
      <c r="PTI16" s="7"/>
      <c r="PTJ16" s="7"/>
      <c r="PTK16" s="7"/>
      <c r="PTL16" s="7"/>
      <c r="PTM16" s="7"/>
      <c r="PTN16" s="7"/>
      <c r="PTO16" s="7"/>
      <c r="PTP16" s="7"/>
      <c r="PTQ16" s="7"/>
      <c r="PTR16" s="7"/>
      <c r="PTS16" s="7"/>
      <c r="PTT16" s="7"/>
      <c r="PTU16" s="7"/>
      <c r="PTV16" s="7"/>
      <c r="PTW16" s="7"/>
      <c r="PTX16" s="7"/>
      <c r="PTY16" s="7"/>
      <c r="PTZ16" s="7"/>
      <c r="PUA16" s="7"/>
      <c r="PUB16" s="7"/>
      <c r="PUC16" s="7"/>
      <c r="PUD16" s="7"/>
      <c r="PUE16" s="7"/>
      <c r="PUF16" s="7"/>
      <c r="PUG16" s="7"/>
      <c r="PUH16" s="7"/>
      <c r="PUI16" s="7"/>
      <c r="PUJ16" s="7"/>
      <c r="PUK16" s="7"/>
      <c r="PUL16" s="7"/>
      <c r="PUM16" s="7"/>
      <c r="PUN16" s="7"/>
      <c r="PUO16" s="7"/>
      <c r="PUP16" s="7"/>
      <c r="PUQ16" s="7"/>
      <c r="PUR16" s="7"/>
      <c r="PUS16" s="7"/>
      <c r="PUT16" s="7"/>
      <c r="PUU16" s="7"/>
      <c r="PUV16" s="7"/>
      <c r="PUW16" s="7"/>
      <c r="PUX16" s="7"/>
      <c r="PUY16" s="7"/>
      <c r="PUZ16" s="7"/>
      <c r="PVA16" s="7"/>
      <c r="PVB16" s="7"/>
      <c r="PVC16" s="7"/>
      <c r="PVD16" s="7"/>
      <c r="PVE16" s="7"/>
      <c r="PVF16" s="7"/>
      <c r="PVG16" s="7"/>
      <c r="PVH16" s="7"/>
      <c r="PVI16" s="7"/>
      <c r="PVJ16" s="7"/>
      <c r="PVK16" s="7"/>
      <c r="PVL16" s="7"/>
      <c r="PVM16" s="7"/>
      <c r="PVN16" s="7"/>
      <c r="PVO16" s="7"/>
      <c r="PVP16" s="7"/>
      <c r="PVQ16" s="7"/>
      <c r="PVR16" s="7"/>
      <c r="PVS16" s="7"/>
      <c r="PVT16" s="7"/>
      <c r="PVU16" s="7"/>
      <c r="PVV16" s="7"/>
      <c r="PVW16" s="7"/>
      <c r="PVX16" s="7"/>
      <c r="PVY16" s="7"/>
      <c r="PVZ16" s="7"/>
      <c r="PWA16" s="7"/>
      <c r="PWB16" s="7"/>
      <c r="PWC16" s="7"/>
      <c r="PWD16" s="7"/>
      <c r="PWE16" s="7"/>
      <c r="PWF16" s="7"/>
      <c r="PWG16" s="7"/>
      <c r="PWH16" s="7"/>
      <c r="PWI16" s="7"/>
      <c r="PWJ16" s="7"/>
      <c r="PWK16" s="7"/>
      <c r="PWL16" s="7"/>
      <c r="PWM16" s="7"/>
      <c r="PWN16" s="7"/>
      <c r="PWO16" s="7"/>
      <c r="PWP16" s="7"/>
      <c r="PWQ16" s="7"/>
      <c r="PWR16" s="7"/>
      <c r="PWS16" s="7"/>
      <c r="PWT16" s="7"/>
      <c r="PWU16" s="7"/>
      <c r="PWV16" s="7"/>
      <c r="PWW16" s="7"/>
      <c r="PWX16" s="7"/>
      <c r="PWY16" s="7"/>
      <c r="PWZ16" s="7"/>
      <c r="PXA16" s="7"/>
      <c r="PXB16" s="7"/>
      <c r="PXC16" s="7"/>
      <c r="PXD16" s="7"/>
      <c r="PXE16" s="7"/>
      <c r="PXF16" s="7"/>
      <c r="PXG16" s="7"/>
      <c r="PXH16" s="7"/>
      <c r="PXI16" s="7"/>
      <c r="PXJ16" s="7"/>
      <c r="PXK16" s="7"/>
      <c r="PXL16" s="7"/>
      <c r="PXM16" s="7"/>
      <c r="PXN16" s="7"/>
      <c r="PXO16" s="7"/>
      <c r="PXP16" s="7"/>
      <c r="PXQ16" s="7"/>
      <c r="PXR16" s="7"/>
      <c r="PXS16" s="7"/>
      <c r="PXT16" s="7"/>
      <c r="PXU16" s="7"/>
      <c r="PXV16" s="7"/>
      <c r="PXW16" s="7"/>
      <c r="PXX16" s="7"/>
      <c r="PXY16" s="7"/>
      <c r="PXZ16" s="7"/>
      <c r="PYA16" s="7"/>
      <c r="PYB16" s="7"/>
      <c r="PYC16" s="7"/>
      <c r="PYD16" s="7"/>
      <c r="PYE16" s="7"/>
      <c r="PYF16" s="7"/>
      <c r="PYG16" s="7"/>
      <c r="PYH16" s="7"/>
      <c r="PYI16" s="7"/>
      <c r="PYJ16" s="7"/>
      <c r="PYK16" s="7"/>
      <c r="PYL16" s="7"/>
      <c r="PYM16" s="7"/>
      <c r="PYN16" s="7"/>
      <c r="PYO16" s="7"/>
      <c r="PYP16" s="7"/>
      <c r="PYQ16" s="7"/>
      <c r="PYR16" s="7"/>
      <c r="PYS16" s="7"/>
      <c r="PYT16" s="7"/>
      <c r="PYU16" s="7"/>
      <c r="PYV16" s="7"/>
      <c r="PYW16" s="7"/>
      <c r="PYX16" s="7"/>
      <c r="PYY16" s="7"/>
      <c r="PYZ16" s="7"/>
      <c r="PZA16" s="7"/>
      <c r="PZB16" s="7"/>
      <c r="PZC16" s="7"/>
      <c r="PZD16" s="7"/>
      <c r="PZE16" s="7"/>
      <c r="PZF16" s="7"/>
      <c r="PZG16" s="7"/>
      <c r="PZH16" s="7"/>
      <c r="PZI16" s="7"/>
      <c r="PZJ16" s="7"/>
      <c r="PZK16" s="7"/>
      <c r="PZL16" s="7"/>
      <c r="PZM16" s="7"/>
      <c r="PZN16" s="7"/>
      <c r="PZO16" s="7"/>
      <c r="PZP16" s="7"/>
      <c r="PZQ16" s="7"/>
      <c r="PZR16" s="7"/>
      <c r="PZS16" s="7"/>
      <c r="PZT16" s="7"/>
      <c r="PZU16" s="7"/>
      <c r="PZV16" s="7"/>
      <c r="PZW16" s="7"/>
      <c r="PZX16" s="7"/>
      <c r="PZY16" s="7"/>
      <c r="PZZ16" s="7"/>
      <c r="QAA16" s="7"/>
      <c r="QAB16" s="7"/>
      <c r="QAC16" s="7"/>
      <c r="QAD16" s="7"/>
      <c r="QAE16" s="7"/>
      <c r="QAF16" s="7"/>
      <c r="QAG16" s="7"/>
      <c r="QAH16" s="7"/>
      <c r="QAI16" s="7"/>
      <c r="QAJ16" s="7"/>
      <c r="QAK16" s="7"/>
      <c r="QAL16" s="7"/>
      <c r="QAM16" s="7"/>
      <c r="QAN16" s="7"/>
      <c r="QAO16" s="7"/>
      <c r="QAP16" s="7"/>
      <c r="QAQ16" s="7"/>
      <c r="QAR16" s="7"/>
      <c r="QAS16" s="7"/>
      <c r="QAT16" s="7"/>
      <c r="QAU16" s="7"/>
      <c r="QAV16" s="7"/>
      <c r="QAW16" s="7"/>
      <c r="QAX16" s="7"/>
      <c r="QAY16" s="7"/>
      <c r="QAZ16" s="7"/>
      <c r="QBA16" s="7"/>
      <c r="QBB16" s="7"/>
      <c r="QBC16" s="7"/>
      <c r="QBD16" s="7"/>
      <c r="QBE16" s="7"/>
      <c r="QBF16" s="7"/>
      <c r="QBG16" s="7"/>
      <c r="QBH16" s="7"/>
      <c r="QBI16" s="7"/>
      <c r="QBJ16" s="7"/>
      <c r="QBK16" s="7"/>
      <c r="QBL16" s="7"/>
      <c r="QBM16" s="7"/>
      <c r="QBN16" s="7"/>
      <c r="QBO16" s="7"/>
      <c r="QBP16" s="7"/>
      <c r="QBQ16" s="7"/>
      <c r="QBR16" s="7"/>
      <c r="QBS16" s="7"/>
      <c r="QBT16" s="7"/>
      <c r="QBU16" s="7"/>
      <c r="QBV16" s="7"/>
      <c r="QBW16" s="7"/>
      <c r="QBX16" s="7"/>
      <c r="QBY16" s="7"/>
      <c r="QBZ16" s="7"/>
      <c r="QCA16" s="7"/>
      <c r="QCB16" s="7"/>
      <c r="QCC16" s="7"/>
      <c r="QCD16" s="7"/>
      <c r="QCE16" s="7"/>
      <c r="QCF16" s="7"/>
      <c r="QCG16" s="7"/>
      <c r="QCH16" s="7"/>
      <c r="QCI16" s="7"/>
      <c r="QCJ16" s="7"/>
      <c r="QCK16" s="7"/>
      <c r="QCL16" s="7"/>
      <c r="QCM16" s="7"/>
      <c r="QCN16" s="7"/>
      <c r="QCO16" s="7"/>
      <c r="QCP16" s="7"/>
      <c r="QCQ16" s="7"/>
      <c r="QCR16" s="7"/>
      <c r="QCS16" s="7"/>
      <c r="QCT16" s="7"/>
      <c r="QCU16" s="7"/>
      <c r="QCV16" s="7"/>
      <c r="QCW16" s="7"/>
      <c r="QCX16" s="7"/>
      <c r="QCY16" s="7"/>
      <c r="QCZ16" s="7"/>
      <c r="QDA16" s="7"/>
      <c r="QDB16" s="7"/>
      <c r="QDC16" s="7"/>
      <c r="QDD16" s="7"/>
      <c r="QDE16" s="7"/>
      <c r="QDF16" s="7"/>
      <c r="QDG16" s="7"/>
      <c r="QDH16" s="7"/>
      <c r="QDI16" s="7"/>
      <c r="QDJ16" s="7"/>
      <c r="QDK16" s="7"/>
      <c r="QDL16" s="7"/>
      <c r="QDM16" s="7"/>
      <c r="QDN16" s="7"/>
      <c r="QDO16" s="7"/>
      <c r="QDP16" s="7"/>
      <c r="QDQ16" s="7"/>
      <c r="QDR16" s="7"/>
      <c r="QDS16" s="7"/>
      <c r="QDT16" s="7"/>
      <c r="QDU16" s="7"/>
      <c r="QDV16" s="7"/>
      <c r="QDW16" s="7"/>
      <c r="QDX16" s="7"/>
      <c r="QDY16" s="7"/>
      <c r="QDZ16" s="7"/>
      <c r="QEA16" s="7"/>
      <c r="QEB16" s="7"/>
      <c r="QEC16" s="7"/>
      <c r="QED16" s="7"/>
      <c r="QEE16" s="7"/>
      <c r="QEF16" s="7"/>
      <c r="QEG16" s="7"/>
      <c r="QEH16" s="7"/>
      <c r="QEI16" s="7"/>
      <c r="QEJ16" s="7"/>
      <c r="QEK16" s="7"/>
      <c r="QEL16" s="7"/>
      <c r="QEM16" s="7"/>
      <c r="QEN16" s="7"/>
      <c r="QEO16" s="7"/>
      <c r="QEP16" s="7"/>
      <c r="QEQ16" s="7"/>
      <c r="QER16" s="7"/>
      <c r="QES16" s="7"/>
      <c r="QET16" s="7"/>
      <c r="QEU16" s="7"/>
      <c r="QEV16" s="7"/>
      <c r="QEW16" s="7"/>
      <c r="QEX16" s="7"/>
      <c r="QEY16" s="7"/>
      <c r="QEZ16" s="7"/>
      <c r="QFA16" s="7"/>
      <c r="QFB16" s="7"/>
      <c r="QFC16" s="7"/>
      <c r="QFD16" s="7"/>
      <c r="QFE16" s="7"/>
      <c r="QFF16" s="7"/>
      <c r="QFG16" s="7"/>
      <c r="QFH16" s="7"/>
      <c r="QFI16" s="7"/>
      <c r="QFJ16" s="7"/>
      <c r="QFK16" s="7"/>
      <c r="QFL16" s="7"/>
      <c r="QFM16" s="7"/>
      <c r="QFN16" s="7"/>
      <c r="QFO16" s="7"/>
      <c r="QFP16" s="7"/>
      <c r="QFQ16" s="7"/>
      <c r="QFR16" s="7"/>
      <c r="QFS16" s="7"/>
      <c r="QFT16" s="7"/>
      <c r="QFU16" s="7"/>
      <c r="QFV16" s="7"/>
      <c r="QFW16" s="7"/>
      <c r="QFX16" s="7"/>
      <c r="QFY16" s="7"/>
      <c r="QFZ16" s="7"/>
      <c r="QGA16" s="7"/>
      <c r="QGB16" s="7"/>
      <c r="QGC16" s="7"/>
      <c r="QGD16" s="7"/>
      <c r="QGE16" s="7"/>
      <c r="QGF16" s="7"/>
      <c r="QGG16" s="7"/>
      <c r="QGH16" s="7"/>
      <c r="QGI16" s="7"/>
      <c r="QGJ16" s="7"/>
      <c r="QGK16" s="7"/>
      <c r="QGL16" s="7"/>
      <c r="QGM16" s="7"/>
      <c r="QGN16" s="7"/>
      <c r="QGO16" s="7"/>
      <c r="QGP16" s="7"/>
      <c r="QGQ16" s="7"/>
      <c r="QGR16" s="7"/>
      <c r="QGS16" s="7"/>
      <c r="QGT16" s="7"/>
      <c r="QGU16" s="7"/>
      <c r="QGV16" s="7"/>
      <c r="QGW16" s="7"/>
      <c r="QGX16" s="7"/>
      <c r="QGY16" s="7"/>
      <c r="QGZ16" s="7"/>
      <c r="QHA16" s="7"/>
      <c r="QHB16" s="7"/>
      <c r="QHC16" s="7"/>
      <c r="QHD16" s="7"/>
      <c r="QHE16" s="7"/>
      <c r="QHF16" s="7"/>
      <c r="QHG16" s="7"/>
      <c r="QHH16" s="7"/>
      <c r="QHI16" s="7"/>
      <c r="QHJ16" s="7"/>
      <c r="QHK16" s="7"/>
      <c r="QHL16" s="7"/>
      <c r="QHM16" s="7"/>
      <c r="QHN16" s="7"/>
      <c r="QHO16" s="7"/>
      <c r="QHP16" s="7"/>
      <c r="QHQ16" s="7"/>
      <c r="QHR16" s="7"/>
      <c r="QHS16" s="7"/>
      <c r="QHT16" s="7"/>
      <c r="QHU16" s="7"/>
      <c r="QHV16" s="7"/>
      <c r="QHW16" s="7"/>
      <c r="QHX16" s="7"/>
      <c r="QHY16" s="7"/>
      <c r="QHZ16" s="7"/>
      <c r="QIA16" s="7"/>
      <c r="QIB16" s="7"/>
      <c r="QIC16" s="7"/>
      <c r="QID16" s="7"/>
      <c r="QIE16" s="7"/>
      <c r="QIF16" s="7"/>
      <c r="QIG16" s="7"/>
      <c r="QIH16" s="7"/>
      <c r="QII16" s="7"/>
      <c r="QIJ16" s="7"/>
      <c r="QIK16" s="7"/>
      <c r="QIL16" s="7"/>
      <c r="QIM16" s="7"/>
      <c r="QIN16" s="7"/>
      <c r="QIO16" s="7"/>
      <c r="QIP16" s="7"/>
      <c r="QIQ16" s="7"/>
      <c r="QIR16" s="7"/>
      <c r="QIS16" s="7"/>
      <c r="QIT16" s="7"/>
      <c r="QIU16" s="7"/>
      <c r="QIV16" s="7"/>
      <c r="QIW16" s="7"/>
      <c r="QIX16" s="7"/>
      <c r="QIY16" s="7"/>
      <c r="QIZ16" s="7"/>
      <c r="QJA16" s="7"/>
      <c r="QJB16" s="7"/>
      <c r="QJC16" s="7"/>
      <c r="QJD16" s="7"/>
      <c r="QJE16" s="7"/>
      <c r="QJF16" s="7"/>
      <c r="QJG16" s="7"/>
      <c r="QJH16" s="7"/>
      <c r="QJI16" s="7"/>
      <c r="QJJ16" s="7"/>
      <c r="QJK16" s="7"/>
      <c r="QJL16" s="7"/>
      <c r="QJM16" s="7"/>
      <c r="QJN16" s="7"/>
      <c r="QJO16" s="7"/>
      <c r="QJP16" s="7"/>
      <c r="QJQ16" s="7"/>
      <c r="QJR16" s="7"/>
      <c r="QJS16" s="7"/>
      <c r="QJT16" s="7"/>
      <c r="QJU16" s="7"/>
      <c r="QJV16" s="7"/>
      <c r="QJW16" s="7"/>
      <c r="QJX16" s="7"/>
      <c r="QJY16" s="7"/>
      <c r="QJZ16" s="7"/>
      <c r="QKA16" s="7"/>
      <c r="QKB16" s="7"/>
      <c r="QKC16" s="7"/>
      <c r="QKD16" s="7"/>
      <c r="QKE16" s="7"/>
      <c r="QKF16" s="7"/>
      <c r="QKG16" s="7"/>
      <c r="QKH16" s="7"/>
      <c r="QKI16" s="7"/>
      <c r="QKJ16" s="7"/>
      <c r="QKK16" s="7"/>
      <c r="QKL16" s="7"/>
      <c r="QKM16" s="7"/>
      <c r="QKN16" s="7"/>
      <c r="QKO16" s="7"/>
      <c r="QKP16" s="7"/>
      <c r="QKQ16" s="7"/>
      <c r="QKR16" s="7"/>
      <c r="QKS16" s="7"/>
      <c r="QKT16" s="7"/>
      <c r="QKU16" s="7"/>
      <c r="QKV16" s="7"/>
      <c r="QKW16" s="7"/>
      <c r="QKX16" s="7"/>
      <c r="QKY16" s="7"/>
      <c r="QKZ16" s="7"/>
      <c r="QLA16" s="7"/>
      <c r="QLB16" s="7"/>
      <c r="QLC16" s="7"/>
      <c r="QLD16" s="7"/>
      <c r="QLE16" s="7"/>
      <c r="QLF16" s="7"/>
      <c r="QLG16" s="7"/>
      <c r="QLH16" s="7"/>
      <c r="QLI16" s="7"/>
      <c r="QLJ16" s="7"/>
      <c r="QLK16" s="7"/>
      <c r="QLL16" s="7"/>
      <c r="QLM16" s="7"/>
      <c r="QLN16" s="7"/>
      <c r="QLO16" s="7"/>
      <c r="QLP16" s="7"/>
      <c r="QLQ16" s="7"/>
      <c r="QLR16" s="7"/>
      <c r="QLS16" s="7"/>
      <c r="QLT16" s="7"/>
      <c r="QLU16" s="7"/>
      <c r="QLV16" s="7"/>
      <c r="QLW16" s="7"/>
      <c r="QLX16" s="7"/>
      <c r="QLY16" s="7"/>
      <c r="QLZ16" s="7"/>
      <c r="QMA16" s="7"/>
      <c r="QMB16" s="7"/>
      <c r="QMC16" s="7"/>
      <c r="QMD16" s="7"/>
      <c r="QME16" s="7"/>
      <c r="QMF16" s="7"/>
      <c r="QMG16" s="7"/>
      <c r="QMH16" s="7"/>
      <c r="QMI16" s="7"/>
      <c r="QMJ16" s="7"/>
      <c r="QMK16" s="7"/>
      <c r="QML16" s="7"/>
      <c r="QMM16" s="7"/>
      <c r="QMN16" s="7"/>
      <c r="QMO16" s="7"/>
      <c r="QMP16" s="7"/>
      <c r="QMQ16" s="7"/>
      <c r="QMR16" s="7"/>
      <c r="QMS16" s="7"/>
      <c r="QMT16" s="7"/>
      <c r="QMU16" s="7"/>
      <c r="QMV16" s="7"/>
      <c r="QMW16" s="7"/>
      <c r="QMX16" s="7"/>
      <c r="QMY16" s="7"/>
      <c r="QMZ16" s="7"/>
      <c r="QNA16" s="7"/>
      <c r="QNB16" s="7"/>
      <c r="QNC16" s="7"/>
      <c r="QND16" s="7"/>
      <c r="QNE16" s="7"/>
      <c r="QNF16" s="7"/>
      <c r="QNG16" s="7"/>
      <c r="QNH16" s="7"/>
      <c r="QNI16" s="7"/>
      <c r="QNJ16" s="7"/>
      <c r="QNK16" s="7"/>
      <c r="QNL16" s="7"/>
      <c r="QNM16" s="7"/>
      <c r="QNN16" s="7"/>
      <c r="QNO16" s="7"/>
      <c r="QNP16" s="7"/>
      <c r="QNQ16" s="7"/>
      <c r="QNR16" s="7"/>
      <c r="QNS16" s="7"/>
      <c r="QNT16" s="7"/>
      <c r="QNU16" s="7"/>
      <c r="QNV16" s="7"/>
      <c r="QNW16" s="7"/>
      <c r="QNX16" s="7"/>
      <c r="QNY16" s="7"/>
      <c r="QNZ16" s="7"/>
      <c r="QOA16" s="7"/>
      <c r="QOB16" s="7"/>
      <c r="QOC16" s="7"/>
      <c r="QOD16" s="7"/>
      <c r="QOE16" s="7"/>
      <c r="QOF16" s="7"/>
      <c r="QOG16" s="7"/>
      <c r="QOH16" s="7"/>
      <c r="QOI16" s="7"/>
      <c r="QOJ16" s="7"/>
      <c r="QOK16" s="7"/>
      <c r="QOL16" s="7"/>
      <c r="QOM16" s="7"/>
      <c r="QON16" s="7"/>
      <c r="QOO16" s="7"/>
      <c r="QOP16" s="7"/>
      <c r="QOQ16" s="7"/>
      <c r="QOR16" s="7"/>
      <c r="QOS16" s="7"/>
      <c r="QOT16" s="7"/>
      <c r="QOU16" s="7"/>
      <c r="QOV16" s="7"/>
      <c r="QOW16" s="7"/>
      <c r="QOX16" s="7"/>
      <c r="QOY16" s="7"/>
      <c r="QOZ16" s="7"/>
      <c r="QPA16" s="7"/>
      <c r="QPB16" s="7"/>
      <c r="QPC16" s="7"/>
      <c r="QPD16" s="7"/>
      <c r="QPE16" s="7"/>
      <c r="QPF16" s="7"/>
      <c r="QPG16" s="7"/>
      <c r="QPH16" s="7"/>
      <c r="QPI16" s="7"/>
      <c r="QPJ16" s="7"/>
      <c r="QPK16" s="7"/>
      <c r="QPL16" s="7"/>
      <c r="QPM16" s="7"/>
      <c r="QPN16" s="7"/>
      <c r="QPO16" s="7"/>
      <c r="QPP16" s="7"/>
      <c r="QPQ16" s="7"/>
      <c r="QPR16" s="7"/>
      <c r="QPS16" s="7"/>
      <c r="QPT16" s="7"/>
      <c r="QPU16" s="7"/>
      <c r="QPV16" s="7"/>
      <c r="QPW16" s="7"/>
      <c r="QPX16" s="7"/>
      <c r="QPY16" s="7"/>
      <c r="QPZ16" s="7"/>
      <c r="QQA16" s="7"/>
      <c r="QQB16" s="7"/>
      <c r="QQC16" s="7"/>
      <c r="QQD16" s="7"/>
      <c r="QQE16" s="7"/>
      <c r="QQF16" s="7"/>
      <c r="QQG16" s="7"/>
      <c r="QQH16" s="7"/>
      <c r="QQI16" s="7"/>
      <c r="QQJ16" s="7"/>
      <c r="QQK16" s="7"/>
      <c r="QQL16" s="7"/>
      <c r="QQM16" s="7"/>
      <c r="QQN16" s="7"/>
      <c r="QQO16" s="7"/>
      <c r="QQP16" s="7"/>
      <c r="QQQ16" s="7"/>
      <c r="QQR16" s="7"/>
      <c r="QQS16" s="7"/>
      <c r="QQT16" s="7"/>
      <c r="QQU16" s="7"/>
      <c r="QQV16" s="7"/>
      <c r="QQW16" s="7"/>
      <c r="QQX16" s="7"/>
      <c r="QQY16" s="7"/>
      <c r="QQZ16" s="7"/>
      <c r="QRA16" s="7"/>
      <c r="QRB16" s="7"/>
      <c r="QRC16" s="7"/>
      <c r="QRD16" s="7"/>
      <c r="QRE16" s="7"/>
      <c r="QRF16" s="7"/>
      <c r="QRG16" s="7"/>
      <c r="QRH16" s="7"/>
      <c r="QRI16" s="7"/>
      <c r="QRJ16" s="7"/>
      <c r="QRK16" s="7"/>
      <c r="QRL16" s="7"/>
      <c r="QRM16" s="7"/>
      <c r="QRN16" s="7"/>
      <c r="QRO16" s="7"/>
      <c r="QRP16" s="7"/>
      <c r="QRQ16" s="7"/>
      <c r="QRR16" s="7"/>
      <c r="QRS16" s="7"/>
      <c r="QRT16" s="7"/>
      <c r="QRU16" s="7"/>
      <c r="QRV16" s="7"/>
      <c r="QRW16" s="7"/>
      <c r="QRX16" s="7"/>
      <c r="QRY16" s="7"/>
      <c r="QRZ16" s="7"/>
      <c r="QSA16" s="7"/>
      <c r="QSB16" s="7"/>
      <c r="QSC16" s="7"/>
      <c r="QSD16" s="7"/>
      <c r="QSE16" s="7"/>
      <c r="QSF16" s="7"/>
      <c r="QSG16" s="7"/>
      <c r="QSH16" s="7"/>
      <c r="QSI16" s="7"/>
      <c r="QSJ16" s="7"/>
      <c r="QSK16" s="7"/>
      <c r="QSL16" s="7"/>
      <c r="QSM16" s="7"/>
      <c r="QSN16" s="7"/>
      <c r="QSO16" s="7"/>
      <c r="QSP16" s="7"/>
      <c r="QSQ16" s="7"/>
      <c r="QSR16" s="7"/>
      <c r="QSS16" s="7"/>
      <c r="QST16" s="7"/>
      <c r="QSU16" s="7"/>
      <c r="QSV16" s="7"/>
      <c r="QSW16" s="7"/>
      <c r="QSX16" s="7"/>
      <c r="QSY16" s="7"/>
      <c r="QSZ16" s="7"/>
      <c r="QTA16" s="7"/>
      <c r="QTB16" s="7"/>
      <c r="QTC16" s="7"/>
      <c r="QTD16" s="7"/>
      <c r="QTE16" s="7"/>
      <c r="QTF16" s="7"/>
      <c r="QTG16" s="7"/>
      <c r="QTH16" s="7"/>
      <c r="QTI16" s="7"/>
      <c r="QTJ16" s="7"/>
      <c r="QTK16" s="7"/>
      <c r="QTL16" s="7"/>
      <c r="QTM16" s="7"/>
      <c r="QTN16" s="7"/>
      <c r="QTO16" s="7"/>
      <c r="QTP16" s="7"/>
      <c r="QTQ16" s="7"/>
      <c r="QTR16" s="7"/>
      <c r="QTS16" s="7"/>
      <c r="QTT16" s="7"/>
      <c r="QTU16" s="7"/>
      <c r="QTV16" s="7"/>
      <c r="QTW16" s="7"/>
      <c r="QTX16" s="7"/>
      <c r="QTY16" s="7"/>
      <c r="QTZ16" s="7"/>
      <c r="QUA16" s="7"/>
      <c r="QUB16" s="7"/>
      <c r="QUC16" s="7"/>
      <c r="QUD16" s="7"/>
      <c r="QUE16" s="7"/>
      <c r="QUF16" s="7"/>
      <c r="QUG16" s="7"/>
      <c r="QUH16" s="7"/>
      <c r="QUI16" s="7"/>
      <c r="QUJ16" s="7"/>
      <c r="QUK16" s="7"/>
      <c r="QUL16" s="7"/>
      <c r="QUM16" s="7"/>
      <c r="QUN16" s="7"/>
      <c r="QUO16" s="7"/>
      <c r="QUP16" s="7"/>
      <c r="QUQ16" s="7"/>
      <c r="QUR16" s="7"/>
      <c r="QUS16" s="7"/>
      <c r="QUT16" s="7"/>
      <c r="QUU16" s="7"/>
      <c r="QUV16" s="7"/>
      <c r="QUW16" s="7"/>
      <c r="QUX16" s="7"/>
      <c r="QUY16" s="7"/>
      <c r="QUZ16" s="7"/>
      <c r="QVA16" s="7"/>
      <c r="QVB16" s="7"/>
      <c r="QVC16" s="7"/>
      <c r="QVD16" s="7"/>
      <c r="QVE16" s="7"/>
      <c r="QVF16" s="7"/>
      <c r="QVG16" s="7"/>
      <c r="QVH16" s="7"/>
      <c r="QVI16" s="7"/>
      <c r="QVJ16" s="7"/>
      <c r="QVK16" s="7"/>
      <c r="QVL16" s="7"/>
      <c r="QVM16" s="7"/>
      <c r="QVN16" s="7"/>
      <c r="QVO16" s="7"/>
      <c r="QVP16" s="7"/>
      <c r="QVQ16" s="7"/>
      <c r="QVR16" s="7"/>
      <c r="QVS16" s="7"/>
      <c r="QVT16" s="7"/>
      <c r="QVU16" s="7"/>
      <c r="QVV16" s="7"/>
      <c r="QVW16" s="7"/>
      <c r="QVX16" s="7"/>
      <c r="QVY16" s="7"/>
      <c r="QVZ16" s="7"/>
      <c r="QWA16" s="7"/>
      <c r="QWB16" s="7"/>
      <c r="QWC16" s="7"/>
      <c r="QWD16" s="7"/>
      <c r="QWE16" s="7"/>
      <c r="QWF16" s="7"/>
      <c r="QWG16" s="7"/>
      <c r="QWH16" s="7"/>
      <c r="QWI16" s="7"/>
      <c r="QWJ16" s="7"/>
      <c r="QWK16" s="7"/>
      <c r="QWL16" s="7"/>
      <c r="QWM16" s="7"/>
      <c r="QWN16" s="7"/>
      <c r="QWO16" s="7"/>
      <c r="QWP16" s="7"/>
      <c r="QWQ16" s="7"/>
      <c r="QWR16" s="7"/>
      <c r="QWS16" s="7"/>
      <c r="QWT16" s="7"/>
      <c r="QWU16" s="7"/>
      <c r="QWV16" s="7"/>
      <c r="QWW16" s="7"/>
      <c r="QWX16" s="7"/>
      <c r="QWY16" s="7"/>
      <c r="QWZ16" s="7"/>
      <c r="QXA16" s="7"/>
      <c r="QXB16" s="7"/>
      <c r="QXC16" s="7"/>
      <c r="QXD16" s="7"/>
      <c r="QXE16" s="7"/>
      <c r="QXF16" s="7"/>
      <c r="QXG16" s="7"/>
      <c r="QXH16" s="7"/>
      <c r="QXI16" s="7"/>
      <c r="QXJ16" s="7"/>
      <c r="QXK16" s="7"/>
      <c r="QXL16" s="7"/>
      <c r="QXM16" s="7"/>
      <c r="QXN16" s="7"/>
      <c r="QXO16" s="7"/>
      <c r="QXP16" s="7"/>
      <c r="QXQ16" s="7"/>
      <c r="QXR16" s="7"/>
      <c r="QXS16" s="7"/>
      <c r="QXT16" s="7"/>
      <c r="QXU16" s="7"/>
      <c r="QXV16" s="7"/>
      <c r="QXW16" s="7"/>
      <c r="QXX16" s="7"/>
      <c r="QXY16" s="7"/>
      <c r="QXZ16" s="7"/>
      <c r="QYA16" s="7"/>
      <c r="QYB16" s="7"/>
      <c r="QYC16" s="7"/>
      <c r="QYD16" s="7"/>
      <c r="QYE16" s="7"/>
      <c r="QYF16" s="7"/>
      <c r="QYG16" s="7"/>
      <c r="QYH16" s="7"/>
      <c r="QYI16" s="7"/>
      <c r="QYJ16" s="7"/>
      <c r="QYK16" s="7"/>
      <c r="QYL16" s="7"/>
      <c r="QYM16" s="7"/>
      <c r="QYN16" s="7"/>
      <c r="QYO16" s="7"/>
      <c r="QYP16" s="7"/>
      <c r="QYQ16" s="7"/>
      <c r="QYR16" s="7"/>
      <c r="QYS16" s="7"/>
      <c r="QYT16" s="7"/>
      <c r="QYU16" s="7"/>
      <c r="QYV16" s="7"/>
      <c r="QYW16" s="7"/>
      <c r="QYX16" s="7"/>
      <c r="QYY16" s="7"/>
      <c r="QYZ16" s="7"/>
      <c r="QZA16" s="7"/>
      <c r="QZB16" s="7"/>
      <c r="QZC16" s="7"/>
      <c r="QZD16" s="7"/>
      <c r="QZE16" s="7"/>
      <c r="QZF16" s="7"/>
      <c r="QZG16" s="7"/>
      <c r="QZH16" s="7"/>
      <c r="QZI16" s="7"/>
      <c r="QZJ16" s="7"/>
      <c r="QZK16" s="7"/>
      <c r="QZL16" s="7"/>
      <c r="QZM16" s="7"/>
      <c r="QZN16" s="7"/>
      <c r="QZO16" s="7"/>
      <c r="QZP16" s="7"/>
      <c r="QZQ16" s="7"/>
      <c r="QZR16" s="7"/>
      <c r="QZS16" s="7"/>
      <c r="QZT16" s="7"/>
      <c r="QZU16" s="7"/>
      <c r="QZV16" s="7"/>
      <c r="QZW16" s="7"/>
      <c r="QZX16" s="7"/>
      <c r="QZY16" s="7"/>
      <c r="QZZ16" s="7"/>
      <c r="RAA16" s="7"/>
      <c r="RAB16" s="7"/>
      <c r="RAC16" s="7"/>
      <c r="RAD16" s="7"/>
      <c r="RAE16" s="7"/>
      <c r="RAF16" s="7"/>
      <c r="RAG16" s="7"/>
      <c r="RAH16" s="7"/>
      <c r="RAI16" s="7"/>
      <c r="RAJ16" s="7"/>
      <c r="RAK16" s="7"/>
      <c r="RAL16" s="7"/>
      <c r="RAM16" s="7"/>
      <c r="RAN16" s="7"/>
      <c r="RAO16" s="7"/>
      <c r="RAP16" s="7"/>
      <c r="RAQ16" s="7"/>
      <c r="RAR16" s="7"/>
      <c r="RAS16" s="7"/>
      <c r="RAT16" s="7"/>
      <c r="RAU16" s="7"/>
      <c r="RAV16" s="7"/>
      <c r="RAW16" s="7"/>
      <c r="RAX16" s="7"/>
      <c r="RAY16" s="7"/>
      <c r="RAZ16" s="7"/>
      <c r="RBA16" s="7"/>
      <c r="RBB16" s="7"/>
      <c r="RBC16" s="7"/>
      <c r="RBD16" s="7"/>
      <c r="RBE16" s="7"/>
      <c r="RBF16" s="7"/>
      <c r="RBG16" s="7"/>
      <c r="RBH16" s="7"/>
      <c r="RBI16" s="7"/>
      <c r="RBJ16" s="7"/>
      <c r="RBK16" s="7"/>
      <c r="RBL16" s="7"/>
      <c r="RBM16" s="7"/>
      <c r="RBN16" s="7"/>
      <c r="RBO16" s="7"/>
      <c r="RBP16" s="7"/>
      <c r="RBQ16" s="7"/>
      <c r="RBR16" s="7"/>
      <c r="RBS16" s="7"/>
      <c r="RBT16" s="7"/>
      <c r="RBU16" s="7"/>
      <c r="RBV16" s="7"/>
      <c r="RBW16" s="7"/>
      <c r="RBX16" s="7"/>
      <c r="RBY16" s="7"/>
      <c r="RBZ16" s="7"/>
      <c r="RCA16" s="7"/>
      <c r="RCB16" s="7"/>
      <c r="RCC16" s="7"/>
      <c r="RCD16" s="7"/>
      <c r="RCE16" s="7"/>
      <c r="RCF16" s="7"/>
      <c r="RCG16" s="7"/>
      <c r="RCH16" s="7"/>
      <c r="RCI16" s="7"/>
      <c r="RCJ16" s="7"/>
      <c r="RCK16" s="7"/>
      <c r="RCL16" s="7"/>
      <c r="RCM16" s="7"/>
      <c r="RCN16" s="7"/>
      <c r="RCO16" s="7"/>
      <c r="RCP16" s="7"/>
      <c r="RCQ16" s="7"/>
      <c r="RCR16" s="7"/>
      <c r="RCS16" s="7"/>
      <c r="RCT16" s="7"/>
      <c r="RCU16" s="7"/>
      <c r="RCV16" s="7"/>
      <c r="RCW16" s="7"/>
      <c r="RCX16" s="7"/>
      <c r="RCY16" s="7"/>
      <c r="RCZ16" s="7"/>
      <c r="RDA16" s="7"/>
      <c r="RDB16" s="7"/>
      <c r="RDC16" s="7"/>
      <c r="RDD16" s="7"/>
      <c r="RDE16" s="7"/>
      <c r="RDF16" s="7"/>
      <c r="RDG16" s="7"/>
      <c r="RDH16" s="7"/>
      <c r="RDI16" s="7"/>
      <c r="RDJ16" s="7"/>
      <c r="RDK16" s="7"/>
      <c r="RDL16" s="7"/>
      <c r="RDM16" s="7"/>
      <c r="RDN16" s="7"/>
      <c r="RDO16" s="7"/>
      <c r="RDP16" s="7"/>
      <c r="RDQ16" s="7"/>
      <c r="RDR16" s="7"/>
      <c r="RDS16" s="7"/>
      <c r="RDT16" s="7"/>
      <c r="RDU16" s="7"/>
      <c r="RDV16" s="7"/>
      <c r="RDW16" s="7"/>
      <c r="RDX16" s="7"/>
      <c r="RDY16" s="7"/>
      <c r="RDZ16" s="7"/>
      <c r="REA16" s="7"/>
      <c r="REB16" s="7"/>
      <c r="REC16" s="7"/>
      <c r="RED16" s="7"/>
      <c r="REE16" s="7"/>
      <c r="REF16" s="7"/>
      <c r="REG16" s="7"/>
      <c r="REH16" s="7"/>
      <c r="REI16" s="7"/>
      <c r="REJ16" s="7"/>
      <c r="REK16" s="7"/>
      <c r="REL16" s="7"/>
      <c r="REM16" s="7"/>
      <c r="REN16" s="7"/>
      <c r="REO16" s="7"/>
      <c r="REP16" s="7"/>
      <c r="REQ16" s="7"/>
      <c r="RER16" s="7"/>
      <c r="RES16" s="7"/>
      <c r="RET16" s="7"/>
      <c r="REU16" s="7"/>
      <c r="REV16" s="7"/>
      <c r="REW16" s="7"/>
      <c r="REX16" s="7"/>
      <c r="REY16" s="7"/>
      <c r="REZ16" s="7"/>
      <c r="RFA16" s="7"/>
      <c r="RFB16" s="7"/>
      <c r="RFC16" s="7"/>
      <c r="RFD16" s="7"/>
      <c r="RFE16" s="7"/>
      <c r="RFF16" s="7"/>
      <c r="RFG16" s="7"/>
      <c r="RFH16" s="7"/>
      <c r="RFI16" s="7"/>
      <c r="RFJ16" s="7"/>
      <c r="RFK16" s="7"/>
      <c r="RFL16" s="7"/>
      <c r="RFM16" s="7"/>
      <c r="RFN16" s="7"/>
      <c r="RFO16" s="7"/>
      <c r="RFP16" s="7"/>
      <c r="RFQ16" s="7"/>
      <c r="RFR16" s="7"/>
      <c r="RFS16" s="7"/>
      <c r="RFT16" s="7"/>
      <c r="RFU16" s="7"/>
      <c r="RFV16" s="7"/>
      <c r="RFW16" s="7"/>
      <c r="RFX16" s="7"/>
      <c r="RFY16" s="7"/>
      <c r="RFZ16" s="7"/>
      <c r="RGA16" s="7"/>
      <c r="RGB16" s="7"/>
      <c r="RGC16" s="7"/>
      <c r="RGD16" s="7"/>
      <c r="RGE16" s="7"/>
      <c r="RGF16" s="7"/>
      <c r="RGG16" s="7"/>
      <c r="RGH16" s="7"/>
      <c r="RGI16" s="7"/>
      <c r="RGJ16" s="7"/>
      <c r="RGK16" s="7"/>
      <c r="RGL16" s="7"/>
      <c r="RGM16" s="7"/>
      <c r="RGN16" s="7"/>
      <c r="RGO16" s="7"/>
      <c r="RGP16" s="7"/>
      <c r="RGQ16" s="7"/>
      <c r="RGR16" s="7"/>
      <c r="RGS16" s="7"/>
      <c r="RGT16" s="7"/>
      <c r="RGU16" s="7"/>
      <c r="RGV16" s="7"/>
      <c r="RGW16" s="7"/>
      <c r="RGX16" s="7"/>
      <c r="RGY16" s="7"/>
      <c r="RGZ16" s="7"/>
      <c r="RHA16" s="7"/>
      <c r="RHB16" s="7"/>
      <c r="RHC16" s="7"/>
      <c r="RHD16" s="7"/>
      <c r="RHE16" s="7"/>
      <c r="RHF16" s="7"/>
      <c r="RHG16" s="7"/>
      <c r="RHH16" s="7"/>
      <c r="RHI16" s="7"/>
      <c r="RHJ16" s="7"/>
      <c r="RHK16" s="7"/>
      <c r="RHL16" s="7"/>
      <c r="RHM16" s="7"/>
      <c r="RHN16" s="7"/>
      <c r="RHO16" s="7"/>
      <c r="RHP16" s="7"/>
      <c r="RHQ16" s="7"/>
      <c r="RHR16" s="7"/>
      <c r="RHS16" s="7"/>
      <c r="RHT16" s="7"/>
      <c r="RHU16" s="7"/>
      <c r="RHV16" s="7"/>
      <c r="RHW16" s="7"/>
      <c r="RHX16" s="7"/>
      <c r="RHY16" s="7"/>
      <c r="RHZ16" s="7"/>
      <c r="RIA16" s="7"/>
      <c r="RIB16" s="7"/>
      <c r="RIC16" s="7"/>
      <c r="RID16" s="7"/>
      <c r="RIE16" s="7"/>
      <c r="RIF16" s="7"/>
      <c r="RIG16" s="7"/>
      <c r="RIH16" s="7"/>
      <c r="RII16" s="7"/>
      <c r="RIJ16" s="7"/>
      <c r="RIK16" s="7"/>
      <c r="RIL16" s="7"/>
      <c r="RIM16" s="7"/>
      <c r="RIN16" s="7"/>
      <c r="RIO16" s="7"/>
      <c r="RIP16" s="7"/>
      <c r="RIQ16" s="7"/>
      <c r="RIR16" s="7"/>
      <c r="RIS16" s="7"/>
      <c r="RIT16" s="7"/>
      <c r="RIU16" s="7"/>
      <c r="RIV16" s="7"/>
      <c r="RIW16" s="7"/>
      <c r="RIX16" s="7"/>
      <c r="RIY16" s="7"/>
      <c r="RIZ16" s="7"/>
      <c r="RJA16" s="7"/>
      <c r="RJB16" s="7"/>
      <c r="RJC16" s="7"/>
      <c r="RJD16" s="7"/>
      <c r="RJE16" s="7"/>
      <c r="RJF16" s="7"/>
      <c r="RJG16" s="7"/>
      <c r="RJH16" s="7"/>
      <c r="RJI16" s="7"/>
      <c r="RJJ16" s="7"/>
      <c r="RJK16" s="7"/>
      <c r="RJL16" s="7"/>
      <c r="RJM16" s="7"/>
      <c r="RJN16" s="7"/>
      <c r="RJO16" s="7"/>
      <c r="RJP16" s="7"/>
      <c r="RJQ16" s="7"/>
      <c r="RJR16" s="7"/>
      <c r="RJS16" s="7"/>
      <c r="RJT16" s="7"/>
      <c r="RJU16" s="7"/>
      <c r="RJV16" s="7"/>
      <c r="RJW16" s="7"/>
      <c r="RJX16" s="7"/>
      <c r="RJY16" s="7"/>
      <c r="RJZ16" s="7"/>
      <c r="RKA16" s="7"/>
      <c r="RKB16" s="7"/>
      <c r="RKC16" s="7"/>
      <c r="RKD16" s="7"/>
      <c r="RKE16" s="7"/>
      <c r="RKF16" s="7"/>
      <c r="RKG16" s="7"/>
      <c r="RKH16" s="7"/>
      <c r="RKI16" s="7"/>
      <c r="RKJ16" s="7"/>
      <c r="RKK16" s="7"/>
      <c r="RKL16" s="7"/>
      <c r="RKM16" s="7"/>
      <c r="RKN16" s="7"/>
      <c r="RKO16" s="7"/>
      <c r="RKP16" s="7"/>
      <c r="RKQ16" s="7"/>
      <c r="RKR16" s="7"/>
      <c r="RKS16" s="7"/>
      <c r="RKT16" s="7"/>
      <c r="RKU16" s="7"/>
      <c r="RKV16" s="7"/>
      <c r="RKW16" s="7"/>
      <c r="RKX16" s="7"/>
      <c r="RKY16" s="7"/>
      <c r="RKZ16" s="7"/>
      <c r="RLA16" s="7"/>
      <c r="RLB16" s="7"/>
      <c r="RLC16" s="7"/>
      <c r="RLD16" s="7"/>
      <c r="RLE16" s="7"/>
      <c r="RLF16" s="7"/>
      <c r="RLG16" s="7"/>
      <c r="RLH16" s="7"/>
      <c r="RLI16" s="7"/>
      <c r="RLJ16" s="7"/>
      <c r="RLK16" s="7"/>
      <c r="RLL16" s="7"/>
      <c r="RLM16" s="7"/>
      <c r="RLN16" s="7"/>
      <c r="RLO16" s="7"/>
      <c r="RLP16" s="7"/>
      <c r="RLQ16" s="7"/>
      <c r="RLR16" s="7"/>
      <c r="RLS16" s="7"/>
      <c r="RLT16" s="7"/>
      <c r="RLU16" s="7"/>
      <c r="RLV16" s="7"/>
      <c r="RLW16" s="7"/>
      <c r="RLX16" s="7"/>
      <c r="RLY16" s="7"/>
      <c r="RLZ16" s="7"/>
      <c r="RMA16" s="7"/>
      <c r="RMB16" s="7"/>
      <c r="RMC16" s="7"/>
      <c r="RMD16" s="7"/>
      <c r="RME16" s="7"/>
      <c r="RMF16" s="7"/>
      <c r="RMG16" s="7"/>
      <c r="RMH16" s="7"/>
      <c r="RMI16" s="7"/>
      <c r="RMJ16" s="7"/>
      <c r="RMK16" s="7"/>
      <c r="RML16" s="7"/>
      <c r="RMM16" s="7"/>
      <c r="RMN16" s="7"/>
      <c r="RMO16" s="7"/>
      <c r="RMP16" s="7"/>
      <c r="RMQ16" s="7"/>
      <c r="RMR16" s="7"/>
      <c r="RMS16" s="7"/>
      <c r="RMT16" s="7"/>
      <c r="RMU16" s="7"/>
      <c r="RMV16" s="7"/>
      <c r="RMW16" s="7"/>
      <c r="RMX16" s="7"/>
      <c r="RMY16" s="7"/>
      <c r="RMZ16" s="7"/>
      <c r="RNA16" s="7"/>
      <c r="RNB16" s="7"/>
      <c r="RNC16" s="7"/>
      <c r="RND16" s="7"/>
      <c r="RNE16" s="7"/>
      <c r="RNF16" s="7"/>
      <c r="RNG16" s="7"/>
      <c r="RNH16" s="7"/>
      <c r="RNI16" s="7"/>
      <c r="RNJ16" s="7"/>
      <c r="RNK16" s="7"/>
      <c r="RNL16" s="7"/>
      <c r="RNM16" s="7"/>
      <c r="RNN16" s="7"/>
      <c r="RNO16" s="7"/>
      <c r="RNP16" s="7"/>
      <c r="RNQ16" s="7"/>
      <c r="RNR16" s="7"/>
      <c r="RNS16" s="7"/>
      <c r="RNT16" s="7"/>
      <c r="RNU16" s="7"/>
      <c r="RNV16" s="7"/>
      <c r="RNW16" s="7"/>
      <c r="RNX16" s="7"/>
      <c r="RNY16" s="7"/>
      <c r="RNZ16" s="7"/>
      <c r="ROA16" s="7"/>
      <c r="ROB16" s="7"/>
      <c r="ROC16" s="7"/>
      <c r="ROD16" s="7"/>
      <c r="ROE16" s="7"/>
      <c r="ROF16" s="7"/>
      <c r="ROG16" s="7"/>
      <c r="ROH16" s="7"/>
      <c r="ROI16" s="7"/>
      <c r="ROJ16" s="7"/>
      <c r="ROK16" s="7"/>
      <c r="ROL16" s="7"/>
      <c r="ROM16" s="7"/>
      <c r="RON16" s="7"/>
      <c r="ROO16" s="7"/>
      <c r="ROP16" s="7"/>
      <c r="ROQ16" s="7"/>
      <c r="ROR16" s="7"/>
      <c r="ROS16" s="7"/>
      <c r="ROT16" s="7"/>
      <c r="ROU16" s="7"/>
      <c r="ROV16" s="7"/>
      <c r="ROW16" s="7"/>
      <c r="ROX16" s="7"/>
      <c r="ROY16" s="7"/>
      <c r="ROZ16" s="7"/>
      <c r="RPA16" s="7"/>
      <c r="RPB16" s="7"/>
      <c r="RPC16" s="7"/>
      <c r="RPD16" s="7"/>
      <c r="RPE16" s="7"/>
      <c r="RPF16" s="7"/>
      <c r="RPG16" s="7"/>
      <c r="RPH16" s="7"/>
      <c r="RPI16" s="7"/>
      <c r="RPJ16" s="7"/>
      <c r="RPK16" s="7"/>
      <c r="RPL16" s="7"/>
      <c r="RPM16" s="7"/>
      <c r="RPN16" s="7"/>
      <c r="RPO16" s="7"/>
      <c r="RPP16" s="7"/>
      <c r="RPQ16" s="7"/>
      <c r="RPR16" s="7"/>
      <c r="RPS16" s="7"/>
      <c r="RPT16" s="7"/>
      <c r="RPU16" s="7"/>
      <c r="RPV16" s="7"/>
      <c r="RPW16" s="7"/>
      <c r="RPX16" s="7"/>
      <c r="RPY16" s="7"/>
      <c r="RPZ16" s="7"/>
      <c r="RQA16" s="7"/>
      <c r="RQB16" s="7"/>
      <c r="RQC16" s="7"/>
      <c r="RQD16" s="7"/>
      <c r="RQE16" s="7"/>
      <c r="RQF16" s="7"/>
      <c r="RQG16" s="7"/>
      <c r="RQH16" s="7"/>
      <c r="RQI16" s="7"/>
      <c r="RQJ16" s="7"/>
      <c r="RQK16" s="7"/>
      <c r="RQL16" s="7"/>
      <c r="RQM16" s="7"/>
      <c r="RQN16" s="7"/>
      <c r="RQO16" s="7"/>
      <c r="RQP16" s="7"/>
      <c r="RQQ16" s="7"/>
      <c r="RQR16" s="7"/>
      <c r="RQS16" s="7"/>
      <c r="RQT16" s="7"/>
      <c r="RQU16" s="7"/>
      <c r="RQV16" s="7"/>
      <c r="RQW16" s="7"/>
      <c r="RQX16" s="7"/>
      <c r="RQY16" s="7"/>
      <c r="RQZ16" s="7"/>
      <c r="RRA16" s="7"/>
      <c r="RRB16" s="7"/>
      <c r="RRC16" s="7"/>
      <c r="RRD16" s="7"/>
      <c r="RRE16" s="7"/>
      <c r="RRF16" s="7"/>
      <c r="RRG16" s="7"/>
      <c r="RRH16" s="7"/>
      <c r="RRI16" s="7"/>
      <c r="RRJ16" s="7"/>
      <c r="RRK16" s="7"/>
      <c r="RRL16" s="7"/>
      <c r="RRM16" s="7"/>
      <c r="RRN16" s="7"/>
      <c r="RRO16" s="7"/>
      <c r="RRP16" s="7"/>
      <c r="RRQ16" s="7"/>
      <c r="RRR16" s="7"/>
      <c r="RRS16" s="7"/>
      <c r="RRT16" s="7"/>
      <c r="RRU16" s="7"/>
      <c r="RRV16" s="7"/>
      <c r="RRW16" s="7"/>
      <c r="RRX16" s="7"/>
      <c r="RRY16" s="7"/>
      <c r="RRZ16" s="7"/>
      <c r="RSA16" s="7"/>
      <c r="RSB16" s="7"/>
      <c r="RSC16" s="7"/>
      <c r="RSD16" s="7"/>
      <c r="RSE16" s="7"/>
      <c r="RSF16" s="7"/>
      <c r="RSG16" s="7"/>
      <c r="RSH16" s="7"/>
      <c r="RSI16" s="7"/>
      <c r="RSJ16" s="7"/>
      <c r="RSK16" s="7"/>
      <c r="RSL16" s="7"/>
      <c r="RSM16" s="7"/>
      <c r="RSN16" s="7"/>
      <c r="RSO16" s="7"/>
      <c r="RSP16" s="7"/>
      <c r="RSQ16" s="7"/>
      <c r="RSR16" s="7"/>
      <c r="RSS16" s="7"/>
      <c r="RST16" s="7"/>
      <c r="RSU16" s="7"/>
      <c r="RSV16" s="7"/>
      <c r="RSW16" s="7"/>
      <c r="RSX16" s="7"/>
      <c r="RSY16" s="7"/>
      <c r="RSZ16" s="7"/>
      <c r="RTA16" s="7"/>
      <c r="RTB16" s="7"/>
      <c r="RTC16" s="7"/>
      <c r="RTD16" s="7"/>
      <c r="RTE16" s="7"/>
      <c r="RTF16" s="7"/>
      <c r="RTG16" s="7"/>
      <c r="RTH16" s="7"/>
      <c r="RTI16" s="7"/>
      <c r="RTJ16" s="7"/>
      <c r="RTK16" s="7"/>
      <c r="RTL16" s="7"/>
      <c r="RTM16" s="7"/>
      <c r="RTN16" s="7"/>
      <c r="RTO16" s="7"/>
      <c r="RTP16" s="7"/>
      <c r="RTQ16" s="7"/>
      <c r="RTR16" s="7"/>
      <c r="RTS16" s="7"/>
      <c r="RTT16" s="7"/>
      <c r="RTU16" s="7"/>
      <c r="RTV16" s="7"/>
      <c r="RTW16" s="7"/>
      <c r="RTX16" s="7"/>
      <c r="RTY16" s="7"/>
      <c r="RTZ16" s="7"/>
      <c r="RUA16" s="7"/>
      <c r="RUB16" s="7"/>
      <c r="RUC16" s="7"/>
      <c r="RUD16" s="7"/>
      <c r="RUE16" s="7"/>
      <c r="RUF16" s="7"/>
      <c r="RUG16" s="7"/>
      <c r="RUH16" s="7"/>
      <c r="RUI16" s="7"/>
      <c r="RUJ16" s="7"/>
      <c r="RUK16" s="7"/>
      <c r="RUL16" s="7"/>
      <c r="RUM16" s="7"/>
      <c r="RUN16" s="7"/>
      <c r="RUO16" s="7"/>
      <c r="RUP16" s="7"/>
      <c r="RUQ16" s="7"/>
      <c r="RUR16" s="7"/>
      <c r="RUS16" s="7"/>
      <c r="RUT16" s="7"/>
      <c r="RUU16" s="7"/>
      <c r="RUV16" s="7"/>
      <c r="RUW16" s="7"/>
      <c r="RUX16" s="7"/>
      <c r="RUY16" s="7"/>
      <c r="RUZ16" s="7"/>
      <c r="RVA16" s="7"/>
      <c r="RVB16" s="7"/>
      <c r="RVC16" s="7"/>
      <c r="RVD16" s="7"/>
      <c r="RVE16" s="7"/>
      <c r="RVF16" s="7"/>
      <c r="RVG16" s="7"/>
      <c r="RVH16" s="7"/>
      <c r="RVI16" s="7"/>
      <c r="RVJ16" s="7"/>
      <c r="RVK16" s="7"/>
      <c r="RVL16" s="7"/>
      <c r="RVM16" s="7"/>
      <c r="RVN16" s="7"/>
      <c r="RVO16" s="7"/>
      <c r="RVP16" s="7"/>
      <c r="RVQ16" s="7"/>
      <c r="RVR16" s="7"/>
      <c r="RVS16" s="7"/>
      <c r="RVT16" s="7"/>
      <c r="RVU16" s="7"/>
      <c r="RVV16" s="7"/>
      <c r="RVW16" s="7"/>
      <c r="RVX16" s="7"/>
      <c r="RVY16" s="7"/>
      <c r="RVZ16" s="7"/>
      <c r="RWA16" s="7"/>
      <c r="RWB16" s="7"/>
      <c r="RWC16" s="7"/>
      <c r="RWD16" s="7"/>
      <c r="RWE16" s="7"/>
      <c r="RWF16" s="7"/>
      <c r="RWG16" s="7"/>
      <c r="RWH16" s="7"/>
      <c r="RWI16" s="7"/>
      <c r="RWJ16" s="7"/>
      <c r="RWK16" s="7"/>
      <c r="RWL16" s="7"/>
      <c r="RWM16" s="7"/>
      <c r="RWN16" s="7"/>
      <c r="RWO16" s="7"/>
      <c r="RWP16" s="7"/>
      <c r="RWQ16" s="7"/>
      <c r="RWR16" s="7"/>
      <c r="RWS16" s="7"/>
      <c r="RWT16" s="7"/>
      <c r="RWU16" s="7"/>
      <c r="RWV16" s="7"/>
      <c r="RWW16" s="7"/>
      <c r="RWX16" s="7"/>
      <c r="RWY16" s="7"/>
      <c r="RWZ16" s="7"/>
      <c r="RXA16" s="7"/>
      <c r="RXB16" s="7"/>
      <c r="RXC16" s="7"/>
      <c r="RXD16" s="7"/>
      <c r="RXE16" s="7"/>
      <c r="RXF16" s="7"/>
      <c r="RXG16" s="7"/>
      <c r="RXH16" s="7"/>
      <c r="RXI16" s="7"/>
      <c r="RXJ16" s="7"/>
      <c r="RXK16" s="7"/>
      <c r="RXL16" s="7"/>
      <c r="RXM16" s="7"/>
      <c r="RXN16" s="7"/>
      <c r="RXO16" s="7"/>
      <c r="RXP16" s="7"/>
      <c r="RXQ16" s="7"/>
      <c r="RXR16" s="7"/>
      <c r="RXS16" s="7"/>
      <c r="RXT16" s="7"/>
      <c r="RXU16" s="7"/>
      <c r="RXV16" s="7"/>
      <c r="RXW16" s="7"/>
      <c r="RXX16" s="7"/>
      <c r="RXY16" s="7"/>
      <c r="RXZ16" s="7"/>
      <c r="RYA16" s="7"/>
      <c r="RYB16" s="7"/>
      <c r="RYC16" s="7"/>
      <c r="RYD16" s="7"/>
      <c r="RYE16" s="7"/>
      <c r="RYF16" s="7"/>
      <c r="RYG16" s="7"/>
      <c r="RYH16" s="7"/>
      <c r="RYI16" s="7"/>
      <c r="RYJ16" s="7"/>
      <c r="RYK16" s="7"/>
      <c r="RYL16" s="7"/>
      <c r="RYM16" s="7"/>
      <c r="RYN16" s="7"/>
      <c r="RYO16" s="7"/>
      <c r="RYP16" s="7"/>
      <c r="RYQ16" s="7"/>
      <c r="RYR16" s="7"/>
      <c r="RYS16" s="7"/>
      <c r="RYT16" s="7"/>
      <c r="RYU16" s="7"/>
      <c r="RYV16" s="7"/>
      <c r="RYW16" s="7"/>
      <c r="RYX16" s="7"/>
      <c r="RYY16" s="7"/>
      <c r="RYZ16" s="7"/>
      <c r="RZA16" s="7"/>
      <c r="RZB16" s="7"/>
      <c r="RZC16" s="7"/>
      <c r="RZD16" s="7"/>
      <c r="RZE16" s="7"/>
      <c r="RZF16" s="7"/>
      <c r="RZG16" s="7"/>
      <c r="RZH16" s="7"/>
      <c r="RZI16" s="7"/>
      <c r="RZJ16" s="7"/>
      <c r="RZK16" s="7"/>
      <c r="RZL16" s="7"/>
      <c r="RZM16" s="7"/>
      <c r="RZN16" s="7"/>
      <c r="RZO16" s="7"/>
      <c r="RZP16" s="7"/>
      <c r="RZQ16" s="7"/>
      <c r="RZR16" s="7"/>
      <c r="RZS16" s="7"/>
      <c r="RZT16" s="7"/>
      <c r="RZU16" s="7"/>
      <c r="RZV16" s="7"/>
      <c r="RZW16" s="7"/>
      <c r="RZX16" s="7"/>
      <c r="RZY16" s="7"/>
      <c r="RZZ16" s="7"/>
      <c r="SAA16" s="7"/>
      <c r="SAB16" s="7"/>
      <c r="SAC16" s="7"/>
      <c r="SAD16" s="7"/>
      <c r="SAE16" s="7"/>
      <c r="SAF16" s="7"/>
      <c r="SAG16" s="7"/>
      <c r="SAH16" s="7"/>
      <c r="SAI16" s="7"/>
      <c r="SAJ16" s="7"/>
      <c r="SAK16" s="7"/>
      <c r="SAL16" s="7"/>
      <c r="SAM16" s="7"/>
      <c r="SAN16" s="7"/>
      <c r="SAO16" s="7"/>
      <c r="SAP16" s="7"/>
      <c r="SAQ16" s="7"/>
      <c r="SAR16" s="7"/>
      <c r="SAS16" s="7"/>
      <c r="SAT16" s="7"/>
      <c r="SAU16" s="7"/>
      <c r="SAV16" s="7"/>
      <c r="SAW16" s="7"/>
      <c r="SAX16" s="7"/>
      <c r="SAY16" s="7"/>
      <c r="SAZ16" s="7"/>
      <c r="SBA16" s="7"/>
      <c r="SBB16" s="7"/>
      <c r="SBC16" s="7"/>
      <c r="SBD16" s="7"/>
      <c r="SBE16" s="7"/>
      <c r="SBF16" s="7"/>
      <c r="SBG16" s="7"/>
      <c r="SBH16" s="7"/>
      <c r="SBI16" s="7"/>
      <c r="SBJ16" s="7"/>
      <c r="SBK16" s="7"/>
      <c r="SBL16" s="7"/>
      <c r="SBM16" s="7"/>
      <c r="SBN16" s="7"/>
      <c r="SBO16" s="7"/>
      <c r="SBP16" s="7"/>
      <c r="SBQ16" s="7"/>
      <c r="SBR16" s="7"/>
      <c r="SBS16" s="7"/>
      <c r="SBT16" s="7"/>
      <c r="SBU16" s="7"/>
      <c r="SBV16" s="7"/>
      <c r="SBW16" s="7"/>
      <c r="SBX16" s="7"/>
      <c r="SBY16" s="7"/>
      <c r="SBZ16" s="7"/>
      <c r="SCA16" s="7"/>
      <c r="SCB16" s="7"/>
      <c r="SCC16" s="7"/>
      <c r="SCD16" s="7"/>
      <c r="SCE16" s="7"/>
      <c r="SCF16" s="7"/>
      <c r="SCG16" s="7"/>
      <c r="SCH16" s="7"/>
      <c r="SCI16" s="7"/>
      <c r="SCJ16" s="7"/>
      <c r="SCK16" s="7"/>
      <c r="SCL16" s="7"/>
      <c r="SCM16" s="7"/>
      <c r="SCN16" s="7"/>
      <c r="SCO16" s="7"/>
      <c r="SCP16" s="7"/>
      <c r="SCQ16" s="7"/>
      <c r="SCR16" s="7"/>
      <c r="SCS16" s="7"/>
      <c r="SCT16" s="7"/>
      <c r="SCU16" s="7"/>
      <c r="SCV16" s="7"/>
      <c r="SCW16" s="7"/>
      <c r="SCX16" s="7"/>
      <c r="SCY16" s="7"/>
      <c r="SCZ16" s="7"/>
      <c r="SDA16" s="7"/>
      <c r="SDB16" s="7"/>
      <c r="SDC16" s="7"/>
      <c r="SDD16" s="7"/>
      <c r="SDE16" s="7"/>
      <c r="SDF16" s="7"/>
      <c r="SDG16" s="7"/>
      <c r="SDH16" s="7"/>
      <c r="SDI16" s="7"/>
      <c r="SDJ16" s="7"/>
      <c r="SDK16" s="7"/>
      <c r="SDL16" s="7"/>
      <c r="SDM16" s="7"/>
      <c r="SDN16" s="7"/>
      <c r="SDO16" s="7"/>
      <c r="SDP16" s="7"/>
      <c r="SDQ16" s="7"/>
      <c r="SDR16" s="7"/>
      <c r="SDS16" s="7"/>
      <c r="SDT16" s="7"/>
      <c r="SDU16" s="7"/>
      <c r="SDV16" s="7"/>
      <c r="SDW16" s="7"/>
      <c r="SDX16" s="7"/>
      <c r="SDY16" s="7"/>
      <c r="SDZ16" s="7"/>
      <c r="SEA16" s="7"/>
      <c r="SEB16" s="7"/>
      <c r="SEC16" s="7"/>
      <c r="SED16" s="7"/>
      <c r="SEE16" s="7"/>
      <c r="SEF16" s="7"/>
      <c r="SEG16" s="7"/>
      <c r="SEH16" s="7"/>
      <c r="SEI16" s="7"/>
      <c r="SEJ16" s="7"/>
      <c r="SEK16" s="7"/>
      <c r="SEL16" s="7"/>
      <c r="SEM16" s="7"/>
      <c r="SEN16" s="7"/>
      <c r="SEO16" s="7"/>
      <c r="SEP16" s="7"/>
      <c r="SEQ16" s="7"/>
      <c r="SER16" s="7"/>
      <c r="SES16" s="7"/>
      <c r="SET16" s="7"/>
      <c r="SEU16" s="7"/>
      <c r="SEV16" s="7"/>
      <c r="SEW16" s="7"/>
      <c r="SEX16" s="7"/>
      <c r="SEY16" s="7"/>
      <c r="SEZ16" s="7"/>
      <c r="SFA16" s="7"/>
      <c r="SFB16" s="7"/>
      <c r="SFC16" s="7"/>
      <c r="SFD16" s="7"/>
      <c r="SFE16" s="7"/>
      <c r="SFF16" s="7"/>
      <c r="SFG16" s="7"/>
      <c r="SFH16" s="7"/>
      <c r="SFI16" s="7"/>
      <c r="SFJ16" s="7"/>
      <c r="SFK16" s="7"/>
      <c r="SFL16" s="7"/>
      <c r="SFM16" s="7"/>
      <c r="SFN16" s="7"/>
      <c r="SFO16" s="7"/>
      <c r="SFP16" s="7"/>
      <c r="SFQ16" s="7"/>
      <c r="SFR16" s="7"/>
      <c r="SFS16" s="7"/>
      <c r="SFT16" s="7"/>
      <c r="SFU16" s="7"/>
      <c r="SFV16" s="7"/>
      <c r="SFW16" s="7"/>
      <c r="SFX16" s="7"/>
      <c r="SFY16" s="7"/>
      <c r="SFZ16" s="7"/>
      <c r="SGA16" s="7"/>
      <c r="SGB16" s="7"/>
      <c r="SGC16" s="7"/>
      <c r="SGD16" s="7"/>
      <c r="SGE16" s="7"/>
      <c r="SGF16" s="7"/>
      <c r="SGG16" s="7"/>
      <c r="SGH16" s="7"/>
      <c r="SGI16" s="7"/>
      <c r="SGJ16" s="7"/>
      <c r="SGK16" s="7"/>
      <c r="SGL16" s="7"/>
      <c r="SGM16" s="7"/>
      <c r="SGN16" s="7"/>
      <c r="SGO16" s="7"/>
      <c r="SGP16" s="7"/>
      <c r="SGQ16" s="7"/>
      <c r="SGR16" s="7"/>
      <c r="SGS16" s="7"/>
      <c r="SGT16" s="7"/>
      <c r="SGU16" s="7"/>
      <c r="SGV16" s="7"/>
      <c r="SGW16" s="7"/>
      <c r="SGX16" s="7"/>
      <c r="SGY16" s="7"/>
      <c r="SGZ16" s="7"/>
      <c r="SHA16" s="7"/>
      <c r="SHB16" s="7"/>
      <c r="SHC16" s="7"/>
      <c r="SHD16" s="7"/>
      <c r="SHE16" s="7"/>
      <c r="SHF16" s="7"/>
      <c r="SHG16" s="7"/>
      <c r="SHH16" s="7"/>
      <c r="SHI16" s="7"/>
      <c r="SHJ16" s="7"/>
      <c r="SHK16" s="7"/>
      <c r="SHL16" s="7"/>
      <c r="SHM16" s="7"/>
      <c r="SHN16" s="7"/>
      <c r="SHO16" s="7"/>
      <c r="SHP16" s="7"/>
      <c r="SHQ16" s="7"/>
      <c r="SHR16" s="7"/>
      <c r="SHS16" s="7"/>
      <c r="SHT16" s="7"/>
      <c r="SHU16" s="7"/>
      <c r="SHV16" s="7"/>
      <c r="SHW16" s="7"/>
      <c r="SHX16" s="7"/>
      <c r="SHY16" s="7"/>
      <c r="SHZ16" s="7"/>
      <c r="SIA16" s="7"/>
      <c r="SIB16" s="7"/>
      <c r="SIC16" s="7"/>
      <c r="SID16" s="7"/>
      <c r="SIE16" s="7"/>
      <c r="SIF16" s="7"/>
      <c r="SIG16" s="7"/>
      <c r="SIH16" s="7"/>
      <c r="SII16" s="7"/>
      <c r="SIJ16" s="7"/>
      <c r="SIK16" s="7"/>
      <c r="SIL16" s="7"/>
      <c r="SIM16" s="7"/>
      <c r="SIN16" s="7"/>
      <c r="SIO16" s="7"/>
      <c r="SIP16" s="7"/>
      <c r="SIQ16" s="7"/>
      <c r="SIR16" s="7"/>
      <c r="SIS16" s="7"/>
      <c r="SIT16" s="7"/>
      <c r="SIU16" s="7"/>
      <c r="SIV16" s="7"/>
      <c r="SIW16" s="7"/>
      <c r="SIX16" s="7"/>
      <c r="SIY16" s="7"/>
      <c r="SIZ16" s="7"/>
      <c r="SJA16" s="7"/>
      <c r="SJB16" s="7"/>
      <c r="SJC16" s="7"/>
      <c r="SJD16" s="7"/>
      <c r="SJE16" s="7"/>
      <c r="SJF16" s="7"/>
      <c r="SJG16" s="7"/>
      <c r="SJH16" s="7"/>
      <c r="SJI16" s="7"/>
      <c r="SJJ16" s="7"/>
      <c r="SJK16" s="7"/>
      <c r="SJL16" s="7"/>
      <c r="SJM16" s="7"/>
      <c r="SJN16" s="7"/>
      <c r="SJO16" s="7"/>
      <c r="SJP16" s="7"/>
      <c r="SJQ16" s="7"/>
      <c r="SJR16" s="7"/>
      <c r="SJS16" s="7"/>
      <c r="SJT16" s="7"/>
      <c r="SJU16" s="7"/>
      <c r="SJV16" s="7"/>
      <c r="SJW16" s="7"/>
      <c r="SJX16" s="7"/>
      <c r="SJY16" s="7"/>
      <c r="SJZ16" s="7"/>
      <c r="SKA16" s="7"/>
      <c r="SKB16" s="7"/>
      <c r="SKC16" s="7"/>
      <c r="SKD16" s="7"/>
      <c r="SKE16" s="7"/>
      <c r="SKF16" s="7"/>
      <c r="SKG16" s="7"/>
      <c r="SKH16" s="7"/>
      <c r="SKI16" s="7"/>
      <c r="SKJ16" s="7"/>
      <c r="SKK16" s="7"/>
      <c r="SKL16" s="7"/>
      <c r="SKM16" s="7"/>
      <c r="SKN16" s="7"/>
      <c r="SKO16" s="7"/>
      <c r="SKP16" s="7"/>
      <c r="SKQ16" s="7"/>
      <c r="SKR16" s="7"/>
      <c r="SKS16" s="7"/>
      <c r="SKT16" s="7"/>
      <c r="SKU16" s="7"/>
      <c r="SKV16" s="7"/>
      <c r="SKW16" s="7"/>
      <c r="SKX16" s="7"/>
      <c r="SKY16" s="7"/>
      <c r="SKZ16" s="7"/>
      <c r="SLA16" s="7"/>
      <c r="SLB16" s="7"/>
      <c r="SLC16" s="7"/>
      <c r="SLD16" s="7"/>
      <c r="SLE16" s="7"/>
      <c r="SLF16" s="7"/>
      <c r="SLG16" s="7"/>
      <c r="SLH16" s="7"/>
      <c r="SLI16" s="7"/>
      <c r="SLJ16" s="7"/>
      <c r="SLK16" s="7"/>
      <c r="SLL16" s="7"/>
      <c r="SLM16" s="7"/>
      <c r="SLN16" s="7"/>
      <c r="SLO16" s="7"/>
      <c r="SLP16" s="7"/>
      <c r="SLQ16" s="7"/>
      <c r="SLR16" s="7"/>
      <c r="SLS16" s="7"/>
      <c r="SLT16" s="7"/>
      <c r="SLU16" s="7"/>
      <c r="SLV16" s="7"/>
      <c r="SLW16" s="7"/>
      <c r="SLX16" s="7"/>
      <c r="SLY16" s="7"/>
      <c r="SLZ16" s="7"/>
      <c r="SMA16" s="7"/>
      <c r="SMB16" s="7"/>
      <c r="SMC16" s="7"/>
      <c r="SMD16" s="7"/>
      <c r="SME16" s="7"/>
      <c r="SMF16" s="7"/>
      <c r="SMG16" s="7"/>
      <c r="SMH16" s="7"/>
      <c r="SMI16" s="7"/>
      <c r="SMJ16" s="7"/>
      <c r="SMK16" s="7"/>
      <c r="SML16" s="7"/>
      <c r="SMM16" s="7"/>
      <c r="SMN16" s="7"/>
      <c r="SMO16" s="7"/>
      <c r="SMP16" s="7"/>
      <c r="SMQ16" s="7"/>
      <c r="SMR16" s="7"/>
      <c r="SMS16" s="7"/>
      <c r="SMT16" s="7"/>
      <c r="SMU16" s="7"/>
      <c r="SMV16" s="7"/>
      <c r="SMW16" s="7"/>
      <c r="SMX16" s="7"/>
      <c r="SMY16" s="7"/>
      <c r="SMZ16" s="7"/>
      <c r="SNA16" s="7"/>
      <c r="SNB16" s="7"/>
      <c r="SNC16" s="7"/>
      <c r="SND16" s="7"/>
      <c r="SNE16" s="7"/>
      <c r="SNF16" s="7"/>
      <c r="SNG16" s="7"/>
      <c r="SNH16" s="7"/>
      <c r="SNI16" s="7"/>
      <c r="SNJ16" s="7"/>
      <c r="SNK16" s="7"/>
      <c r="SNL16" s="7"/>
      <c r="SNM16" s="7"/>
      <c r="SNN16" s="7"/>
      <c r="SNO16" s="7"/>
      <c r="SNP16" s="7"/>
      <c r="SNQ16" s="7"/>
      <c r="SNR16" s="7"/>
      <c r="SNS16" s="7"/>
      <c r="SNT16" s="7"/>
      <c r="SNU16" s="7"/>
      <c r="SNV16" s="7"/>
      <c r="SNW16" s="7"/>
      <c r="SNX16" s="7"/>
      <c r="SNY16" s="7"/>
      <c r="SNZ16" s="7"/>
      <c r="SOA16" s="7"/>
      <c r="SOB16" s="7"/>
      <c r="SOC16" s="7"/>
      <c r="SOD16" s="7"/>
      <c r="SOE16" s="7"/>
      <c r="SOF16" s="7"/>
      <c r="SOG16" s="7"/>
      <c r="SOH16" s="7"/>
      <c r="SOI16" s="7"/>
      <c r="SOJ16" s="7"/>
      <c r="SOK16" s="7"/>
      <c r="SOL16" s="7"/>
      <c r="SOM16" s="7"/>
      <c r="SON16" s="7"/>
      <c r="SOO16" s="7"/>
      <c r="SOP16" s="7"/>
      <c r="SOQ16" s="7"/>
      <c r="SOR16" s="7"/>
      <c r="SOS16" s="7"/>
      <c r="SOT16" s="7"/>
      <c r="SOU16" s="7"/>
      <c r="SOV16" s="7"/>
      <c r="SOW16" s="7"/>
      <c r="SOX16" s="7"/>
      <c r="SOY16" s="7"/>
      <c r="SOZ16" s="7"/>
      <c r="SPA16" s="7"/>
      <c r="SPB16" s="7"/>
      <c r="SPC16" s="7"/>
      <c r="SPD16" s="7"/>
      <c r="SPE16" s="7"/>
      <c r="SPF16" s="7"/>
      <c r="SPG16" s="7"/>
      <c r="SPH16" s="7"/>
      <c r="SPI16" s="7"/>
      <c r="SPJ16" s="7"/>
      <c r="SPK16" s="7"/>
      <c r="SPL16" s="7"/>
      <c r="SPM16" s="7"/>
      <c r="SPN16" s="7"/>
      <c r="SPO16" s="7"/>
      <c r="SPP16" s="7"/>
      <c r="SPQ16" s="7"/>
      <c r="SPR16" s="7"/>
      <c r="SPS16" s="7"/>
      <c r="SPT16" s="7"/>
      <c r="SPU16" s="7"/>
      <c r="SPV16" s="7"/>
      <c r="SPW16" s="7"/>
      <c r="SPX16" s="7"/>
      <c r="SPY16" s="7"/>
      <c r="SPZ16" s="7"/>
      <c r="SQA16" s="7"/>
      <c r="SQB16" s="7"/>
      <c r="SQC16" s="7"/>
      <c r="SQD16" s="7"/>
      <c r="SQE16" s="7"/>
      <c r="SQF16" s="7"/>
      <c r="SQG16" s="7"/>
      <c r="SQH16" s="7"/>
      <c r="SQI16" s="7"/>
      <c r="SQJ16" s="7"/>
      <c r="SQK16" s="7"/>
      <c r="SQL16" s="7"/>
      <c r="SQM16" s="7"/>
      <c r="SQN16" s="7"/>
      <c r="SQO16" s="7"/>
      <c r="SQP16" s="7"/>
      <c r="SQQ16" s="7"/>
      <c r="SQR16" s="7"/>
      <c r="SQS16" s="7"/>
      <c r="SQT16" s="7"/>
      <c r="SQU16" s="7"/>
      <c r="SQV16" s="7"/>
      <c r="SQW16" s="7"/>
      <c r="SQX16" s="7"/>
      <c r="SQY16" s="7"/>
      <c r="SQZ16" s="7"/>
      <c r="SRA16" s="7"/>
      <c r="SRB16" s="7"/>
      <c r="SRC16" s="7"/>
      <c r="SRD16" s="7"/>
      <c r="SRE16" s="7"/>
      <c r="SRF16" s="7"/>
      <c r="SRG16" s="7"/>
      <c r="SRH16" s="7"/>
      <c r="SRI16" s="7"/>
      <c r="SRJ16" s="7"/>
      <c r="SRK16" s="7"/>
      <c r="SRL16" s="7"/>
      <c r="SRM16" s="7"/>
      <c r="SRN16" s="7"/>
      <c r="SRO16" s="7"/>
      <c r="SRP16" s="7"/>
      <c r="SRQ16" s="7"/>
      <c r="SRR16" s="7"/>
      <c r="SRS16" s="7"/>
      <c r="SRT16" s="7"/>
      <c r="SRU16" s="7"/>
      <c r="SRV16" s="7"/>
      <c r="SRW16" s="7"/>
      <c r="SRX16" s="7"/>
      <c r="SRY16" s="7"/>
      <c r="SRZ16" s="7"/>
      <c r="SSA16" s="7"/>
      <c r="SSB16" s="7"/>
      <c r="SSC16" s="7"/>
      <c r="SSD16" s="7"/>
      <c r="SSE16" s="7"/>
      <c r="SSF16" s="7"/>
      <c r="SSG16" s="7"/>
      <c r="SSH16" s="7"/>
      <c r="SSI16" s="7"/>
      <c r="SSJ16" s="7"/>
      <c r="SSK16" s="7"/>
      <c r="SSL16" s="7"/>
      <c r="SSM16" s="7"/>
      <c r="SSN16" s="7"/>
      <c r="SSO16" s="7"/>
      <c r="SSP16" s="7"/>
      <c r="SSQ16" s="7"/>
      <c r="SSR16" s="7"/>
      <c r="SSS16" s="7"/>
      <c r="SST16" s="7"/>
      <c r="SSU16" s="7"/>
      <c r="SSV16" s="7"/>
      <c r="SSW16" s="7"/>
      <c r="SSX16" s="7"/>
      <c r="SSY16" s="7"/>
      <c r="SSZ16" s="7"/>
      <c r="STA16" s="7"/>
      <c r="STB16" s="7"/>
      <c r="STC16" s="7"/>
      <c r="STD16" s="7"/>
      <c r="STE16" s="7"/>
      <c r="STF16" s="7"/>
      <c r="STG16" s="7"/>
      <c r="STH16" s="7"/>
      <c r="STI16" s="7"/>
      <c r="STJ16" s="7"/>
      <c r="STK16" s="7"/>
      <c r="STL16" s="7"/>
      <c r="STM16" s="7"/>
      <c r="STN16" s="7"/>
      <c r="STO16" s="7"/>
      <c r="STP16" s="7"/>
      <c r="STQ16" s="7"/>
      <c r="STR16" s="7"/>
      <c r="STS16" s="7"/>
      <c r="STT16" s="7"/>
      <c r="STU16" s="7"/>
      <c r="STV16" s="7"/>
      <c r="STW16" s="7"/>
      <c r="STX16" s="7"/>
      <c r="STY16" s="7"/>
      <c r="STZ16" s="7"/>
      <c r="SUA16" s="7"/>
      <c r="SUB16" s="7"/>
      <c r="SUC16" s="7"/>
      <c r="SUD16" s="7"/>
      <c r="SUE16" s="7"/>
      <c r="SUF16" s="7"/>
      <c r="SUG16" s="7"/>
      <c r="SUH16" s="7"/>
      <c r="SUI16" s="7"/>
      <c r="SUJ16" s="7"/>
      <c r="SUK16" s="7"/>
      <c r="SUL16" s="7"/>
      <c r="SUM16" s="7"/>
      <c r="SUN16" s="7"/>
      <c r="SUO16" s="7"/>
      <c r="SUP16" s="7"/>
      <c r="SUQ16" s="7"/>
      <c r="SUR16" s="7"/>
      <c r="SUS16" s="7"/>
      <c r="SUT16" s="7"/>
      <c r="SUU16" s="7"/>
      <c r="SUV16" s="7"/>
      <c r="SUW16" s="7"/>
      <c r="SUX16" s="7"/>
      <c r="SUY16" s="7"/>
      <c r="SUZ16" s="7"/>
      <c r="SVA16" s="7"/>
      <c r="SVB16" s="7"/>
      <c r="SVC16" s="7"/>
      <c r="SVD16" s="7"/>
      <c r="SVE16" s="7"/>
      <c r="SVF16" s="7"/>
      <c r="SVG16" s="7"/>
      <c r="SVH16" s="7"/>
      <c r="SVI16" s="7"/>
      <c r="SVJ16" s="7"/>
      <c r="SVK16" s="7"/>
      <c r="SVL16" s="7"/>
      <c r="SVM16" s="7"/>
      <c r="SVN16" s="7"/>
      <c r="SVO16" s="7"/>
      <c r="SVP16" s="7"/>
      <c r="SVQ16" s="7"/>
      <c r="SVR16" s="7"/>
      <c r="SVS16" s="7"/>
      <c r="SVT16" s="7"/>
      <c r="SVU16" s="7"/>
      <c r="SVV16" s="7"/>
      <c r="SVW16" s="7"/>
      <c r="SVX16" s="7"/>
      <c r="SVY16" s="7"/>
      <c r="SVZ16" s="7"/>
      <c r="SWA16" s="7"/>
      <c r="SWB16" s="7"/>
      <c r="SWC16" s="7"/>
      <c r="SWD16" s="7"/>
      <c r="SWE16" s="7"/>
      <c r="SWF16" s="7"/>
      <c r="SWG16" s="7"/>
      <c r="SWH16" s="7"/>
      <c r="SWI16" s="7"/>
      <c r="SWJ16" s="7"/>
      <c r="SWK16" s="7"/>
      <c r="SWL16" s="7"/>
      <c r="SWM16" s="7"/>
      <c r="SWN16" s="7"/>
      <c r="SWO16" s="7"/>
      <c r="SWP16" s="7"/>
      <c r="SWQ16" s="7"/>
      <c r="SWR16" s="7"/>
      <c r="SWS16" s="7"/>
      <c r="SWT16" s="7"/>
      <c r="SWU16" s="7"/>
      <c r="SWV16" s="7"/>
      <c r="SWW16" s="7"/>
      <c r="SWX16" s="7"/>
      <c r="SWY16" s="7"/>
      <c r="SWZ16" s="7"/>
      <c r="SXA16" s="7"/>
      <c r="SXB16" s="7"/>
      <c r="SXC16" s="7"/>
      <c r="SXD16" s="7"/>
      <c r="SXE16" s="7"/>
      <c r="SXF16" s="7"/>
      <c r="SXG16" s="7"/>
      <c r="SXH16" s="7"/>
      <c r="SXI16" s="7"/>
      <c r="SXJ16" s="7"/>
      <c r="SXK16" s="7"/>
      <c r="SXL16" s="7"/>
      <c r="SXM16" s="7"/>
      <c r="SXN16" s="7"/>
      <c r="SXO16" s="7"/>
      <c r="SXP16" s="7"/>
      <c r="SXQ16" s="7"/>
      <c r="SXR16" s="7"/>
      <c r="SXS16" s="7"/>
      <c r="SXT16" s="7"/>
      <c r="SXU16" s="7"/>
      <c r="SXV16" s="7"/>
      <c r="SXW16" s="7"/>
      <c r="SXX16" s="7"/>
      <c r="SXY16" s="7"/>
      <c r="SXZ16" s="7"/>
      <c r="SYA16" s="7"/>
      <c r="SYB16" s="7"/>
      <c r="SYC16" s="7"/>
      <c r="SYD16" s="7"/>
      <c r="SYE16" s="7"/>
      <c r="SYF16" s="7"/>
      <c r="SYG16" s="7"/>
      <c r="SYH16" s="7"/>
      <c r="SYI16" s="7"/>
      <c r="SYJ16" s="7"/>
      <c r="SYK16" s="7"/>
      <c r="SYL16" s="7"/>
      <c r="SYM16" s="7"/>
      <c r="SYN16" s="7"/>
      <c r="SYO16" s="7"/>
      <c r="SYP16" s="7"/>
      <c r="SYQ16" s="7"/>
      <c r="SYR16" s="7"/>
      <c r="SYS16" s="7"/>
      <c r="SYT16" s="7"/>
      <c r="SYU16" s="7"/>
      <c r="SYV16" s="7"/>
      <c r="SYW16" s="7"/>
      <c r="SYX16" s="7"/>
      <c r="SYY16" s="7"/>
      <c r="SYZ16" s="7"/>
      <c r="SZA16" s="7"/>
      <c r="SZB16" s="7"/>
      <c r="SZC16" s="7"/>
      <c r="SZD16" s="7"/>
      <c r="SZE16" s="7"/>
      <c r="SZF16" s="7"/>
      <c r="SZG16" s="7"/>
      <c r="SZH16" s="7"/>
      <c r="SZI16" s="7"/>
      <c r="SZJ16" s="7"/>
      <c r="SZK16" s="7"/>
      <c r="SZL16" s="7"/>
      <c r="SZM16" s="7"/>
      <c r="SZN16" s="7"/>
      <c r="SZO16" s="7"/>
      <c r="SZP16" s="7"/>
      <c r="SZQ16" s="7"/>
      <c r="SZR16" s="7"/>
      <c r="SZS16" s="7"/>
      <c r="SZT16" s="7"/>
      <c r="SZU16" s="7"/>
      <c r="SZV16" s="7"/>
      <c r="SZW16" s="7"/>
      <c r="SZX16" s="7"/>
      <c r="SZY16" s="7"/>
      <c r="SZZ16" s="7"/>
      <c r="TAA16" s="7"/>
      <c r="TAB16" s="7"/>
      <c r="TAC16" s="7"/>
      <c r="TAD16" s="7"/>
      <c r="TAE16" s="7"/>
      <c r="TAF16" s="7"/>
      <c r="TAG16" s="7"/>
      <c r="TAH16" s="7"/>
      <c r="TAI16" s="7"/>
      <c r="TAJ16" s="7"/>
      <c r="TAK16" s="7"/>
      <c r="TAL16" s="7"/>
      <c r="TAM16" s="7"/>
      <c r="TAN16" s="7"/>
      <c r="TAO16" s="7"/>
      <c r="TAP16" s="7"/>
      <c r="TAQ16" s="7"/>
      <c r="TAR16" s="7"/>
      <c r="TAS16" s="7"/>
      <c r="TAT16" s="7"/>
      <c r="TAU16" s="7"/>
      <c r="TAV16" s="7"/>
      <c r="TAW16" s="7"/>
      <c r="TAX16" s="7"/>
      <c r="TAY16" s="7"/>
      <c r="TAZ16" s="7"/>
      <c r="TBA16" s="7"/>
      <c r="TBB16" s="7"/>
      <c r="TBC16" s="7"/>
      <c r="TBD16" s="7"/>
      <c r="TBE16" s="7"/>
      <c r="TBF16" s="7"/>
      <c r="TBG16" s="7"/>
      <c r="TBH16" s="7"/>
      <c r="TBI16" s="7"/>
      <c r="TBJ16" s="7"/>
      <c r="TBK16" s="7"/>
      <c r="TBL16" s="7"/>
      <c r="TBM16" s="7"/>
      <c r="TBN16" s="7"/>
      <c r="TBO16" s="7"/>
      <c r="TBP16" s="7"/>
      <c r="TBQ16" s="7"/>
      <c r="TBR16" s="7"/>
      <c r="TBS16" s="7"/>
      <c r="TBT16" s="7"/>
      <c r="TBU16" s="7"/>
      <c r="TBV16" s="7"/>
      <c r="TBW16" s="7"/>
      <c r="TBX16" s="7"/>
      <c r="TBY16" s="7"/>
      <c r="TBZ16" s="7"/>
      <c r="TCA16" s="7"/>
      <c r="TCB16" s="7"/>
      <c r="TCC16" s="7"/>
      <c r="TCD16" s="7"/>
      <c r="TCE16" s="7"/>
      <c r="TCF16" s="7"/>
      <c r="TCG16" s="7"/>
      <c r="TCH16" s="7"/>
      <c r="TCI16" s="7"/>
      <c r="TCJ16" s="7"/>
      <c r="TCK16" s="7"/>
      <c r="TCL16" s="7"/>
      <c r="TCM16" s="7"/>
      <c r="TCN16" s="7"/>
      <c r="TCO16" s="7"/>
      <c r="TCP16" s="7"/>
      <c r="TCQ16" s="7"/>
      <c r="TCR16" s="7"/>
      <c r="TCS16" s="7"/>
      <c r="TCT16" s="7"/>
      <c r="TCU16" s="7"/>
      <c r="TCV16" s="7"/>
      <c r="TCW16" s="7"/>
      <c r="TCX16" s="7"/>
      <c r="TCY16" s="7"/>
      <c r="TCZ16" s="7"/>
      <c r="TDA16" s="7"/>
      <c r="TDB16" s="7"/>
      <c r="TDC16" s="7"/>
      <c r="TDD16" s="7"/>
      <c r="TDE16" s="7"/>
      <c r="TDF16" s="7"/>
      <c r="TDG16" s="7"/>
      <c r="TDH16" s="7"/>
      <c r="TDI16" s="7"/>
      <c r="TDJ16" s="7"/>
      <c r="TDK16" s="7"/>
      <c r="TDL16" s="7"/>
      <c r="TDM16" s="7"/>
      <c r="TDN16" s="7"/>
      <c r="TDO16" s="7"/>
      <c r="TDP16" s="7"/>
      <c r="TDQ16" s="7"/>
      <c r="TDR16" s="7"/>
      <c r="TDS16" s="7"/>
      <c r="TDT16" s="7"/>
      <c r="TDU16" s="7"/>
      <c r="TDV16" s="7"/>
      <c r="TDW16" s="7"/>
      <c r="TDX16" s="7"/>
      <c r="TDY16" s="7"/>
      <c r="TDZ16" s="7"/>
      <c r="TEA16" s="7"/>
      <c r="TEB16" s="7"/>
      <c r="TEC16" s="7"/>
      <c r="TED16" s="7"/>
      <c r="TEE16" s="7"/>
      <c r="TEF16" s="7"/>
      <c r="TEG16" s="7"/>
      <c r="TEH16" s="7"/>
      <c r="TEI16" s="7"/>
      <c r="TEJ16" s="7"/>
      <c r="TEK16" s="7"/>
      <c r="TEL16" s="7"/>
      <c r="TEM16" s="7"/>
      <c r="TEN16" s="7"/>
      <c r="TEO16" s="7"/>
      <c r="TEP16" s="7"/>
      <c r="TEQ16" s="7"/>
      <c r="TER16" s="7"/>
      <c r="TES16" s="7"/>
      <c r="TET16" s="7"/>
      <c r="TEU16" s="7"/>
      <c r="TEV16" s="7"/>
      <c r="TEW16" s="7"/>
      <c r="TEX16" s="7"/>
      <c r="TEY16" s="7"/>
      <c r="TEZ16" s="7"/>
      <c r="TFA16" s="7"/>
      <c r="TFB16" s="7"/>
      <c r="TFC16" s="7"/>
      <c r="TFD16" s="7"/>
      <c r="TFE16" s="7"/>
      <c r="TFF16" s="7"/>
      <c r="TFG16" s="7"/>
      <c r="TFH16" s="7"/>
      <c r="TFI16" s="7"/>
      <c r="TFJ16" s="7"/>
      <c r="TFK16" s="7"/>
      <c r="TFL16" s="7"/>
      <c r="TFM16" s="7"/>
      <c r="TFN16" s="7"/>
      <c r="TFO16" s="7"/>
      <c r="TFP16" s="7"/>
      <c r="TFQ16" s="7"/>
      <c r="TFR16" s="7"/>
      <c r="TFS16" s="7"/>
      <c r="TFT16" s="7"/>
      <c r="TFU16" s="7"/>
      <c r="TFV16" s="7"/>
      <c r="TFW16" s="7"/>
      <c r="TFX16" s="7"/>
      <c r="TFY16" s="7"/>
      <c r="TFZ16" s="7"/>
      <c r="TGA16" s="7"/>
      <c r="TGB16" s="7"/>
      <c r="TGC16" s="7"/>
      <c r="TGD16" s="7"/>
      <c r="TGE16" s="7"/>
      <c r="TGF16" s="7"/>
      <c r="TGG16" s="7"/>
      <c r="TGH16" s="7"/>
      <c r="TGI16" s="7"/>
      <c r="TGJ16" s="7"/>
      <c r="TGK16" s="7"/>
      <c r="TGL16" s="7"/>
      <c r="TGM16" s="7"/>
      <c r="TGN16" s="7"/>
      <c r="TGO16" s="7"/>
      <c r="TGP16" s="7"/>
      <c r="TGQ16" s="7"/>
      <c r="TGR16" s="7"/>
      <c r="TGS16" s="7"/>
      <c r="TGT16" s="7"/>
      <c r="TGU16" s="7"/>
      <c r="TGV16" s="7"/>
      <c r="TGW16" s="7"/>
      <c r="TGX16" s="7"/>
      <c r="TGY16" s="7"/>
      <c r="TGZ16" s="7"/>
      <c r="THA16" s="7"/>
      <c r="THB16" s="7"/>
      <c r="THC16" s="7"/>
      <c r="THD16" s="7"/>
      <c r="THE16" s="7"/>
      <c r="THF16" s="7"/>
      <c r="THG16" s="7"/>
      <c r="THH16" s="7"/>
      <c r="THI16" s="7"/>
      <c r="THJ16" s="7"/>
      <c r="THK16" s="7"/>
      <c r="THL16" s="7"/>
      <c r="THM16" s="7"/>
      <c r="THN16" s="7"/>
      <c r="THO16" s="7"/>
      <c r="THP16" s="7"/>
      <c r="THQ16" s="7"/>
      <c r="THR16" s="7"/>
      <c r="THS16" s="7"/>
      <c r="THT16" s="7"/>
      <c r="THU16" s="7"/>
      <c r="THV16" s="7"/>
      <c r="THW16" s="7"/>
      <c r="THX16" s="7"/>
      <c r="THY16" s="7"/>
      <c r="THZ16" s="7"/>
      <c r="TIA16" s="7"/>
      <c r="TIB16" s="7"/>
      <c r="TIC16" s="7"/>
      <c r="TID16" s="7"/>
      <c r="TIE16" s="7"/>
      <c r="TIF16" s="7"/>
      <c r="TIG16" s="7"/>
      <c r="TIH16" s="7"/>
      <c r="TII16" s="7"/>
      <c r="TIJ16" s="7"/>
      <c r="TIK16" s="7"/>
      <c r="TIL16" s="7"/>
      <c r="TIM16" s="7"/>
      <c r="TIN16" s="7"/>
      <c r="TIO16" s="7"/>
      <c r="TIP16" s="7"/>
      <c r="TIQ16" s="7"/>
      <c r="TIR16" s="7"/>
      <c r="TIS16" s="7"/>
      <c r="TIT16" s="7"/>
      <c r="TIU16" s="7"/>
      <c r="TIV16" s="7"/>
      <c r="TIW16" s="7"/>
      <c r="TIX16" s="7"/>
      <c r="TIY16" s="7"/>
      <c r="TIZ16" s="7"/>
      <c r="TJA16" s="7"/>
      <c r="TJB16" s="7"/>
      <c r="TJC16" s="7"/>
      <c r="TJD16" s="7"/>
      <c r="TJE16" s="7"/>
      <c r="TJF16" s="7"/>
      <c r="TJG16" s="7"/>
      <c r="TJH16" s="7"/>
      <c r="TJI16" s="7"/>
      <c r="TJJ16" s="7"/>
      <c r="TJK16" s="7"/>
      <c r="TJL16" s="7"/>
      <c r="TJM16" s="7"/>
      <c r="TJN16" s="7"/>
      <c r="TJO16" s="7"/>
      <c r="TJP16" s="7"/>
      <c r="TJQ16" s="7"/>
      <c r="TJR16" s="7"/>
      <c r="TJS16" s="7"/>
      <c r="TJT16" s="7"/>
      <c r="TJU16" s="7"/>
      <c r="TJV16" s="7"/>
      <c r="TJW16" s="7"/>
      <c r="TJX16" s="7"/>
      <c r="TJY16" s="7"/>
      <c r="TJZ16" s="7"/>
      <c r="TKA16" s="7"/>
      <c r="TKB16" s="7"/>
      <c r="TKC16" s="7"/>
      <c r="TKD16" s="7"/>
      <c r="TKE16" s="7"/>
      <c r="TKF16" s="7"/>
      <c r="TKG16" s="7"/>
      <c r="TKH16" s="7"/>
      <c r="TKI16" s="7"/>
      <c r="TKJ16" s="7"/>
      <c r="TKK16" s="7"/>
      <c r="TKL16" s="7"/>
      <c r="TKM16" s="7"/>
      <c r="TKN16" s="7"/>
      <c r="TKO16" s="7"/>
      <c r="TKP16" s="7"/>
      <c r="TKQ16" s="7"/>
      <c r="TKR16" s="7"/>
      <c r="TKS16" s="7"/>
      <c r="TKT16" s="7"/>
      <c r="TKU16" s="7"/>
      <c r="TKV16" s="7"/>
      <c r="TKW16" s="7"/>
      <c r="TKX16" s="7"/>
      <c r="TKY16" s="7"/>
      <c r="TKZ16" s="7"/>
      <c r="TLA16" s="7"/>
      <c r="TLB16" s="7"/>
      <c r="TLC16" s="7"/>
      <c r="TLD16" s="7"/>
      <c r="TLE16" s="7"/>
      <c r="TLF16" s="7"/>
      <c r="TLG16" s="7"/>
      <c r="TLH16" s="7"/>
      <c r="TLI16" s="7"/>
      <c r="TLJ16" s="7"/>
      <c r="TLK16" s="7"/>
      <c r="TLL16" s="7"/>
      <c r="TLM16" s="7"/>
      <c r="TLN16" s="7"/>
      <c r="TLO16" s="7"/>
      <c r="TLP16" s="7"/>
      <c r="TLQ16" s="7"/>
      <c r="TLR16" s="7"/>
      <c r="TLS16" s="7"/>
      <c r="TLT16" s="7"/>
      <c r="TLU16" s="7"/>
      <c r="TLV16" s="7"/>
      <c r="TLW16" s="7"/>
      <c r="TLX16" s="7"/>
      <c r="TLY16" s="7"/>
      <c r="TLZ16" s="7"/>
      <c r="TMA16" s="7"/>
      <c r="TMB16" s="7"/>
      <c r="TMC16" s="7"/>
      <c r="TMD16" s="7"/>
      <c r="TME16" s="7"/>
      <c r="TMF16" s="7"/>
      <c r="TMG16" s="7"/>
      <c r="TMH16" s="7"/>
      <c r="TMI16" s="7"/>
      <c r="TMJ16" s="7"/>
      <c r="TMK16" s="7"/>
      <c r="TML16" s="7"/>
      <c r="TMM16" s="7"/>
      <c r="TMN16" s="7"/>
      <c r="TMO16" s="7"/>
      <c r="TMP16" s="7"/>
      <c r="TMQ16" s="7"/>
      <c r="TMR16" s="7"/>
      <c r="TMS16" s="7"/>
      <c r="TMT16" s="7"/>
      <c r="TMU16" s="7"/>
      <c r="TMV16" s="7"/>
      <c r="TMW16" s="7"/>
      <c r="TMX16" s="7"/>
      <c r="TMY16" s="7"/>
      <c r="TMZ16" s="7"/>
      <c r="TNA16" s="7"/>
      <c r="TNB16" s="7"/>
      <c r="TNC16" s="7"/>
      <c r="TND16" s="7"/>
      <c r="TNE16" s="7"/>
      <c r="TNF16" s="7"/>
      <c r="TNG16" s="7"/>
      <c r="TNH16" s="7"/>
      <c r="TNI16" s="7"/>
      <c r="TNJ16" s="7"/>
      <c r="TNK16" s="7"/>
      <c r="TNL16" s="7"/>
      <c r="TNM16" s="7"/>
      <c r="TNN16" s="7"/>
      <c r="TNO16" s="7"/>
      <c r="TNP16" s="7"/>
      <c r="TNQ16" s="7"/>
      <c r="TNR16" s="7"/>
      <c r="TNS16" s="7"/>
      <c r="TNT16" s="7"/>
      <c r="TNU16" s="7"/>
      <c r="TNV16" s="7"/>
      <c r="TNW16" s="7"/>
      <c r="TNX16" s="7"/>
      <c r="TNY16" s="7"/>
      <c r="TNZ16" s="7"/>
      <c r="TOA16" s="7"/>
      <c r="TOB16" s="7"/>
      <c r="TOC16" s="7"/>
      <c r="TOD16" s="7"/>
      <c r="TOE16" s="7"/>
      <c r="TOF16" s="7"/>
      <c r="TOG16" s="7"/>
      <c r="TOH16" s="7"/>
      <c r="TOI16" s="7"/>
      <c r="TOJ16" s="7"/>
      <c r="TOK16" s="7"/>
      <c r="TOL16" s="7"/>
      <c r="TOM16" s="7"/>
      <c r="TON16" s="7"/>
      <c r="TOO16" s="7"/>
      <c r="TOP16" s="7"/>
      <c r="TOQ16" s="7"/>
      <c r="TOR16" s="7"/>
      <c r="TOS16" s="7"/>
      <c r="TOT16" s="7"/>
      <c r="TOU16" s="7"/>
      <c r="TOV16" s="7"/>
      <c r="TOW16" s="7"/>
      <c r="TOX16" s="7"/>
      <c r="TOY16" s="7"/>
      <c r="TOZ16" s="7"/>
      <c r="TPA16" s="7"/>
      <c r="TPB16" s="7"/>
      <c r="TPC16" s="7"/>
      <c r="TPD16" s="7"/>
      <c r="TPE16" s="7"/>
      <c r="TPF16" s="7"/>
      <c r="TPG16" s="7"/>
      <c r="TPH16" s="7"/>
      <c r="TPI16" s="7"/>
      <c r="TPJ16" s="7"/>
      <c r="TPK16" s="7"/>
      <c r="TPL16" s="7"/>
      <c r="TPM16" s="7"/>
      <c r="TPN16" s="7"/>
      <c r="TPO16" s="7"/>
      <c r="TPP16" s="7"/>
      <c r="TPQ16" s="7"/>
      <c r="TPR16" s="7"/>
      <c r="TPS16" s="7"/>
      <c r="TPT16" s="7"/>
      <c r="TPU16" s="7"/>
      <c r="TPV16" s="7"/>
      <c r="TPW16" s="7"/>
      <c r="TPX16" s="7"/>
      <c r="TPY16" s="7"/>
      <c r="TPZ16" s="7"/>
      <c r="TQA16" s="7"/>
      <c r="TQB16" s="7"/>
      <c r="TQC16" s="7"/>
      <c r="TQD16" s="7"/>
      <c r="TQE16" s="7"/>
      <c r="TQF16" s="7"/>
      <c r="TQG16" s="7"/>
      <c r="TQH16" s="7"/>
      <c r="TQI16" s="7"/>
      <c r="TQJ16" s="7"/>
      <c r="TQK16" s="7"/>
      <c r="TQL16" s="7"/>
      <c r="TQM16" s="7"/>
      <c r="TQN16" s="7"/>
      <c r="TQO16" s="7"/>
      <c r="TQP16" s="7"/>
      <c r="TQQ16" s="7"/>
      <c r="TQR16" s="7"/>
      <c r="TQS16" s="7"/>
      <c r="TQT16" s="7"/>
      <c r="TQU16" s="7"/>
      <c r="TQV16" s="7"/>
      <c r="TQW16" s="7"/>
      <c r="TQX16" s="7"/>
      <c r="TQY16" s="7"/>
      <c r="TQZ16" s="7"/>
      <c r="TRA16" s="7"/>
      <c r="TRB16" s="7"/>
      <c r="TRC16" s="7"/>
      <c r="TRD16" s="7"/>
      <c r="TRE16" s="7"/>
      <c r="TRF16" s="7"/>
      <c r="TRG16" s="7"/>
      <c r="TRH16" s="7"/>
      <c r="TRI16" s="7"/>
      <c r="TRJ16" s="7"/>
      <c r="TRK16" s="7"/>
      <c r="TRL16" s="7"/>
      <c r="TRM16" s="7"/>
      <c r="TRN16" s="7"/>
      <c r="TRO16" s="7"/>
      <c r="TRP16" s="7"/>
      <c r="TRQ16" s="7"/>
      <c r="TRR16" s="7"/>
      <c r="TRS16" s="7"/>
      <c r="TRT16" s="7"/>
      <c r="TRU16" s="7"/>
      <c r="TRV16" s="7"/>
      <c r="TRW16" s="7"/>
      <c r="TRX16" s="7"/>
      <c r="TRY16" s="7"/>
      <c r="TRZ16" s="7"/>
      <c r="TSA16" s="7"/>
      <c r="TSB16" s="7"/>
      <c r="TSC16" s="7"/>
      <c r="TSD16" s="7"/>
      <c r="TSE16" s="7"/>
      <c r="TSF16" s="7"/>
      <c r="TSG16" s="7"/>
      <c r="TSH16" s="7"/>
      <c r="TSI16" s="7"/>
      <c r="TSJ16" s="7"/>
      <c r="TSK16" s="7"/>
      <c r="TSL16" s="7"/>
      <c r="TSM16" s="7"/>
      <c r="TSN16" s="7"/>
      <c r="TSO16" s="7"/>
      <c r="TSP16" s="7"/>
      <c r="TSQ16" s="7"/>
      <c r="TSR16" s="7"/>
      <c r="TSS16" s="7"/>
      <c r="TST16" s="7"/>
      <c r="TSU16" s="7"/>
      <c r="TSV16" s="7"/>
      <c r="TSW16" s="7"/>
      <c r="TSX16" s="7"/>
      <c r="TSY16" s="7"/>
      <c r="TSZ16" s="7"/>
      <c r="TTA16" s="7"/>
      <c r="TTB16" s="7"/>
      <c r="TTC16" s="7"/>
      <c r="TTD16" s="7"/>
      <c r="TTE16" s="7"/>
      <c r="TTF16" s="7"/>
      <c r="TTG16" s="7"/>
      <c r="TTH16" s="7"/>
      <c r="TTI16" s="7"/>
      <c r="TTJ16" s="7"/>
      <c r="TTK16" s="7"/>
      <c r="TTL16" s="7"/>
      <c r="TTM16" s="7"/>
      <c r="TTN16" s="7"/>
      <c r="TTO16" s="7"/>
      <c r="TTP16" s="7"/>
      <c r="TTQ16" s="7"/>
      <c r="TTR16" s="7"/>
      <c r="TTS16" s="7"/>
      <c r="TTT16" s="7"/>
      <c r="TTU16" s="7"/>
      <c r="TTV16" s="7"/>
      <c r="TTW16" s="7"/>
      <c r="TTX16" s="7"/>
      <c r="TTY16" s="7"/>
      <c r="TTZ16" s="7"/>
      <c r="TUA16" s="7"/>
      <c r="TUB16" s="7"/>
      <c r="TUC16" s="7"/>
      <c r="TUD16" s="7"/>
      <c r="TUE16" s="7"/>
      <c r="TUF16" s="7"/>
      <c r="TUG16" s="7"/>
      <c r="TUH16" s="7"/>
      <c r="TUI16" s="7"/>
      <c r="TUJ16" s="7"/>
      <c r="TUK16" s="7"/>
      <c r="TUL16" s="7"/>
      <c r="TUM16" s="7"/>
      <c r="TUN16" s="7"/>
      <c r="TUO16" s="7"/>
      <c r="TUP16" s="7"/>
      <c r="TUQ16" s="7"/>
      <c r="TUR16" s="7"/>
      <c r="TUS16" s="7"/>
      <c r="TUT16" s="7"/>
      <c r="TUU16" s="7"/>
      <c r="TUV16" s="7"/>
      <c r="TUW16" s="7"/>
      <c r="TUX16" s="7"/>
      <c r="TUY16" s="7"/>
      <c r="TUZ16" s="7"/>
      <c r="TVA16" s="7"/>
      <c r="TVB16" s="7"/>
      <c r="TVC16" s="7"/>
      <c r="TVD16" s="7"/>
      <c r="TVE16" s="7"/>
      <c r="TVF16" s="7"/>
      <c r="TVG16" s="7"/>
      <c r="TVH16" s="7"/>
      <c r="TVI16" s="7"/>
      <c r="TVJ16" s="7"/>
      <c r="TVK16" s="7"/>
      <c r="TVL16" s="7"/>
      <c r="TVM16" s="7"/>
      <c r="TVN16" s="7"/>
      <c r="TVO16" s="7"/>
      <c r="TVP16" s="7"/>
      <c r="TVQ16" s="7"/>
      <c r="TVR16" s="7"/>
      <c r="TVS16" s="7"/>
      <c r="TVT16" s="7"/>
      <c r="TVU16" s="7"/>
      <c r="TVV16" s="7"/>
      <c r="TVW16" s="7"/>
      <c r="TVX16" s="7"/>
      <c r="TVY16" s="7"/>
      <c r="TVZ16" s="7"/>
      <c r="TWA16" s="7"/>
      <c r="TWB16" s="7"/>
      <c r="TWC16" s="7"/>
      <c r="TWD16" s="7"/>
      <c r="TWE16" s="7"/>
      <c r="TWF16" s="7"/>
      <c r="TWG16" s="7"/>
      <c r="TWH16" s="7"/>
      <c r="TWI16" s="7"/>
      <c r="TWJ16" s="7"/>
      <c r="TWK16" s="7"/>
      <c r="TWL16" s="7"/>
      <c r="TWM16" s="7"/>
      <c r="TWN16" s="7"/>
      <c r="TWO16" s="7"/>
      <c r="TWP16" s="7"/>
      <c r="TWQ16" s="7"/>
      <c r="TWR16" s="7"/>
      <c r="TWS16" s="7"/>
      <c r="TWT16" s="7"/>
      <c r="TWU16" s="7"/>
      <c r="TWV16" s="7"/>
      <c r="TWW16" s="7"/>
      <c r="TWX16" s="7"/>
      <c r="TWY16" s="7"/>
      <c r="TWZ16" s="7"/>
      <c r="TXA16" s="7"/>
      <c r="TXB16" s="7"/>
      <c r="TXC16" s="7"/>
      <c r="TXD16" s="7"/>
      <c r="TXE16" s="7"/>
      <c r="TXF16" s="7"/>
      <c r="TXG16" s="7"/>
      <c r="TXH16" s="7"/>
      <c r="TXI16" s="7"/>
      <c r="TXJ16" s="7"/>
      <c r="TXK16" s="7"/>
      <c r="TXL16" s="7"/>
      <c r="TXM16" s="7"/>
      <c r="TXN16" s="7"/>
      <c r="TXO16" s="7"/>
      <c r="TXP16" s="7"/>
      <c r="TXQ16" s="7"/>
      <c r="TXR16" s="7"/>
      <c r="TXS16" s="7"/>
      <c r="TXT16" s="7"/>
      <c r="TXU16" s="7"/>
      <c r="TXV16" s="7"/>
      <c r="TXW16" s="7"/>
      <c r="TXX16" s="7"/>
      <c r="TXY16" s="7"/>
      <c r="TXZ16" s="7"/>
      <c r="TYA16" s="7"/>
      <c r="TYB16" s="7"/>
      <c r="TYC16" s="7"/>
      <c r="TYD16" s="7"/>
      <c r="TYE16" s="7"/>
      <c r="TYF16" s="7"/>
      <c r="TYG16" s="7"/>
      <c r="TYH16" s="7"/>
      <c r="TYI16" s="7"/>
      <c r="TYJ16" s="7"/>
      <c r="TYK16" s="7"/>
      <c r="TYL16" s="7"/>
      <c r="TYM16" s="7"/>
      <c r="TYN16" s="7"/>
      <c r="TYO16" s="7"/>
      <c r="TYP16" s="7"/>
      <c r="TYQ16" s="7"/>
      <c r="TYR16" s="7"/>
      <c r="TYS16" s="7"/>
      <c r="TYT16" s="7"/>
      <c r="TYU16" s="7"/>
      <c r="TYV16" s="7"/>
      <c r="TYW16" s="7"/>
      <c r="TYX16" s="7"/>
      <c r="TYY16" s="7"/>
      <c r="TYZ16" s="7"/>
      <c r="TZA16" s="7"/>
      <c r="TZB16" s="7"/>
      <c r="TZC16" s="7"/>
      <c r="TZD16" s="7"/>
      <c r="TZE16" s="7"/>
      <c r="TZF16" s="7"/>
      <c r="TZG16" s="7"/>
      <c r="TZH16" s="7"/>
      <c r="TZI16" s="7"/>
      <c r="TZJ16" s="7"/>
      <c r="TZK16" s="7"/>
      <c r="TZL16" s="7"/>
      <c r="TZM16" s="7"/>
      <c r="TZN16" s="7"/>
      <c r="TZO16" s="7"/>
      <c r="TZP16" s="7"/>
      <c r="TZQ16" s="7"/>
      <c r="TZR16" s="7"/>
      <c r="TZS16" s="7"/>
      <c r="TZT16" s="7"/>
      <c r="TZU16" s="7"/>
      <c r="TZV16" s="7"/>
      <c r="TZW16" s="7"/>
      <c r="TZX16" s="7"/>
      <c r="TZY16" s="7"/>
      <c r="TZZ16" s="7"/>
      <c r="UAA16" s="7"/>
      <c r="UAB16" s="7"/>
      <c r="UAC16" s="7"/>
      <c r="UAD16" s="7"/>
      <c r="UAE16" s="7"/>
      <c r="UAF16" s="7"/>
      <c r="UAG16" s="7"/>
      <c r="UAH16" s="7"/>
      <c r="UAI16" s="7"/>
      <c r="UAJ16" s="7"/>
      <c r="UAK16" s="7"/>
      <c r="UAL16" s="7"/>
      <c r="UAM16" s="7"/>
      <c r="UAN16" s="7"/>
      <c r="UAO16" s="7"/>
      <c r="UAP16" s="7"/>
      <c r="UAQ16" s="7"/>
      <c r="UAR16" s="7"/>
      <c r="UAS16" s="7"/>
      <c r="UAT16" s="7"/>
      <c r="UAU16" s="7"/>
      <c r="UAV16" s="7"/>
      <c r="UAW16" s="7"/>
      <c r="UAX16" s="7"/>
      <c r="UAY16" s="7"/>
      <c r="UAZ16" s="7"/>
      <c r="UBA16" s="7"/>
      <c r="UBB16" s="7"/>
      <c r="UBC16" s="7"/>
      <c r="UBD16" s="7"/>
      <c r="UBE16" s="7"/>
      <c r="UBF16" s="7"/>
      <c r="UBG16" s="7"/>
      <c r="UBH16" s="7"/>
      <c r="UBI16" s="7"/>
      <c r="UBJ16" s="7"/>
      <c r="UBK16" s="7"/>
      <c r="UBL16" s="7"/>
      <c r="UBM16" s="7"/>
      <c r="UBN16" s="7"/>
      <c r="UBO16" s="7"/>
      <c r="UBP16" s="7"/>
      <c r="UBQ16" s="7"/>
      <c r="UBR16" s="7"/>
      <c r="UBS16" s="7"/>
      <c r="UBT16" s="7"/>
      <c r="UBU16" s="7"/>
      <c r="UBV16" s="7"/>
      <c r="UBW16" s="7"/>
      <c r="UBX16" s="7"/>
      <c r="UBY16" s="7"/>
      <c r="UBZ16" s="7"/>
      <c r="UCA16" s="7"/>
      <c r="UCB16" s="7"/>
      <c r="UCC16" s="7"/>
      <c r="UCD16" s="7"/>
      <c r="UCE16" s="7"/>
      <c r="UCF16" s="7"/>
      <c r="UCG16" s="7"/>
      <c r="UCH16" s="7"/>
      <c r="UCI16" s="7"/>
      <c r="UCJ16" s="7"/>
      <c r="UCK16" s="7"/>
      <c r="UCL16" s="7"/>
      <c r="UCM16" s="7"/>
      <c r="UCN16" s="7"/>
      <c r="UCO16" s="7"/>
      <c r="UCP16" s="7"/>
      <c r="UCQ16" s="7"/>
      <c r="UCR16" s="7"/>
      <c r="UCS16" s="7"/>
      <c r="UCT16" s="7"/>
      <c r="UCU16" s="7"/>
      <c r="UCV16" s="7"/>
      <c r="UCW16" s="7"/>
      <c r="UCX16" s="7"/>
      <c r="UCY16" s="7"/>
      <c r="UCZ16" s="7"/>
      <c r="UDA16" s="7"/>
      <c r="UDB16" s="7"/>
      <c r="UDC16" s="7"/>
      <c r="UDD16" s="7"/>
      <c r="UDE16" s="7"/>
      <c r="UDF16" s="7"/>
      <c r="UDG16" s="7"/>
      <c r="UDH16" s="7"/>
      <c r="UDI16" s="7"/>
      <c r="UDJ16" s="7"/>
      <c r="UDK16" s="7"/>
      <c r="UDL16" s="7"/>
      <c r="UDM16" s="7"/>
      <c r="UDN16" s="7"/>
      <c r="UDO16" s="7"/>
      <c r="UDP16" s="7"/>
      <c r="UDQ16" s="7"/>
      <c r="UDR16" s="7"/>
      <c r="UDS16" s="7"/>
      <c r="UDT16" s="7"/>
      <c r="UDU16" s="7"/>
      <c r="UDV16" s="7"/>
      <c r="UDW16" s="7"/>
      <c r="UDX16" s="7"/>
      <c r="UDY16" s="7"/>
      <c r="UDZ16" s="7"/>
      <c r="UEA16" s="7"/>
      <c r="UEB16" s="7"/>
      <c r="UEC16" s="7"/>
      <c r="UED16" s="7"/>
      <c r="UEE16" s="7"/>
      <c r="UEF16" s="7"/>
      <c r="UEG16" s="7"/>
      <c r="UEH16" s="7"/>
      <c r="UEI16" s="7"/>
      <c r="UEJ16" s="7"/>
      <c r="UEK16" s="7"/>
      <c r="UEL16" s="7"/>
      <c r="UEM16" s="7"/>
      <c r="UEN16" s="7"/>
      <c r="UEO16" s="7"/>
      <c r="UEP16" s="7"/>
      <c r="UEQ16" s="7"/>
      <c r="UER16" s="7"/>
      <c r="UES16" s="7"/>
      <c r="UET16" s="7"/>
      <c r="UEU16" s="7"/>
      <c r="UEV16" s="7"/>
      <c r="UEW16" s="7"/>
      <c r="UEX16" s="7"/>
      <c r="UEY16" s="7"/>
      <c r="UEZ16" s="7"/>
      <c r="UFA16" s="7"/>
      <c r="UFB16" s="7"/>
      <c r="UFC16" s="7"/>
      <c r="UFD16" s="7"/>
      <c r="UFE16" s="7"/>
      <c r="UFF16" s="7"/>
      <c r="UFG16" s="7"/>
      <c r="UFH16" s="7"/>
      <c r="UFI16" s="7"/>
      <c r="UFJ16" s="7"/>
      <c r="UFK16" s="7"/>
      <c r="UFL16" s="7"/>
      <c r="UFM16" s="7"/>
      <c r="UFN16" s="7"/>
      <c r="UFO16" s="7"/>
      <c r="UFP16" s="7"/>
      <c r="UFQ16" s="7"/>
      <c r="UFR16" s="7"/>
      <c r="UFS16" s="7"/>
      <c r="UFT16" s="7"/>
      <c r="UFU16" s="7"/>
      <c r="UFV16" s="7"/>
      <c r="UFW16" s="7"/>
      <c r="UFX16" s="7"/>
      <c r="UFY16" s="7"/>
      <c r="UFZ16" s="7"/>
      <c r="UGA16" s="7"/>
      <c r="UGB16" s="7"/>
      <c r="UGC16" s="7"/>
      <c r="UGD16" s="7"/>
      <c r="UGE16" s="7"/>
      <c r="UGF16" s="7"/>
      <c r="UGG16" s="7"/>
      <c r="UGH16" s="7"/>
      <c r="UGI16" s="7"/>
      <c r="UGJ16" s="7"/>
      <c r="UGK16" s="7"/>
      <c r="UGL16" s="7"/>
      <c r="UGM16" s="7"/>
      <c r="UGN16" s="7"/>
      <c r="UGO16" s="7"/>
      <c r="UGP16" s="7"/>
      <c r="UGQ16" s="7"/>
      <c r="UGR16" s="7"/>
      <c r="UGS16" s="7"/>
      <c r="UGT16" s="7"/>
      <c r="UGU16" s="7"/>
      <c r="UGV16" s="7"/>
      <c r="UGW16" s="7"/>
      <c r="UGX16" s="7"/>
      <c r="UGY16" s="7"/>
      <c r="UGZ16" s="7"/>
      <c r="UHA16" s="7"/>
      <c r="UHB16" s="7"/>
      <c r="UHC16" s="7"/>
      <c r="UHD16" s="7"/>
      <c r="UHE16" s="7"/>
      <c r="UHF16" s="7"/>
      <c r="UHG16" s="7"/>
      <c r="UHH16" s="7"/>
      <c r="UHI16" s="7"/>
      <c r="UHJ16" s="7"/>
      <c r="UHK16" s="7"/>
      <c r="UHL16" s="7"/>
      <c r="UHM16" s="7"/>
      <c r="UHN16" s="7"/>
      <c r="UHO16" s="7"/>
      <c r="UHP16" s="7"/>
      <c r="UHQ16" s="7"/>
      <c r="UHR16" s="7"/>
      <c r="UHS16" s="7"/>
      <c r="UHT16" s="7"/>
      <c r="UHU16" s="7"/>
      <c r="UHV16" s="7"/>
      <c r="UHW16" s="7"/>
      <c r="UHX16" s="7"/>
      <c r="UHY16" s="7"/>
      <c r="UHZ16" s="7"/>
      <c r="UIA16" s="7"/>
      <c r="UIB16" s="7"/>
      <c r="UIC16" s="7"/>
      <c r="UID16" s="7"/>
      <c r="UIE16" s="7"/>
      <c r="UIF16" s="7"/>
      <c r="UIG16" s="7"/>
      <c r="UIH16" s="7"/>
      <c r="UII16" s="7"/>
      <c r="UIJ16" s="7"/>
      <c r="UIK16" s="7"/>
      <c r="UIL16" s="7"/>
      <c r="UIM16" s="7"/>
      <c r="UIN16" s="7"/>
      <c r="UIO16" s="7"/>
      <c r="UIP16" s="7"/>
      <c r="UIQ16" s="7"/>
      <c r="UIR16" s="7"/>
      <c r="UIS16" s="7"/>
      <c r="UIT16" s="7"/>
      <c r="UIU16" s="7"/>
      <c r="UIV16" s="7"/>
      <c r="UIW16" s="7"/>
      <c r="UIX16" s="7"/>
      <c r="UIY16" s="7"/>
      <c r="UIZ16" s="7"/>
      <c r="UJA16" s="7"/>
      <c r="UJB16" s="7"/>
      <c r="UJC16" s="7"/>
      <c r="UJD16" s="7"/>
      <c r="UJE16" s="7"/>
      <c r="UJF16" s="7"/>
      <c r="UJG16" s="7"/>
      <c r="UJH16" s="7"/>
      <c r="UJI16" s="7"/>
      <c r="UJJ16" s="7"/>
      <c r="UJK16" s="7"/>
      <c r="UJL16" s="7"/>
      <c r="UJM16" s="7"/>
      <c r="UJN16" s="7"/>
      <c r="UJO16" s="7"/>
      <c r="UJP16" s="7"/>
      <c r="UJQ16" s="7"/>
      <c r="UJR16" s="7"/>
      <c r="UJS16" s="7"/>
      <c r="UJT16" s="7"/>
      <c r="UJU16" s="7"/>
      <c r="UJV16" s="7"/>
      <c r="UJW16" s="7"/>
      <c r="UJX16" s="7"/>
      <c r="UJY16" s="7"/>
      <c r="UJZ16" s="7"/>
      <c r="UKA16" s="7"/>
      <c r="UKB16" s="7"/>
      <c r="UKC16" s="7"/>
      <c r="UKD16" s="7"/>
      <c r="UKE16" s="7"/>
      <c r="UKF16" s="7"/>
      <c r="UKG16" s="7"/>
      <c r="UKH16" s="7"/>
      <c r="UKI16" s="7"/>
      <c r="UKJ16" s="7"/>
      <c r="UKK16" s="7"/>
      <c r="UKL16" s="7"/>
      <c r="UKM16" s="7"/>
      <c r="UKN16" s="7"/>
      <c r="UKO16" s="7"/>
      <c r="UKP16" s="7"/>
      <c r="UKQ16" s="7"/>
      <c r="UKR16" s="7"/>
      <c r="UKS16" s="7"/>
      <c r="UKT16" s="7"/>
      <c r="UKU16" s="7"/>
      <c r="UKV16" s="7"/>
      <c r="UKW16" s="7"/>
      <c r="UKX16" s="7"/>
      <c r="UKY16" s="7"/>
      <c r="UKZ16" s="7"/>
      <c r="ULA16" s="7"/>
      <c r="ULB16" s="7"/>
      <c r="ULC16" s="7"/>
      <c r="ULD16" s="7"/>
      <c r="ULE16" s="7"/>
      <c r="ULF16" s="7"/>
      <c r="ULG16" s="7"/>
      <c r="ULH16" s="7"/>
      <c r="ULI16" s="7"/>
      <c r="ULJ16" s="7"/>
      <c r="ULK16" s="7"/>
      <c r="ULL16" s="7"/>
      <c r="ULM16" s="7"/>
      <c r="ULN16" s="7"/>
      <c r="ULO16" s="7"/>
      <c r="ULP16" s="7"/>
      <c r="ULQ16" s="7"/>
      <c r="ULR16" s="7"/>
      <c r="ULS16" s="7"/>
      <c r="ULT16" s="7"/>
      <c r="ULU16" s="7"/>
      <c r="ULV16" s="7"/>
      <c r="ULW16" s="7"/>
      <c r="ULX16" s="7"/>
      <c r="ULY16" s="7"/>
      <c r="ULZ16" s="7"/>
      <c r="UMA16" s="7"/>
      <c r="UMB16" s="7"/>
      <c r="UMC16" s="7"/>
      <c r="UMD16" s="7"/>
      <c r="UME16" s="7"/>
      <c r="UMF16" s="7"/>
      <c r="UMG16" s="7"/>
      <c r="UMH16" s="7"/>
      <c r="UMI16" s="7"/>
      <c r="UMJ16" s="7"/>
      <c r="UMK16" s="7"/>
      <c r="UML16" s="7"/>
      <c r="UMM16" s="7"/>
      <c r="UMN16" s="7"/>
      <c r="UMO16" s="7"/>
      <c r="UMP16" s="7"/>
      <c r="UMQ16" s="7"/>
      <c r="UMR16" s="7"/>
      <c r="UMS16" s="7"/>
      <c r="UMT16" s="7"/>
      <c r="UMU16" s="7"/>
      <c r="UMV16" s="7"/>
      <c r="UMW16" s="7"/>
      <c r="UMX16" s="7"/>
      <c r="UMY16" s="7"/>
      <c r="UMZ16" s="7"/>
      <c r="UNA16" s="7"/>
      <c r="UNB16" s="7"/>
      <c r="UNC16" s="7"/>
      <c r="UND16" s="7"/>
      <c r="UNE16" s="7"/>
      <c r="UNF16" s="7"/>
      <c r="UNG16" s="7"/>
      <c r="UNH16" s="7"/>
      <c r="UNI16" s="7"/>
      <c r="UNJ16" s="7"/>
      <c r="UNK16" s="7"/>
      <c r="UNL16" s="7"/>
      <c r="UNM16" s="7"/>
      <c r="UNN16" s="7"/>
      <c r="UNO16" s="7"/>
      <c r="UNP16" s="7"/>
      <c r="UNQ16" s="7"/>
      <c r="UNR16" s="7"/>
      <c r="UNS16" s="7"/>
      <c r="UNT16" s="7"/>
      <c r="UNU16" s="7"/>
      <c r="UNV16" s="7"/>
      <c r="UNW16" s="7"/>
      <c r="UNX16" s="7"/>
      <c r="UNY16" s="7"/>
      <c r="UNZ16" s="7"/>
      <c r="UOA16" s="7"/>
      <c r="UOB16" s="7"/>
      <c r="UOC16" s="7"/>
      <c r="UOD16" s="7"/>
      <c r="UOE16" s="7"/>
      <c r="UOF16" s="7"/>
      <c r="UOG16" s="7"/>
      <c r="UOH16" s="7"/>
      <c r="UOI16" s="7"/>
      <c r="UOJ16" s="7"/>
      <c r="UOK16" s="7"/>
      <c r="UOL16" s="7"/>
      <c r="UOM16" s="7"/>
      <c r="UON16" s="7"/>
      <c r="UOO16" s="7"/>
      <c r="UOP16" s="7"/>
      <c r="UOQ16" s="7"/>
      <c r="UOR16" s="7"/>
      <c r="UOS16" s="7"/>
      <c r="UOT16" s="7"/>
      <c r="UOU16" s="7"/>
      <c r="UOV16" s="7"/>
      <c r="UOW16" s="7"/>
      <c r="UOX16" s="7"/>
      <c r="UOY16" s="7"/>
      <c r="UOZ16" s="7"/>
      <c r="UPA16" s="7"/>
      <c r="UPB16" s="7"/>
      <c r="UPC16" s="7"/>
      <c r="UPD16" s="7"/>
      <c r="UPE16" s="7"/>
      <c r="UPF16" s="7"/>
      <c r="UPG16" s="7"/>
      <c r="UPH16" s="7"/>
      <c r="UPI16" s="7"/>
      <c r="UPJ16" s="7"/>
      <c r="UPK16" s="7"/>
      <c r="UPL16" s="7"/>
      <c r="UPM16" s="7"/>
      <c r="UPN16" s="7"/>
      <c r="UPO16" s="7"/>
      <c r="UPP16" s="7"/>
      <c r="UPQ16" s="7"/>
      <c r="UPR16" s="7"/>
      <c r="UPS16" s="7"/>
      <c r="UPT16" s="7"/>
      <c r="UPU16" s="7"/>
      <c r="UPV16" s="7"/>
      <c r="UPW16" s="7"/>
      <c r="UPX16" s="7"/>
      <c r="UPY16" s="7"/>
      <c r="UPZ16" s="7"/>
      <c r="UQA16" s="7"/>
      <c r="UQB16" s="7"/>
      <c r="UQC16" s="7"/>
      <c r="UQD16" s="7"/>
      <c r="UQE16" s="7"/>
      <c r="UQF16" s="7"/>
      <c r="UQG16" s="7"/>
      <c r="UQH16" s="7"/>
      <c r="UQI16" s="7"/>
      <c r="UQJ16" s="7"/>
      <c r="UQK16" s="7"/>
      <c r="UQL16" s="7"/>
      <c r="UQM16" s="7"/>
      <c r="UQN16" s="7"/>
      <c r="UQO16" s="7"/>
      <c r="UQP16" s="7"/>
      <c r="UQQ16" s="7"/>
      <c r="UQR16" s="7"/>
      <c r="UQS16" s="7"/>
      <c r="UQT16" s="7"/>
      <c r="UQU16" s="7"/>
      <c r="UQV16" s="7"/>
      <c r="UQW16" s="7"/>
      <c r="UQX16" s="7"/>
      <c r="UQY16" s="7"/>
      <c r="UQZ16" s="7"/>
      <c r="URA16" s="7"/>
      <c r="URB16" s="7"/>
      <c r="URC16" s="7"/>
      <c r="URD16" s="7"/>
      <c r="URE16" s="7"/>
      <c r="URF16" s="7"/>
      <c r="URG16" s="7"/>
      <c r="URH16" s="7"/>
      <c r="URI16" s="7"/>
      <c r="URJ16" s="7"/>
      <c r="URK16" s="7"/>
      <c r="URL16" s="7"/>
      <c r="URM16" s="7"/>
      <c r="URN16" s="7"/>
      <c r="URO16" s="7"/>
      <c r="URP16" s="7"/>
      <c r="URQ16" s="7"/>
      <c r="URR16" s="7"/>
      <c r="URS16" s="7"/>
      <c r="URT16" s="7"/>
      <c r="URU16" s="7"/>
      <c r="URV16" s="7"/>
      <c r="URW16" s="7"/>
      <c r="URX16" s="7"/>
      <c r="URY16" s="7"/>
      <c r="URZ16" s="7"/>
      <c r="USA16" s="7"/>
      <c r="USB16" s="7"/>
      <c r="USC16" s="7"/>
      <c r="USD16" s="7"/>
      <c r="USE16" s="7"/>
      <c r="USF16" s="7"/>
      <c r="USG16" s="7"/>
      <c r="USH16" s="7"/>
      <c r="USI16" s="7"/>
      <c r="USJ16" s="7"/>
      <c r="USK16" s="7"/>
      <c r="USL16" s="7"/>
      <c r="USM16" s="7"/>
      <c r="USN16" s="7"/>
      <c r="USO16" s="7"/>
      <c r="USP16" s="7"/>
      <c r="USQ16" s="7"/>
      <c r="USR16" s="7"/>
      <c r="USS16" s="7"/>
      <c r="UST16" s="7"/>
      <c r="USU16" s="7"/>
      <c r="USV16" s="7"/>
      <c r="USW16" s="7"/>
      <c r="USX16" s="7"/>
      <c r="USY16" s="7"/>
      <c r="USZ16" s="7"/>
      <c r="UTA16" s="7"/>
      <c r="UTB16" s="7"/>
      <c r="UTC16" s="7"/>
      <c r="UTD16" s="7"/>
      <c r="UTE16" s="7"/>
      <c r="UTF16" s="7"/>
      <c r="UTG16" s="7"/>
      <c r="UTH16" s="7"/>
      <c r="UTI16" s="7"/>
      <c r="UTJ16" s="7"/>
      <c r="UTK16" s="7"/>
      <c r="UTL16" s="7"/>
      <c r="UTM16" s="7"/>
      <c r="UTN16" s="7"/>
      <c r="UTO16" s="7"/>
      <c r="UTP16" s="7"/>
      <c r="UTQ16" s="7"/>
      <c r="UTR16" s="7"/>
      <c r="UTS16" s="7"/>
      <c r="UTT16" s="7"/>
      <c r="UTU16" s="7"/>
      <c r="UTV16" s="7"/>
      <c r="UTW16" s="7"/>
      <c r="UTX16" s="7"/>
      <c r="UTY16" s="7"/>
      <c r="UTZ16" s="7"/>
      <c r="UUA16" s="7"/>
      <c r="UUB16" s="7"/>
      <c r="UUC16" s="7"/>
      <c r="UUD16" s="7"/>
      <c r="UUE16" s="7"/>
      <c r="UUF16" s="7"/>
      <c r="UUG16" s="7"/>
      <c r="UUH16" s="7"/>
      <c r="UUI16" s="7"/>
      <c r="UUJ16" s="7"/>
      <c r="UUK16" s="7"/>
      <c r="UUL16" s="7"/>
      <c r="UUM16" s="7"/>
      <c r="UUN16" s="7"/>
      <c r="UUO16" s="7"/>
      <c r="UUP16" s="7"/>
      <c r="UUQ16" s="7"/>
      <c r="UUR16" s="7"/>
      <c r="UUS16" s="7"/>
      <c r="UUT16" s="7"/>
      <c r="UUU16" s="7"/>
      <c r="UUV16" s="7"/>
      <c r="UUW16" s="7"/>
      <c r="UUX16" s="7"/>
      <c r="UUY16" s="7"/>
      <c r="UUZ16" s="7"/>
      <c r="UVA16" s="7"/>
      <c r="UVB16" s="7"/>
      <c r="UVC16" s="7"/>
      <c r="UVD16" s="7"/>
      <c r="UVE16" s="7"/>
      <c r="UVF16" s="7"/>
      <c r="UVG16" s="7"/>
      <c r="UVH16" s="7"/>
      <c r="UVI16" s="7"/>
      <c r="UVJ16" s="7"/>
      <c r="UVK16" s="7"/>
      <c r="UVL16" s="7"/>
      <c r="UVM16" s="7"/>
      <c r="UVN16" s="7"/>
      <c r="UVO16" s="7"/>
      <c r="UVP16" s="7"/>
      <c r="UVQ16" s="7"/>
      <c r="UVR16" s="7"/>
      <c r="UVS16" s="7"/>
      <c r="UVT16" s="7"/>
      <c r="UVU16" s="7"/>
      <c r="UVV16" s="7"/>
      <c r="UVW16" s="7"/>
      <c r="UVX16" s="7"/>
      <c r="UVY16" s="7"/>
      <c r="UVZ16" s="7"/>
      <c r="UWA16" s="7"/>
      <c r="UWB16" s="7"/>
      <c r="UWC16" s="7"/>
      <c r="UWD16" s="7"/>
      <c r="UWE16" s="7"/>
      <c r="UWF16" s="7"/>
      <c r="UWG16" s="7"/>
      <c r="UWH16" s="7"/>
      <c r="UWI16" s="7"/>
      <c r="UWJ16" s="7"/>
      <c r="UWK16" s="7"/>
      <c r="UWL16" s="7"/>
      <c r="UWM16" s="7"/>
      <c r="UWN16" s="7"/>
      <c r="UWO16" s="7"/>
      <c r="UWP16" s="7"/>
      <c r="UWQ16" s="7"/>
      <c r="UWR16" s="7"/>
      <c r="UWS16" s="7"/>
      <c r="UWT16" s="7"/>
      <c r="UWU16" s="7"/>
      <c r="UWV16" s="7"/>
      <c r="UWW16" s="7"/>
      <c r="UWX16" s="7"/>
      <c r="UWY16" s="7"/>
      <c r="UWZ16" s="7"/>
      <c r="UXA16" s="7"/>
      <c r="UXB16" s="7"/>
      <c r="UXC16" s="7"/>
      <c r="UXD16" s="7"/>
      <c r="UXE16" s="7"/>
      <c r="UXF16" s="7"/>
      <c r="UXG16" s="7"/>
      <c r="UXH16" s="7"/>
      <c r="UXI16" s="7"/>
      <c r="UXJ16" s="7"/>
      <c r="UXK16" s="7"/>
      <c r="UXL16" s="7"/>
      <c r="UXM16" s="7"/>
      <c r="UXN16" s="7"/>
      <c r="UXO16" s="7"/>
      <c r="UXP16" s="7"/>
      <c r="UXQ16" s="7"/>
      <c r="UXR16" s="7"/>
      <c r="UXS16" s="7"/>
      <c r="UXT16" s="7"/>
      <c r="UXU16" s="7"/>
      <c r="UXV16" s="7"/>
      <c r="UXW16" s="7"/>
      <c r="UXX16" s="7"/>
      <c r="UXY16" s="7"/>
      <c r="UXZ16" s="7"/>
      <c r="UYA16" s="7"/>
      <c r="UYB16" s="7"/>
      <c r="UYC16" s="7"/>
      <c r="UYD16" s="7"/>
      <c r="UYE16" s="7"/>
      <c r="UYF16" s="7"/>
      <c r="UYG16" s="7"/>
      <c r="UYH16" s="7"/>
      <c r="UYI16" s="7"/>
      <c r="UYJ16" s="7"/>
      <c r="UYK16" s="7"/>
      <c r="UYL16" s="7"/>
      <c r="UYM16" s="7"/>
      <c r="UYN16" s="7"/>
      <c r="UYO16" s="7"/>
      <c r="UYP16" s="7"/>
      <c r="UYQ16" s="7"/>
      <c r="UYR16" s="7"/>
      <c r="UYS16" s="7"/>
      <c r="UYT16" s="7"/>
      <c r="UYU16" s="7"/>
      <c r="UYV16" s="7"/>
      <c r="UYW16" s="7"/>
      <c r="UYX16" s="7"/>
      <c r="UYY16" s="7"/>
      <c r="UYZ16" s="7"/>
      <c r="UZA16" s="7"/>
      <c r="UZB16" s="7"/>
      <c r="UZC16" s="7"/>
      <c r="UZD16" s="7"/>
      <c r="UZE16" s="7"/>
      <c r="UZF16" s="7"/>
      <c r="UZG16" s="7"/>
      <c r="UZH16" s="7"/>
      <c r="UZI16" s="7"/>
      <c r="UZJ16" s="7"/>
      <c r="UZK16" s="7"/>
      <c r="UZL16" s="7"/>
      <c r="UZM16" s="7"/>
      <c r="UZN16" s="7"/>
      <c r="UZO16" s="7"/>
      <c r="UZP16" s="7"/>
      <c r="UZQ16" s="7"/>
      <c r="UZR16" s="7"/>
      <c r="UZS16" s="7"/>
      <c r="UZT16" s="7"/>
      <c r="UZU16" s="7"/>
      <c r="UZV16" s="7"/>
      <c r="UZW16" s="7"/>
      <c r="UZX16" s="7"/>
      <c r="UZY16" s="7"/>
      <c r="UZZ16" s="7"/>
      <c r="VAA16" s="7"/>
      <c r="VAB16" s="7"/>
      <c r="VAC16" s="7"/>
      <c r="VAD16" s="7"/>
      <c r="VAE16" s="7"/>
      <c r="VAF16" s="7"/>
      <c r="VAG16" s="7"/>
      <c r="VAH16" s="7"/>
      <c r="VAI16" s="7"/>
      <c r="VAJ16" s="7"/>
      <c r="VAK16" s="7"/>
      <c r="VAL16" s="7"/>
      <c r="VAM16" s="7"/>
      <c r="VAN16" s="7"/>
      <c r="VAO16" s="7"/>
      <c r="VAP16" s="7"/>
      <c r="VAQ16" s="7"/>
      <c r="VAR16" s="7"/>
      <c r="VAS16" s="7"/>
      <c r="VAT16" s="7"/>
      <c r="VAU16" s="7"/>
      <c r="VAV16" s="7"/>
      <c r="VAW16" s="7"/>
      <c r="VAX16" s="7"/>
      <c r="VAY16" s="7"/>
      <c r="VAZ16" s="7"/>
      <c r="VBA16" s="7"/>
      <c r="VBB16" s="7"/>
      <c r="VBC16" s="7"/>
      <c r="VBD16" s="7"/>
      <c r="VBE16" s="7"/>
      <c r="VBF16" s="7"/>
      <c r="VBG16" s="7"/>
      <c r="VBH16" s="7"/>
      <c r="VBI16" s="7"/>
      <c r="VBJ16" s="7"/>
      <c r="VBK16" s="7"/>
      <c r="VBL16" s="7"/>
      <c r="VBM16" s="7"/>
      <c r="VBN16" s="7"/>
      <c r="VBO16" s="7"/>
      <c r="VBP16" s="7"/>
      <c r="VBQ16" s="7"/>
      <c r="VBR16" s="7"/>
      <c r="VBS16" s="7"/>
      <c r="VBT16" s="7"/>
      <c r="VBU16" s="7"/>
      <c r="VBV16" s="7"/>
      <c r="VBW16" s="7"/>
      <c r="VBX16" s="7"/>
      <c r="VBY16" s="7"/>
      <c r="VBZ16" s="7"/>
      <c r="VCA16" s="7"/>
      <c r="VCB16" s="7"/>
      <c r="VCC16" s="7"/>
      <c r="VCD16" s="7"/>
      <c r="VCE16" s="7"/>
      <c r="VCF16" s="7"/>
      <c r="VCG16" s="7"/>
      <c r="VCH16" s="7"/>
      <c r="VCI16" s="7"/>
      <c r="VCJ16" s="7"/>
      <c r="VCK16" s="7"/>
      <c r="VCL16" s="7"/>
      <c r="VCM16" s="7"/>
      <c r="VCN16" s="7"/>
      <c r="VCO16" s="7"/>
      <c r="VCP16" s="7"/>
      <c r="VCQ16" s="7"/>
      <c r="VCR16" s="7"/>
      <c r="VCS16" s="7"/>
      <c r="VCT16" s="7"/>
      <c r="VCU16" s="7"/>
      <c r="VCV16" s="7"/>
      <c r="VCW16" s="7"/>
      <c r="VCX16" s="7"/>
      <c r="VCY16" s="7"/>
      <c r="VCZ16" s="7"/>
      <c r="VDA16" s="7"/>
      <c r="VDB16" s="7"/>
      <c r="VDC16" s="7"/>
      <c r="VDD16" s="7"/>
      <c r="VDE16" s="7"/>
      <c r="VDF16" s="7"/>
      <c r="VDG16" s="7"/>
      <c r="VDH16" s="7"/>
      <c r="VDI16" s="7"/>
      <c r="VDJ16" s="7"/>
      <c r="VDK16" s="7"/>
      <c r="VDL16" s="7"/>
      <c r="VDM16" s="7"/>
      <c r="VDN16" s="7"/>
      <c r="VDO16" s="7"/>
      <c r="VDP16" s="7"/>
      <c r="VDQ16" s="7"/>
      <c r="VDR16" s="7"/>
      <c r="VDS16" s="7"/>
      <c r="VDT16" s="7"/>
      <c r="VDU16" s="7"/>
      <c r="VDV16" s="7"/>
      <c r="VDW16" s="7"/>
      <c r="VDX16" s="7"/>
      <c r="VDY16" s="7"/>
      <c r="VDZ16" s="7"/>
      <c r="VEA16" s="7"/>
      <c r="VEB16" s="7"/>
      <c r="VEC16" s="7"/>
      <c r="VED16" s="7"/>
      <c r="VEE16" s="7"/>
      <c r="VEF16" s="7"/>
      <c r="VEG16" s="7"/>
      <c r="VEH16" s="7"/>
      <c r="VEI16" s="7"/>
      <c r="VEJ16" s="7"/>
      <c r="VEK16" s="7"/>
      <c r="VEL16" s="7"/>
      <c r="VEM16" s="7"/>
      <c r="VEN16" s="7"/>
      <c r="VEO16" s="7"/>
      <c r="VEP16" s="7"/>
      <c r="VEQ16" s="7"/>
      <c r="VER16" s="7"/>
      <c r="VES16" s="7"/>
      <c r="VET16" s="7"/>
      <c r="VEU16" s="7"/>
      <c r="VEV16" s="7"/>
      <c r="VEW16" s="7"/>
      <c r="VEX16" s="7"/>
      <c r="VEY16" s="7"/>
      <c r="VEZ16" s="7"/>
      <c r="VFA16" s="7"/>
      <c r="VFB16" s="7"/>
      <c r="VFC16" s="7"/>
      <c r="VFD16" s="7"/>
      <c r="VFE16" s="7"/>
      <c r="VFF16" s="7"/>
      <c r="VFG16" s="7"/>
      <c r="VFH16" s="7"/>
      <c r="VFI16" s="7"/>
      <c r="VFJ16" s="7"/>
      <c r="VFK16" s="7"/>
      <c r="VFL16" s="7"/>
      <c r="VFM16" s="7"/>
      <c r="VFN16" s="7"/>
      <c r="VFO16" s="7"/>
      <c r="VFP16" s="7"/>
      <c r="VFQ16" s="7"/>
      <c r="VFR16" s="7"/>
      <c r="VFS16" s="7"/>
      <c r="VFT16" s="7"/>
      <c r="VFU16" s="7"/>
      <c r="VFV16" s="7"/>
      <c r="VFW16" s="7"/>
      <c r="VFX16" s="7"/>
      <c r="VFY16" s="7"/>
      <c r="VFZ16" s="7"/>
      <c r="VGA16" s="7"/>
      <c r="VGB16" s="7"/>
      <c r="VGC16" s="7"/>
      <c r="VGD16" s="7"/>
      <c r="VGE16" s="7"/>
      <c r="VGF16" s="7"/>
      <c r="VGG16" s="7"/>
      <c r="VGH16" s="7"/>
      <c r="VGI16" s="7"/>
      <c r="VGJ16" s="7"/>
      <c r="VGK16" s="7"/>
      <c r="VGL16" s="7"/>
      <c r="VGM16" s="7"/>
      <c r="VGN16" s="7"/>
      <c r="VGO16" s="7"/>
      <c r="VGP16" s="7"/>
      <c r="VGQ16" s="7"/>
      <c r="VGR16" s="7"/>
      <c r="VGS16" s="7"/>
      <c r="VGT16" s="7"/>
      <c r="VGU16" s="7"/>
      <c r="VGV16" s="7"/>
      <c r="VGW16" s="7"/>
      <c r="VGX16" s="7"/>
      <c r="VGY16" s="7"/>
      <c r="VGZ16" s="7"/>
      <c r="VHA16" s="7"/>
      <c r="VHB16" s="7"/>
      <c r="VHC16" s="7"/>
      <c r="VHD16" s="7"/>
      <c r="VHE16" s="7"/>
      <c r="VHF16" s="7"/>
      <c r="VHG16" s="7"/>
      <c r="VHH16" s="7"/>
      <c r="VHI16" s="7"/>
      <c r="VHJ16" s="7"/>
      <c r="VHK16" s="7"/>
      <c r="VHL16" s="7"/>
      <c r="VHM16" s="7"/>
      <c r="VHN16" s="7"/>
      <c r="VHO16" s="7"/>
      <c r="VHP16" s="7"/>
      <c r="VHQ16" s="7"/>
      <c r="VHR16" s="7"/>
      <c r="VHS16" s="7"/>
      <c r="VHT16" s="7"/>
      <c r="VHU16" s="7"/>
      <c r="VHV16" s="7"/>
      <c r="VHW16" s="7"/>
      <c r="VHX16" s="7"/>
      <c r="VHY16" s="7"/>
      <c r="VHZ16" s="7"/>
      <c r="VIA16" s="7"/>
      <c r="VIB16" s="7"/>
      <c r="VIC16" s="7"/>
      <c r="VID16" s="7"/>
      <c r="VIE16" s="7"/>
      <c r="VIF16" s="7"/>
      <c r="VIG16" s="7"/>
      <c r="VIH16" s="7"/>
      <c r="VII16" s="7"/>
      <c r="VIJ16" s="7"/>
      <c r="VIK16" s="7"/>
      <c r="VIL16" s="7"/>
      <c r="VIM16" s="7"/>
      <c r="VIN16" s="7"/>
      <c r="VIO16" s="7"/>
      <c r="VIP16" s="7"/>
      <c r="VIQ16" s="7"/>
      <c r="VIR16" s="7"/>
      <c r="VIS16" s="7"/>
      <c r="VIT16" s="7"/>
      <c r="VIU16" s="7"/>
      <c r="VIV16" s="7"/>
      <c r="VIW16" s="7"/>
      <c r="VIX16" s="7"/>
      <c r="VIY16" s="7"/>
      <c r="VIZ16" s="7"/>
      <c r="VJA16" s="7"/>
      <c r="VJB16" s="7"/>
      <c r="VJC16" s="7"/>
      <c r="VJD16" s="7"/>
      <c r="VJE16" s="7"/>
      <c r="VJF16" s="7"/>
      <c r="VJG16" s="7"/>
      <c r="VJH16" s="7"/>
      <c r="VJI16" s="7"/>
      <c r="VJJ16" s="7"/>
      <c r="VJK16" s="7"/>
      <c r="VJL16" s="7"/>
      <c r="VJM16" s="7"/>
      <c r="VJN16" s="7"/>
      <c r="VJO16" s="7"/>
      <c r="VJP16" s="7"/>
      <c r="VJQ16" s="7"/>
      <c r="VJR16" s="7"/>
      <c r="VJS16" s="7"/>
      <c r="VJT16" s="7"/>
      <c r="VJU16" s="7"/>
      <c r="VJV16" s="7"/>
      <c r="VJW16" s="7"/>
      <c r="VJX16" s="7"/>
      <c r="VJY16" s="7"/>
      <c r="VJZ16" s="7"/>
      <c r="VKA16" s="7"/>
      <c r="VKB16" s="7"/>
      <c r="VKC16" s="7"/>
      <c r="VKD16" s="7"/>
      <c r="VKE16" s="7"/>
      <c r="VKF16" s="7"/>
      <c r="VKG16" s="7"/>
      <c r="VKH16" s="7"/>
      <c r="VKI16" s="7"/>
      <c r="VKJ16" s="7"/>
      <c r="VKK16" s="7"/>
      <c r="VKL16" s="7"/>
      <c r="VKM16" s="7"/>
      <c r="VKN16" s="7"/>
      <c r="VKO16" s="7"/>
      <c r="VKP16" s="7"/>
      <c r="VKQ16" s="7"/>
      <c r="VKR16" s="7"/>
      <c r="VKS16" s="7"/>
      <c r="VKT16" s="7"/>
      <c r="VKU16" s="7"/>
      <c r="VKV16" s="7"/>
      <c r="VKW16" s="7"/>
      <c r="VKX16" s="7"/>
      <c r="VKY16" s="7"/>
      <c r="VKZ16" s="7"/>
      <c r="VLA16" s="7"/>
      <c r="VLB16" s="7"/>
      <c r="VLC16" s="7"/>
      <c r="VLD16" s="7"/>
      <c r="VLE16" s="7"/>
      <c r="VLF16" s="7"/>
      <c r="VLG16" s="7"/>
      <c r="VLH16" s="7"/>
      <c r="VLI16" s="7"/>
      <c r="VLJ16" s="7"/>
      <c r="VLK16" s="7"/>
      <c r="VLL16" s="7"/>
      <c r="VLM16" s="7"/>
      <c r="VLN16" s="7"/>
      <c r="VLO16" s="7"/>
      <c r="VLP16" s="7"/>
      <c r="VLQ16" s="7"/>
      <c r="VLR16" s="7"/>
      <c r="VLS16" s="7"/>
      <c r="VLT16" s="7"/>
      <c r="VLU16" s="7"/>
      <c r="VLV16" s="7"/>
      <c r="VLW16" s="7"/>
      <c r="VLX16" s="7"/>
      <c r="VLY16" s="7"/>
      <c r="VLZ16" s="7"/>
      <c r="VMA16" s="7"/>
      <c r="VMB16" s="7"/>
      <c r="VMC16" s="7"/>
      <c r="VMD16" s="7"/>
      <c r="VME16" s="7"/>
      <c r="VMF16" s="7"/>
      <c r="VMG16" s="7"/>
      <c r="VMH16" s="7"/>
      <c r="VMI16" s="7"/>
      <c r="VMJ16" s="7"/>
      <c r="VMK16" s="7"/>
      <c r="VML16" s="7"/>
      <c r="VMM16" s="7"/>
      <c r="VMN16" s="7"/>
      <c r="VMO16" s="7"/>
      <c r="VMP16" s="7"/>
      <c r="VMQ16" s="7"/>
      <c r="VMR16" s="7"/>
      <c r="VMS16" s="7"/>
      <c r="VMT16" s="7"/>
      <c r="VMU16" s="7"/>
      <c r="VMV16" s="7"/>
      <c r="VMW16" s="7"/>
      <c r="VMX16" s="7"/>
      <c r="VMY16" s="7"/>
      <c r="VMZ16" s="7"/>
      <c r="VNA16" s="7"/>
      <c r="VNB16" s="7"/>
      <c r="VNC16" s="7"/>
      <c r="VND16" s="7"/>
      <c r="VNE16" s="7"/>
      <c r="VNF16" s="7"/>
      <c r="VNG16" s="7"/>
      <c r="VNH16" s="7"/>
      <c r="VNI16" s="7"/>
      <c r="VNJ16" s="7"/>
      <c r="VNK16" s="7"/>
      <c r="VNL16" s="7"/>
      <c r="VNM16" s="7"/>
      <c r="VNN16" s="7"/>
      <c r="VNO16" s="7"/>
      <c r="VNP16" s="7"/>
      <c r="VNQ16" s="7"/>
      <c r="VNR16" s="7"/>
      <c r="VNS16" s="7"/>
      <c r="VNT16" s="7"/>
      <c r="VNU16" s="7"/>
      <c r="VNV16" s="7"/>
      <c r="VNW16" s="7"/>
      <c r="VNX16" s="7"/>
      <c r="VNY16" s="7"/>
      <c r="VNZ16" s="7"/>
      <c r="VOA16" s="7"/>
      <c r="VOB16" s="7"/>
      <c r="VOC16" s="7"/>
      <c r="VOD16" s="7"/>
      <c r="VOE16" s="7"/>
      <c r="VOF16" s="7"/>
      <c r="VOG16" s="7"/>
      <c r="VOH16" s="7"/>
      <c r="VOI16" s="7"/>
      <c r="VOJ16" s="7"/>
      <c r="VOK16" s="7"/>
      <c r="VOL16" s="7"/>
      <c r="VOM16" s="7"/>
      <c r="VON16" s="7"/>
      <c r="VOO16" s="7"/>
      <c r="VOP16" s="7"/>
      <c r="VOQ16" s="7"/>
      <c r="VOR16" s="7"/>
      <c r="VOS16" s="7"/>
      <c r="VOT16" s="7"/>
      <c r="VOU16" s="7"/>
      <c r="VOV16" s="7"/>
      <c r="VOW16" s="7"/>
      <c r="VOX16" s="7"/>
      <c r="VOY16" s="7"/>
      <c r="VOZ16" s="7"/>
      <c r="VPA16" s="7"/>
      <c r="VPB16" s="7"/>
      <c r="VPC16" s="7"/>
      <c r="VPD16" s="7"/>
      <c r="VPE16" s="7"/>
      <c r="VPF16" s="7"/>
      <c r="VPG16" s="7"/>
      <c r="VPH16" s="7"/>
      <c r="VPI16" s="7"/>
      <c r="VPJ16" s="7"/>
      <c r="VPK16" s="7"/>
      <c r="VPL16" s="7"/>
      <c r="VPM16" s="7"/>
      <c r="VPN16" s="7"/>
      <c r="VPO16" s="7"/>
      <c r="VPP16" s="7"/>
      <c r="VPQ16" s="7"/>
      <c r="VPR16" s="7"/>
      <c r="VPS16" s="7"/>
      <c r="VPT16" s="7"/>
      <c r="VPU16" s="7"/>
      <c r="VPV16" s="7"/>
      <c r="VPW16" s="7"/>
      <c r="VPX16" s="7"/>
      <c r="VPY16" s="7"/>
      <c r="VPZ16" s="7"/>
      <c r="VQA16" s="7"/>
      <c r="VQB16" s="7"/>
      <c r="VQC16" s="7"/>
      <c r="VQD16" s="7"/>
      <c r="VQE16" s="7"/>
      <c r="VQF16" s="7"/>
      <c r="VQG16" s="7"/>
      <c r="VQH16" s="7"/>
      <c r="VQI16" s="7"/>
      <c r="VQJ16" s="7"/>
      <c r="VQK16" s="7"/>
      <c r="VQL16" s="7"/>
      <c r="VQM16" s="7"/>
      <c r="VQN16" s="7"/>
      <c r="VQO16" s="7"/>
      <c r="VQP16" s="7"/>
      <c r="VQQ16" s="7"/>
      <c r="VQR16" s="7"/>
      <c r="VQS16" s="7"/>
      <c r="VQT16" s="7"/>
      <c r="VQU16" s="7"/>
      <c r="VQV16" s="7"/>
      <c r="VQW16" s="7"/>
      <c r="VQX16" s="7"/>
      <c r="VQY16" s="7"/>
      <c r="VQZ16" s="7"/>
      <c r="VRA16" s="7"/>
      <c r="VRB16" s="7"/>
      <c r="VRC16" s="7"/>
      <c r="VRD16" s="7"/>
      <c r="VRE16" s="7"/>
      <c r="VRF16" s="7"/>
      <c r="VRG16" s="7"/>
      <c r="VRH16" s="7"/>
      <c r="VRI16" s="7"/>
      <c r="VRJ16" s="7"/>
      <c r="VRK16" s="7"/>
      <c r="VRL16" s="7"/>
      <c r="VRM16" s="7"/>
      <c r="VRN16" s="7"/>
      <c r="VRO16" s="7"/>
      <c r="VRP16" s="7"/>
      <c r="VRQ16" s="7"/>
      <c r="VRR16" s="7"/>
      <c r="VRS16" s="7"/>
      <c r="VRT16" s="7"/>
      <c r="VRU16" s="7"/>
      <c r="VRV16" s="7"/>
      <c r="VRW16" s="7"/>
      <c r="VRX16" s="7"/>
      <c r="VRY16" s="7"/>
      <c r="VRZ16" s="7"/>
      <c r="VSA16" s="7"/>
      <c r="VSB16" s="7"/>
      <c r="VSC16" s="7"/>
      <c r="VSD16" s="7"/>
      <c r="VSE16" s="7"/>
      <c r="VSF16" s="7"/>
      <c r="VSG16" s="7"/>
      <c r="VSH16" s="7"/>
      <c r="VSI16" s="7"/>
      <c r="VSJ16" s="7"/>
      <c r="VSK16" s="7"/>
      <c r="VSL16" s="7"/>
      <c r="VSM16" s="7"/>
      <c r="VSN16" s="7"/>
      <c r="VSO16" s="7"/>
      <c r="VSP16" s="7"/>
      <c r="VSQ16" s="7"/>
      <c r="VSR16" s="7"/>
      <c r="VSS16" s="7"/>
      <c r="VST16" s="7"/>
      <c r="VSU16" s="7"/>
      <c r="VSV16" s="7"/>
      <c r="VSW16" s="7"/>
      <c r="VSX16" s="7"/>
      <c r="VSY16" s="7"/>
      <c r="VSZ16" s="7"/>
      <c r="VTA16" s="7"/>
      <c r="VTB16" s="7"/>
      <c r="VTC16" s="7"/>
      <c r="VTD16" s="7"/>
      <c r="VTE16" s="7"/>
      <c r="VTF16" s="7"/>
      <c r="VTG16" s="7"/>
      <c r="VTH16" s="7"/>
      <c r="VTI16" s="7"/>
      <c r="VTJ16" s="7"/>
      <c r="VTK16" s="7"/>
      <c r="VTL16" s="7"/>
      <c r="VTM16" s="7"/>
      <c r="VTN16" s="7"/>
      <c r="VTO16" s="7"/>
      <c r="VTP16" s="7"/>
      <c r="VTQ16" s="7"/>
      <c r="VTR16" s="7"/>
      <c r="VTS16" s="7"/>
      <c r="VTT16" s="7"/>
      <c r="VTU16" s="7"/>
      <c r="VTV16" s="7"/>
      <c r="VTW16" s="7"/>
      <c r="VTX16" s="7"/>
      <c r="VTY16" s="7"/>
      <c r="VTZ16" s="7"/>
      <c r="VUA16" s="7"/>
      <c r="VUB16" s="7"/>
      <c r="VUC16" s="7"/>
      <c r="VUD16" s="7"/>
      <c r="VUE16" s="7"/>
      <c r="VUF16" s="7"/>
      <c r="VUG16" s="7"/>
      <c r="VUH16" s="7"/>
      <c r="VUI16" s="7"/>
      <c r="VUJ16" s="7"/>
      <c r="VUK16" s="7"/>
      <c r="VUL16" s="7"/>
      <c r="VUM16" s="7"/>
      <c r="VUN16" s="7"/>
      <c r="VUO16" s="7"/>
      <c r="VUP16" s="7"/>
      <c r="VUQ16" s="7"/>
      <c r="VUR16" s="7"/>
      <c r="VUS16" s="7"/>
      <c r="VUT16" s="7"/>
      <c r="VUU16" s="7"/>
      <c r="VUV16" s="7"/>
      <c r="VUW16" s="7"/>
      <c r="VUX16" s="7"/>
      <c r="VUY16" s="7"/>
      <c r="VUZ16" s="7"/>
      <c r="VVA16" s="7"/>
      <c r="VVB16" s="7"/>
      <c r="VVC16" s="7"/>
      <c r="VVD16" s="7"/>
      <c r="VVE16" s="7"/>
      <c r="VVF16" s="7"/>
      <c r="VVG16" s="7"/>
      <c r="VVH16" s="7"/>
      <c r="VVI16" s="7"/>
      <c r="VVJ16" s="7"/>
      <c r="VVK16" s="7"/>
      <c r="VVL16" s="7"/>
      <c r="VVM16" s="7"/>
      <c r="VVN16" s="7"/>
      <c r="VVO16" s="7"/>
      <c r="VVP16" s="7"/>
      <c r="VVQ16" s="7"/>
      <c r="VVR16" s="7"/>
      <c r="VVS16" s="7"/>
      <c r="VVT16" s="7"/>
      <c r="VVU16" s="7"/>
      <c r="VVV16" s="7"/>
      <c r="VVW16" s="7"/>
      <c r="VVX16" s="7"/>
      <c r="VVY16" s="7"/>
      <c r="VVZ16" s="7"/>
      <c r="VWA16" s="7"/>
      <c r="VWB16" s="7"/>
      <c r="VWC16" s="7"/>
      <c r="VWD16" s="7"/>
      <c r="VWE16" s="7"/>
      <c r="VWF16" s="7"/>
      <c r="VWG16" s="7"/>
      <c r="VWH16" s="7"/>
      <c r="VWI16" s="7"/>
      <c r="VWJ16" s="7"/>
      <c r="VWK16" s="7"/>
      <c r="VWL16" s="7"/>
      <c r="VWM16" s="7"/>
      <c r="VWN16" s="7"/>
      <c r="VWO16" s="7"/>
      <c r="VWP16" s="7"/>
      <c r="VWQ16" s="7"/>
      <c r="VWR16" s="7"/>
      <c r="VWS16" s="7"/>
      <c r="VWT16" s="7"/>
      <c r="VWU16" s="7"/>
      <c r="VWV16" s="7"/>
      <c r="VWW16" s="7"/>
      <c r="VWX16" s="7"/>
      <c r="VWY16" s="7"/>
      <c r="VWZ16" s="7"/>
      <c r="VXA16" s="7"/>
      <c r="VXB16" s="7"/>
      <c r="VXC16" s="7"/>
      <c r="VXD16" s="7"/>
      <c r="VXE16" s="7"/>
      <c r="VXF16" s="7"/>
      <c r="VXG16" s="7"/>
      <c r="VXH16" s="7"/>
      <c r="VXI16" s="7"/>
      <c r="VXJ16" s="7"/>
      <c r="VXK16" s="7"/>
      <c r="VXL16" s="7"/>
      <c r="VXM16" s="7"/>
      <c r="VXN16" s="7"/>
      <c r="VXO16" s="7"/>
      <c r="VXP16" s="7"/>
      <c r="VXQ16" s="7"/>
      <c r="VXR16" s="7"/>
      <c r="VXS16" s="7"/>
      <c r="VXT16" s="7"/>
      <c r="VXU16" s="7"/>
      <c r="VXV16" s="7"/>
      <c r="VXW16" s="7"/>
      <c r="VXX16" s="7"/>
      <c r="VXY16" s="7"/>
      <c r="VXZ16" s="7"/>
      <c r="VYA16" s="7"/>
      <c r="VYB16" s="7"/>
      <c r="VYC16" s="7"/>
      <c r="VYD16" s="7"/>
      <c r="VYE16" s="7"/>
      <c r="VYF16" s="7"/>
      <c r="VYG16" s="7"/>
      <c r="VYH16" s="7"/>
      <c r="VYI16" s="7"/>
      <c r="VYJ16" s="7"/>
      <c r="VYK16" s="7"/>
      <c r="VYL16" s="7"/>
      <c r="VYM16" s="7"/>
      <c r="VYN16" s="7"/>
      <c r="VYO16" s="7"/>
      <c r="VYP16" s="7"/>
      <c r="VYQ16" s="7"/>
      <c r="VYR16" s="7"/>
      <c r="VYS16" s="7"/>
      <c r="VYT16" s="7"/>
      <c r="VYU16" s="7"/>
      <c r="VYV16" s="7"/>
      <c r="VYW16" s="7"/>
      <c r="VYX16" s="7"/>
      <c r="VYY16" s="7"/>
      <c r="VYZ16" s="7"/>
      <c r="VZA16" s="7"/>
      <c r="VZB16" s="7"/>
      <c r="VZC16" s="7"/>
      <c r="VZD16" s="7"/>
      <c r="VZE16" s="7"/>
      <c r="VZF16" s="7"/>
      <c r="VZG16" s="7"/>
      <c r="VZH16" s="7"/>
      <c r="VZI16" s="7"/>
      <c r="VZJ16" s="7"/>
      <c r="VZK16" s="7"/>
      <c r="VZL16" s="7"/>
      <c r="VZM16" s="7"/>
      <c r="VZN16" s="7"/>
      <c r="VZO16" s="7"/>
      <c r="VZP16" s="7"/>
      <c r="VZQ16" s="7"/>
      <c r="VZR16" s="7"/>
      <c r="VZS16" s="7"/>
      <c r="VZT16" s="7"/>
      <c r="VZU16" s="7"/>
      <c r="VZV16" s="7"/>
      <c r="VZW16" s="7"/>
      <c r="VZX16" s="7"/>
      <c r="VZY16" s="7"/>
      <c r="VZZ16" s="7"/>
      <c r="WAA16" s="7"/>
      <c r="WAB16" s="7"/>
      <c r="WAC16" s="7"/>
      <c r="WAD16" s="7"/>
      <c r="WAE16" s="7"/>
      <c r="WAF16" s="7"/>
      <c r="WAG16" s="7"/>
      <c r="WAH16" s="7"/>
      <c r="WAI16" s="7"/>
      <c r="WAJ16" s="7"/>
      <c r="WAK16" s="7"/>
      <c r="WAL16" s="7"/>
      <c r="WAM16" s="7"/>
      <c r="WAN16" s="7"/>
      <c r="WAO16" s="7"/>
      <c r="WAP16" s="7"/>
      <c r="WAQ16" s="7"/>
      <c r="WAR16" s="7"/>
      <c r="WAS16" s="7"/>
      <c r="WAT16" s="7"/>
      <c r="WAU16" s="7"/>
      <c r="WAV16" s="7"/>
      <c r="WAW16" s="7"/>
      <c r="WAX16" s="7"/>
      <c r="WAY16" s="7"/>
      <c r="WAZ16" s="7"/>
      <c r="WBA16" s="7"/>
      <c r="WBB16" s="7"/>
      <c r="WBC16" s="7"/>
      <c r="WBD16" s="7"/>
      <c r="WBE16" s="7"/>
      <c r="WBF16" s="7"/>
      <c r="WBG16" s="7"/>
      <c r="WBH16" s="7"/>
      <c r="WBI16" s="7"/>
      <c r="WBJ16" s="7"/>
      <c r="WBK16" s="7"/>
      <c r="WBL16" s="7"/>
      <c r="WBM16" s="7"/>
      <c r="WBN16" s="7"/>
      <c r="WBO16" s="7"/>
      <c r="WBP16" s="7"/>
      <c r="WBQ16" s="7"/>
      <c r="WBR16" s="7"/>
      <c r="WBS16" s="7"/>
      <c r="WBT16" s="7"/>
      <c r="WBU16" s="7"/>
      <c r="WBV16" s="7"/>
      <c r="WBW16" s="7"/>
      <c r="WBX16" s="7"/>
      <c r="WBY16" s="7"/>
      <c r="WBZ16" s="7"/>
      <c r="WCA16" s="7"/>
      <c r="WCB16" s="7"/>
      <c r="WCC16" s="7"/>
      <c r="WCD16" s="7"/>
      <c r="WCE16" s="7"/>
      <c r="WCF16" s="7"/>
      <c r="WCG16" s="7"/>
      <c r="WCH16" s="7"/>
      <c r="WCI16" s="7"/>
      <c r="WCJ16" s="7"/>
      <c r="WCK16" s="7"/>
      <c r="WCL16" s="7"/>
      <c r="WCM16" s="7"/>
      <c r="WCN16" s="7"/>
      <c r="WCO16" s="7"/>
      <c r="WCP16" s="7"/>
      <c r="WCQ16" s="7"/>
      <c r="WCR16" s="7"/>
      <c r="WCS16" s="7"/>
      <c r="WCT16" s="7"/>
      <c r="WCU16" s="7"/>
      <c r="WCV16" s="7"/>
      <c r="WCW16" s="7"/>
      <c r="WCX16" s="7"/>
      <c r="WCY16" s="7"/>
      <c r="WCZ16" s="7"/>
      <c r="WDA16" s="7"/>
      <c r="WDB16" s="7"/>
      <c r="WDC16" s="7"/>
      <c r="WDD16" s="7"/>
      <c r="WDE16" s="7"/>
      <c r="WDF16" s="7"/>
      <c r="WDG16" s="7"/>
      <c r="WDH16" s="7"/>
      <c r="WDI16" s="7"/>
      <c r="WDJ16" s="7"/>
      <c r="WDK16" s="7"/>
      <c r="WDL16" s="7"/>
      <c r="WDM16" s="7"/>
      <c r="WDN16" s="7"/>
      <c r="WDO16" s="7"/>
      <c r="WDP16" s="7"/>
      <c r="WDQ16" s="7"/>
      <c r="WDR16" s="7"/>
      <c r="WDS16" s="7"/>
      <c r="WDT16" s="7"/>
      <c r="WDU16" s="7"/>
      <c r="WDV16" s="7"/>
      <c r="WDW16" s="7"/>
      <c r="WDX16" s="7"/>
      <c r="WDY16" s="7"/>
      <c r="WDZ16" s="7"/>
      <c r="WEA16" s="7"/>
      <c r="WEB16" s="7"/>
      <c r="WEC16" s="7"/>
      <c r="WED16" s="7"/>
      <c r="WEE16" s="7"/>
      <c r="WEF16" s="7"/>
      <c r="WEG16" s="7"/>
      <c r="WEH16" s="7"/>
      <c r="WEI16" s="7"/>
      <c r="WEJ16" s="7"/>
      <c r="WEK16" s="7"/>
      <c r="WEL16" s="7"/>
      <c r="WEM16" s="7"/>
      <c r="WEN16" s="7"/>
      <c r="WEO16" s="7"/>
      <c r="WEP16" s="7"/>
      <c r="WEQ16" s="7"/>
      <c r="WER16" s="7"/>
      <c r="WES16" s="7"/>
      <c r="WET16" s="7"/>
      <c r="WEU16" s="7"/>
      <c r="WEV16" s="7"/>
      <c r="WEW16" s="7"/>
      <c r="WEX16" s="7"/>
      <c r="WEY16" s="7"/>
      <c r="WEZ16" s="7"/>
      <c r="WFA16" s="7"/>
      <c r="WFB16" s="7"/>
      <c r="WFC16" s="7"/>
      <c r="WFD16" s="7"/>
      <c r="WFE16" s="7"/>
      <c r="WFF16" s="7"/>
      <c r="WFG16" s="7"/>
      <c r="WFH16" s="7"/>
      <c r="WFI16" s="7"/>
      <c r="WFJ16" s="7"/>
      <c r="WFK16" s="7"/>
      <c r="WFL16" s="7"/>
      <c r="WFM16" s="7"/>
      <c r="WFN16" s="7"/>
      <c r="WFO16" s="7"/>
      <c r="WFP16" s="7"/>
      <c r="WFQ16" s="7"/>
      <c r="WFR16" s="7"/>
      <c r="WFS16" s="7"/>
      <c r="WFT16" s="7"/>
      <c r="WFU16" s="7"/>
      <c r="WFV16" s="7"/>
      <c r="WFW16" s="7"/>
      <c r="WFX16" s="7"/>
      <c r="WFY16" s="7"/>
      <c r="WFZ16" s="7"/>
      <c r="WGA16" s="7"/>
      <c r="WGB16" s="7"/>
      <c r="WGC16" s="7"/>
      <c r="WGD16" s="7"/>
      <c r="WGE16" s="7"/>
      <c r="WGF16" s="7"/>
      <c r="WGG16" s="7"/>
      <c r="WGH16" s="7"/>
      <c r="WGI16" s="7"/>
      <c r="WGJ16" s="7"/>
      <c r="WGK16" s="7"/>
      <c r="WGL16" s="7"/>
      <c r="WGM16" s="7"/>
      <c r="WGN16" s="7"/>
      <c r="WGO16" s="7"/>
      <c r="WGP16" s="7"/>
      <c r="WGQ16" s="7"/>
      <c r="WGR16" s="7"/>
      <c r="WGS16" s="7"/>
      <c r="WGT16" s="7"/>
      <c r="WGU16" s="7"/>
      <c r="WGV16" s="7"/>
      <c r="WGW16" s="7"/>
      <c r="WGX16" s="7"/>
      <c r="WGY16" s="7"/>
      <c r="WGZ16" s="7"/>
      <c r="WHA16" s="7"/>
      <c r="WHB16" s="7"/>
      <c r="WHC16" s="7"/>
      <c r="WHD16" s="7"/>
      <c r="WHE16" s="7"/>
      <c r="WHF16" s="7"/>
      <c r="WHG16" s="7"/>
      <c r="WHH16" s="7"/>
      <c r="WHI16" s="7"/>
      <c r="WHJ16" s="7"/>
      <c r="WHK16" s="7"/>
      <c r="WHL16" s="7"/>
      <c r="WHM16" s="7"/>
      <c r="WHN16" s="7"/>
      <c r="WHO16" s="7"/>
      <c r="WHP16" s="7"/>
      <c r="WHQ16" s="7"/>
      <c r="WHR16" s="7"/>
      <c r="WHS16" s="7"/>
      <c r="WHT16" s="7"/>
      <c r="WHU16" s="7"/>
      <c r="WHV16" s="7"/>
      <c r="WHW16" s="7"/>
      <c r="WHX16" s="7"/>
      <c r="WHY16" s="7"/>
      <c r="WHZ16" s="7"/>
      <c r="WIA16" s="7"/>
      <c r="WIB16" s="7"/>
      <c r="WIC16" s="7"/>
      <c r="WID16" s="7"/>
      <c r="WIE16" s="7"/>
      <c r="WIF16" s="7"/>
      <c r="WIG16" s="7"/>
      <c r="WIH16" s="7"/>
      <c r="WII16" s="7"/>
      <c r="WIJ16" s="7"/>
      <c r="WIK16" s="7"/>
      <c r="WIL16" s="7"/>
      <c r="WIM16" s="7"/>
      <c r="WIN16" s="7"/>
      <c r="WIO16" s="7"/>
      <c r="WIP16" s="7"/>
      <c r="WIQ16" s="7"/>
      <c r="WIR16" s="7"/>
      <c r="WIS16" s="7"/>
      <c r="WIT16" s="7"/>
      <c r="WIU16" s="7"/>
      <c r="WIV16" s="7"/>
      <c r="WIW16" s="7"/>
      <c r="WIX16" s="7"/>
      <c r="WIY16" s="7"/>
      <c r="WIZ16" s="7"/>
      <c r="WJA16" s="7"/>
      <c r="WJB16" s="7"/>
      <c r="WJC16" s="7"/>
      <c r="WJD16" s="7"/>
      <c r="WJE16" s="7"/>
      <c r="WJF16" s="7"/>
      <c r="WJG16" s="7"/>
      <c r="WJH16" s="7"/>
      <c r="WJI16" s="7"/>
      <c r="WJJ16" s="7"/>
      <c r="WJK16" s="7"/>
      <c r="WJL16" s="7"/>
      <c r="WJM16" s="7"/>
      <c r="WJN16" s="7"/>
      <c r="WJO16" s="7"/>
      <c r="WJP16" s="7"/>
      <c r="WJQ16" s="7"/>
      <c r="WJR16" s="7"/>
      <c r="WJS16" s="7"/>
      <c r="WJT16" s="7"/>
      <c r="WJU16" s="7"/>
      <c r="WJV16" s="7"/>
      <c r="WJW16" s="7"/>
      <c r="WJX16" s="7"/>
      <c r="WJY16" s="7"/>
      <c r="WJZ16" s="7"/>
      <c r="WKA16" s="7"/>
      <c r="WKB16" s="7"/>
      <c r="WKC16" s="7"/>
      <c r="WKD16" s="7"/>
      <c r="WKE16" s="7"/>
      <c r="WKF16" s="7"/>
      <c r="WKG16" s="7"/>
      <c r="WKH16" s="7"/>
      <c r="WKI16" s="7"/>
      <c r="WKJ16" s="7"/>
      <c r="WKK16" s="7"/>
      <c r="WKL16" s="7"/>
      <c r="WKM16" s="7"/>
      <c r="WKN16" s="7"/>
      <c r="WKO16" s="7"/>
      <c r="WKP16" s="7"/>
      <c r="WKQ16" s="7"/>
      <c r="WKR16" s="7"/>
      <c r="WKS16" s="7"/>
      <c r="WKT16" s="7"/>
      <c r="WKU16" s="7"/>
      <c r="WKV16" s="7"/>
      <c r="WKW16" s="7"/>
      <c r="WKX16" s="7"/>
      <c r="WKY16" s="7"/>
      <c r="WKZ16" s="7"/>
      <c r="WLA16" s="7"/>
      <c r="WLB16" s="7"/>
      <c r="WLC16" s="7"/>
      <c r="WLD16" s="7"/>
      <c r="WLE16" s="7"/>
      <c r="WLF16" s="7"/>
      <c r="WLG16" s="7"/>
      <c r="WLH16" s="7"/>
      <c r="WLI16" s="7"/>
      <c r="WLJ16" s="7"/>
      <c r="WLK16" s="7"/>
      <c r="WLL16" s="7"/>
      <c r="WLM16" s="7"/>
      <c r="WLN16" s="7"/>
      <c r="WLO16" s="7"/>
      <c r="WLP16" s="7"/>
      <c r="WLQ16" s="7"/>
      <c r="WLR16" s="7"/>
      <c r="WLS16" s="7"/>
      <c r="WLT16" s="7"/>
      <c r="WLU16" s="7"/>
      <c r="WLV16" s="7"/>
      <c r="WLW16" s="7"/>
      <c r="WLX16" s="7"/>
      <c r="WLY16" s="7"/>
      <c r="WLZ16" s="7"/>
      <c r="WMA16" s="7"/>
      <c r="WMB16" s="7"/>
      <c r="WMC16" s="7"/>
      <c r="WMD16" s="7"/>
      <c r="WME16" s="7"/>
      <c r="WMF16" s="7"/>
      <c r="WMG16" s="7"/>
      <c r="WMH16" s="7"/>
      <c r="WMI16" s="7"/>
      <c r="WMJ16" s="7"/>
      <c r="WMK16" s="7"/>
      <c r="WML16" s="7"/>
      <c r="WMM16" s="7"/>
      <c r="WMN16" s="7"/>
      <c r="WMO16" s="7"/>
      <c r="WMP16" s="7"/>
      <c r="WMQ16" s="7"/>
      <c r="WMR16" s="7"/>
      <c r="WMS16" s="7"/>
      <c r="WMT16" s="7"/>
      <c r="WMU16" s="7"/>
      <c r="WMV16" s="7"/>
      <c r="WMW16" s="7"/>
      <c r="WMX16" s="7"/>
      <c r="WMY16" s="7"/>
      <c r="WMZ16" s="7"/>
      <c r="WNA16" s="7"/>
      <c r="WNB16" s="7"/>
      <c r="WNC16" s="7"/>
      <c r="WND16" s="7"/>
      <c r="WNE16" s="7"/>
      <c r="WNF16" s="7"/>
      <c r="WNG16" s="7"/>
      <c r="WNH16" s="7"/>
      <c r="WNI16" s="7"/>
      <c r="WNJ16" s="7"/>
      <c r="WNK16" s="7"/>
      <c r="WNL16" s="7"/>
      <c r="WNM16" s="7"/>
      <c r="WNN16" s="7"/>
      <c r="WNO16" s="7"/>
      <c r="WNP16" s="7"/>
      <c r="WNQ16" s="7"/>
      <c r="WNR16" s="7"/>
      <c r="WNS16" s="7"/>
      <c r="WNT16" s="7"/>
      <c r="WNU16" s="7"/>
      <c r="WNV16" s="7"/>
      <c r="WNW16" s="7"/>
      <c r="WNX16" s="7"/>
      <c r="WNY16" s="7"/>
      <c r="WNZ16" s="7"/>
      <c r="WOA16" s="7"/>
      <c r="WOB16" s="7"/>
      <c r="WOC16" s="7"/>
      <c r="WOD16" s="7"/>
      <c r="WOE16" s="7"/>
      <c r="WOF16" s="7"/>
      <c r="WOG16" s="7"/>
      <c r="WOH16" s="7"/>
      <c r="WOI16" s="7"/>
      <c r="WOJ16" s="7"/>
      <c r="WOK16" s="7"/>
      <c r="WOL16" s="7"/>
      <c r="WOM16" s="7"/>
      <c r="WON16" s="7"/>
      <c r="WOO16" s="7"/>
      <c r="WOP16" s="7"/>
      <c r="WOQ16" s="7"/>
      <c r="WOR16" s="7"/>
      <c r="WOS16" s="7"/>
      <c r="WOT16" s="7"/>
      <c r="WOU16" s="7"/>
      <c r="WOV16" s="7"/>
      <c r="WOW16" s="7"/>
      <c r="WOX16" s="7"/>
      <c r="WOY16" s="7"/>
      <c r="WOZ16" s="7"/>
      <c r="WPA16" s="7"/>
      <c r="WPB16" s="7"/>
      <c r="WPC16" s="7"/>
      <c r="WPD16" s="7"/>
      <c r="WPE16" s="7"/>
      <c r="WPF16" s="7"/>
      <c r="WPG16" s="7"/>
      <c r="WPH16" s="7"/>
      <c r="WPI16" s="7"/>
      <c r="WPJ16" s="7"/>
      <c r="WPK16" s="7"/>
      <c r="WPL16" s="7"/>
      <c r="WPM16" s="7"/>
      <c r="WPN16" s="7"/>
      <c r="WPO16" s="7"/>
      <c r="WPP16" s="7"/>
      <c r="WPQ16" s="7"/>
      <c r="WPR16" s="7"/>
      <c r="WPS16" s="7"/>
      <c r="WPT16" s="7"/>
      <c r="WPU16" s="7"/>
      <c r="WPV16" s="7"/>
      <c r="WPW16" s="7"/>
      <c r="WPX16" s="7"/>
      <c r="WPY16" s="7"/>
      <c r="WPZ16" s="7"/>
      <c r="WQA16" s="7"/>
      <c r="WQB16" s="7"/>
      <c r="WQC16" s="7"/>
      <c r="WQD16" s="7"/>
      <c r="WQE16" s="7"/>
      <c r="WQF16" s="7"/>
      <c r="WQG16" s="7"/>
      <c r="WQH16" s="7"/>
      <c r="WQI16" s="7"/>
      <c r="WQJ16" s="7"/>
      <c r="WQK16" s="7"/>
      <c r="WQL16" s="7"/>
      <c r="WQM16" s="7"/>
      <c r="WQN16" s="7"/>
      <c r="WQO16" s="7"/>
      <c r="WQP16" s="7"/>
      <c r="WQQ16" s="7"/>
      <c r="WQR16" s="7"/>
      <c r="WQS16" s="7"/>
      <c r="WQT16" s="7"/>
      <c r="WQU16" s="7"/>
      <c r="WQV16" s="7"/>
      <c r="WQW16" s="7"/>
      <c r="WQX16" s="7"/>
      <c r="WQY16" s="7"/>
      <c r="WQZ16" s="7"/>
      <c r="WRA16" s="7"/>
      <c r="WRB16" s="7"/>
      <c r="WRC16" s="7"/>
      <c r="WRD16" s="7"/>
      <c r="WRE16" s="7"/>
      <c r="WRF16" s="7"/>
      <c r="WRG16" s="7"/>
      <c r="WRH16" s="7"/>
      <c r="WRI16" s="7"/>
      <c r="WRJ16" s="7"/>
      <c r="WRK16" s="7"/>
      <c r="WRL16" s="7"/>
      <c r="WRM16" s="7"/>
      <c r="WRN16" s="7"/>
      <c r="WRO16" s="7"/>
      <c r="WRP16" s="7"/>
      <c r="WRQ16" s="7"/>
      <c r="WRR16" s="7"/>
      <c r="WRS16" s="7"/>
      <c r="WRT16" s="7"/>
      <c r="WRU16" s="7"/>
      <c r="WRV16" s="7"/>
      <c r="WRW16" s="7"/>
      <c r="WRX16" s="7"/>
      <c r="WRY16" s="7"/>
      <c r="WRZ16" s="7"/>
      <c r="WSA16" s="7"/>
      <c r="WSB16" s="7"/>
      <c r="WSC16" s="7"/>
      <c r="WSD16" s="7"/>
      <c r="WSE16" s="7"/>
      <c r="WSF16" s="7"/>
      <c r="WSG16" s="7"/>
      <c r="WSH16" s="7"/>
      <c r="WSI16" s="7"/>
      <c r="WSJ16" s="7"/>
      <c r="WSK16" s="7"/>
      <c r="WSL16" s="7"/>
      <c r="WSM16" s="7"/>
      <c r="WSN16" s="7"/>
      <c r="WSO16" s="7"/>
      <c r="WSP16" s="7"/>
      <c r="WSQ16" s="7"/>
      <c r="WSR16" s="7"/>
      <c r="WSS16" s="7"/>
      <c r="WST16" s="7"/>
      <c r="WSU16" s="7"/>
      <c r="WSV16" s="7"/>
      <c r="WSW16" s="7"/>
      <c r="WSX16" s="7"/>
      <c r="WSY16" s="7"/>
      <c r="WSZ16" s="7"/>
      <c r="WTA16" s="7"/>
      <c r="WTB16" s="7"/>
      <c r="WTC16" s="7"/>
      <c r="WTD16" s="7"/>
      <c r="WTE16" s="7"/>
      <c r="WTF16" s="7"/>
      <c r="WTG16" s="7"/>
      <c r="WTH16" s="7"/>
      <c r="WTI16" s="7"/>
      <c r="WTJ16" s="7"/>
      <c r="WTK16" s="7"/>
      <c r="WTL16" s="7"/>
      <c r="WTM16" s="7"/>
      <c r="WTN16" s="7"/>
      <c r="WTO16" s="7"/>
      <c r="WTP16" s="7"/>
      <c r="WTQ16" s="7"/>
      <c r="WTR16" s="7"/>
      <c r="WTS16" s="7"/>
      <c r="WTT16" s="7"/>
      <c r="WTU16" s="7"/>
      <c r="WTV16" s="7"/>
      <c r="WTW16" s="7"/>
      <c r="WTX16" s="7"/>
      <c r="WTY16" s="7"/>
      <c r="WTZ16" s="7"/>
      <c r="WUA16" s="7"/>
      <c r="WUB16" s="7"/>
      <c r="WUC16" s="7"/>
      <c r="WUD16" s="7"/>
      <c r="WUE16" s="7"/>
      <c r="WUF16" s="7"/>
      <c r="WUG16" s="7"/>
      <c r="WUH16" s="7"/>
      <c r="WUI16" s="7"/>
      <c r="WUJ16" s="7"/>
      <c r="WUK16" s="7"/>
      <c r="WUL16" s="7"/>
      <c r="WUM16" s="7"/>
      <c r="WUN16" s="7"/>
      <c r="WUO16" s="7"/>
      <c r="WUP16" s="7"/>
      <c r="WUQ16" s="7"/>
      <c r="WUR16" s="7"/>
      <c r="WUS16" s="7"/>
      <c r="WUT16" s="7"/>
      <c r="WUU16" s="7"/>
      <c r="WUV16" s="7"/>
      <c r="WUW16" s="7"/>
      <c r="WUX16" s="7"/>
      <c r="WUY16" s="7"/>
      <c r="WUZ16" s="7"/>
      <c r="WVA16" s="7"/>
      <c r="WVB16" s="7"/>
      <c r="WVC16" s="7"/>
      <c r="WVD16" s="7"/>
      <c r="WVE16" s="7"/>
      <c r="WVF16" s="7"/>
      <c r="WVG16" s="7"/>
      <c r="WVH16" s="7"/>
      <c r="WVI16" s="7"/>
      <c r="WVJ16" s="7"/>
      <c r="WVK16" s="7"/>
      <c r="WVL16" s="7"/>
      <c r="WVM16" s="7"/>
      <c r="WVN16" s="7"/>
      <c r="WVO16" s="7"/>
      <c r="WVP16" s="7"/>
      <c r="WVQ16" s="7"/>
      <c r="WVR16" s="7"/>
      <c r="WVS16" s="7"/>
      <c r="WVT16" s="7"/>
      <c r="WVU16" s="7"/>
      <c r="WVV16" s="7"/>
      <c r="WVW16" s="7"/>
      <c r="WVX16" s="7"/>
      <c r="WVY16" s="7"/>
      <c r="WVZ16" s="7"/>
      <c r="WWA16" s="7"/>
      <c r="WWB16" s="7"/>
      <c r="WWC16" s="7"/>
      <c r="WWD16" s="7"/>
      <c r="WWE16" s="7"/>
      <c r="WWF16" s="7"/>
      <c r="WWG16" s="7"/>
      <c r="WWH16" s="7"/>
      <c r="WWI16" s="7"/>
      <c r="WWJ16" s="7"/>
      <c r="WWK16" s="7"/>
      <c r="WWL16" s="7"/>
      <c r="WWM16" s="7"/>
      <c r="WWN16" s="7"/>
      <c r="WWO16" s="7"/>
      <c r="WWP16" s="7"/>
      <c r="WWQ16" s="7"/>
      <c r="WWR16" s="7"/>
      <c r="WWS16" s="7"/>
      <c r="WWT16" s="7"/>
      <c r="WWU16" s="7"/>
      <c r="WWV16" s="7"/>
      <c r="WWW16" s="7"/>
      <c r="WWX16" s="7"/>
      <c r="WWY16" s="7"/>
      <c r="WWZ16" s="7"/>
      <c r="WXA16" s="7"/>
      <c r="WXB16" s="7"/>
      <c r="WXC16" s="7"/>
      <c r="WXD16" s="7"/>
      <c r="WXE16" s="7"/>
      <c r="WXF16" s="7"/>
      <c r="WXG16" s="7"/>
      <c r="WXH16" s="7"/>
      <c r="WXI16" s="7"/>
      <c r="WXJ16" s="7"/>
      <c r="WXK16" s="7"/>
      <c r="WXL16" s="7"/>
      <c r="WXM16" s="7"/>
      <c r="WXN16" s="7"/>
      <c r="WXO16" s="7"/>
      <c r="WXP16" s="7"/>
      <c r="WXQ16" s="7"/>
      <c r="WXR16" s="7"/>
      <c r="WXS16" s="7"/>
      <c r="WXT16" s="7"/>
      <c r="WXU16" s="7"/>
      <c r="WXV16" s="7"/>
      <c r="WXW16" s="7"/>
      <c r="WXX16" s="7"/>
      <c r="WXY16" s="7"/>
      <c r="WXZ16" s="7"/>
      <c r="WYA16" s="7"/>
      <c r="WYB16" s="7"/>
      <c r="WYC16" s="7"/>
      <c r="WYD16" s="7"/>
      <c r="WYE16" s="7"/>
      <c r="WYF16" s="7"/>
      <c r="WYG16" s="7"/>
      <c r="WYH16" s="7"/>
      <c r="WYI16" s="7"/>
      <c r="WYJ16" s="7"/>
      <c r="WYK16" s="7"/>
      <c r="WYL16" s="7"/>
      <c r="WYM16" s="7"/>
      <c r="WYN16" s="7"/>
      <c r="WYO16" s="7"/>
      <c r="WYP16" s="7"/>
      <c r="WYQ16" s="7"/>
      <c r="WYR16" s="7"/>
      <c r="WYS16" s="7"/>
      <c r="WYT16" s="7"/>
      <c r="WYU16" s="7"/>
      <c r="WYV16" s="7"/>
      <c r="WYW16" s="7"/>
      <c r="WYX16" s="7"/>
      <c r="WYY16" s="7"/>
      <c r="WYZ16" s="7"/>
      <c r="WZA16" s="7"/>
      <c r="WZB16" s="7"/>
      <c r="WZC16" s="7"/>
      <c r="WZD16" s="7"/>
      <c r="WZE16" s="7"/>
      <c r="WZF16" s="7"/>
      <c r="WZG16" s="7"/>
      <c r="WZH16" s="7"/>
      <c r="WZI16" s="7"/>
      <c r="WZJ16" s="7"/>
      <c r="WZK16" s="7"/>
      <c r="WZL16" s="7"/>
      <c r="WZM16" s="7"/>
      <c r="WZN16" s="7"/>
      <c r="WZO16" s="7"/>
      <c r="WZP16" s="7"/>
      <c r="WZQ16" s="7"/>
      <c r="WZR16" s="7"/>
      <c r="WZS16" s="7"/>
      <c r="WZT16" s="7"/>
      <c r="WZU16" s="7"/>
      <c r="WZV16" s="7"/>
      <c r="WZW16" s="7"/>
      <c r="WZX16" s="7"/>
      <c r="WZY16" s="7"/>
      <c r="WZZ16" s="7"/>
      <c r="XAA16" s="7"/>
      <c r="XAB16" s="7"/>
      <c r="XAC16" s="7"/>
      <c r="XAD16" s="7"/>
      <c r="XAE16" s="7"/>
      <c r="XAF16" s="7"/>
      <c r="XAG16" s="7"/>
      <c r="XAH16" s="7"/>
      <c r="XAI16" s="7"/>
      <c r="XAJ16" s="7"/>
      <c r="XAK16" s="7"/>
      <c r="XAL16" s="7"/>
      <c r="XAM16" s="7"/>
      <c r="XAN16" s="7"/>
      <c r="XAO16" s="7"/>
      <c r="XAP16" s="7"/>
      <c r="XAQ16" s="7"/>
      <c r="XAR16" s="7"/>
      <c r="XAS16" s="7"/>
      <c r="XAT16" s="7"/>
      <c r="XAU16" s="7"/>
      <c r="XAV16" s="7"/>
      <c r="XAW16" s="7"/>
      <c r="XAX16" s="7"/>
      <c r="XAY16" s="7"/>
      <c r="XAZ16" s="7"/>
      <c r="XBA16" s="7"/>
      <c r="XBB16" s="7"/>
      <c r="XBC16" s="7"/>
      <c r="XBD16" s="7"/>
      <c r="XBE16" s="7"/>
      <c r="XBF16" s="7"/>
      <c r="XBG16" s="7"/>
      <c r="XBH16" s="7"/>
      <c r="XBI16" s="7"/>
      <c r="XBJ16" s="7"/>
      <c r="XBK16" s="7"/>
      <c r="XBL16" s="7"/>
      <c r="XBM16" s="7"/>
      <c r="XBN16" s="7"/>
      <c r="XBO16" s="7"/>
      <c r="XBP16" s="7"/>
      <c r="XBQ16" s="7"/>
      <c r="XBR16" s="7"/>
      <c r="XBS16" s="7"/>
      <c r="XBT16" s="7"/>
      <c r="XBU16" s="7"/>
      <c r="XBV16" s="7"/>
      <c r="XBW16" s="7"/>
      <c r="XBX16" s="7"/>
      <c r="XBY16" s="7"/>
      <c r="XBZ16" s="7"/>
      <c r="XCA16" s="7"/>
      <c r="XCB16" s="7"/>
      <c r="XCC16" s="7"/>
      <c r="XCD16" s="7"/>
      <c r="XCE16" s="7"/>
      <c r="XCF16" s="7"/>
      <c r="XCG16" s="7"/>
      <c r="XCH16" s="7"/>
      <c r="XCI16" s="7"/>
      <c r="XCJ16" s="7"/>
      <c r="XCK16" s="7"/>
      <c r="XCL16" s="7"/>
      <c r="XCM16" s="7"/>
      <c r="XCN16" s="7"/>
      <c r="XCO16" s="7"/>
      <c r="XCP16" s="7"/>
      <c r="XCQ16" s="7"/>
      <c r="XCR16" s="7"/>
      <c r="XCS16" s="7"/>
      <c r="XCT16" s="7"/>
      <c r="XCU16" s="7"/>
      <c r="XCV16" s="7"/>
      <c r="XCW16" s="7"/>
      <c r="XCX16" s="7"/>
      <c r="XCY16" s="7"/>
      <c r="XCZ16" s="7"/>
      <c r="XDA16" s="7"/>
      <c r="XDB16" s="7"/>
      <c r="XDC16" s="7"/>
      <c r="XDD16" s="7"/>
      <c r="XDE16" s="7"/>
      <c r="XDF16" s="7"/>
      <c r="XDG16" s="7"/>
      <c r="XDH16" s="7"/>
      <c r="XDI16" s="7"/>
      <c r="XDJ16" s="7"/>
      <c r="XDK16" s="7"/>
      <c r="XDL16" s="7"/>
      <c r="XDM16" s="7"/>
      <c r="XDN16" s="7"/>
      <c r="XDO16" s="7"/>
      <c r="XDP16" s="7"/>
      <c r="XDQ16" s="7"/>
      <c r="XDR16" s="7"/>
      <c r="XDS16" s="7"/>
      <c r="XDT16" s="7"/>
      <c r="XDU16" s="7"/>
      <c r="XDV16" s="7"/>
      <c r="XDW16" s="7"/>
      <c r="XDX16" s="7"/>
      <c r="XDY16" s="7"/>
      <c r="XDZ16" s="7"/>
      <c r="XEA16" s="7"/>
      <c r="XEB16" s="7"/>
      <c r="XEC16" s="7"/>
      <c r="XED16" s="7"/>
      <c r="XEE16" s="7"/>
      <c r="XEF16" s="7"/>
      <c r="XEG16" s="7"/>
      <c r="XEH16" s="7"/>
      <c r="XEI16" s="7"/>
      <c r="XEJ16" s="7"/>
      <c r="XEK16" s="7"/>
      <c r="XEL16" s="7"/>
      <c r="XEM16" s="7"/>
      <c r="XEN16" s="7"/>
      <c r="XEO16" s="7"/>
      <c r="XEP16" s="7"/>
      <c r="XEQ16" s="7"/>
      <c r="XER16" s="7"/>
      <c r="XES16" s="7"/>
      <c r="XET16" s="7"/>
      <c r="XEU16" s="7"/>
      <c r="XEV16" s="7"/>
      <c r="XEW16" s="7"/>
      <c r="XEX16" s="7"/>
      <c r="XEY16" s="7"/>
      <c r="XEZ16" s="7"/>
      <c r="XFA16" s="7"/>
      <c r="XFB16" s="7"/>
      <c r="XFC16" s="7"/>
      <c r="XFD16" s="7"/>
    </row>
    <row r="17" spans="1:10" ht="12.3" x14ac:dyDescent="0.35">
      <c r="A17" s="7"/>
      <c r="D17" s="11" t="str">
        <f>Input_RAB_SCS!$B$1</f>
        <v>Input - SCS RAB by Asset Category</v>
      </c>
      <c r="E17" s="7"/>
      <c r="F17" s="7"/>
      <c r="G17" s="7"/>
      <c r="H17" s="49">
        <f>Input_RAB_SCS!$A$1</f>
        <v>0</v>
      </c>
      <c r="I17" s="7"/>
    </row>
    <row r="18" spans="1:10" s="9" customFormat="1" ht="12.3" x14ac:dyDescent="0.35">
      <c r="A18" s="7"/>
      <c r="D18" s="11" t="str">
        <f>Input_RAB_ACS!$B$1</f>
        <v>Input - ACS Metering RAB by Asset Category</v>
      </c>
      <c r="E18" s="7"/>
      <c r="F18" s="7"/>
      <c r="G18" s="7"/>
      <c r="H18" s="49">
        <f>Input_RAB_ACS!$A$1</f>
        <v>0</v>
      </c>
      <c r="I18" s="7"/>
    </row>
    <row r="19" spans="1:10" s="9" customFormat="1" ht="12.3" x14ac:dyDescent="0.35">
      <c r="A19" s="7"/>
      <c r="D19" s="11" t="str">
        <f>Input_Connections!$B$1</f>
        <v>Input - Proportion of Connection Gross Capex</v>
      </c>
      <c r="E19" s="7"/>
      <c r="F19" s="7"/>
      <c r="G19" s="7"/>
      <c r="H19" s="49">
        <f>Input_Connections!$A$1</f>
        <v>0</v>
      </c>
      <c r="I19" s="7"/>
    </row>
    <row r="20" spans="1:10" s="9" customFormat="1" ht="12.3" x14ac:dyDescent="0.35">
      <c r="A20" s="7"/>
      <c r="D20" s="11" t="str">
        <f>Input_AssetLives!$B$1</f>
        <v>Input - Standard Lives</v>
      </c>
      <c r="E20" s="7"/>
      <c r="F20" s="7"/>
      <c r="G20" s="7"/>
      <c r="H20" s="49">
        <f>Input_AssetLives!$A$1</f>
        <v>0</v>
      </c>
      <c r="I20" s="7"/>
    </row>
    <row r="21" spans="1:10" s="9" customFormat="1" ht="12.3" x14ac:dyDescent="0.35">
      <c r="A21" s="7"/>
      <c r="D21" s="11" t="str">
        <f>Input_DRC!$B$1</f>
        <v>Input - Estimated Depreciated Replacement Cost</v>
      </c>
      <c r="E21" s="7"/>
      <c r="F21" s="7"/>
      <c r="G21" s="7"/>
      <c r="H21" s="49">
        <f>Input_DRC!$A$1</f>
        <v>0</v>
      </c>
      <c r="I21" s="7"/>
    </row>
    <row r="22" spans="1:10" ht="12.3" x14ac:dyDescent="0.35">
      <c r="A22" s="7"/>
      <c r="D22" s="11" t="str">
        <f>Calc_Alloc!$B$1</f>
        <v>Calculation Outputs - Allocation from RAB asset classes to EB categories</v>
      </c>
      <c r="E22" s="7"/>
      <c r="F22" s="7"/>
      <c r="G22" s="7"/>
      <c r="H22" s="49">
        <f>Calc_Alloc!$A$1</f>
        <v>0</v>
      </c>
      <c r="I22" s="7"/>
      <c r="J22" s="9"/>
    </row>
    <row r="23" spans="1:10" s="9" customFormat="1" ht="12.3" x14ac:dyDescent="0.35">
      <c r="A23" s="7"/>
      <c r="D23" s="11" t="str">
        <f>Calc_RAB_Connection!$B$1</f>
        <v>Calculation - Estimated Connection RAB by Asset Category</v>
      </c>
      <c r="E23" s="7"/>
      <c r="F23" s="7"/>
      <c r="G23" s="7"/>
      <c r="H23" s="49">
        <f>Calc_RAB_Connection!$A$1</f>
        <v>0</v>
      </c>
      <c r="I23" s="7"/>
    </row>
    <row r="24" spans="1:10" s="9" customFormat="1" ht="12.3" x14ac:dyDescent="0.35">
      <c r="A24" s="7"/>
      <c r="D24" s="11" t="str">
        <f>Calc_RAB_NS!$B$1</f>
        <v>Calculation - Estimated Network Services RAB by Asset Category</v>
      </c>
      <c r="E24" s="7"/>
      <c r="F24" s="7"/>
      <c r="G24" s="7"/>
      <c r="H24" s="49">
        <f>Calc_RAB_NS!$A$1</f>
        <v>0</v>
      </c>
      <c r="I24" s="7"/>
    </row>
    <row r="25" spans="1:10" s="9" customFormat="1" ht="12.3" x14ac:dyDescent="0.35">
      <c r="A25" s="7"/>
      <c r="D25" s="11" t="str">
        <f>Calc_EB_NS!$B$1</f>
        <v>Calculation - Network Services RAB by EB RIN Category</v>
      </c>
      <c r="E25" s="7"/>
      <c r="F25" s="7"/>
      <c r="G25" s="7"/>
      <c r="H25" s="49">
        <f>Calc_EB_NS!$A$1</f>
        <v>0</v>
      </c>
      <c r="I25" s="7"/>
    </row>
    <row r="26" spans="1:10" ht="12.3" x14ac:dyDescent="0.35">
      <c r="A26" s="7"/>
      <c r="D26" s="11" t="str">
        <f>Calc_EB_SCS!$B$1</f>
        <v>Calculation - SCS RAB by EB RIN Category</v>
      </c>
      <c r="E26" s="7"/>
      <c r="F26" s="7"/>
      <c r="G26" s="7"/>
      <c r="H26" s="49">
        <f>Calc_EB_SCS!$A$1</f>
        <v>0</v>
      </c>
      <c r="I26" s="7"/>
      <c r="J26" s="9"/>
    </row>
    <row r="27" spans="1:10" s="9" customFormat="1" ht="12.3" x14ac:dyDescent="0.35">
      <c r="A27" s="7"/>
      <c r="D27" s="11" t="str">
        <f>Calc_EB_ACS!$B$1</f>
        <v>Calculation - ACS RAB by EB RIN Category</v>
      </c>
      <c r="E27" s="7"/>
      <c r="F27" s="7"/>
      <c r="G27" s="7"/>
      <c r="H27" s="49">
        <f>Calc_EB_ACS!$A$1</f>
        <v>0</v>
      </c>
      <c r="I27" s="7"/>
    </row>
    <row r="28" spans="1:10" s="9" customFormat="1" ht="12.3" x14ac:dyDescent="0.35">
      <c r="A28" s="7"/>
      <c r="D28" s="11" t="str">
        <f>Output_EB_RIN_SCS!$B$1</f>
        <v>Outputs - SCS EB RIN</v>
      </c>
      <c r="E28" s="7"/>
      <c r="F28" s="7"/>
      <c r="G28" s="7"/>
      <c r="H28" s="49">
        <f>Output_EB_RIN_SCS!$A$1</f>
        <v>0</v>
      </c>
      <c r="I28" s="7"/>
    </row>
    <row r="29" spans="1:10" s="9" customFormat="1" ht="12.3" x14ac:dyDescent="0.35">
      <c r="A29" s="7"/>
      <c r="D29" s="11" t="str">
        <f>Output_EB_RIN_ACS!$B$1</f>
        <v>Outputs - ACS (Public Lighting and ACS Metering) EB RIN</v>
      </c>
      <c r="E29" s="7"/>
      <c r="F29" s="7"/>
      <c r="G29" s="7"/>
      <c r="H29" s="49">
        <f>Output_EB_RIN_ACS!$A$1</f>
        <v>0</v>
      </c>
      <c r="I29" s="7"/>
    </row>
    <row r="30" spans="1:10" s="9" customFormat="1" ht="12.3" x14ac:dyDescent="0.35">
      <c r="A30" s="7"/>
      <c r="D30" s="11" t="str">
        <f>Output_EB_RIN_NS!$B$1</f>
        <v>Outputs - Network Services EB RIN</v>
      </c>
      <c r="E30" s="7"/>
      <c r="F30" s="7"/>
      <c r="G30" s="7"/>
      <c r="H30" s="49">
        <f>Output_EB_RIN_NS!$A$1</f>
        <v>0</v>
      </c>
      <c r="I30" s="7"/>
    </row>
    <row r="31" spans="1:10" s="9" customFormat="1" ht="12.3" x14ac:dyDescent="0.35">
      <c r="D31" s="11" t="str">
        <f>'3.3 Assets (RAB)'!$B$4</f>
        <v>3.3 ASSETS</v>
      </c>
      <c r="E31" s="7"/>
      <c r="F31" s="7"/>
      <c r="G31" s="7"/>
      <c r="H31" s="49">
        <f>'3.3 Assets (RAB)'!$A$6</f>
        <v>0</v>
      </c>
    </row>
    <row r="32" spans="1:10" s="9" customFormat="1" ht="12.3" x14ac:dyDescent="0.35">
      <c r="C32" s="28"/>
      <c r="D32" s="33"/>
      <c r="H32" s="30"/>
    </row>
    <row r="33" spans="2:8" ht="12.3" x14ac:dyDescent="0.35">
      <c r="C33" s="14" t="s">
        <v>49</v>
      </c>
      <c r="H33" s="31">
        <f>IF(SUM($H$16:$H$31)&lt;&gt;0,1,0)</f>
        <v>0</v>
      </c>
    </row>
    <row r="35" spans="2:8" s="25" customFormat="1" ht="15" x14ac:dyDescent="0.35">
      <c r="B35" s="4" t="s">
        <v>33</v>
      </c>
    </row>
  </sheetData>
  <conditionalFormatting sqref="B7 B11 B2 B5 B13">
    <cfRule type="cellIs" dxfId="4" priority="6" operator="notEqual">
      <formula>"No Errors Found"</formula>
    </cfRule>
  </conditionalFormatting>
  <conditionalFormatting sqref="H31 H22:H27">
    <cfRule type="cellIs" dxfId="3" priority="4" operator="equal">
      <formula>"Ok"</formula>
    </cfRule>
  </conditionalFormatting>
  <conditionalFormatting sqref="H28">
    <cfRule type="cellIs" dxfId="2" priority="3" operator="equal">
      <formula>"Ok"</formula>
    </cfRule>
  </conditionalFormatting>
  <conditionalFormatting sqref="H29">
    <cfRule type="cellIs" dxfId="1" priority="2" operator="equal">
      <formula>"Ok"</formula>
    </cfRule>
  </conditionalFormatting>
  <conditionalFormatting sqref="H30">
    <cfRule type="cellIs" dxfId="0" priority="1" operator="equal">
      <formula>"Ok"</formula>
    </cfRule>
  </conditionalFormatting>
  <hyperlinks>
    <hyperlink ref="B3:E3" location="TOC!A1" display="TOC!A1" xr:uid="{00000000-0004-0000-13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A3B04C24F8D74DBE21978B58C569F6" ma:contentTypeVersion="4" ma:contentTypeDescription="Create a new document." ma:contentTypeScope="" ma:versionID="adc0807dace506080b80eaaea3507f1c">
  <xsd:schema xmlns:xsd="http://www.w3.org/2001/XMLSchema" xmlns:xs="http://www.w3.org/2001/XMLSchema" xmlns:p="http://schemas.microsoft.com/office/2006/metadata/properties" xmlns:ns2="4eb6023d-658b-4527-be73-24b0518f0bf9" xmlns:ns3="7aa583b4-7878-4620-ad4f-d1b586498304" targetNamespace="http://schemas.microsoft.com/office/2006/metadata/properties" ma:root="true" ma:fieldsID="a11288c608cf05ce5d6a34290543d294" ns2:_="" ns3:_="">
    <xsd:import namespace="4eb6023d-658b-4527-be73-24b0518f0bf9"/>
    <xsd:import namespace="7aa583b4-7878-4620-ad4f-d1b5864983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a583b4-7878-4620-ad4f-d1b58649830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78A250-6308-4557-96DC-B348A7F7EF23}">
  <ds:schemaRefs>
    <ds:schemaRef ds:uri="http://schemas.microsoft.com/sharepoint/v3/contenttype/forms"/>
  </ds:schemaRefs>
</ds:datastoreItem>
</file>

<file path=customXml/itemProps2.xml><?xml version="1.0" encoding="utf-8"?>
<ds:datastoreItem xmlns:ds="http://schemas.openxmlformats.org/officeDocument/2006/customXml" ds:itemID="{A4370AFE-109B-4DBC-B346-87FC44C3D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b6023d-658b-4527-be73-24b0518f0bf9"/>
    <ds:schemaRef ds:uri="7aa583b4-7878-4620-ad4f-d1b58649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9F8C31-F280-4789-B5AE-BEDCAFB7F204}">
  <ds:schemaRefs>
    <ds:schemaRef ds:uri="http://schemas.microsoft.com/PowerBIAddIn"/>
  </ds:schemaRefs>
</ds:datastoreItem>
</file>

<file path=customXml/itemProps4.xml><?xml version="1.0" encoding="utf-8"?>
<ds:datastoreItem xmlns:ds="http://schemas.openxmlformats.org/officeDocument/2006/customXml" ds:itemID="{B8C9239F-8891-4F07-9B45-C04B0D0AEAAE}">
  <ds:schemaRefs>
    <ds:schemaRef ds:uri="4eb6023d-658b-4527-be73-24b0518f0bf9"/>
    <ds:schemaRef ds:uri="http://purl.org/dc/terms/"/>
    <ds:schemaRef ds:uri="http://schemas.openxmlformats.org/package/2006/metadata/core-properties"/>
    <ds:schemaRef ds:uri="7aa583b4-7878-4620-ad4f-d1b586498304"/>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83</vt:i4>
      </vt:variant>
    </vt:vector>
  </HeadingPairs>
  <TitlesOfParts>
    <vt:vector size="103" baseType="lpstr">
      <vt:lpstr>Cover</vt:lpstr>
      <vt:lpstr>TOC</vt:lpstr>
      <vt:lpstr>Input_Inflation</vt:lpstr>
      <vt:lpstr>Input_RAB_SCS</vt:lpstr>
      <vt:lpstr>Input_RAB_ACS</vt:lpstr>
      <vt:lpstr>Input_Connections</vt:lpstr>
      <vt:lpstr>Input_AssetLives</vt:lpstr>
      <vt:lpstr>Input_DRC</vt:lpstr>
      <vt:lpstr>Calc_Alloc</vt:lpstr>
      <vt:lpstr>Calc_RAB_Connection</vt:lpstr>
      <vt:lpstr>Calc_RAB_NS</vt:lpstr>
      <vt:lpstr>Calc_EB_NS</vt:lpstr>
      <vt:lpstr>Calc_EB_SCS</vt:lpstr>
      <vt:lpstr>Calc_EB_ACS</vt:lpstr>
      <vt:lpstr>Output_EB_RIN_NS</vt:lpstr>
      <vt:lpstr>Output_EB_RIN_SCS</vt:lpstr>
      <vt:lpstr>Output_EB_RIN_ACS</vt:lpstr>
      <vt:lpstr>3.3 Assets (RAB)</vt:lpstr>
      <vt:lpstr>Lookup</vt:lpstr>
      <vt:lpstr>Checks</vt:lpstr>
      <vt:lpstr>Base_Year</vt:lpstr>
      <vt:lpstr>Days_In_Wk</vt:lpstr>
      <vt:lpstr>Days_In_Yr</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dms_030303_01_ACS_Values</vt:lpstr>
      <vt:lpstr>dms_030303_01_NS_Values</vt:lpstr>
      <vt:lpstr>dms_030303_01_Rows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Dollars</vt:lpstr>
      <vt:lpstr>End_year</vt:lpstr>
      <vt:lpstr>Error</vt:lpstr>
      <vt:lpstr>Factor</vt:lpstr>
      <vt:lpstr>Half</vt:lpstr>
      <vt:lpstr>Kilometres</vt:lpstr>
      <vt:lpstr>LU_Basis</vt:lpstr>
      <vt:lpstr>LU_EB_RIN_Assets</vt:lpstr>
      <vt:lpstr>LU_RAB_Assets</vt:lpstr>
      <vt:lpstr>LU_Timing</vt:lpstr>
      <vt:lpstr>LU_Timing_Value</vt:lpstr>
      <vt:lpstr>LU_Units</vt:lpstr>
      <vt:lpstr>Mid_year</vt:lpstr>
      <vt:lpstr>Millions</vt:lpstr>
      <vt:lpstr>Model_Name</vt:lpstr>
      <vt:lpstr>Model_Start_Date</vt:lpstr>
      <vt:lpstr>Mths_In_Mth</vt:lpstr>
      <vt:lpstr>Mths_In_Qtr</vt:lpstr>
      <vt:lpstr>Mths_In_Yr</vt:lpstr>
      <vt:lpstr>NA</vt:lpstr>
      <vt:lpstr>No</vt:lpstr>
      <vt:lpstr>Nominal</vt:lpstr>
      <vt:lpstr>Number</vt:lpstr>
      <vt:lpstr>Ok</vt:lpstr>
      <vt:lpstr>Percent</vt:lpstr>
      <vt:lpstr>Qtrs_In_Yr</vt:lpstr>
      <vt:lpstr>Real2018</vt:lpstr>
      <vt:lpstr>Start_year</vt:lpstr>
      <vt:lpstr>Thousands</vt:lpstr>
      <vt:lpstr>Title_Msg</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and Water Corporation</dc:creator>
  <cp:lastModifiedBy>Ryan</cp:lastModifiedBy>
  <cp:lastPrinted>2013-05-06T05:05:19Z</cp:lastPrinted>
  <dcterms:created xsi:type="dcterms:W3CDTF">2012-02-19T06:14:59Z</dcterms:created>
  <dcterms:modified xsi:type="dcterms:W3CDTF">2018-03-15T05:46:55Z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0x0101003BA3B04C24F8D74DBE21978B58C569F6</vt:lpwstr>
  </property>
</Properties>
</file>